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0490" windowHeight="670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4" i="1" l="1"/>
  <c r="H14" i="1" s="1"/>
  <c r="I14" i="1" s="1"/>
  <c r="J14" i="1" s="1"/>
  <c r="H24" i="1" l="1"/>
  <c r="I24" i="1"/>
  <c r="J24" i="1"/>
  <c r="G28" i="1" l="1"/>
  <c r="J28" i="1" l="1"/>
  <c r="I28" i="1"/>
  <c r="H28" i="1"/>
  <c r="G24" i="1" l="1"/>
  <c r="F23" i="1" l="1"/>
  <c r="F16" i="1" l="1"/>
  <c r="F22" i="1" l="1"/>
  <c r="F24" i="1" l="1"/>
  <c r="D5" i="1" l="1"/>
  <c r="G16" i="1" l="1"/>
  <c r="H16" i="1"/>
  <c r="I16" i="1"/>
  <c r="J16" i="1"/>
  <c r="D3" i="1" l="1"/>
  <c r="E3" i="1" l="1"/>
  <c r="F3" i="1" l="1"/>
  <c r="D9" i="1"/>
  <c r="D10" i="1"/>
  <c r="E10" i="1"/>
  <c r="E5" i="1" s="1"/>
  <c r="E9" i="1"/>
  <c r="F11" i="1" l="1"/>
  <c r="G3" i="1"/>
  <c r="H3" i="1" s="1"/>
  <c r="I3" i="1" s="1"/>
  <c r="J3" i="1" s="1"/>
  <c r="F9" i="1" l="1"/>
  <c r="D11" i="1"/>
  <c r="F10" i="1"/>
  <c r="F5" i="1" s="1"/>
  <c r="F18" i="1" s="1"/>
  <c r="C11" i="1"/>
  <c r="E11" i="1"/>
  <c r="G11" i="1"/>
  <c r="F19" i="1"/>
  <c r="G9" i="1" l="1"/>
  <c r="G10" i="1"/>
  <c r="G5" i="1" s="1"/>
  <c r="G18" i="1" s="1"/>
  <c r="F25" i="1"/>
  <c r="H29" i="1" s="1"/>
  <c r="H11" i="1"/>
  <c r="H9" i="1"/>
  <c r="H10" i="1"/>
  <c r="H5" i="1" s="1"/>
  <c r="G19" i="1" l="1"/>
  <c r="G25" i="1" s="1"/>
  <c r="I29" i="1" s="1"/>
  <c r="H18" i="1"/>
  <c r="H19" i="1"/>
  <c r="I11" i="1"/>
  <c r="I9" i="1"/>
  <c r="I10" i="1"/>
  <c r="I5" i="1" s="1"/>
  <c r="H25" i="1" l="1"/>
  <c r="J29" i="1" s="1"/>
  <c r="I18" i="1"/>
  <c r="I25" i="1" s="1"/>
  <c r="I19" i="1"/>
  <c r="J11" i="1"/>
  <c r="J9" i="1"/>
  <c r="J10" i="1"/>
  <c r="J5" i="1" s="1"/>
  <c r="J18" i="1" l="1"/>
  <c r="J25" i="1" s="1"/>
  <c r="J19" i="1"/>
</calcChain>
</file>

<file path=xl/sharedStrings.xml><?xml version="1.0" encoding="utf-8"?>
<sst xmlns="http://schemas.openxmlformats.org/spreadsheetml/2006/main" count="33" uniqueCount="32">
  <si>
    <t>Connection Charge</t>
  </si>
  <si>
    <t>Calculation of base cost for determining Connection Charge Cost Pass Through</t>
  </si>
  <si>
    <t>Inflation</t>
  </si>
  <si>
    <t>CPI Year/Year</t>
  </si>
  <si>
    <t>Base Year 2015/16</t>
  </si>
  <si>
    <t>AER Draft Determination, Attachment 7, p15</t>
  </si>
  <si>
    <t>Connection Charges</t>
  </si>
  <si>
    <t>Base Year 2017/18</t>
  </si>
  <si>
    <t>Maximum Allowed Revenue</t>
  </si>
  <si>
    <t>X factor</t>
  </si>
  <si>
    <t>Materiality Threshold</t>
  </si>
  <si>
    <t>Non Material Change Top</t>
  </si>
  <si>
    <t>Non Material Change Bottom</t>
  </si>
  <si>
    <t>Actual Connection Charges Total</t>
  </si>
  <si>
    <t>Inflation Year Ending/Regulatory Year Starting</t>
  </si>
  <si>
    <t>ElectraNet</t>
  </si>
  <si>
    <t>AusNet</t>
  </si>
  <si>
    <t>Actual Connection Charges Total (inc GST)</t>
  </si>
  <si>
    <t>18/19</t>
  </si>
  <si>
    <t>19/20</t>
  </si>
  <si>
    <t>20/21</t>
  </si>
  <si>
    <t>21/22</t>
  </si>
  <si>
    <t>23/23</t>
  </si>
  <si>
    <t>17/18</t>
  </si>
  <si>
    <t>16/17</t>
  </si>
  <si>
    <t>15/16</t>
  </si>
  <si>
    <t>Two year WACC</t>
  </si>
  <si>
    <t>Total</t>
  </si>
  <si>
    <t>Pass through amount</t>
  </si>
  <si>
    <t>WACC (AER RoD PTRM)</t>
  </si>
  <si>
    <t>Cost difference</t>
  </si>
  <si>
    <t>Index Numbers ;  All groups CPI ;  Australia 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</si>
</sst>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1" formatCode="_-* #,##0_-;\-* #,##0_-;_-* &quot;-&quot;_-;_-@_-"/>
    <numFmt numFmtId="43" formatCode="_-* #,##0.00_-;\-* #,##0.00_-;_-* &quot;-&quot;??_-;_-@_-"/>
    <numFmt numFmtId="164" formatCode="yyyy"/>
    <numFmt numFmtId="165" formatCode="_-* #,##0.0_-;\-* #,##0.0_-;_-* &quot;-&quot;_-;_-@_-"/>
    <numFmt numFmtId="166" formatCode="_-* #,##0.00_-;\-* #,##0.00_-;_-* &quot;-&quot;_-;_-@_-"/>
    <numFmt numFmtId="167" formatCode="_-* #,##0_-;\-* #,##0_-;_-* &quot;-&quot;??_-;_-@_-"/>
  </numFmts>
  <fonts count="9" x14ac:knownFonts="1">
    <font>
      <sz val="11"/>
      <color theme="1"/>
      <name val="Century Gothic"/>
      <family val="2"/>
    </font>
    <font>
      <sz val="11"/>
      <color theme="1"/>
      <name val="Calibri"/>
      <family val="2"/>
      <scheme val="minor"/>
    </font>
    <font>
      <sz val="11"/>
      <color theme="1"/>
      <name val="Century Gothic"/>
      <family val="2"/>
    </font>
    <font>
      <sz val="11"/>
      <color theme="0"/>
      <name val="Century Gothic"/>
      <family val="2"/>
    </font>
    <font>
      <b/>
      <sz val="15"/>
      <name val="Century Gothic"/>
      <family val="2"/>
    </font>
    <font>
      <b/>
      <sz val="11"/>
      <color theme="0"/>
      <name val="Century Gothic"/>
      <family val="2"/>
    </font>
    <font>
      <sz val="11"/>
      <color theme="5" tint="-0.24994659260841701"/>
      <name val="Century Gothic"/>
      <family val="2"/>
    </font>
    <font>
      <sz val="11"/>
      <color theme="0" tint="-0.34998626667073579"/>
      <name val="Century Gothic"/>
      <family val="2"/>
    </font>
    <font>
      <b/>
      <sz val="12"/>
      <color theme="5"/>
      <name val="Century Gothic"/>
      <family val="2"/>
    </font>
  </fonts>
  <fills count="8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1" tint="0.24994659260841701"/>
        <bgColor indexed="64"/>
      </patternFill>
    </fill>
    <fill>
      <patternFill patternType="solid">
        <fgColor theme="1" tint="4.9989318521683403E-2"/>
        <bgColor indexed="64"/>
      </patternFill>
    </fill>
  </fills>
  <borders count="9">
    <border>
      <left/>
      <right/>
      <top/>
      <bottom/>
      <diagonal/>
    </border>
    <border>
      <left style="double">
        <color rgb="FF7F7F7F"/>
      </left>
      <right style="double">
        <color rgb="FF7F7F7F"/>
      </right>
      <top style="double">
        <color rgb="FF7F7F7F"/>
      </top>
      <bottom style="double">
        <color rgb="FF7F7F7F"/>
      </bottom>
      <diagonal/>
    </border>
    <border>
      <left/>
      <right/>
      <top style="thick">
        <color rgb="FFFFC000"/>
      </top>
      <bottom style="thick">
        <color rgb="FFFFC000"/>
      </bottom>
      <diagonal/>
    </border>
    <border>
      <left/>
      <right/>
      <top/>
      <bottom style="double">
        <color rgb="FFFF8001"/>
      </bottom>
      <diagonal/>
    </border>
    <border>
      <left/>
      <right/>
      <top style="double">
        <color rgb="FFFF8001"/>
      </top>
      <bottom style="double">
        <color rgb="FFFF8001"/>
      </bottom>
      <diagonal/>
    </border>
    <border>
      <left/>
      <right/>
      <top style="double">
        <color rgb="FFFFC000"/>
      </top>
      <bottom style="double">
        <color rgb="FFFFC000"/>
      </bottom>
      <diagonal/>
    </border>
    <border>
      <left/>
      <right/>
      <top style="thin">
        <color rgb="FF7F7F7F"/>
      </top>
      <bottom style="thin">
        <color rgb="FF7F7F7F"/>
      </bottom>
      <diagonal/>
    </border>
    <border>
      <left style="thick">
        <color theme="5" tint="-0.24994659260841701"/>
      </left>
      <right style="thick">
        <color theme="5" tint="-0.24994659260841701"/>
      </right>
      <top style="thick">
        <color theme="5" tint="-0.24994659260841701"/>
      </top>
      <bottom style="thick">
        <color theme="5" tint="-0.249946592608417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">
    <xf numFmtId="0" fontId="0" fillId="0" borderId="0"/>
    <xf numFmtId="9" fontId="1" fillId="0" borderId="0" applyFont="0" applyFill="0" applyBorder="0" applyAlignment="0" applyProtection="0"/>
    <xf numFmtId="0" fontId="4" fillId="3" borderId="2" applyNumberFormat="0" applyAlignment="0" applyProtection="0"/>
    <xf numFmtId="0" fontId="5" fillId="6" borderId="5" applyNumberFormat="0" applyAlignment="0" applyProtection="0"/>
    <xf numFmtId="43" fontId="3" fillId="2" borderId="1" applyAlignment="0" applyProtection="0"/>
    <xf numFmtId="164" fontId="2" fillId="4" borderId="2"/>
    <xf numFmtId="41" fontId="8" fillId="7" borderId="7" applyAlignment="0" applyProtection="0"/>
    <xf numFmtId="41" fontId="7" fillId="0" borderId="6" applyAlignment="0" applyProtection="0"/>
    <xf numFmtId="41" fontId="6" fillId="5" borderId="4" applyAlignment="0" applyProtection="0"/>
    <xf numFmtId="0" fontId="2" fillId="0" borderId="8" applyNumberFormat="0" applyAlignment="0" applyProtection="0"/>
  </cellStyleXfs>
  <cellXfs count="17">
    <xf numFmtId="0" fontId="0" fillId="0" borderId="0" xfId="0"/>
    <xf numFmtId="43" fontId="3" fillId="2" borderId="1" xfId="4"/>
    <xf numFmtId="164" fontId="2" fillId="4" borderId="2" xfId="5"/>
    <xf numFmtId="41" fontId="6" fillId="5" borderId="4" xfId="8"/>
    <xf numFmtId="10" fontId="7" fillId="0" borderId="6" xfId="7" applyNumberFormat="1"/>
    <xf numFmtId="41" fontId="7" fillId="0" borderId="6" xfId="7"/>
    <xf numFmtId="165" fontId="6" fillId="5" borderId="4" xfId="8" applyNumberFormat="1"/>
    <xf numFmtId="10" fontId="6" fillId="5" borderId="4" xfId="1" applyNumberFormat="1" applyFont="1" applyFill="1" applyBorder="1"/>
    <xf numFmtId="41" fontId="8" fillId="7" borderId="7" xfId="6"/>
    <xf numFmtId="166" fontId="7" fillId="0" borderId="6" xfId="7" applyNumberFormat="1"/>
    <xf numFmtId="0" fontId="2" fillId="0" borderId="8" xfId="9"/>
    <xf numFmtId="41" fontId="2" fillId="0" borderId="8" xfId="9" applyNumberFormat="1"/>
    <xf numFmtId="167" fontId="3" fillId="2" borderId="1" xfId="4" applyNumberFormat="1"/>
    <xf numFmtId="167" fontId="2" fillId="0" borderId="8" xfId="9" applyNumberFormat="1"/>
    <xf numFmtId="0" fontId="4" fillId="3" borderId="2" xfId="2" applyAlignment="1">
      <alignment horizontal="center"/>
    </xf>
    <xf numFmtId="0" fontId="5" fillId="6" borderId="5" xfId="3" applyAlignment="1">
      <alignment horizontal="center"/>
    </xf>
    <xf numFmtId="0" fontId="5" fillId="6" borderId="3" xfId="3" applyBorder="1" applyAlignment="1">
      <alignment horizontal="center"/>
    </xf>
  </cellXfs>
  <cellStyles count="10">
    <cellStyle name="Calculation" xfId="7" builtinId="22" customBuiltin="1"/>
    <cellStyle name="Date" xfId="5"/>
    <cellStyle name="External Link" xfId="8"/>
    <cellStyle name="Heading 1" xfId="2" builtinId="16" customBuiltin="1"/>
    <cellStyle name="Heading 2" xfId="3" builtinId="17" customBuiltin="1"/>
    <cellStyle name="Input" xfId="4" builtinId="20" customBuiltin="1"/>
    <cellStyle name="Normal" xfId="0" builtinId="0" customBuiltin="1"/>
    <cellStyle name="Output" xfId="6" builtinId="21" customBuiltin="1"/>
    <cellStyle name="Percent" xfId="1" builtinId="5"/>
    <cellStyle name="Total" xfId="9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2</xdr:colOff>
      <xdr:row>0</xdr:row>
      <xdr:rowOff>1</xdr:rowOff>
    </xdr:from>
    <xdr:to>
      <xdr:col>17</xdr:col>
      <xdr:colOff>333376</xdr:colOff>
      <xdr:row>7</xdr:row>
      <xdr:rowOff>1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791952" y="1"/>
          <a:ext cx="4810124" cy="16192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30"/>
  <sheetViews>
    <sheetView tabSelected="1" workbookViewId="0">
      <selection activeCell="N18" sqref="N18"/>
    </sheetView>
  </sheetViews>
  <sheetFormatPr defaultRowHeight="16.5" x14ac:dyDescent="0.3"/>
  <cols>
    <col min="1" max="1" width="1.75" customWidth="1"/>
    <col min="2" max="2" width="40.75" bestFit="1" customWidth="1"/>
    <col min="3" max="3" width="9.625" bestFit="1" customWidth="1"/>
    <col min="4" max="4" width="11.875" bestFit="1" customWidth="1"/>
    <col min="5" max="5" width="11.125" bestFit="1" customWidth="1"/>
    <col min="6" max="10" width="14.125" customWidth="1"/>
    <col min="12" max="12" width="13.75" bestFit="1" customWidth="1"/>
  </cols>
  <sheetData>
    <row r="1" spans="2:12" ht="21" thickTop="1" thickBot="1" x14ac:dyDescent="0.35">
      <c r="B1" s="14" t="s">
        <v>1</v>
      </c>
      <c r="C1" s="14"/>
      <c r="D1" s="14"/>
      <c r="E1" s="14"/>
      <c r="F1" s="14"/>
      <c r="G1" s="14"/>
      <c r="H1" s="14"/>
      <c r="I1" s="14"/>
      <c r="J1" s="14"/>
    </row>
    <row r="2" spans="2:12" ht="18" thickTop="1" thickBot="1" x14ac:dyDescent="0.35">
      <c r="C2" t="s">
        <v>25</v>
      </c>
      <c r="D2" t="s">
        <v>24</v>
      </c>
      <c r="E2" t="s">
        <v>23</v>
      </c>
      <c r="F2" t="s">
        <v>18</v>
      </c>
      <c r="G2" t="s">
        <v>19</v>
      </c>
      <c r="H2" t="s">
        <v>20</v>
      </c>
      <c r="I2" t="s">
        <v>21</v>
      </c>
      <c r="J2" t="s">
        <v>22</v>
      </c>
    </row>
    <row r="3" spans="2:12" ht="18" thickTop="1" thickBot="1" x14ac:dyDescent="0.35">
      <c r="B3" s="2" t="s">
        <v>14</v>
      </c>
      <c r="C3" s="2">
        <v>42339</v>
      </c>
      <c r="D3" s="2">
        <f>DATE(YEAR(C3)+1,MONTH(C3),DAY(C3))</f>
        <v>42705</v>
      </c>
      <c r="E3" s="2">
        <f t="shared" ref="E3:F3" si="0">DATE(YEAR(D3)+1,MONTH(D3),DAY(D3))</f>
        <v>43070</v>
      </c>
      <c r="F3" s="2">
        <f t="shared" si="0"/>
        <v>43435</v>
      </c>
      <c r="G3" s="2">
        <f t="shared" ref="G3" si="1">DATE(YEAR(F3)+1,MONTH(F3),DAY(F3))</f>
        <v>43800</v>
      </c>
      <c r="H3" s="2">
        <f t="shared" ref="H3" si="2">DATE(YEAR(G3)+1,MONTH(G3),DAY(G3))</f>
        <v>44166</v>
      </c>
      <c r="I3" s="2">
        <f t="shared" ref="I3" si="3">DATE(YEAR(H3)+1,MONTH(H3),DAY(H3))</f>
        <v>44531</v>
      </c>
      <c r="J3" s="2">
        <f t="shared" ref="J3" si="4">DATE(YEAR(I3)+1,MONTH(I3),DAY(I3))</f>
        <v>44896</v>
      </c>
    </row>
    <row r="4" spans="2:12" ht="18" thickTop="1" thickBot="1" x14ac:dyDescent="0.35">
      <c r="B4" s="15" t="s">
        <v>0</v>
      </c>
      <c r="C4" s="15"/>
      <c r="D4" s="15"/>
      <c r="E4" s="15"/>
      <c r="F4" s="15"/>
      <c r="G4" s="15"/>
      <c r="H4" s="15"/>
      <c r="I4" s="15"/>
      <c r="J4" s="15"/>
    </row>
    <row r="5" spans="2:12" ht="18" thickTop="1" thickBot="1" x14ac:dyDescent="0.35">
      <c r="B5" s="5" t="s">
        <v>6</v>
      </c>
      <c r="D5" s="3">
        <f>201421+769795</f>
        <v>971216</v>
      </c>
      <c r="E5" s="5">
        <f t="shared" ref="E5:J5" si="5">$D$5*E10</f>
        <v>989757.39636363636</v>
      </c>
      <c r="F5" s="5">
        <f t="shared" si="5"/>
        <v>1007415.8690909089</v>
      </c>
      <c r="G5" s="5" t="e">
        <f t="shared" si="5"/>
        <v>#N/A</v>
      </c>
      <c r="H5" s="5" t="e">
        <f t="shared" si="5"/>
        <v>#N/A</v>
      </c>
      <c r="I5" s="5" t="e">
        <f t="shared" si="5"/>
        <v>#N/A</v>
      </c>
      <c r="J5" s="5" t="e">
        <f t="shared" si="5"/>
        <v>#N/A</v>
      </c>
    </row>
    <row r="6" spans="2:12" ht="17.25" thickTop="1" x14ac:dyDescent="0.3"/>
    <row r="7" spans="2:12" ht="17.25" thickBot="1" x14ac:dyDescent="0.35">
      <c r="B7" s="16" t="s">
        <v>2</v>
      </c>
      <c r="C7" s="16"/>
      <c r="D7" s="16"/>
      <c r="E7" s="16"/>
      <c r="F7" s="16"/>
      <c r="G7" s="16"/>
      <c r="H7" s="16"/>
      <c r="I7" s="16"/>
      <c r="J7" s="16"/>
    </row>
    <row r="8" spans="2:12" ht="18" thickTop="1" thickBot="1" x14ac:dyDescent="0.35">
      <c r="B8" s="3" t="s">
        <v>31</v>
      </c>
      <c r="C8" s="6">
        <v>108.4</v>
      </c>
      <c r="D8" s="6">
        <v>110</v>
      </c>
      <c r="E8" s="6">
        <v>112.1</v>
      </c>
      <c r="F8" s="6">
        <v>114.1</v>
      </c>
      <c r="G8" s="6" t="e">
        <v>#N/A</v>
      </c>
      <c r="H8" s="6" t="e">
        <v>#N/A</v>
      </c>
      <c r="I8" s="6" t="e">
        <v>#N/A</v>
      </c>
      <c r="J8" s="6" t="e">
        <v>#N/A</v>
      </c>
      <c r="L8" t="s">
        <v>5</v>
      </c>
    </row>
    <row r="9" spans="2:12" ht="17.25" thickTop="1" x14ac:dyDescent="0.3">
      <c r="B9" t="s">
        <v>3</v>
      </c>
      <c r="D9" s="4">
        <f>D8/C8-1</f>
        <v>1.4760147601476037E-2</v>
      </c>
      <c r="E9" s="4">
        <f t="shared" ref="E9:F9" si="6">E8/D8-1</f>
        <v>1.9090909090909047E-2</v>
      </c>
      <c r="F9" s="4">
        <f t="shared" si="6"/>
        <v>1.7841213202497874E-2</v>
      </c>
      <c r="G9" s="4" t="e">
        <f t="shared" ref="G9" si="7">G8/F8-1</f>
        <v>#N/A</v>
      </c>
      <c r="H9" s="4" t="e">
        <f t="shared" ref="H9" si="8">H8/G8-1</f>
        <v>#N/A</v>
      </c>
      <c r="I9" s="4" t="e">
        <f t="shared" ref="I9" si="9">I8/H8-1</f>
        <v>#N/A</v>
      </c>
      <c r="J9" s="4" t="e">
        <f t="shared" ref="J9" si="10">J8/I8-1</f>
        <v>#N/A</v>
      </c>
    </row>
    <row r="10" spans="2:12" x14ac:dyDescent="0.3">
      <c r="B10" t="s">
        <v>4</v>
      </c>
      <c r="D10" s="9">
        <f>D8/$D$8</f>
        <v>1</v>
      </c>
      <c r="E10" s="9">
        <f t="shared" ref="E10:J10" si="11">E8/$D$8</f>
        <v>1.019090909090909</v>
      </c>
      <c r="F10" s="9">
        <f t="shared" si="11"/>
        <v>1.0372727272727271</v>
      </c>
      <c r="G10" s="9" t="e">
        <f t="shared" si="11"/>
        <v>#N/A</v>
      </c>
      <c r="H10" s="9" t="e">
        <f t="shared" si="11"/>
        <v>#N/A</v>
      </c>
      <c r="I10" s="9" t="e">
        <f t="shared" si="11"/>
        <v>#N/A</v>
      </c>
      <c r="J10" s="9" t="e">
        <f t="shared" si="11"/>
        <v>#N/A</v>
      </c>
    </row>
    <row r="11" spans="2:12" x14ac:dyDescent="0.3">
      <c r="B11" t="s">
        <v>7</v>
      </c>
      <c r="C11" s="9">
        <f t="shared" ref="C11:E11" si="12">C8/$F$8</f>
        <v>0.95004382120946551</v>
      </c>
      <c r="D11" s="9">
        <f t="shared" si="12"/>
        <v>0.96406660823838741</v>
      </c>
      <c r="E11" s="9">
        <f t="shared" si="12"/>
        <v>0.98247151621384754</v>
      </c>
      <c r="F11" s="9">
        <f>F8/$F$8</f>
        <v>1</v>
      </c>
      <c r="G11" s="9" t="e">
        <f t="shared" ref="G11:J11" si="13">G8/$F$8</f>
        <v>#N/A</v>
      </c>
      <c r="H11" s="9" t="e">
        <f t="shared" si="13"/>
        <v>#N/A</v>
      </c>
      <c r="I11" s="9" t="e">
        <f t="shared" si="13"/>
        <v>#N/A</v>
      </c>
      <c r="J11" s="9" t="e">
        <f t="shared" si="13"/>
        <v>#N/A</v>
      </c>
    </row>
    <row r="12" spans="2:12" ht="17.25" thickBot="1" x14ac:dyDescent="0.35"/>
    <row r="13" spans="2:12" ht="18" thickTop="1" thickBot="1" x14ac:dyDescent="0.35">
      <c r="B13" s="15" t="s">
        <v>8</v>
      </c>
      <c r="C13" s="15"/>
      <c r="D13" s="15"/>
      <c r="E13" s="15"/>
      <c r="F13" s="15"/>
      <c r="G13" s="15"/>
      <c r="H13" s="15"/>
      <c r="I13" s="15"/>
      <c r="J13" s="15"/>
    </row>
    <row r="14" spans="2:12" ht="18" thickTop="1" thickBot="1" x14ac:dyDescent="0.35">
      <c r="B14" t="s">
        <v>8</v>
      </c>
      <c r="F14" s="12">
        <v>14266601.697964421</v>
      </c>
      <c r="G14" s="5">
        <f>F14*(1+F9)*(1-G15)</f>
        <v>15081126.557068896</v>
      </c>
      <c r="H14" s="5" t="e">
        <f t="shared" ref="H14:J14" si="14">G14*(1+G9)*(1-H15)</f>
        <v>#N/A</v>
      </c>
      <c r="I14" s="5" t="e">
        <f t="shared" si="14"/>
        <v>#N/A</v>
      </c>
      <c r="J14" s="5" t="e">
        <f t="shared" si="14"/>
        <v>#N/A</v>
      </c>
    </row>
    <row r="15" spans="2:12" ht="18" thickTop="1" thickBot="1" x14ac:dyDescent="0.35">
      <c r="B15" s="3" t="s">
        <v>9</v>
      </c>
      <c r="C15" s="3"/>
      <c r="D15" s="3"/>
      <c r="E15" s="3"/>
      <c r="F15" s="3">
        <v>-3.861957901215704E-2</v>
      </c>
      <c r="G15" s="7">
        <v>-3.8563884267581255E-2</v>
      </c>
      <c r="H15" s="7">
        <v>-3.861957901215704E-2</v>
      </c>
      <c r="I15" s="7">
        <v>-4.3999999999999997E-2</v>
      </c>
      <c r="J15" s="7">
        <v>-4.3999999999999997E-2</v>
      </c>
    </row>
    <row r="16" spans="2:12" ht="18" thickTop="1" thickBot="1" x14ac:dyDescent="0.35">
      <c r="B16" s="10" t="s">
        <v>10</v>
      </c>
      <c r="C16" s="10"/>
      <c r="D16" s="10"/>
      <c r="E16" s="10"/>
      <c r="F16" s="13">
        <f>F14*1%</f>
        <v>142666.01697964422</v>
      </c>
      <c r="G16" s="11">
        <f>G14*1%</f>
        <v>150811.26557068896</v>
      </c>
      <c r="H16" s="11" t="e">
        <f>H14*1%</f>
        <v>#N/A</v>
      </c>
      <c r="I16" s="11" t="e">
        <f>I14*1%</f>
        <v>#N/A</v>
      </c>
      <c r="J16" s="11" t="e">
        <f>J14*1%</f>
        <v>#N/A</v>
      </c>
    </row>
    <row r="17" spans="2:10" ht="17.25" thickTop="1" x14ac:dyDescent="0.3"/>
    <row r="18" spans="2:10" ht="17.25" thickBot="1" x14ac:dyDescent="0.35">
      <c r="B18" s="10" t="s">
        <v>11</v>
      </c>
      <c r="C18" s="10"/>
      <c r="D18" s="10"/>
      <c r="E18" s="10"/>
      <c r="F18" s="11">
        <f>F5+F16</f>
        <v>1150081.8860705532</v>
      </c>
      <c r="G18" s="11" t="e">
        <f>G5+G16</f>
        <v>#N/A</v>
      </c>
      <c r="H18" s="11" t="e">
        <f>H5+H16</f>
        <v>#N/A</v>
      </c>
      <c r="I18" s="11" t="e">
        <f>I5+I16</f>
        <v>#N/A</v>
      </c>
      <c r="J18" s="11" t="e">
        <f>J5+J16</f>
        <v>#N/A</v>
      </c>
    </row>
    <row r="19" spans="2:10" ht="18" thickTop="1" thickBot="1" x14ac:dyDescent="0.35">
      <c r="B19" s="10" t="s">
        <v>12</v>
      </c>
      <c r="C19" s="10"/>
      <c r="D19" s="10"/>
      <c r="E19" s="10"/>
      <c r="F19" s="11">
        <f>F5-F16</f>
        <v>864749.85211126471</v>
      </c>
      <c r="G19" s="11" t="e">
        <f>G5-G16</f>
        <v>#N/A</v>
      </c>
      <c r="H19" s="11" t="e">
        <f>H5-H16</f>
        <v>#N/A</v>
      </c>
      <c r="I19" s="11" t="e">
        <f>I5-I16</f>
        <v>#N/A</v>
      </c>
      <c r="J19" s="11" t="e">
        <f>J5-J16</f>
        <v>#N/A</v>
      </c>
    </row>
    <row r="20" spans="2:10" ht="18" thickTop="1" thickBot="1" x14ac:dyDescent="0.35"/>
    <row r="21" spans="2:10" ht="18" thickTop="1" thickBot="1" x14ac:dyDescent="0.35">
      <c r="B21" s="15" t="s">
        <v>13</v>
      </c>
      <c r="C21" s="15"/>
      <c r="D21" s="15"/>
      <c r="E21" s="15"/>
      <c r="F21" s="15"/>
      <c r="G21" s="15"/>
      <c r="H21" s="15"/>
      <c r="I21" s="15"/>
      <c r="J21" s="15"/>
    </row>
    <row r="22" spans="2:10" ht="18" thickTop="1" thickBot="1" x14ac:dyDescent="0.35">
      <c r="B22" t="s">
        <v>17</v>
      </c>
      <c r="C22" t="s">
        <v>15</v>
      </c>
      <c r="F22" s="12">
        <f>71123.8+65233.3+63129+65233.3+63129+65233-68708.17</f>
        <v>324373.23000000004</v>
      </c>
      <c r="G22" s="1"/>
      <c r="H22" s="1"/>
      <c r="I22" s="1"/>
      <c r="J22" s="1"/>
    </row>
    <row r="23" spans="2:10" ht="18" thickTop="1" thickBot="1" x14ac:dyDescent="0.35">
      <c r="C23" t="s">
        <v>16</v>
      </c>
      <c r="F23" s="12">
        <f>18734.75*5+21300.54*4-1970.53+20643.7*3</f>
        <v>238836.48000000001</v>
      </c>
      <c r="G23" s="1"/>
      <c r="H23" s="1"/>
      <c r="I23" s="1"/>
      <c r="J23" s="1"/>
    </row>
    <row r="24" spans="2:10" ht="18" thickTop="1" thickBot="1" x14ac:dyDescent="0.35">
      <c r="B24" s="10" t="s">
        <v>27</v>
      </c>
      <c r="C24" s="10"/>
      <c r="D24" s="10"/>
      <c r="E24" s="10"/>
      <c r="F24" s="11">
        <f>+F22+F23</f>
        <v>563209.71000000008</v>
      </c>
      <c r="G24" s="11">
        <f>+G22+G23</f>
        <v>0</v>
      </c>
      <c r="H24" s="11">
        <f t="shared" ref="H24:J24" si="15">+H22+H23</f>
        <v>0</v>
      </c>
      <c r="I24" s="11">
        <f t="shared" si="15"/>
        <v>0</v>
      </c>
      <c r="J24" s="11">
        <f t="shared" si="15"/>
        <v>0</v>
      </c>
    </row>
    <row r="25" spans="2:10" ht="18" thickTop="1" thickBot="1" x14ac:dyDescent="0.35">
      <c r="B25" s="11" t="s">
        <v>30</v>
      </c>
      <c r="C25" s="11"/>
      <c r="D25" s="11"/>
      <c r="E25" s="11"/>
      <c r="F25" s="11">
        <f>_xlfn.IFNA(IF(MAX(F24,F18)=F24,F24-F5,IF(MIN(F24,F19)=F24,F24-F5,0)),0)</f>
        <v>-444206.15909090883</v>
      </c>
      <c r="G25" s="11">
        <f>_xlfn.IFNA(IF(MAX(G24,G18)=G24,G24-G5,IF(MIN(G24,G19)=G24,G24-G5,0)),0)</f>
        <v>0</v>
      </c>
      <c r="H25" s="11">
        <f>_xlfn.IFNA(IF(MAX(H24,H18)=H24,H24-H5,IF(MIN(H24,H19)=H24,H24-H5,0)),0)</f>
        <v>0</v>
      </c>
      <c r="I25" s="11">
        <f>_xlfn.IFNA(IF(MAX(I24,I18)=I24,I24-I5,IF(MIN(I24,I19)=I24,I24-I5,0)),0)</f>
        <v>0</v>
      </c>
      <c r="J25" s="11">
        <f>_xlfn.IFNA(IF(MAX(J24,J18)=J24,J24-J5,IF(MIN(J24,J19)=J24,J24-J5,0)),0)</f>
        <v>0</v>
      </c>
    </row>
    <row r="26" spans="2:10" ht="18" thickTop="1" thickBot="1" x14ac:dyDescent="0.35"/>
    <row r="27" spans="2:10" ht="18" thickTop="1" thickBot="1" x14ac:dyDescent="0.35">
      <c r="C27" t="s">
        <v>29</v>
      </c>
      <c r="F27" s="7">
        <v>5.6894506041108503E-2</v>
      </c>
      <c r="G27" s="7">
        <v>5.6887286897108702E-2</v>
      </c>
      <c r="H27" s="7">
        <v>5.6887286897108702E-2</v>
      </c>
      <c r="I27" s="7">
        <v>5.6887286897108702E-2</v>
      </c>
      <c r="J27" s="7">
        <v>5.6887286897108702E-2</v>
      </c>
    </row>
    <row r="28" spans="2:10" ht="18" thickTop="1" thickBot="1" x14ac:dyDescent="0.35">
      <c r="C28" t="s">
        <v>26</v>
      </c>
      <c r="F28" s="9"/>
      <c r="G28" s="9">
        <f>1*(1+F27)*(1+G27)</f>
        <v>1.117018367026247</v>
      </c>
      <c r="H28" s="9">
        <f t="shared" ref="H28:J28" si="16">1*(1+G27)*(1+H27)</f>
        <v>1.1170107372047313</v>
      </c>
      <c r="I28" s="9">
        <f t="shared" si="16"/>
        <v>1.1170107372047313</v>
      </c>
      <c r="J28" s="9">
        <f t="shared" si="16"/>
        <v>1.1170107372047313</v>
      </c>
    </row>
    <row r="29" spans="2:10" ht="18" thickTop="1" thickBot="1" x14ac:dyDescent="0.35">
      <c r="B29" s="8" t="s">
        <v>28</v>
      </c>
      <c r="C29" s="8"/>
      <c r="D29" s="8"/>
      <c r="E29" s="8"/>
      <c r="F29" s="8"/>
      <c r="G29" s="8"/>
      <c r="H29" s="8">
        <f>F25*H28</f>
        <v>-496183.04923701822</v>
      </c>
      <c r="I29" s="8">
        <f t="shared" ref="I29:J29" si="17">G25*I28</f>
        <v>0</v>
      </c>
      <c r="J29" s="8">
        <f t="shared" si="17"/>
        <v>0</v>
      </c>
    </row>
    <row r="30" spans="2:10" ht="17.25" thickTop="1" x14ac:dyDescent="0.3"/>
  </sheetData>
  <mergeCells count="5">
    <mergeCell ref="B1:J1"/>
    <mergeCell ref="B4:J4"/>
    <mergeCell ref="B7:J7"/>
    <mergeCell ref="B13:J13"/>
    <mergeCell ref="B21:J21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2019-10-18T05:06:45Z</dcterms:created>
  <dcterms:modified xsi:type="dcterms:W3CDTF">2019-10-18T05:06:50Z</dcterms:modified>
</cp:coreProperties>
</file>