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amscloud.sharepoint.com/sites/BasslinkRevenueProposal/Shared Documents/10a. Final Proposal Documents/"/>
    </mc:Choice>
  </mc:AlternateContent>
  <xr:revisionPtr revIDLastSave="20" documentId="8_{A23FEEDA-1905-4321-9D19-A9FF3063EB01}" xr6:coauthVersionLast="47" xr6:coauthVersionMax="47" xr10:uidLastSave="{54D8CA19-5315-437B-8B75-3466D7BA54E1}"/>
  <bookViews>
    <workbookView xWindow="-120" yWindow="-120" windowWidth="29040" windowHeight="15840" xr2:uid="{00000000-000D-0000-FFFF-FFFF00000000}"/>
  </bookViews>
  <sheets>
    <sheet name="1.1 Input" sheetId="8" r:id="rId1"/>
    <sheet name="1.0 Data" sheetId="1" r:id="rId2"/>
    <sheet name="1.1 Indexation" sheetId="21" r:id="rId3"/>
    <sheet name="2.0 Capex Real Dollars" sheetId="4" r:id="rId4"/>
    <sheet name="2.1 Capex Nominal Dollars" sheetId="5" r:id="rId5"/>
    <sheet name="3.0 Outputs" sheetId="7" r:id="rId6"/>
    <sheet name="3.1 AER Worksheets" sheetId="9" r:id="rId7"/>
    <sheet name="Graphs" sheetId="20" r:id="rId8"/>
  </sheets>
  <externalReferences>
    <externalReference r:id="rId9"/>
  </externalReferences>
  <definedNames>
    <definedName name="_xlnm._FilterDatabase" localSheetId="1" hidden="1">'1.0 Data'!$A$8:$L$36</definedName>
    <definedName name="CRCP_y1">'[1]AER lookups'!$G$39</definedName>
    <definedName name="CRCP_y2">'[1]AER lookups'!$G$40</definedName>
    <definedName name="CRCP_y3">'[1]AER lookups'!$G$41</definedName>
    <definedName name="CRCP_y4">'[1]AER lookups'!$G$42</definedName>
    <definedName name="CRCP_y5">'[1]AER lookups'!$G$43</definedName>
    <definedName name="dms_DollarReal">'[1]AER ETL'!$C$31</definedName>
    <definedName name="FRCP_y1">'[1]Business &amp; other details'!$AL$42</definedName>
    <definedName name="FRCP_y2">'[1]AER lookups'!$I$40</definedName>
    <definedName name="FRCP_y3">'[1]AER lookups'!$I$41</definedName>
    <definedName name="FRCP_y4">'[1]AER lookups'!$I$42</definedName>
    <definedName name="FRCP_y5">'[1]AER lookups'!$I$43</definedName>
  </definedNames>
  <calcPr calcId="191028" calcMode="autoNoTable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7" l="1"/>
  <c r="K163" i="7" l="1"/>
  <c r="K143" i="7" l="1"/>
  <c r="K135" i="7"/>
  <c r="E29" i="7"/>
  <c r="E30" i="7"/>
  <c r="E31" i="7"/>
  <c r="E32" i="7"/>
  <c r="E33" i="7"/>
  <c r="H13" i="9" l="1"/>
  <c r="H14" i="9"/>
  <c r="B111" i="5"/>
  <c r="B112" i="5"/>
  <c r="B113" i="5"/>
  <c r="B114" i="5"/>
  <c r="B115" i="5"/>
  <c r="A108" i="5"/>
  <c r="A109" i="5"/>
  <c r="A110" i="5"/>
  <c r="A111" i="5"/>
  <c r="A112" i="5"/>
  <c r="A113" i="5"/>
  <c r="A114" i="5"/>
  <c r="A115" i="5"/>
  <c r="A108" i="4"/>
  <c r="A109" i="4"/>
  <c r="A110" i="4"/>
  <c r="A111" i="4"/>
  <c r="A112" i="4"/>
  <c r="A113" i="4"/>
  <c r="A114" i="4"/>
  <c r="A115" i="4"/>
  <c r="C22" i="9"/>
  <c r="D22" i="9"/>
  <c r="E22" i="9"/>
  <c r="F22" i="9"/>
  <c r="B22" i="9"/>
  <c r="A31" i="4" l="1"/>
  <c r="C31" i="4"/>
  <c r="C31" i="5" s="1"/>
  <c r="D31" i="4"/>
  <c r="D31" i="5" s="1"/>
  <c r="A32" i="4"/>
  <c r="C32" i="4"/>
  <c r="C32" i="5" s="1"/>
  <c r="D32" i="4"/>
  <c r="L32" i="4" a="1"/>
  <c r="L32" i="4" s="1"/>
  <c r="A33" i="4"/>
  <c r="B33" i="4"/>
  <c r="C33" i="4"/>
  <c r="C33" i="5" s="1"/>
  <c r="D33" i="4"/>
  <c r="D33" i="5" s="1"/>
  <c r="A34" i="4"/>
  <c r="A34" i="5" s="1"/>
  <c r="B34" i="4"/>
  <c r="C34" i="4"/>
  <c r="C34" i="5" s="1"/>
  <c r="D34" i="4"/>
  <c r="D34" i="5" s="1"/>
  <c r="L34" i="4" a="1"/>
  <c r="L34" i="4" s="1"/>
  <c r="A31" i="5"/>
  <c r="D32" i="5"/>
  <c r="C10" i="4"/>
  <c r="B35" i="4"/>
  <c r="L9" i="21"/>
  <c r="K9" i="21"/>
  <c r="J9" i="21"/>
  <c r="A32" i="5" l="1"/>
  <c r="A33" i="5"/>
  <c r="L33" i="4" a="1"/>
  <c r="L33" i="4" s="1"/>
  <c r="L31" i="4" a="1"/>
  <c r="L31" i="4" s="1"/>
  <c r="B209" i="4" l="1"/>
  <c r="A209" i="4"/>
  <c r="J187" i="4"/>
  <c r="J211" i="4" s="1"/>
  <c r="J159" i="5"/>
  <c r="J187" i="5" s="1"/>
  <c r="B159" i="5"/>
  <c r="K108" i="7"/>
  <c r="E106" i="7"/>
  <c r="E94" i="7" l="1" a="1"/>
  <c r="E94" i="7" s="1"/>
  <c r="K93" i="7"/>
  <c r="E95" i="7" l="1" a="1"/>
  <c r="E95" i="7" s="1"/>
  <c r="E60" i="7" l="1"/>
  <c r="E86" i="7" s="1"/>
  <c r="E127" i="7" s="1"/>
  <c r="E61" i="7"/>
  <c r="E87" i="7" s="1"/>
  <c r="E128" i="7" s="1"/>
  <c r="E62" i="7"/>
  <c r="E88" i="7" s="1"/>
  <c r="E129" i="7" s="1"/>
  <c r="A181" i="5"/>
  <c r="A182" i="5"/>
  <c r="A100" i="4"/>
  <c r="A100" i="5" s="1"/>
  <c r="B100" i="5" s="1"/>
  <c r="A101" i="4"/>
  <c r="CU9" i="21"/>
  <c r="A180" i="4" l="1"/>
  <c r="A231" i="4" s="1"/>
  <c r="B181" i="5"/>
  <c r="B232" i="5" s="1"/>
  <c r="A232" i="5"/>
  <c r="A181" i="4"/>
  <c r="B182" i="5"/>
  <c r="A101" i="5"/>
  <c r="B101" i="5" s="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10" i="21"/>
  <c r="A233" i="4" l="1"/>
  <c r="A232" i="4"/>
  <c r="E39" i="7"/>
  <c r="E65" i="7" s="1"/>
  <c r="A121" i="5" a="1"/>
  <c r="A121" i="5" s="1"/>
  <c r="A121" i="4" a="1"/>
  <c r="A121" i="4" s="1"/>
  <c r="A122" i="4" s="1" a="1"/>
  <c r="A122" i="4" s="1"/>
  <c r="D119" i="5"/>
  <c r="C119" i="5"/>
  <c r="B119" i="5"/>
  <c r="A122" i="5" l="1" a="1"/>
  <c r="A122" i="5" s="1"/>
  <c r="E43" i="7" l="1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42" i="7"/>
  <c r="A82" i="4" l="1"/>
  <c r="A162" i="4" s="1"/>
  <c r="A213" i="4" s="1"/>
  <c r="A83" i="4"/>
  <c r="A163" i="4" s="1"/>
  <c r="A214" i="4" s="1"/>
  <c r="A84" i="4"/>
  <c r="A164" i="4" s="1"/>
  <c r="A85" i="4"/>
  <c r="A165" i="4" s="1"/>
  <c r="A86" i="4"/>
  <c r="A166" i="4" s="1"/>
  <c r="A217" i="4" s="1"/>
  <c r="A87" i="4"/>
  <c r="A167" i="4" s="1"/>
  <c r="A218" i="4" s="1"/>
  <c r="A88" i="4"/>
  <c r="A168" i="4" s="1"/>
  <c r="A219" i="4" s="1"/>
  <c r="A89" i="4"/>
  <c r="A169" i="4" s="1"/>
  <c r="A220" i="4" s="1"/>
  <c r="A90" i="4"/>
  <c r="A170" i="4" s="1"/>
  <c r="A221" i="4" s="1"/>
  <c r="A91" i="4"/>
  <c r="A171" i="4" s="1"/>
  <c r="A222" i="4" s="1"/>
  <c r="A92" i="4"/>
  <c r="A172" i="4" s="1"/>
  <c r="A93" i="4"/>
  <c r="A173" i="4" s="1"/>
  <c r="A224" i="4" s="1"/>
  <c r="A94" i="4"/>
  <c r="A174" i="4" s="1"/>
  <c r="A95" i="4"/>
  <c r="A175" i="4" s="1"/>
  <c r="A226" i="4" s="1"/>
  <c r="A96" i="4"/>
  <c r="A176" i="4" s="1"/>
  <c r="A227" i="4" s="1"/>
  <c r="A97" i="4"/>
  <c r="A177" i="4" s="1"/>
  <c r="A228" i="4" s="1"/>
  <c r="A98" i="4"/>
  <c r="A178" i="4" s="1"/>
  <c r="A229" i="4" s="1"/>
  <c r="A99" i="4"/>
  <c r="A179" i="4" s="1"/>
  <c r="A230" i="4" s="1"/>
  <c r="A81" i="4"/>
  <c r="A165" i="5" l="1"/>
  <c r="A216" i="5" s="1"/>
  <c r="A216" i="4"/>
  <c r="A164" i="5"/>
  <c r="A215" i="5" s="1"/>
  <c r="A215" i="4"/>
  <c r="A172" i="5"/>
  <c r="A223" i="5" s="1"/>
  <c r="A223" i="4"/>
  <c r="A174" i="5"/>
  <c r="A225" i="5" s="1"/>
  <c r="A225" i="4"/>
  <c r="A173" i="5"/>
  <c r="A224" i="5" s="1"/>
  <c r="A169" i="5"/>
  <c r="A220" i="5" s="1"/>
  <c r="A168" i="5"/>
  <c r="A219" i="5" s="1"/>
  <c r="A170" i="5"/>
  <c r="A221" i="5" s="1"/>
  <c r="A167" i="5"/>
  <c r="A218" i="5" s="1"/>
  <c r="A166" i="5"/>
  <c r="A217" i="5" s="1"/>
  <c r="A171" i="5"/>
  <c r="A222" i="5" s="1"/>
  <c r="A175" i="5"/>
  <c r="A226" i="5" s="1"/>
  <c r="A163" i="5"/>
  <c r="A214" i="5" s="1"/>
  <c r="A162" i="5"/>
  <c r="A213" i="5" s="1"/>
  <c r="A178" i="5"/>
  <c r="A229" i="5" s="1"/>
  <c r="A177" i="5"/>
  <c r="A228" i="5" s="1"/>
  <c r="A180" i="5"/>
  <c r="A231" i="5" s="1"/>
  <c r="A179" i="5"/>
  <c r="A230" i="5" s="1"/>
  <c r="A176" i="5"/>
  <c r="A227" i="5" s="1"/>
  <c r="A82" i="5"/>
  <c r="B82" i="5" s="1"/>
  <c r="A87" i="5"/>
  <c r="B87" i="5" s="1"/>
  <c r="A98" i="5"/>
  <c r="B98" i="5" s="1"/>
  <c r="A86" i="5"/>
  <c r="B86" i="5" s="1"/>
  <c r="A99" i="5"/>
  <c r="B99" i="5" s="1"/>
  <c r="A97" i="5"/>
  <c r="B97" i="5" s="1"/>
  <c r="A85" i="5"/>
  <c r="B85" i="5" s="1"/>
  <c r="A96" i="5"/>
  <c r="B96" i="5" s="1"/>
  <c r="A84" i="5"/>
  <c r="B84" i="5" s="1"/>
  <c r="A83" i="5"/>
  <c r="B83" i="5" s="1"/>
  <c r="A95" i="5"/>
  <c r="B95" i="5" s="1"/>
  <c r="A94" i="5"/>
  <c r="B94" i="5" s="1"/>
  <c r="A93" i="5"/>
  <c r="B93" i="5" s="1"/>
  <c r="A92" i="5"/>
  <c r="B92" i="5" s="1"/>
  <c r="A91" i="5"/>
  <c r="B91" i="5" s="1"/>
  <c r="A90" i="5"/>
  <c r="B90" i="5" s="1"/>
  <c r="A89" i="5"/>
  <c r="B89" i="5" s="1"/>
  <c r="A88" i="5"/>
  <c r="B88" i="5" s="1"/>
  <c r="B178" i="5" l="1"/>
  <c r="B229" i="5" s="1"/>
  <c r="B179" i="5"/>
  <c r="B230" i="5" s="1"/>
  <c r="B177" i="5"/>
  <c r="B228" i="5" s="1"/>
  <c r="B176" i="5"/>
  <c r="B227" i="5" s="1"/>
  <c r="B180" i="5"/>
  <c r="B231" i="5" s="1"/>
  <c r="B175" i="5"/>
  <c r="B226" i="5" s="1"/>
  <c r="B174" i="5"/>
  <c r="B225" i="5" s="1"/>
  <c r="B173" i="5"/>
  <c r="B224" i="5" s="1"/>
  <c r="C30" i="4" l="1"/>
  <c r="C30" i="5" s="1"/>
  <c r="D30" i="4"/>
  <c r="D30" i="5" s="1"/>
  <c r="C35" i="4"/>
  <c r="C35" i="5" s="1"/>
  <c r="D35" i="4"/>
  <c r="D35" i="5" s="1"/>
  <c r="C167" i="5" l="1"/>
  <c r="D167" i="5"/>
  <c r="C168" i="5"/>
  <c r="D168" i="5"/>
  <c r="C169" i="5"/>
  <c r="D169" i="5"/>
  <c r="C170" i="5"/>
  <c r="D170" i="5"/>
  <c r="C171" i="5"/>
  <c r="D171" i="5"/>
  <c r="C172" i="5"/>
  <c r="D172" i="5"/>
  <c r="A6" i="21"/>
  <c r="A5" i="1"/>
  <c r="E69" i="7"/>
  <c r="E110" i="7" s="1"/>
  <c r="E70" i="7"/>
  <c r="E111" i="7" s="1"/>
  <c r="E71" i="7"/>
  <c r="E112" i="7" s="1"/>
  <c r="E72" i="7"/>
  <c r="E113" i="7" s="1"/>
  <c r="E73" i="7"/>
  <c r="E114" i="7" s="1"/>
  <c r="E74" i="7"/>
  <c r="E115" i="7" s="1"/>
  <c r="E75" i="7"/>
  <c r="E116" i="7" s="1"/>
  <c r="E76" i="7"/>
  <c r="E117" i="7" s="1"/>
  <c r="E77" i="7"/>
  <c r="E118" i="7" s="1"/>
  <c r="E78" i="7"/>
  <c r="E119" i="7" s="1"/>
  <c r="E79" i="7"/>
  <c r="E120" i="7" s="1"/>
  <c r="E80" i="7"/>
  <c r="E121" i="7" s="1"/>
  <c r="E81" i="7"/>
  <c r="E122" i="7" s="1"/>
  <c r="E82" i="7"/>
  <c r="E83" i="7"/>
  <c r="E124" i="7" s="1"/>
  <c r="E84" i="7"/>
  <c r="E125" i="7" s="1"/>
  <c r="E85" i="7"/>
  <c r="E126" i="7" s="1"/>
  <c r="E68" i="7"/>
  <c r="E109" i="7" s="1"/>
  <c r="B39" i="5"/>
  <c r="B66" i="5" s="1"/>
  <c r="B79" i="5" s="1"/>
  <c r="A104" i="5"/>
  <c r="A78" i="5"/>
  <c r="A64" i="5"/>
  <c r="A37" i="5"/>
  <c r="A6" i="5"/>
  <c r="A158" i="4"/>
  <c r="A158" i="5" s="1"/>
  <c r="A5" i="5"/>
  <c r="CF8" i="21"/>
  <c r="BY8" i="21"/>
  <c r="BR8" i="21"/>
  <c r="AQ8" i="21"/>
  <c r="AI8" i="21"/>
  <c r="AA8" i="21"/>
  <c r="S8" i="21"/>
  <c r="BK8" i="21" s="1"/>
  <c r="E123" i="7" l="1"/>
  <c r="Q43" i="1"/>
  <c r="O43" i="1"/>
  <c r="N43" i="1"/>
  <c r="M43" i="1"/>
  <c r="L43" i="1"/>
  <c r="K43" i="1"/>
  <c r="J43" i="1"/>
  <c r="I43" i="1"/>
  <c r="H43" i="1"/>
  <c r="G43" i="1"/>
  <c r="D43" i="1"/>
  <c r="C43" i="1"/>
  <c r="B43" i="1"/>
  <c r="A43" i="1"/>
  <c r="B8" i="4"/>
  <c r="A8" i="4"/>
  <c r="A8" i="5" s="1"/>
  <c r="D28" i="4" l="1"/>
  <c r="D28" i="5" s="1"/>
  <c r="D29" i="4"/>
  <c r="D29" i="5" s="1"/>
  <c r="C28" i="4"/>
  <c r="C28" i="5" s="1"/>
  <c r="C29" i="4"/>
  <c r="C29" i="5" s="1"/>
  <c r="D34" i="20" l="1"/>
  <c r="E34" i="20" s="1"/>
  <c r="F34" i="20" s="1"/>
  <c r="G34" i="20" s="1"/>
  <c r="C8" i="4" l="1"/>
  <c r="C8" i="5" s="1"/>
  <c r="E43" i="1"/>
  <c r="D8" i="4"/>
  <c r="D8" i="5" s="1"/>
  <c r="F43" i="1"/>
  <c r="B108" i="5" l="1"/>
  <c r="B109" i="5"/>
  <c r="B110" i="5"/>
  <c r="A107" i="5"/>
  <c r="B107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A107" i="4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M69" i="1"/>
  <c r="N69" i="1"/>
  <c r="O69" i="1"/>
  <c r="M70" i="1"/>
  <c r="N70" i="1"/>
  <c r="O70" i="1"/>
  <c r="M71" i="1"/>
  <c r="N71" i="1"/>
  <c r="O71" i="1"/>
  <c r="N44" i="1"/>
  <c r="O44" i="1"/>
  <c r="Q71" i="1"/>
  <c r="B71" i="1"/>
  <c r="Q70" i="1"/>
  <c r="B70" i="1"/>
  <c r="Q69" i="1"/>
  <c r="B69" i="1"/>
  <c r="B61" i="8"/>
  <c r="C61" i="8" s="1"/>
  <c r="D61" i="8" s="1"/>
  <c r="E61" i="8" s="1"/>
  <c r="F61" i="8" s="1"/>
  <c r="G61" i="8" s="1"/>
  <c r="H61" i="8" s="1"/>
  <c r="B60" i="8"/>
  <c r="C60" i="8" s="1"/>
  <c r="D60" i="8" s="1"/>
  <c r="E60" i="8" s="1"/>
  <c r="F60" i="8" s="1"/>
  <c r="G60" i="8" s="1"/>
  <c r="H60" i="8" s="1"/>
  <c r="B59" i="8"/>
  <c r="C59" i="8" s="1"/>
  <c r="D59" i="8" s="1"/>
  <c r="E59" i="8" s="1"/>
  <c r="F59" i="8" s="1"/>
  <c r="G59" i="8" s="1"/>
  <c r="H59" i="8" s="1"/>
  <c r="A61" i="8"/>
  <c r="A60" i="8"/>
  <c r="A59" i="8"/>
  <c r="B58" i="8"/>
  <c r="C58" i="8" s="1"/>
  <c r="D58" i="8" s="1"/>
  <c r="E58" i="8" s="1"/>
  <c r="F58" i="8" s="1"/>
  <c r="G58" i="8" s="1"/>
  <c r="H58" i="8" s="1"/>
  <c r="A58" i="8"/>
  <c r="S9" i="21"/>
  <c r="AA9" i="21" s="1"/>
  <c r="AI9" i="21" s="1"/>
  <c r="H9" i="21"/>
  <c r="G9" i="21"/>
  <c r="X9" i="21" s="1"/>
  <c r="AF9" i="21" s="1"/>
  <c r="AN9" i="21" s="1"/>
  <c r="F9" i="21"/>
  <c r="W9" i="21" s="1"/>
  <c r="AE9" i="21" s="1"/>
  <c r="AM9" i="21" s="1"/>
  <c r="E9" i="21"/>
  <c r="V9" i="21" s="1"/>
  <c r="AD9" i="21" s="1"/>
  <c r="AL9" i="21" s="1"/>
  <c r="D9" i="21"/>
  <c r="U9" i="21" s="1"/>
  <c r="AC9" i="21" s="1"/>
  <c r="AK9" i="21" s="1"/>
  <c r="C9" i="21"/>
  <c r="T9" i="21" s="1"/>
  <c r="AB9" i="21" s="1"/>
  <c r="AJ9" i="21" s="1"/>
  <c r="K71" i="1"/>
  <c r="J71" i="1"/>
  <c r="I71" i="1"/>
  <c r="H71" i="1"/>
  <c r="G71" i="1"/>
  <c r="K70" i="1"/>
  <c r="J70" i="1"/>
  <c r="I70" i="1"/>
  <c r="H70" i="1"/>
  <c r="G70" i="1"/>
  <c r="K69" i="1"/>
  <c r="J69" i="1"/>
  <c r="I69" i="1"/>
  <c r="H69" i="1"/>
  <c r="G69" i="1"/>
  <c r="F71" i="1"/>
  <c r="F70" i="1"/>
  <c r="F69" i="1"/>
  <c r="F68" i="1"/>
  <c r="F67" i="1"/>
  <c r="F66" i="1"/>
  <c r="F65" i="1"/>
  <c r="F64" i="1"/>
  <c r="D155" i="4" s="1"/>
  <c r="D155" i="5" s="1"/>
  <c r="F63" i="1"/>
  <c r="D154" i="4" s="1"/>
  <c r="D154" i="5" s="1"/>
  <c r="F62" i="1"/>
  <c r="D153" i="4" s="1"/>
  <c r="D153" i="5" s="1"/>
  <c r="E71" i="1"/>
  <c r="E70" i="1"/>
  <c r="E69" i="1"/>
  <c r="E68" i="1"/>
  <c r="E67" i="1"/>
  <c r="E66" i="1"/>
  <c r="E65" i="1"/>
  <c r="E64" i="1"/>
  <c r="C155" i="4" s="1"/>
  <c r="E63" i="1"/>
  <c r="C154" i="4" s="1"/>
  <c r="E62" i="1"/>
  <c r="C153" i="4" s="1"/>
  <c r="D71" i="1"/>
  <c r="D70" i="1"/>
  <c r="D69" i="1"/>
  <c r="D68" i="1"/>
  <c r="D67" i="1"/>
  <c r="D66" i="1"/>
  <c r="D65" i="1"/>
  <c r="D63" i="1"/>
  <c r="D62" i="1"/>
  <c r="C71" i="1"/>
  <c r="C70" i="1"/>
  <c r="C69" i="1"/>
  <c r="C68" i="1"/>
  <c r="C67" i="1"/>
  <c r="Y9" i="21" l="1"/>
  <c r="Q9" i="21"/>
  <c r="C154" i="5"/>
  <c r="C207" i="5" s="1"/>
  <c r="C207" i="4"/>
  <c r="C153" i="5"/>
  <c r="C206" i="5" s="1"/>
  <c r="C206" i="4"/>
  <c r="C155" i="5"/>
  <c r="C208" i="5" s="1"/>
  <c r="C208" i="4"/>
  <c r="BC9" i="21"/>
  <c r="BO9" i="21" s="1"/>
  <c r="BV9" i="21" s="1"/>
  <c r="CC9" i="21" s="1"/>
  <c r="AU9" i="21"/>
  <c r="AY9" i="21"/>
  <c r="BK9" i="21" s="1"/>
  <c r="BR9" i="21" s="1"/>
  <c r="BY9" i="21" s="1"/>
  <c r="AQ9" i="21"/>
  <c r="BD9" i="21"/>
  <c r="BP9" i="21" s="1"/>
  <c r="BW9" i="21" s="1"/>
  <c r="CD9" i="21" s="1"/>
  <c r="AV9" i="21"/>
  <c r="AZ9" i="21"/>
  <c r="BL9" i="21" s="1"/>
  <c r="BS9" i="21" s="1"/>
  <c r="BZ9" i="21" s="1"/>
  <c r="AR9" i="21"/>
  <c r="BA9" i="21"/>
  <c r="BM9" i="21" s="1"/>
  <c r="BT9" i="21" s="1"/>
  <c r="CA9" i="21" s="1"/>
  <c r="AS9" i="21"/>
  <c r="BB9" i="21"/>
  <c r="BN9" i="21" s="1"/>
  <c r="BU9" i="21" s="1"/>
  <c r="CB9" i="21" s="1"/>
  <c r="AT9" i="21"/>
  <c r="L70" i="1"/>
  <c r="L69" i="1"/>
  <c r="L71" i="1"/>
  <c r="AG9" i="21"/>
  <c r="CR9" i="21" l="1"/>
  <c r="CZ9" i="21" s="1"/>
  <c r="CK9" i="21"/>
  <c r="CN9" i="21"/>
  <c r="CV9" i="21" s="1"/>
  <c r="CG9" i="21"/>
  <c r="CM9" i="21"/>
  <c r="CT9" i="21" s="1"/>
  <c r="CF9" i="21"/>
  <c r="CP9" i="21"/>
  <c r="CX9" i="21" s="1"/>
  <c r="CI9" i="21"/>
  <c r="CO9" i="21"/>
  <c r="CW9" i="21" s="1"/>
  <c r="CH9" i="21"/>
  <c r="CQ9" i="21"/>
  <c r="CY9" i="21" s="1"/>
  <c r="CJ9" i="21"/>
  <c r="AO9" i="21"/>
  <c r="AW9" i="21" s="1"/>
  <c r="B45" i="1"/>
  <c r="B136" i="4" s="1"/>
  <c r="B189" i="4" s="1"/>
  <c r="B46" i="1"/>
  <c r="B137" i="4" s="1"/>
  <c r="B190" i="4" s="1"/>
  <c r="B47" i="1"/>
  <c r="B138" i="4" s="1"/>
  <c r="B191" i="4" s="1"/>
  <c r="B48" i="1"/>
  <c r="B139" i="4" s="1"/>
  <c r="B192" i="4" s="1"/>
  <c r="B49" i="1"/>
  <c r="B140" i="4" s="1"/>
  <c r="B193" i="4" s="1"/>
  <c r="B50" i="1"/>
  <c r="B141" i="4" s="1"/>
  <c r="B194" i="4" s="1"/>
  <c r="B51" i="1"/>
  <c r="B142" i="4" s="1"/>
  <c r="B195" i="4" s="1"/>
  <c r="B52" i="1"/>
  <c r="B143" i="4" s="1"/>
  <c r="B196" i="4" s="1"/>
  <c r="B53" i="1"/>
  <c r="B144" i="4" s="1"/>
  <c r="B197" i="4" s="1"/>
  <c r="B54" i="1"/>
  <c r="B145" i="4" s="1"/>
  <c r="B198" i="4" s="1"/>
  <c r="B55" i="1"/>
  <c r="B146" i="4" s="1"/>
  <c r="B199" i="4" s="1"/>
  <c r="B56" i="1"/>
  <c r="B147" i="4" s="1"/>
  <c r="B200" i="4" s="1"/>
  <c r="B57" i="1"/>
  <c r="B148" i="4" s="1"/>
  <c r="B201" i="4" s="1"/>
  <c r="B58" i="1"/>
  <c r="B149" i="4" s="1"/>
  <c r="B202" i="4" s="1"/>
  <c r="B59" i="1"/>
  <c r="B150" i="4" s="1"/>
  <c r="B203" i="4" s="1"/>
  <c r="B60" i="1"/>
  <c r="B151" i="4" s="1"/>
  <c r="B204" i="4" s="1"/>
  <c r="B61" i="1"/>
  <c r="B152" i="4" s="1"/>
  <c r="B205" i="4" s="1"/>
  <c r="B62" i="1"/>
  <c r="B153" i="4" s="1"/>
  <c r="B206" i="4" s="1"/>
  <c r="B63" i="1"/>
  <c r="B154" i="4" s="1"/>
  <c r="B207" i="4" s="1"/>
  <c r="B64" i="1"/>
  <c r="B155" i="4" s="1"/>
  <c r="B208" i="4" s="1"/>
  <c r="B65" i="1"/>
  <c r="B66" i="1"/>
  <c r="B67" i="1"/>
  <c r="B68" i="1"/>
  <c r="B44" i="1"/>
  <c r="B135" i="4" s="1"/>
  <c r="B188" i="4" s="1"/>
  <c r="BE9" i="21" l="1"/>
  <c r="J13" i="8"/>
  <c r="BQ9" i="21" l="1"/>
  <c r="BX9" i="21" s="1"/>
  <c r="CE9" i="21" s="1"/>
  <c r="CS9" i="21" l="1"/>
  <c r="DA9" i="21" s="1"/>
  <c r="CL9" i="21"/>
  <c r="C156" i="5" l="1"/>
  <c r="A156" i="5"/>
  <c r="C44" i="1"/>
  <c r="B156" i="5" l="1"/>
  <c r="B209" i="5" s="1"/>
  <c r="A209" i="5"/>
  <c r="C45" i="1" l="1"/>
  <c r="E67" i="7"/>
  <c r="E108" i="7" s="1"/>
  <c r="D166" i="5"/>
  <c r="C166" i="5"/>
  <c r="D165" i="5"/>
  <c r="C165" i="5"/>
  <c r="D164" i="5"/>
  <c r="C164" i="5"/>
  <c r="D163" i="5"/>
  <c r="C163" i="5"/>
  <c r="D162" i="5"/>
  <c r="C162" i="5"/>
  <c r="D161" i="5"/>
  <c r="C161" i="5"/>
  <c r="A184" i="5"/>
  <c r="A159" i="5"/>
  <c r="A102" i="5"/>
  <c r="B102" i="5" s="1"/>
  <c r="J211" i="5"/>
  <c r="D105" i="5"/>
  <c r="C105" i="5"/>
  <c r="B105" i="5"/>
  <c r="A105" i="5"/>
  <c r="J79" i="5"/>
  <c r="D110" i="5"/>
  <c r="C110" i="5"/>
  <c r="D109" i="5"/>
  <c r="C109" i="5"/>
  <c r="D108" i="5"/>
  <c r="C108" i="5"/>
  <c r="D107" i="5"/>
  <c r="C107" i="5"/>
  <c r="D116" i="5"/>
  <c r="C116" i="5"/>
  <c r="A116" i="5"/>
  <c r="B116" i="5" s="1"/>
  <c r="J8" i="4"/>
  <c r="J39" i="4" s="1"/>
  <c r="J66" i="4" s="1"/>
  <c r="J66" i="5" s="1"/>
  <c r="C46" i="1" l="1"/>
  <c r="J8" i="5"/>
  <c r="J39" i="5"/>
  <c r="C47" i="1" l="1"/>
  <c r="C48" i="1" l="1"/>
  <c r="C49" i="1" l="1"/>
  <c r="C50" i="1" l="1"/>
  <c r="K25" i="7"/>
  <c r="E26" i="7"/>
  <c r="E27" i="7"/>
  <c r="E28" i="7"/>
  <c r="K36" i="7"/>
  <c r="A38" i="4"/>
  <c r="B39" i="4"/>
  <c r="A5" i="4"/>
  <c r="C51" i="1" l="1"/>
  <c r="B66" i="4"/>
  <c r="A65" i="4"/>
  <c r="A65" i="5" s="1"/>
  <c r="A38" i="5"/>
  <c r="C52" i="1" l="1"/>
  <c r="B79" i="4"/>
  <c r="C53" i="1" l="1"/>
  <c r="A5" i="9"/>
  <c r="A5" i="7"/>
  <c r="A5" i="8"/>
  <c r="C54" i="1" l="1"/>
  <c r="C55" i="1" l="1"/>
  <c r="C56" i="1" l="1"/>
  <c r="C57" i="1" l="1"/>
  <c r="C9" i="8"/>
  <c r="B51" i="8"/>
  <c r="C58" i="1" l="1"/>
  <c r="C51" i="8"/>
  <c r="D9" i="8"/>
  <c r="C59" i="1" l="1"/>
  <c r="E9" i="8"/>
  <c r="C60" i="1" l="1"/>
  <c r="F9" i="8"/>
  <c r="C61" i="1" l="1"/>
  <c r="G9" i="8"/>
  <c r="C66" i="1" l="1"/>
  <c r="C65" i="1"/>
  <c r="C62" i="1"/>
  <c r="H9" i="8"/>
  <c r="C64" i="1" l="1"/>
  <c r="C63" i="1"/>
  <c r="I9" i="8"/>
  <c r="J9" i="8" l="1"/>
  <c r="K9" i="8" l="1"/>
  <c r="L9" i="8" l="1"/>
  <c r="M9" i="8" l="1"/>
  <c r="N9" i="8" l="1"/>
  <c r="F8" i="4" l="1"/>
  <c r="G8" i="4"/>
  <c r="H8" i="4"/>
  <c r="I8" i="4"/>
  <c r="E8" i="4"/>
  <c r="A10" i="4" l="1"/>
  <c r="A44" i="1"/>
  <c r="L8" i="8"/>
  <c r="F51" i="8" s="1"/>
  <c r="O9" i="21" s="1"/>
  <c r="G39" i="4"/>
  <c r="J8" i="8"/>
  <c r="E39" i="4"/>
  <c r="K8" i="8"/>
  <c r="E51" i="8" s="1"/>
  <c r="N9" i="21" s="1"/>
  <c r="F39" i="4"/>
  <c r="M8" i="8"/>
  <c r="G51" i="8" s="1"/>
  <c r="P9" i="21" s="1"/>
  <c r="H39" i="4"/>
  <c r="N8" i="8"/>
  <c r="H51" i="8" s="1"/>
  <c r="I39" i="4"/>
  <c r="L10" i="4" l="1" a="1"/>
  <c r="L10" i="4" s="1"/>
  <c r="A10" i="21"/>
  <c r="A11" i="21"/>
  <c r="J11" i="21" s="1"/>
  <c r="K11" i="21" s="1"/>
  <c r="CU11" i="21" s="1"/>
  <c r="B11" i="4" s="1"/>
  <c r="A45" i="1"/>
  <c r="A135" i="4"/>
  <c r="A188" i="4" s="1"/>
  <c r="D51" i="8"/>
  <c r="M9" i="21" s="1"/>
  <c r="H66" i="4"/>
  <c r="H66" i="5" s="1"/>
  <c r="H39" i="5"/>
  <c r="I66" i="4"/>
  <c r="I66" i="5" s="1"/>
  <c r="I39" i="5"/>
  <c r="F66" i="4"/>
  <c r="F66" i="5" s="1"/>
  <c r="F39" i="5"/>
  <c r="G66" i="4"/>
  <c r="G66" i="5" s="1"/>
  <c r="G39" i="5"/>
  <c r="E66" i="4"/>
  <c r="E66" i="5" s="1"/>
  <c r="E39" i="5"/>
  <c r="S10" i="21" l="1"/>
  <c r="AA10" i="21" s="1"/>
  <c r="J10" i="21"/>
  <c r="K10" i="21" s="1"/>
  <c r="CU10" i="21" s="1"/>
  <c r="B10" i="4" s="1"/>
  <c r="A11" i="4"/>
  <c r="S11" i="21"/>
  <c r="A136" i="4"/>
  <c r="A189" i="4" s="1"/>
  <c r="A12" i="21"/>
  <c r="J12" i="21" s="1"/>
  <c r="K12" i="21" s="1"/>
  <c r="CU12" i="21" s="1"/>
  <c r="B12" i="4" s="1"/>
  <c r="A46" i="1"/>
  <c r="C11" i="4"/>
  <c r="E45" i="1"/>
  <c r="C136" i="4" s="1"/>
  <c r="C189" i="4" s="1"/>
  <c r="F45" i="1"/>
  <c r="D136" i="4" s="1"/>
  <c r="D11" i="4"/>
  <c r="B111" i="4" l="1"/>
  <c r="B112" i="4"/>
  <c r="B113" i="4"/>
  <c r="B114" i="4"/>
  <c r="B115" i="4"/>
  <c r="B101" i="4"/>
  <c r="B100" i="4"/>
  <c r="B181" i="4"/>
  <c r="B180" i="4"/>
  <c r="B231" i="4" s="1"/>
  <c r="B179" i="4"/>
  <c r="B230" i="4" s="1"/>
  <c r="B91" i="4"/>
  <c r="B95" i="4"/>
  <c r="B94" i="4"/>
  <c r="B177" i="4"/>
  <c r="B228" i="4" s="1"/>
  <c r="B175" i="4"/>
  <c r="B226" i="4" s="1"/>
  <c r="B92" i="4"/>
  <c r="B176" i="4"/>
  <c r="B227" i="4" s="1"/>
  <c r="B90" i="4"/>
  <c r="B89" i="4"/>
  <c r="B88" i="4"/>
  <c r="B174" i="4"/>
  <c r="B225" i="4" s="1"/>
  <c r="B173" i="4"/>
  <c r="B224" i="4" s="1"/>
  <c r="B178" i="4"/>
  <c r="B229" i="4" s="1"/>
  <c r="B93" i="4"/>
  <c r="AA11" i="21"/>
  <c r="AI11" i="21" s="1"/>
  <c r="AI10" i="21"/>
  <c r="L11" i="4" a="1"/>
  <c r="L11" i="4" s="1"/>
  <c r="E96" i="7" a="1"/>
  <c r="E96" i="7" s="1"/>
  <c r="A123" i="4" a="1"/>
  <c r="A123" i="4" s="1"/>
  <c r="A123" i="5" a="1"/>
  <c r="A123" i="5" s="1"/>
  <c r="A12" i="4"/>
  <c r="S12" i="21"/>
  <c r="A137" i="4"/>
  <c r="A190" i="4" s="1"/>
  <c r="C12" i="4"/>
  <c r="E46" i="1"/>
  <c r="C137" i="4" s="1"/>
  <c r="C190" i="4" s="1"/>
  <c r="F46" i="1"/>
  <c r="D137" i="4" s="1"/>
  <c r="D12" i="4"/>
  <c r="AY11" i="21" l="1"/>
  <c r="B233" i="4"/>
  <c r="B232" i="4"/>
  <c r="AQ10" i="21"/>
  <c r="AY10" i="21"/>
  <c r="AA12" i="21"/>
  <c r="AQ11" i="21"/>
  <c r="L12" i="4" a="1"/>
  <c r="L12" i="4" s="1"/>
  <c r="A124" i="5" a="1"/>
  <c r="A124" i="5" s="1"/>
  <c r="A125" i="5" s="1" a="1"/>
  <c r="A125" i="5" s="1"/>
  <c r="E97" i="7" a="1"/>
  <c r="E97" i="7" s="1"/>
  <c r="A124" i="4" a="1"/>
  <c r="A124" i="4" s="1"/>
  <c r="A47" i="1"/>
  <c r="A138" i="4" s="1"/>
  <c r="A191" i="4" s="1"/>
  <c r="A13" i="21"/>
  <c r="A13" i="4"/>
  <c r="D46" i="1"/>
  <c r="A14" i="21"/>
  <c r="J14" i="21" s="1"/>
  <c r="K14" i="21" s="1"/>
  <c r="CU14" i="21" s="1"/>
  <c r="B14" i="4" s="1"/>
  <c r="A48" i="1"/>
  <c r="C13" i="4"/>
  <c r="E47" i="1"/>
  <c r="C138" i="4" s="1"/>
  <c r="C191" i="4" s="1"/>
  <c r="F47" i="1"/>
  <c r="D138" i="4" s="1"/>
  <c r="D13" i="4"/>
  <c r="E98" i="7" l="1" a="1"/>
  <c r="E98" i="7" s="1"/>
  <c r="BK10" i="21"/>
  <c r="BR10" i="21" s="1"/>
  <c r="BY10" i="21" s="1"/>
  <c r="AI12" i="21"/>
  <c r="BK11" i="21"/>
  <c r="BR11" i="21" s="1"/>
  <c r="BY11" i="21" s="1"/>
  <c r="L13" i="4" a="1"/>
  <c r="L13" i="4" s="1"/>
  <c r="S13" i="21"/>
  <c r="J13" i="21"/>
  <c r="K13" i="21" s="1"/>
  <c r="CU13" i="21" s="1"/>
  <c r="B13" i="4" s="1"/>
  <c r="A125" i="4" a="1"/>
  <c r="A125" i="4" s="1"/>
  <c r="A126" i="5" a="1"/>
  <c r="A126" i="5" s="1"/>
  <c r="A14" i="4"/>
  <c r="S14" i="21"/>
  <c r="A139" i="4"/>
  <c r="A192" i="4" s="1"/>
  <c r="A15" i="21"/>
  <c r="J15" i="21" s="1"/>
  <c r="K15" i="21" s="1"/>
  <c r="CU15" i="21" s="1"/>
  <c r="B15" i="4" s="1"/>
  <c r="A49" i="1"/>
  <c r="E99" i="7" l="1" a="1"/>
  <c r="E99" i="7" s="1"/>
  <c r="E137" i="7" s="1"/>
  <c r="E136" i="7"/>
  <c r="AA14" i="21"/>
  <c r="AI14" i="21" s="1"/>
  <c r="AQ12" i="21"/>
  <c r="AY12" i="21"/>
  <c r="AA13" i="21"/>
  <c r="CM11" i="21"/>
  <c r="CT11" i="21" s="1"/>
  <c r="CF11" i="21"/>
  <c r="CM10" i="21"/>
  <c r="CT10" i="21" s="1"/>
  <c r="CF10" i="21"/>
  <c r="L14" i="4" a="1"/>
  <c r="L14" i="4" s="1"/>
  <c r="A127" i="5" a="1"/>
  <c r="A127" i="5" s="1"/>
  <c r="A15" i="4"/>
  <c r="A126" i="4" a="1"/>
  <c r="A126" i="4" s="1"/>
  <c r="A127" i="4" s="1" a="1"/>
  <c r="A127" i="4" s="1"/>
  <c r="AQ14" i="21"/>
  <c r="A140" i="4"/>
  <c r="A193" i="4" s="1"/>
  <c r="A16" i="21"/>
  <c r="J16" i="21" s="1"/>
  <c r="K16" i="21" s="1"/>
  <c r="CU16" i="21" s="1"/>
  <c r="B16" i="4" s="1"/>
  <c r="A50" i="1"/>
  <c r="S15" i="21"/>
  <c r="F8" i="5"/>
  <c r="G8" i="7" s="1"/>
  <c r="G8" i="5"/>
  <c r="H8" i="7" s="1"/>
  <c r="H8" i="5"/>
  <c r="I8" i="7" s="1"/>
  <c r="I8" i="5"/>
  <c r="J8" i="7" s="1"/>
  <c r="E8" i="5"/>
  <c r="F8" i="7" s="1"/>
  <c r="J143" i="7" l="1"/>
  <c r="J135" i="7"/>
  <c r="H143" i="7"/>
  <c r="H135" i="7"/>
  <c r="I143" i="7"/>
  <c r="I135" i="7"/>
  <c r="G143" i="7"/>
  <c r="G135" i="7"/>
  <c r="E100" i="7" a="1"/>
  <c r="E100" i="7" s="1"/>
  <c r="F143" i="7"/>
  <c r="F135" i="7"/>
  <c r="AA15" i="21"/>
  <c r="AI13" i="21"/>
  <c r="BK12" i="21"/>
  <c r="BR12" i="21" s="1"/>
  <c r="BY12" i="21" s="1"/>
  <c r="AY14" i="21"/>
  <c r="L15" i="4" a="1"/>
  <c r="L15" i="4" s="1"/>
  <c r="A16" i="4"/>
  <c r="E144" i="7" s="1"/>
  <c r="J108" i="7"/>
  <c r="J93" i="7"/>
  <c r="F108" i="7"/>
  <c r="F93" i="7"/>
  <c r="I108" i="7"/>
  <c r="I93" i="7"/>
  <c r="H108" i="7"/>
  <c r="H93" i="7"/>
  <c r="G108" i="7"/>
  <c r="G93" i="7"/>
  <c r="S16" i="21"/>
  <c r="A141" i="4"/>
  <c r="A194" i="4" s="1"/>
  <c r="H36" i="7"/>
  <c r="H25" i="7"/>
  <c r="G36" i="7"/>
  <c r="G25" i="7"/>
  <c r="I25" i="7"/>
  <c r="I36" i="7"/>
  <c r="F25" i="7"/>
  <c r="F36" i="7"/>
  <c r="J25" i="7"/>
  <c r="J36" i="7"/>
  <c r="BK14" i="21" l="1"/>
  <c r="BR14" i="21" s="1"/>
  <c r="BY14" i="21" s="1"/>
  <c r="AA16" i="21"/>
  <c r="AY13" i="21"/>
  <c r="BK13" i="21" s="1"/>
  <c r="BR13" i="21" s="1"/>
  <c r="BY13" i="21" s="1"/>
  <c r="AQ13" i="21"/>
  <c r="CF12" i="21"/>
  <c r="CM12" i="21"/>
  <c r="CT12" i="21" s="1"/>
  <c r="AI15" i="21"/>
  <c r="L16" i="4" a="1"/>
  <c r="L16" i="4" s="1"/>
  <c r="K67" i="7"/>
  <c r="AY15" i="21" l="1"/>
  <c r="AQ15" i="21"/>
  <c r="CM13" i="21"/>
  <c r="CT13" i="21" s="1"/>
  <c r="CF13" i="21"/>
  <c r="AI16" i="21"/>
  <c r="CM14" i="21"/>
  <c r="CT14" i="21" s="1"/>
  <c r="CF14" i="21"/>
  <c r="K41" i="7"/>
  <c r="AQ16" i="21" l="1"/>
  <c r="AY16" i="21"/>
  <c r="BK15" i="21"/>
  <c r="BR15" i="21" s="1"/>
  <c r="BY15" i="21" s="1"/>
  <c r="K22" i="7"/>
  <c r="K19" i="7"/>
  <c r="K16" i="7"/>
  <c r="K13" i="7"/>
  <c r="BK16" i="21" l="1"/>
  <c r="BR16" i="21" s="1"/>
  <c r="BY16" i="21" s="1"/>
  <c r="CM15" i="21"/>
  <c r="CT15" i="21" s="1"/>
  <c r="CF15" i="21"/>
  <c r="J105" i="4"/>
  <c r="CM16" i="21" l="1"/>
  <c r="CT16" i="21" s="1"/>
  <c r="CF16" i="21"/>
  <c r="J105" i="5"/>
  <c r="J119" i="5" s="1"/>
  <c r="J119" i="4"/>
  <c r="H13" i="8"/>
  <c r="E12" i="8"/>
  <c r="G12" i="8"/>
  <c r="E14" i="8" l="1"/>
  <c r="F12" i="8"/>
  <c r="D12" i="8"/>
  <c r="C12" i="8"/>
  <c r="D39" i="4"/>
  <c r="C39" i="4"/>
  <c r="A39" i="4"/>
  <c r="D15" i="8" l="1"/>
  <c r="E15" i="8" s="1"/>
  <c r="F15" i="8" s="1"/>
  <c r="G15" i="8" s="1"/>
  <c r="H15" i="8" s="1"/>
  <c r="I15" i="8" s="1"/>
  <c r="G13" i="8"/>
  <c r="F14" i="8"/>
  <c r="G14" i="8" s="1"/>
  <c r="H14" i="8" s="1"/>
  <c r="I14" i="8" s="1"/>
  <c r="D66" i="4"/>
  <c r="D39" i="5"/>
  <c r="A66" i="4"/>
  <c r="A39" i="5"/>
  <c r="C66" i="4"/>
  <c r="C39" i="5"/>
  <c r="C14" i="8"/>
  <c r="F13" i="8" l="1"/>
  <c r="B14" i="8"/>
  <c r="A79" i="5"/>
  <c r="A66" i="5"/>
  <c r="C66" i="5"/>
  <c r="C79" i="4"/>
  <c r="C79" i="5" s="1"/>
  <c r="D79" i="4"/>
  <c r="D79" i="5" s="1"/>
  <c r="D66" i="5"/>
  <c r="E13" i="8" l="1"/>
  <c r="D13" i="8" l="1"/>
  <c r="C13" i="8" l="1"/>
  <c r="F67" i="7"/>
  <c r="B13" i="8" l="1"/>
  <c r="E79" i="4"/>
  <c r="F22" i="7"/>
  <c r="F10" i="7"/>
  <c r="F16" i="7"/>
  <c r="F41" i="7"/>
  <c r="F13" i="7"/>
  <c r="F19" i="7"/>
  <c r="E105" i="4" l="1"/>
  <c r="E119" i="4" s="1"/>
  <c r="E79" i="5"/>
  <c r="G67" i="7"/>
  <c r="F79" i="4"/>
  <c r="G16" i="7"/>
  <c r="G13" i="7"/>
  <c r="G41" i="7"/>
  <c r="G10" i="7"/>
  <c r="G22" i="7"/>
  <c r="G19" i="7"/>
  <c r="F105" i="4" l="1"/>
  <c r="F119" i="4" s="1"/>
  <c r="F79" i="5"/>
  <c r="E133" i="4"/>
  <c r="E136" i="4" s="1"/>
  <c r="E105" i="5"/>
  <c r="H67" i="7"/>
  <c r="G79" i="4"/>
  <c r="H10" i="7"/>
  <c r="H22" i="7"/>
  <c r="H41" i="7"/>
  <c r="H13" i="7"/>
  <c r="H16" i="7"/>
  <c r="H19" i="7"/>
  <c r="E119" i="5" l="1"/>
  <c r="E133" i="5"/>
  <c r="G105" i="4"/>
  <c r="G119" i="4" s="1"/>
  <c r="G79" i="5"/>
  <c r="F133" i="4"/>
  <c r="F136" i="4" s="1"/>
  <c r="F105" i="5"/>
  <c r="E159" i="4"/>
  <c r="E187" i="4" s="1"/>
  <c r="E211" i="4" s="1"/>
  <c r="I67" i="7"/>
  <c r="I79" i="4"/>
  <c r="H79" i="4"/>
  <c r="I22" i="7"/>
  <c r="I19" i="7"/>
  <c r="I16" i="7"/>
  <c r="I41" i="7"/>
  <c r="I13" i="7"/>
  <c r="I10" i="7"/>
  <c r="E159" i="5" l="1"/>
  <c r="E187" i="5" s="1"/>
  <c r="E136" i="5"/>
  <c r="F119" i="5"/>
  <c r="F133" i="5"/>
  <c r="E211" i="5"/>
  <c r="H105" i="4"/>
  <c r="H119" i="4" s="1"/>
  <c r="H79" i="5"/>
  <c r="F159" i="4"/>
  <c r="F187" i="4" s="1"/>
  <c r="F211" i="4" s="1"/>
  <c r="I105" i="4"/>
  <c r="I119" i="4" s="1"/>
  <c r="I79" i="5"/>
  <c r="G133" i="4"/>
  <c r="G136" i="4" s="1"/>
  <c r="G105" i="5"/>
  <c r="J67" i="7"/>
  <c r="J41" i="7"/>
  <c r="J19" i="7"/>
  <c r="J13" i="7"/>
  <c r="J22" i="7"/>
  <c r="J10" i="7"/>
  <c r="J16" i="7"/>
  <c r="F159" i="5" l="1"/>
  <c r="F187" i="5" s="1"/>
  <c r="F136" i="5"/>
  <c r="G119" i="5"/>
  <c r="G133" i="5"/>
  <c r="F211" i="5"/>
  <c r="G159" i="4"/>
  <c r="G187" i="4" s="1"/>
  <c r="G211" i="4" s="1"/>
  <c r="I133" i="4"/>
  <c r="I105" i="5"/>
  <c r="H133" i="4"/>
  <c r="H136" i="4" s="1"/>
  <c r="H105" i="5"/>
  <c r="G159" i="5" l="1"/>
  <c r="G187" i="5" s="1"/>
  <c r="G136" i="5"/>
  <c r="I119" i="5"/>
  <c r="I133" i="5"/>
  <c r="I159" i="5" s="1"/>
  <c r="I187" i="5" s="1"/>
  <c r="H119" i="5"/>
  <c r="H133" i="5"/>
  <c r="G211" i="5"/>
  <c r="I159" i="4"/>
  <c r="I187" i="4" s="1"/>
  <c r="I211" i="4" s="1"/>
  <c r="H159" i="4"/>
  <c r="H187" i="4" s="1"/>
  <c r="H211" i="4" s="1"/>
  <c r="H159" i="5" l="1"/>
  <c r="H187" i="5" s="1"/>
  <c r="H136" i="5"/>
  <c r="H211" i="5"/>
  <c r="I211" i="5"/>
  <c r="A17" i="4" l="1"/>
  <c r="E145" i="7" s="1"/>
  <c r="L17" i="4" l="1" a="1"/>
  <c r="L17" i="4" s="1"/>
  <c r="A51" i="1"/>
  <c r="A142" i="4" s="1"/>
  <c r="A195" i="4" s="1"/>
  <c r="A17" i="21"/>
  <c r="S17" i="21" l="1"/>
  <c r="J17" i="21"/>
  <c r="K17" i="21" s="1"/>
  <c r="CU17" i="21" s="1"/>
  <c r="B17" i="4" s="1"/>
  <c r="A52" i="1"/>
  <c r="A18" i="21"/>
  <c r="J18" i="21" s="1"/>
  <c r="K18" i="21" s="1"/>
  <c r="CU18" i="21" s="1"/>
  <c r="B18" i="4" s="1"/>
  <c r="A18" i="4"/>
  <c r="E146" i="7" s="1"/>
  <c r="A143" i="4"/>
  <c r="A196" i="4" s="1"/>
  <c r="A19" i="21"/>
  <c r="J19" i="21" s="1"/>
  <c r="K19" i="21" s="1"/>
  <c r="CU19" i="21" s="1"/>
  <c r="B19" i="4" s="1"/>
  <c r="A53" i="1"/>
  <c r="AA17" i="21" l="1"/>
  <c r="L18" i="4" a="1"/>
  <c r="L18" i="4" s="1"/>
  <c r="S18" i="21"/>
  <c r="A19" i="4"/>
  <c r="E147" i="7" s="1"/>
  <c r="S19" i="21"/>
  <c r="A20" i="21"/>
  <c r="A54" i="1"/>
  <c r="A144" i="4"/>
  <c r="A197" i="4" s="1"/>
  <c r="AA19" i="21" l="1"/>
  <c r="AA18" i="21"/>
  <c r="AI18" i="21" s="1"/>
  <c r="AI17" i="21"/>
  <c r="L19" i="4" a="1"/>
  <c r="L19" i="4" s="1"/>
  <c r="S20" i="21"/>
  <c r="AA20" i="21" s="1"/>
  <c r="J20" i="21"/>
  <c r="K20" i="21" s="1"/>
  <c r="CU20" i="21" s="1"/>
  <c r="B20" i="4" s="1"/>
  <c r="A20" i="4"/>
  <c r="E148" i="7" s="1"/>
  <c r="A145" i="4"/>
  <c r="A21" i="21"/>
  <c r="A55" i="1"/>
  <c r="AY17" i="21" l="1"/>
  <c r="BK17" i="21" s="1"/>
  <c r="BR17" i="21" s="1"/>
  <c r="BY17" i="21" s="1"/>
  <c r="AQ17" i="21"/>
  <c r="AI20" i="21"/>
  <c r="AY18" i="21"/>
  <c r="AQ18" i="21"/>
  <c r="AI19" i="21"/>
  <c r="L20" i="4" a="1"/>
  <c r="L20" i="4" s="1"/>
  <c r="AY20" i="21"/>
  <c r="S21" i="21"/>
  <c r="J21" i="21"/>
  <c r="K21" i="21" s="1"/>
  <c r="CU21" i="21" s="1"/>
  <c r="B21" i="4" s="1"/>
  <c r="A20" i="5"/>
  <c r="A21" i="4"/>
  <c r="A145" i="5"/>
  <c r="B145" i="5" s="1"/>
  <c r="B198" i="5" s="1"/>
  <c r="A198" i="4"/>
  <c r="A146" i="4"/>
  <c r="A56" i="1"/>
  <c r="A21" i="5" l="1"/>
  <c r="E149" i="7"/>
  <c r="BK18" i="21"/>
  <c r="BR18" i="21" s="1"/>
  <c r="BY18" i="21" s="1"/>
  <c r="AQ19" i="21"/>
  <c r="AY19" i="21"/>
  <c r="AQ20" i="21"/>
  <c r="BK20" i="21"/>
  <c r="BR20" i="21" s="1"/>
  <c r="BY20" i="21" s="1"/>
  <c r="AA21" i="21"/>
  <c r="AI21" i="21" s="1"/>
  <c r="CM17" i="21"/>
  <c r="CT17" i="21" s="1"/>
  <c r="CF17" i="21"/>
  <c r="A198" i="5"/>
  <c r="L21" i="4" a="1"/>
  <c r="L21" i="4" s="1"/>
  <c r="A22" i="21"/>
  <c r="A22" i="4"/>
  <c r="E150" i="7" s="1"/>
  <c r="A146" i="5"/>
  <c r="B146" i="5" s="1"/>
  <c r="B199" i="5" s="1"/>
  <c r="A199" i="4"/>
  <c r="A147" i="4"/>
  <c r="A23" i="21"/>
  <c r="A57" i="1"/>
  <c r="CF20" i="21" l="1"/>
  <c r="CM20" i="21"/>
  <c r="CT20" i="21" s="1"/>
  <c r="CM18" i="21"/>
  <c r="CT18" i="21" s="1"/>
  <c r="CF18" i="21"/>
  <c r="AQ21" i="21"/>
  <c r="AY21" i="21"/>
  <c r="BK19" i="21"/>
  <c r="BR19" i="21" s="1"/>
  <c r="BY19" i="21" s="1"/>
  <c r="L22" i="4" a="1"/>
  <c r="L22" i="4" s="1"/>
  <c r="A22" i="5"/>
  <c r="S23" i="21"/>
  <c r="J23" i="21"/>
  <c r="K23" i="21" s="1"/>
  <c r="CU23" i="21" s="1"/>
  <c r="B23" i="4" s="1"/>
  <c r="S22" i="21"/>
  <c r="J22" i="21"/>
  <c r="K22" i="21" s="1"/>
  <c r="CU22" i="21" s="1"/>
  <c r="B22" i="4" s="1"/>
  <c r="A199" i="5"/>
  <c r="A23" i="4"/>
  <c r="A147" i="5"/>
  <c r="B147" i="5" s="1"/>
  <c r="B200" i="5" s="1"/>
  <c r="A200" i="4"/>
  <c r="A148" i="4"/>
  <c r="A24" i="21"/>
  <c r="A58" i="1"/>
  <c r="A23" i="5" l="1"/>
  <c r="E151" i="7"/>
  <c r="CF19" i="21"/>
  <c r="CM19" i="21"/>
  <c r="CT19" i="21" s="1"/>
  <c r="BK21" i="21"/>
  <c r="BR21" i="21" s="1"/>
  <c r="BY21" i="21" s="1"/>
  <c r="AA22" i="21"/>
  <c r="AA23" i="21"/>
  <c r="A200" i="5"/>
  <c r="L23" i="4" a="1"/>
  <c r="L23" i="4" s="1"/>
  <c r="S24" i="21"/>
  <c r="J24" i="21"/>
  <c r="K24" i="21" s="1"/>
  <c r="CU24" i="21" s="1"/>
  <c r="B24" i="4" s="1"/>
  <c r="A24" i="4"/>
  <c r="A148" i="5"/>
  <c r="B148" i="5" s="1"/>
  <c r="B201" i="5" s="1"/>
  <c r="A201" i="4"/>
  <c r="A149" i="4"/>
  <c r="A25" i="21"/>
  <c r="A59" i="1"/>
  <c r="A24" i="5" l="1"/>
  <c r="E152" i="7"/>
  <c r="AI22" i="21"/>
  <c r="CF21" i="21"/>
  <c r="CM21" i="21"/>
  <c r="CT21" i="21" s="1"/>
  <c r="AA24" i="21"/>
  <c r="AI23" i="21"/>
  <c r="L24" i="4" a="1"/>
  <c r="L24" i="4" s="1"/>
  <c r="S25" i="21"/>
  <c r="J25" i="21"/>
  <c r="K25" i="21" s="1"/>
  <c r="CU25" i="21" s="1"/>
  <c r="B25" i="4" s="1"/>
  <c r="A201" i="5"/>
  <c r="A25" i="4"/>
  <c r="E153" i="7" s="1"/>
  <c r="A149" i="5"/>
  <c r="A202" i="5" s="1"/>
  <c r="A202" i="4"/>
  <c r="A150" i="4"/>
  <c r="AA25" i="21" l="1"/>
  <c r="AI25" i="21" s="1"/>
  <c r="AI24" i="21"/>
  <c r="AQ23" i="21"/>
  <c r="AY23" i="21"/>
  <c r="AQ22" i="21"/>
  <c r="AY22" i="21"/>
  <c r="L25" i="4" a="1"/>
  <c r="L25" i="4" s="1"/>
  <c r="A25" i="5"/>
  <c r="A60" i="1"/>
  <c r="A151" i="4" s="1"/>
  <c r="A26" i="4"/>
  <c r="A26" i="21"/>
  <c r="B149" i="5"/>
  <c r="B202" i="5" s="1"/>
  <c r="A150" i="5"/>
  <c r="B150" i="5" s="1"/>
  <c r="B203" i="5" s="1"/>
  <c r="A203" i="4"/>
  <c r="A27" i="21"/>
  <c r="A61" i="1"/>
  <c r="A26" i="5" l="1"/>
  <c r="E154" i="7"/>
  <c r="BK22" i="21"/>
  <c r="BR22" i="21" s="1"/>
  <c r="BY22" i="21" s="1"/>
  <c r="BK23" i="21"/>
  <c r="BR23" i="21" s="1"/>
  <c r="BY23" i="21" s="1"/>
  <c r="AY24" i="21"/>
  <c r="BK24" i="21" s="1"/>
  <c r="BR24" i="21" s="1"/>
  <c r="BY24" i="21" s="1"/>
  <c r="AQ24" i="21"/>
  <c r="AY25" i="21"/>
  <c r="AQ25" i="21"/>
  <c r="L26" i="4" a="1"/>
  <c r="L26" i="4" s="1"/>
  <c r="S27" i="21"/>
  <c r="J27" i="21"/>
  <c r="K27" i="21" s="1"/>
  <c r="CU27" i="21" s="1"/>
  <c r="B27" i="4" s="1"/>
  <c r="S26" i="21"/>
  <c r="J26" i="21"/>
  <c r="K26" i="21" s="1"/>
  <c r="CU26" i="21" s="1"/>
  <c r="B26" i="4" s="1"/>
  <c r="A27" i="4"/>
  <c r="E155" i="7" s="1"/>
  <c r="A203" i="5"/>
  <c r="A151" i="5"/>
  <c r="B151" i="5" s="1"/>
  <c r="B204" i="5" s="1"/>
  <c r="A204" i="4"/>
  <c r="A152" i="4"/>
  <c r="A28" i="4"/>
  <c r="E156" i="7" s="1"/>
  <c r="A204" i="5" l="1"/>
  <c r="BK25" i="21"/>
  <c r="BR25" i="21" s="1"/>
  <c r="BY25" i="21" s="1"/>
  <c r="CF23" i="21"/>
  <c r="CM23" i="21"/>
  <c r="CT23" i="21" s="1"/>
  <c r="AA26" i="21"/>
  <c r="CM24" i="21"/>
  <c r="CT24" i="21" s="1"/>
  <c r="CF24" i="21"/>
  <c r="AA27" i="21"/>
  <c r="CF22" i="21"/>
  <c r="CM22" i="21"/>
  <c r="CT22" i="21" s="1"/>
  <c r="L27" i="4" a="1"/>
  <c r="L27" i="4" s="1"/>
  <c r="A27" i="5"/>
  <c r="L28" i="4" a="1"/>
  <c r="L28" i="4" s="1"/>
  <c r="A152" i="5"/>
  <c r="A205" i="5" s="1"/>
  <c r="A205" i="4"/>
  <c r="A29" i="21"/>
  <c r="A63" i="1"/>
  <c r="A154" i="4" s="1"/>
  <c r="A28" i="21"/>
  <c r="A62" i="1"/>
  <c r="AI27" i="21" l="1"/>
  <c r="AI26" i="21"/>
  <c r="CM25" i="21"/>
  <c r="CT25" i="21" s="1"/>
  <c r="CF25" i="21"/>
  <c r="S28" i="21"/>
  <c r="J28" i="21"/>
  <c r="K28" i="21" s="1"/>
  <c r="CU28" i="21" s="1"/>
  <c r="B28" i="4" s="1"/>
  <c r="S29" i="21"/>
  <c r="J29" i="21"/>
  <c r="K29" i="21" s="1"/>
  <c r="CU29" i="21" s="1"/>
  <c r="B29" i="4" s="1"/>
  <c r="B152" i="5"/>
  <c r="B205" i="5" s="1"/>
  <c r="A29" i="4"/>
  <c r="E157" i="7" s="1"/>
  <c r="A154" i="5"/>
  <c r="B154" i="5" s="1"/>
  <c r="B207" i="5" s="1"/>
  <c r="A207" i="4"/>
  <c r="A30" i="4"/>
  <c r="E158" i="7" s="1"/>
  <c r="A28" i="5"/>
  <c r="A153" i="4"/>
  <c r="A30" i="21"/>
  <c r="A64" i="1"/>
  <c r="A155" i="4" s="1"/>
  <c r="AA28" i="21" l="1"/>
  <c r="AQ26" i="21"/>
  <c r="AY26" i="21"/>
  <c r="AA29" i="21"/>
  <c r="AQ27" i="21"/>
  <c r="AY27" i="21"/>
  <c r="L29" i="4" a="1"/>
  <c r="L29" i="4" s="1"/>
  <c r="A29" i="5"/>
  <c r="S30" i="21"/>
  <c r="J30" i="21"/>
  <c r="K30" i="21" s="1"/>
  <c r="CU30" i="21" s="1"/>
  <c r="B30" i="4" s="1"/>
  <c r="A207" i="5"/>
  <c r="D64" i="1"/>
  <c r="E101" i="7" a="1"/>
  <c r="E101" i="7" s="1"/>
  <c r="A128" i="5" a="1"/>
  <c r="A128" i="5" s="1"/>
  <c r="A129" i="5" s="1" a="1"/>
  <c r="A129" i="5" s="1"/>
  <c r="A128" i="4" a="1"/>
  <c r="A128" i="4" s="1"/>
  <c r="A129" i="4" s="1" a="1"/>
  <c r="A129" i="4" s="1"/>
  <c r="A153" i="5"/>
  <c r="B153" i="5" s="1"/>
  <c r="B206" i="5" s="1"/>
  <c r="A206" i="4"/>
  <c r="A155" i="5"/>
  <c r="A208" i="5" s="1"/>
  <c r="A208" i="4"/>
  <c r="A30" i="5"/>
  <c r="L30" i="4" a="1"/>
  <c r="L30" i="4" s="1"/>
  <c r="A31" i="21"/>
  <c r="A65" i="1"/>
  <c r="E102" i="7" l="1" a="1"/>
  <c r="E102" i="7" s="1"/>
  <c r="BK27" i="21"/>
  <c r="BR27" i="21" s="1"/>
  <c r="BY27" i="21" s="1"/>
  <c r="BK26" i="21"/>
  <c r="BR26" i="21" s="1"/>
  <c r="BY26" i="21" s="1"/>
  <c r="AI29" i="21"/>
  <c r="AQ29" i="21" s="1"/>
  <c r="AA30" i="21"/>
  <c r="AI28" i="21"/>
  <c r="B155" i="5"/>
  <c r="B208" i="5" s="1"/>
  <c r="A206" i="5"/>
  <c r="S31" i="21"/>
  <c r="T31" i="21" s="1"/>
  <c r="U31" i="21" s="1"/>
  <c r="V31" i="21" s="1"/>
  <c r="W31" i="21" s="1"/>
  <c r="X31" i="21" s="1"/>
  <c r="J31" i="21"/>
  <c r="K31" i="21" s="1"/>
  <c r="CU31" i="21" s="1"/>
  <c r="B31" i="4" s="1"/>
  <c r="A32" i="21"/>
  <c r="AA31" i="21"/>
  <c r="AB31" i="21" s="1"/>
  <c r="AC31" i="21" s="1"/>
  <c r="AD31" i="21" s="1"/>
  <c r="AE31" i="21" s="1"/>
  <c r="AF31" i="21" s="1"/>
  <c r="A66" i="1"/>
  <c r="E103" i="7" l="1" a="1"/>
  <c r="E103" i="7" s="1"/>
  <c r="AY28" i="21"/>
  <c r="BK28" i="21" s="1"/>
  <c r="BR28" i="21" s="1"/>
  <c r="BY28" i="21" s="1"/>
  <c r="AQ28" i="21"/>
  <c r="CF26" i="21"/>
  <c r="CM26" i="21"/>
  <c r="CT26" i="21" s="1"/>
  <c r="AI30" i="21"/>
  <c r="AY30" i="21" s="1"/>
  <c r="AY29" i="21"/>
  <c r="CM27" i="21"/>
  <c r="CT27" i="21" s="1"/>
  <c r="CF27" i="21"/>
  <c r="S32" i="21"/>
  <c r="J32" i="21"/>
  <c r="K32" i="21" s="1"/>
  <c r="CU32" i="21" s="1"/>
  <c r="B32" i="4" s="1"/>
  <c r="AI31" i="21"/>
  <c r="AJ31" i="21" s="1"/>
  <c r="AK31" i="21" s="1"/>
  <c r="AL31" i="21" s="1"/>
  <c r="AM31" i="21" s="1"/>
  <c r="AN31" i="21" s="1"/>
  <c r="AA32" i="21" l="1"/>
  <c r="AB32" i="21" s="1"/>
  <c r="AC32" i="21" s="1"/>
  <c r="AD32" i="21" s="1"/>
  <c r="AE32" i="21" s="1"/>
  <c r="AF32" i="21" s="1"/>
  <c r="T32" i="21"/>
  <c r="U32" i="21" s="1"/>
  <c r="V32" i="21" s="1"/>
  <c r="W32" i="21" s="1"/>
  <c r="X32" i="21" s="1"/>
  <c r="BK29" i="21"/>
  <c r="BR29" i="21" s="1"/>
  <c r="AQ30" i="21"/>
  <c r="CM28" i="21"/>
  <c r="CT28" i="21" s="1"/>
  <c r="CF28" i="21"/>
  <c r="AQ31" i="21"/>
  <c r="AR31" i="21" s="1"/>
  <c r="AS31" i="21" s="1"/>
  <c r="AT31" i="21" s="1"/>
  <c r="AU31" i="21" s="1"/>
  <c r="AV31" i="21" s="1"/>
  <c r="AY31" i="21"/>
  <c r="AZ31" i="21" s="1"/>
  <c r="BA31" i="21" s="1"/>
  <c r="BB31" i="21" s="1"/>
  <c r="BC31" i="21" s="1"/>
  <c r="BD31" i="21" s="1"/>
  <c r="AI32" i="21"/>
  <c r="AJ32" i="21" s="1"/>
  <c r="AK32" i="21" s="1"/>
  <c r="AL32" i="21" s="1"/>
  <c r="AM32" i="21" s="1"/>
  <c r="AN32" i="21" s="1"/>
  <c r="BK30" i="21"/>
  <c r="A35" i="4" l="1"/>
  <c r="AQ32" i="21"/>
  <c r="AR32" i="21" s="1"/>
  <c r="AS32" i="21" s="1"/>
  <c r="AT32" i="21" s="1"/>
  <c r="AU32" i="21" s="1"/>
  <c r="AV32" i="21" s="1"/>
  <c r="AY32" i="21"/>
  <c r="AZ32" i="21" s="1"/>
  <c r="BA32" i="21" s="1"/>
  <c r="BB32" i="21" s="1"/>
  <c r="BC32" i="21" s="1"/>
  <c r="BD32" i="21" s="1"/>
  <c r="BK31" i="21"/>
  <c r="BR30" i="21"/>
  <c r="BY29" i="21"/>
  <c r="A35" i="5" l="1"/>
  <c r="A70" i="1"/>
  <c r="BK32" i="21"/>
  <c r="BR31" i="21"/>
  <c r="CF29" i="21"/>
  <c r="CM29" i="21"/>
  <c r="CT29" i="21" s="1"/>
  <c r="BY30" i="21"/>
  <c r="A71" i="1" l="1"/>
  <c r="BY31" i="21"/>
  <c r="BR32" i="21"/>
  <c r="CF30" i="21"/>
  <c r="CM30" i="21"/>
  <c r="CT30" i="21" s="1"/>
  <c r="D47" i="1" l="1"/>
  <c r="BY32" i="21"/>
  <c r="CM31" i="21"/>
  <c r="CT31" i="21" s="1"/>
  <c r="CF31" i="21"/>
  <c r="D45" i="1"/>
  <c r="C19" i="4"/>
  <c r="E53" i="1"/>
  <c r="C144" i="4" s="1"/>
  <c r="C197" i="4" s="1"/>
  <c r="C24" i="4"/>
  <c r="C24" i="5" s="1"/>
  <c r="E58" i="1"/>
  <c r="C149" i="4" s="1"/>
  <c r="C23" i="4"/>
  <c r="C23" i="5" s="1"/>
  <c r="E57" i="1"/>
  <c r="C148" i="4" s="1"/>
  <c r="C25" i="4"/>
  <c r="C25" i="5" s="1"/>
  <c r="E59" i="1"/>
  <c r="C150" i="4" s="1"/>
  <c r="C20" i="4"/>
  <c r="C20" i="5" s="1"/>
  <c r="E54" i="1"/>
  <c r="C145" i="4" s="1"/>
  <c r="C15" i="4"/>
  <c r="E49" i="1"/>
  <c r="C140" i="4" s="1"/>
  <c r="C193" i="4" s="1"/>
  <c r="C18" i="4"/>
  <c r="E52" i="1"/>
  <c r="C143" i="4" s="1"/>
  <c r="C196" i="4" s="1"/>
  <c r="C26" i="4"/>
  <c r="C26" i="5" s="1"/>
  <c r="E60" i="1"/>
  <c r="C151" i="4" s="1"/>
  <c r="C22" i="4"/>
  <c r="C22" i="5" s="1"/>
  <c r="E56" i="1"/>
  <c r="C147" i="4" s="1"/>
  <c r="C17" i="4"/>
  <c r="E51" i="1"/>
  <c r="C142" i="4" s="1"/>
  <c r="C195" i="4" s="1"/>
  <c r="C14" i="4"/>
  <c r="E48" i="1"/>
  <c r="C139" i="4" s="1"/>
  <c r="C192" i="4" s="1"/>
  <c r="C21" i="4"/>
  <c r="C21" i="5" s="1"/>
  <c r="E55" i="1"/>
  <c r="C146" i="4" s="1"/>
  <c r="C16" i="4"/>
  <c r="E50" i="1"/>
  <c r="C141" i="4" s="1"/>
  <c r="C194" i="4" s="1"/>
  <c r="F52" i="1"/>
  <c r="D143" i="4" s="1"/>
  <c r="D18" i="4"/>
  <c r="F56" i="1"/>
  <c r="D147" i="4" s="1"/>
  <c r="D147" i="5" s="1"/>
  <c r="D22" i="4"/>
  <c r="D22" i="5" s="1"/>
  <c r="F51" i="1"/>
  <c r="D142" i="4" s="1"/>
  <c r="D17" i="4"/>
  <c r="F55" i="1"/>
  <c r="D146" i="4" s="1"/>
  <c r="D146" i="5" s="1"/>
  <c r="D21" i="4"/>
  <c r="D21" i="5" s="1"/>
  <c r="F54" i="1"/>
  <c r="D145" i="4" s="1"/>
  <c r="D145" i="5" s="1"/>
  <c r="D20" i="4"/>
  <c r="D20" i="5" s="1"/>
  <c r="F57" i="1"/>
  <c r="D148" i="4" s="1"/>
  <c r="D148" i="5" s="1"/>
  <c r="D23" i="4"/>
  <c r="D23" i="5" s="1"/>
  <c r="F50" i="1"/>
  <c r="D141" i="4" s="1"/>
  <c r="D16" i="4"/>
  <c r="F60" i="1"/>
  <c r="D151" i="4" s="1"/>
  <c r="D151" i="5" s="1"/>
  <c r="D26" i="4"/>
  <c r="D26" i="5" s="1"/>
  <c r="F59" i="1"/>
  <c r="D150" i="4" s="1"/>
  <c r="D150" i="5" s="1"/>
  <c r="D25" i="4"/>
  <c r="D25" i="5" s="1"/>
  <c r="F49" i="1"/>
  <c r="D140" i="4" s="1"/>
  <c r="D15" i="4"/>
  <c r="F53" i="1"/>
  <c r="D144" i="4" s="1"/>
  <c r="D19" i="4"/>
  <c r="F58" i="1"/>
  <c r="D149" i="4" s="1"/>
  <c r="D149" i="5" s="1"/>
  <c r="D24" i="4"/>
  <c r="D24" i="5" s="1"/>
  <c r="F48" i="1"/>
  <c r="D139" i="4" s="1"/>
  <c r="D14" i="4"/>
  <c r="C145" i="5" l="1"/>
  <c r="C198" i="5" s="1"/>
  <c r="C198" i="4"/>
  <c r="C150" i="5"/>
  <c r="C203" i="5" s="1"/>
  <c r="C203" i="4"/>
  <c r="C147" i="5"/>
  <c r="C200" i="5" s="1"/>
  <c r="C200" i="4"/>
  <c r="C148" i="5"/>
  <c r="C201" i="5" s="1"/>
  <c r="C201" i="4"/>
  <c r="C146" i="5"/>
  <c r="C199" i="5" s="1"/>
  <c r="C199" i="4"/>
  <c r="C151" i="5"/>
  <c r="C204" i="5" s="1"/>
  <c r="C204" i="4"/>
  <c r="C149" i="5"/>
  <c r="C202" i="5" s="1"/>
  <c r="C202" i="4"/>
  <c r="CF32" i="21"/>
  <c r="CM32" i="21"/>
  <c r="CT32" i="21" s="1"/>
  <c r="J14" i="8" l="1"/>
  <c r="K14" i="8" s="1"/>
  <c r="L14" i="8" s="1"/>
  <c r="M14" i="8" s="1"/>
  <c r="N14" i="8" s="1"/>
  <c r="J15" i="8"/>
  <c r="K15" i="8" s="1"/>
  <c r="L15" i="8" s="1"/>
  <c r="M15" i="8" s="1"/>
  <c r="N15" i="8" s="1"/>
  <c r="K13" i="8" l="1"/>
  <c r="L13" i="8" l="1"/>
  <c r="M13" i="8" l="1"/>
  <c r="N13" i="8" l="1"/>
  <c r="D61" i="1" l="1"/>
  <c r="C27" i="4" l="1"/>
  <c r="C27" i="5" s="1"/>
  <c r="E61" i="1"/>
  <c r="C152" i="4" s="1"/>
  <c r="F61" i="1"/>
  <c r="D152" i="4" s="1"/>
  <c r="D152" i="5" s="1"/>
  <c r="D27" i="4"/>
  <c r="D27" i="5" s="1"/>
  <c r="C152" i="5" l="1"/>
  <c r="C205" i="5" s="1"/>
  <c r="C205" i="4"/>
  <c r="D44" i="1"/>
  <c r="E44" i="1" l="1"/>
  <c r="C135" i="4" s="1"/>
  <c r="C188" i="4" s="1"/>
  <c r="F44" i="1"/>
  <c r="D135" i="4" s="1"/>
  <c r="D10" i="4"/>
  <c r="A10" i="5"/>
  <c r="G31" i="7" l="1"/>
  <c r="I29" i="7"/>
  <c r="J33" i="7"/>
  <c r="H29" i="7"/>
  <c r="I33" i="7"/>
  <c r="F29" i="7"/>
  <c r="G29" i="7"/>
  <c r="F31" i="7"/>
  <c r="H33" i="7"/>
  <c r="F33" i="7"/>
  <c r="G33" i="7"/>
  <c r="J31" i="7"/>
  <c r="I31" i="7"/>
  <c r="H31" i="7"/>
  <c r="J29" i="7"/>
  <c r="G109" i="4"/>
  <c r="G113" i="4"/>
  <c r="E115" i="4"/>
  <c r="H109" i="4"/>
  <c r="H113" i="4"/>
  <c r="G115" i="4"/>
  <c r="H115" i="4"/>
  <c r="I115" i="4"/>
  <c r="I109" i="4"/>
  <c r="I113" i="4"/>
  <c r="F110" i="4"/>
  <c r="F110" i="5" s="1"/>
  <c r="F115" i="4"/>
  <c r="G110" i="4"/>
  <c r="G110" i="5" s="1"/>
  <c r="H110" i="4"/>
  <c r="H110" i="5" s="1"/>
  <c r="I110" i="4"/>
  <c r="I110" i="5" s="1"/>
  <c r="F108" i="4"/>
  <c r="F111" i="4"/>
  <c r="F111" i="5" s="1"/>
  <c r="E108" i="4"/>
  <c r="G108" i="4"/>
  <c r="G111" i="4"/>
  <c r="G111" i="5" s="1"/>
  <c r="E109" i="4"/>
  <c r="H108" i="4"/>
  <c r="H111" i="4"/>
  <c r="H111" i="5" s="1"/>
  <c r="E110" i="4"/>
  <c r="I108" i="4"/>
  <c r="I111" i="4"/>
  <c r="I111" i="5" s="1"/>
  <c r="E111" i="4"/>
  <c r="F109" i="4"/>
  <c r="F113" i="4"/>
  <c r="E113" i="4"/>
  <c r="I28" i="7"/>
  <c r="J28" i="7"/>
  <c r="F28" i="7"/>
  <c r="G28" i="7"/>
  <c r="H28" i="7"/>
  <c r="G229" i="4"/>
  <c r="G222" i="4"/>
  <c r="I219" i="4"/>
  <c r="F217" i="4"/>
  <c r="G227" i="4"/>
  <c r="I214" i="4"/>
  <c r="E213" i="4"/>
  <c r="E218" i="4"/>
  <c r="F222" i="4"/>
  <c r="H219" i="4"/>
  <c r="G214" i="4"/>
  <c r="I213" i="4"/>
  <c r="H220" i="4"/>
  <c r="H217" i="4"/>
  <c r="E222" i="4"/>
  <c r="E219" i="4"/>
  <c r="F214" i="4"/>
  <c r="H222" i="4"/>
  <c r="I218" i="4"/>
  <c r="I220" i="4"/>
  <c r="I229" i="4"/>
  <c r="H214" i="4"/>
  <c r="F220" i="4"/>
  <c r="H230" i="4"/>
  <c r="H227" i="4"/>
  <c r="G213" i="4"/>
  <c r="I222" i="4"/>
  <c r="H218" i="4"/>
  <c r="E220" i="4"/>
  <c r="F229" i="4"/>
  <c r="E214" i="4"/>
  <c r="I230" i="4"/>
  <c r="G221" i="4"/>
  <c r="E221" i="4"/>
  <c r="G218" i="4"/>
  <c r="E229" i="4"/>
  <c r="E230" i="4"/>
  <c r="G217" i="4"/>
  <c r="F227" i="4"/>
  <c r="F221" i="4"/>
  <c r="F218" i="4"/>
  <c r="G220" i="4"/>
  <c r="H229" i="4"/>
  <c r="F230" i="4"/>
  <c r="G230" i="4"/>
  <c r="E227" i="4"/>
  <c r="F213" i="4"/>
  <c r="H221" i="4"/>
  <c r="I217" i="4"/>
  <c r="I221" i="4"/>
  <c r="G219" i="4"/>
  <c r="F219" i="4"/>
  <c r="E217" i="4"/>
  <c r="I227" i="4"/>
  <c r="H213" i="4"/>
  <c r="G225" i="4"/>
  <c r="I223" i="4"/>
  <c r="F225" i="4"/>
  <c r="E225" i="4"/>
  <c r="I225" i="4"/>
  <c r="H225" i="4"/>
  <c r="F223" i="4"/>
  <c r="E223" i="4"/>
  <c r="G223" i="4"/>
  <c r="H223" i="4"/>
  <c r="I60" i="7"/>
  <c r="J60" i="7"/>
  <c r="H60" i="7"/>
  <c r="F60" i="7"/>
  <c r="G60" i="7"/>
  <c r="G178" i="4"/>
  <c r="G163" i="4"/>
  <c r="F169" i="4"/>
  <c r="G168" i="4"/>
  <c r="H167" i="4"/>
  <c r="H178" i="4"/>
  <c r="H163" i="4"/>
  <c r="E170" i="4"/>
  <c r="F168" i="4"/>
  <c r="I167" i="4"/>
  <c r="I178" i="4"/>
  <c r="I163" i="4"/>
  <c r="F166" i="4"/>
  <c r="E162" i="4"/>
  <c r="E168" i="4"/>
  <c r="E167" i="4"/>
  <c r="E178" i="4"/>
  <c r="E163" i="4"/>
  <c r="H168" i="4"/>
  <c r="G167" i="4"/>
  <c r="G166" i="4"/>
  <c r="I168" i="4"/>
  <c r="F167" i="4"/>
  <c r="H162" i="4"/>
  <c r="G171" i="4"/>
  <c r="H171" i="4"/>
  <c r="F171" i="4"/>
  <c r="I162" i="4"/>
  <c r="I170" i="4"/>
  <c r="E169" i="4"/>
  <c r="H170" i="4"/>
  <c r="E166" i="4"/>
  <c r="E171" i="4"/>
  <c r="G162" i="4"/>
  <c r="F162" i="4"/>
  <c r="H169" i="4"/>
  <c r="F170" i="4"/>
  <c r="H166" i="4"/>
  <c r="I171" i="4"/>
  <c r="G169" i="4"/>
  <c r="I169" i="4"/>
  <c r="G170" i="4"/>
  <c r="I166" i="4"/>
  <c r="F178" i="4"/>
  <c r="F163" i="4"/>
  <c r="E165" i="4"/>
  <c r="F165" i="4"/>
  <c r="G165" i="4"/>
  <c r="H165" i="4"/>
  <c r="E82" i="4"/>
  <c r="E82" i="5" s="1"/>
  <c r="E91" i="4"/>
  <c r="E91" i="5" s="1"/>
  <c r="E88" i="4"/>
  <c r="E88" i="5" s="1"/>
  <c r="E83" i="4"/>
  <c r="E83" i="5" s="1"/>
  <c r="E89" i="4"/>
  <c r="E89" i="5" s="1"/>
  <c r="E90" i="4"/>
  <c r="E90" i="5" s="1"/>
  <c r="E86" i="4"/>
  <c r="E86" i="5" s="1"/>
  <c r="E98" i="4"/>
  <c r="E98" i="5" s="1"/>
  <c r="E87" i="4"/>
  <c r="E87" i="5" s="1"/>
  <c r="H86" i="4"/>
  <c r="H86" i="5" s="1"/>
  <c r="I89" i="4"/>
  <c r="I89" i="5" s="1"/>
  <c r="F83" i="4"/>
  <c r="F83" i="5" s="1"/>
  <c r="H87" i="4"/>
  <c r="H87" i="5" s="1"/>
  <c r="F98" i="4"/>
  <c r="F98" i="5" s="1"/>
  <c r="I83" i="4"/>
  <c r="I83" i="5" s="1"/>
  <c r="H90" i="4"/>
  <c r="H90" i="5" s="1"/>
  <c r="G98" i="4"/>
  <c r="G98" i="5" s="1"/>
  <c r="G86" i="4"/>
  <c r="G86" i="5" s="1"/>
  <c r="F89" i="4"/>
  <c r="F89" i="5" s="1"/>
  <c r="H82" i="4"/>
  <c r="H82" i="5" s="1"/>
  <c r="I91" i="4"/>
  <c r="I91" i="5" s="1"/>
  <c r="F82" i="4"/>
  <c r="F82" i="5" s="1"/>
  <c r="G82" i="4"/>
  <c r="G82" i="5" s="1"/>
  <c r="I86" i="4"/>
  <c r="I86" i="5" s="1"/>
  <c r="G89" i="4"/>
  <c r="G89" i="5" s="1"/>
  <c r="F86" i="4"/>
  <c r="F86" i="5" s="1"/>
  <c r="F88" i="4"/>
  <c r="F88" i="5" s="1"/>
  <c r="H91" i="4"/>
  <c r="H91" i="5" s="1"/>
  <c r="G83" i="4"/>
  <c r="G83" i="5" s="1"/>
  <c r="G90" i="4"/>
  <c r="G90" i="5" s="1"/>
  <c r="F91" i="4"/>
  <c r="F91" i="5" s="1"/>
  <c r="H83" i="4"/>
  <c r="H83" i="5" s="1"/>
  <c r="G87" i="4"/>
  <c r="G87" i="5" s="1"/>
  <c r="I88" i="4"/>
  <c r="I88" i="5" s="1"/>
  <c r="H98" i="4"/>
  <c r="H98" i="5" s="1"/>
  <c r="I87" i="4"/>
  <c r="I87" i="5" s="1"/>
  <c r="H88" i="4"/>
  <c r="H88" i="5" s="1"/>
  <c r="I90" i="4"/>
  <c r="I90" i="5" s="1"/>
  <c r="G91" i="4"/>
  <c r="G91" i="5" s="1"/>
  <c r="F90" i="4"/>
  <c r="F90" i="5" s="1"/>
  <c r="G88" i="4"/>
  <c r="G88" i="5" s="1"/>
  <c r="I98" i="4"/>
  <c r="I98" i="5" s="1"/>
  <c r="H89" i="4"/>
  <c r="H89" i="5" s="1"/>
  <c r="F87" i="4"/>
  <c r="F87" i="5" s="1"/>
  <c r="I82" i="4"/>
  <c r="I82" i="5" s="1"/>
  <c r="G26" i="7"/>
  <c r="H26" i="7"/>
  <c r="I26" i="7"/>
  <c r="J26" i="7"/>
  <c r="F26" i="7"/>
  <c r="A135" i="5"/>
  <c r="A11" i="5"/>
  <c r="C10" i="5"/>
  <c r="B108" i="4"/>
  <c r="B107" i="4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10" i="4"/>
  <c r="B109" i="4"/>
  <c r="D10" i="5"/>
  <c r="D135" i="5"/>
  <c r="K33" i="7" l="1"/>
  <c r="K28" i="7"/>
  <c r="B11" i="9"/>
  <c r="J109" i="4"/>
  <c r="E109" i="5"/>
  <c r="F11" i="9"/>
  <c r="I109" i="5"/>
  <c r="F26" i="9"/>
  <c r="I115" i="5"/>
  <c r="D10" i="9"/>
  <c r="G108" i="5"/>
  <c r="C24" i="9"/>
  <c r="F113" i="5"/>
  <c r="E24" i="9"/>
  <c r="H113" i="5"/>
  <c r="B10" i="9"/>
  <c r="J108" i="4"/>
  <c r="E108" i="5"/>
  <c r="C11" i="9"/>
  <c r="F109" i="5"/>
  <c r="C10" i="9"/>
  <c r="F108" i="5"/>
  <c r="E11" i="9"/>
  <c r="H109" i="5"/>
  <c r="K29" i="7"/>
  <c r="D26" i="9"/>
  <c r="G115" i="5"/>
  <c r="J111" i="4"/>
  <c r="E111" i="5"/>
  <c r="J115" i="4"/>
  <c r="B26" i="9"/>
  <c r="E115" i="5"/>
  <c r="J111" i="5"/>
  <c r="D24" i="9"/>
  <c r="G113" i="5"/>
  <c r="J113" i="4"/>
  <c r="B24" i="9"/>
  <c r="E113" i="5"/>
  <c r="F10" i="9"/>
  <c r="I108" i="5"/>
  <c r="D11" i="9"/>
  <c r="G109" i="5"/>
  <c r="J110" i="4"/>
  <c r="E110" i="5"/>
  <c r="J110" i="5" s="1"/>
  <c r="C26" i="9"/>
  <c r="F115" i="5"/>
  <c r="E26" i="9"/>
  <c r="H115" i="5"/>
  <c r="E10" i="9"/>
  <c r="H108" i="5"/>
  <c r="F24" i="9"/>
  <c r="I113" i="5"/>
  <c r="K31" i="7"/>
  <c r="J221" i="4"/>
  <c r="J227" i="4"/>
  <c r="J229" i="4"/>
  <c r="J222" i="4"/>
  <c r="J223" i="4"/>
  <c r="J213" i="4"/>
  <c r="J217" i="4"/>
  <c r="J225" i="4"/>
  <c r="J214" i="4"/>
  <c r="J220" i="4"/>
  <c r="J230" i="4"/>
  <c r="J219" i="4"/>
  <c r="J218" i="4"/>
  <c r="B135" i="5"/>
  <c r="B188" i="5" s="1"/>
  <c r="A188" i="5"/>
  <c r="K60" i="7"/>
  <c r="J178" i="4"/>
  <c r="J170" i="4"/>
  <c r="J167" i="4"/>
  <c r="J168" i="4"/>
  <c r="J162" i="4"/>
  <c r="J169" i="4"/>
  <c r="J166" i="4"/>
  <c r="J171" i="4"/>
  <c r="J163" i="4"/>
  <c r="J87" i="5"/>
  <c r="J86" i="5"/>
  <c r="J91" i="5"/>
  <c r="J90" i="5"/>
  <c r="J88" i="5"/>
  <c r="J98" i="5"/>
  <c r="J82" i="5"/>
  <c r="J83" i="5"/>
  <c r="J89" i="5"/>
  <c r="J91" i="4"/>
  <c r="J86" i="4"/>
  <c r="J98" i="4"/>
  <c r="J89" i="4"/>
  <c r="J90" i="4"/>
  <c r="J88" i="4"/>
  <c r="J82" i="4"/>
  <c r="J83" i="4"/>
  <c r="J87" i="4"/>
  <c r="C135" i="5"/>
  <c r="C188" i="5" s="1"/>
  <c r="C136" i="5"/>
  <c r="C189" i="5" s="1"/>
  <c r="C11" i="5"/>
  <c r="A136" i="5"/>
  <c r="A12" i="5"/>
  <c r="D11" i="5"/>
  <c r="D136" i="5"/>
  <c r="J115" i="5" l="1"/>
  <c r="H26" i="9"/>
  <c r="J109" i="5"/>
  <c r="J113" i="5"/>
  <c r="J108" i="5"/>
  <c r="H10" i="9"/>
  <c r="H11" i="9"/>
  <c r="H24" i="9"/>
  <c r="B136" i="5"/>
  <c r="B189" i="5" s="1"/>
  <c r="A189" i="5"/>
  <c r="A13" i="5"/>
  <c r="A137" i="5"/>
  <c r="D12" i="5"/>
  <c r="D137" i="5"/>
  <c r="C12" i="5"/>
  <c r="B137" i="5" l="1"/>
  <c r="B190" i="5" s="1"/>
  <c r="A190" i="5"/>
  <c r="D138" i="5"/>
  <c r="D13" i="5"/>
  <c r="C137" i="5"/>
  <c r="C190" i="5" s="1"/>
  <c r="C13" i="5"/>
  <c r="A14" i="5"/>
  <c r="A138" i="5"/>
  <c r="B138" i="5" l="1"/>
  <c r="B191" i="5" s="1"/>
  <c r="A191" i="5"/>
  <c r="A17" i="5"/>
  <c r="C14" i="5"/>
  <c r="A15" i="5"/>
  <c r="A16" i="5"/>
  <c r="C138" i="5"/>
  <c r="C191" i="5" s="1"/>
  <c r="D14" i="5"/>
  <c r="D139" i="5"/>
  <c r="A139" i="5"/>
  <c r="B139" i="5" l="1"/>
  <c r="B192" i="5" s="1"/>
  <c r="A192" i="5"/>
  <c r="A142" i="5"/>
  <c r="A141" i="5"/>
  <c r="C139" i="5"/>
  <c r="C192" i="5" s="1"/>
  <c r="C141" i="5"/>
  <c r="C194" i="5" s="1"/>
  <c r="C16" i="5"/>
  <c r="C142" i="5"/>
  <c r="C195" i="5" s="1"/>
  <c r="C17" i="5"/>
  <c r="A18" i="5"/>
  <c r="D15" i="5"/>
  <c r="D140" i="5"/>
  <c r="D141" i="5"/>
  <c r="D16" i="5"/>
  <c r="D17" i="5"/>
  <c r="D142" i="5"/>
  <c r="A140" i="5"/>
  <c r="C15" i="5"/>
  <c r="B140" i="5" l="1"/>
  <c r="B193" i="5" s="1"/>
  <c r="A193" i="5"/>
  <c r="B141" i="5"/>
  <c r="B194" i="5" s="1"/>
  <c r="A194" i="5"/>
  <c r="B142" i="5"/>
  <c r="B195" i="5" s="1"/>
  <c r="A195" i="5"/>
  <c r="A143" i="5"/>
  <c r="C140" i="5"/>
  <c r="C193" i="5" s="1"/>
  <c r="A19" i="5"/>
  <c r="C18" i="5"/>
  <c r="D18" i="5"/>
  <c r="D143" i="5"/>
  <c r="B143" i="5" l="1"/>
  <c r="B196" i="5" s="1"/>
  <c r="A196" i="5"/>
  <c r="C143" i="5"/>
  <c r="C196" i="5" s="1"/>
  <c r="D144" i="5"/>
  <c r="D19" i="5"/>
  <c r="C19" i="5"/>
  <c r="A144" i="5"/>
  <c r="B144" i="5" l="1"/>
  <c r="B197" i="5" s="1"/>
  <c r="A197" i="5"/>
  <c r="C144" i="5"/>
  <c r="C197" i="5" s="1"/>
  <c r="H181" i="5" l="1"/>
  <c r="F220" i="5"/>
  <c r="G225" i="5"/>
  <c r="H223" i="5"/>
  <c r="H227" i="5"/>
  <c r="G214" i="5"/>
  <c r="G221" i="5"/>
  <c r="F213" i="5"/>
  <c r="H220" i="5"/>
  <c r="G230" i="5"/>
  <c r="H230" i="5"/>
  <c r="E217" i="5"/>
  <c r="E220" i="5"/>
  <c r="E213" i="5"/>
  <c r="H222" i="5"/>
  <c r="I217" i="5"/>
  <c r="G213" i="5"/>
  <c r="G229" i="5"/>
  <c r="F214" i="5"/>
  <c r="G219" i="5"/>
  <c r="I223" i="5"/>
  <c r="E221" i="5"/>
  <c r="I221" i="5"/>
  <c r="F230" i="5"/>
  <c r="F218" i="5"/>
  <c r="I227" i="5"/>
  <c r="F225" i="5"/>
  <c r="E214" i="5"/>
  <c r="E230" i="5"/>
  <c r="E222" i="5"/>
  <c r="G223" i="5"/>
  <c r="H229" i="5"/>
  <c r="I218" i="5"/>
  <c r="G227" i="5"/>
  <c r="G218" i="5"/>
  <c r="F229" i="5"/>
  <c r="I213" i="5"/>
  <c r="F217" i="5"/>
  <c r="H219" i="5"/>
  <c r="F219" i="5"/>
  <c r="F222" i="5"/>
  <c r="H225" i="5"/>
  <c r="G222" i="5"/>
  <c r="F223" i="5"/>
  <c r="I222" i="5"/>
  <c r="G217" i="5"/>
  <c r="I230" i="5"/>
  <c r="E218" i="5"/>
  <c r="E227" i="5"/>
  <c r="E225" i="5"/>
  <c r="F221" i="5"/>
  <c r="E229" i="5"/>
  <c r="H221" i="5"/>
  <c r="F227" i="5"/>
  <c r="H214" i="5"/>
  <c r="E219" i="5"/>
  <c r="G220" i="5"/>
  <c r="E223" i="5"/>
  <c r="I214" i="5"/>
  <c r="H217" i="5"/>
  <c r="I220" i="5"/>
  <c r="H213" i="5"/>
  <c r="H218" i="5"/>
  <c r="I219" i="5"/>
  <c r="I229" i="5"/>
  <c r="I225" i="5"/>
  <c r="G162" i="5"/>
  <c r="I181" i="5"/>
  <c r="E181" i="5"/>
  <c r="G181" i="5"/>
  <c r="F181" i="5"/>
  <c r="H178" i="5"/>
  <c r="E178" i="5"/>
  <c r="I178" i="5"/>
  <c r="G178" i="5"/>
  <c r="F178" i="5"/>
  <c r="F168" i="5"/>
  <c r="F162" i="5"/>
  <c r="I167" i="5"/>
  <c r="F163" i="5"/>
  <c r="E168" i="5"/>
  <c r="I169" i="5"/>
  <c r="F169" i="5"/>
  <c r="E162" i="5"/>
  <c r="E163" i="5"/>
  <c r="H167" i="5"/>
  <c r="G171" i="5"/>
  <c r="G165" i="5"/>
  <c r="I170" i="5"/>
  <c r="H163" i="5"/>
  <c r="H169" i="5"/>
  <c r="I166" i="5"/>
  <c r="F167" i="5"/>
  <c r="E170" i="5"/>
  <c r="I163" i="5"/>
  <c r="I171" i="5"/>
  <c r="F171" i="5"/>
  <c r="F165" i="5"/>
  <c r="H162" i="5"/>
  <c r="F166" i="5"/>
  <c r="G169" i="5"/>
  <c r="G168" i="5"/>
  <c r="H170" i="5"/>
  <c r="E165" i="5"/>
  <c r="H171" i="5"/>
  <c r="E167" i="5"/>
  <c r="G170" i="5"/>
  <c r="F170" i="5"/>
  <c r="I162" i="5"/>
  <c r="H165" i="5"/>
  <c r="E171" i="5"/>
  <c r="G166" i="5"/>
  <c r="G163" i="5"/>
  <c r="G167" i="5"/>
  <c r="E169" i="5"/>
  <c r="H168" i="5"/>
  <c r="H166" i="5"/>
  <c r="I168" i="5"/>
  <c r="E166" i="5"/>
  <c r="J223" i="5" l="1"/>
  <c r="J221" i="5"/>
  <c r="J217" i="5"/>
  <c r="J225" i="5"/>
  <c r="J230" i="5"/>
  <c r="J222" i="5"/>
  <c r="J214" i="5"/>
  <c r="J227" i="5"/>
  <c r="J218" i="5"/>
  <c r="J219" i="5"/>
  <c r="J229" i="5"/>
  <c r="J213" i="5"/>
  <c r="J220" i="5"/>
  <c r="J181" i="5"/>
  <c r="J169" i="5"/>
  <c r="J178" i="5"/>
  <c r="J162" i="5"/>
  <c r="J171" i="5"/>
  <c r="J168" i="5"/>
  <c r="J170" i="5"/>
  <c r="J167" i="5"/>
  <c r="J163" i="5"/>
  <c r="J166" i="5"/>
  <c r="K26" i="7"/>
  <c r="D48" i="1" l="1"/>
  <c r="D49" i="1"/>
  <c r="D50" i="1" l="1"/>
  <c r="D51" i="1" l="1"/>
  <c r="G50" i="7" l="1"/>
  <c r="J50" i="7"/>
  <c r="H50" i="7"/>
  <c r="I50" i="7"/>
  <c r="F50" i="7"/>
  <c r="J51" i="7" l="1"/>
  <c r="G51" i="7"/>
  <c r="I51" i="7"/>
  <c r="F51" i="7"/>
  <c r="H51" i="7"/>
  <c r="K50" i="7"/>
  <c r="K51" i="7" l="1"/>
  <c r="D60" i="1" l="1"/>
  <c r="A67" i="1" l="1"/>
  <c r="A68" i="1" l="1"/>
  <c r="G43" i="7"/>
  <c r="H47" i="7" l="1"/>
  <c r="H43" i="7"/>
  <c r="J47" i="7"/>
  <c r="G47" i="7"/>
  <c r="I43" i="7"/>
  <c r="I47" i="7"/>
  <c r="J43" i="7" l="1"/>
  <c r="F43" i="7" l="1"/>
  <c r="F47" i="7"/>
  <c r="K47" i="7" l="1"/>
  <c r="K43" i="7"/>
  <c r="G42" i="7" l="1"/>
  <c r="F42" i="7"/>
  <c r="H42" i="7" l="1"/>
  <c r="I42" i="7"/>
  <c r="J42" i="7" l="1"/>
  <c r="K42" i="7" l="1"/>
  <c r="G49" i="7" l="1"/>
  <c r="F49" i="7"/>
  <c r="H49" i="7" l="1"/>
  <c r="I49" i="7" l="1"/>
  <c r="J49" i="7" l="1"/>
  <c r="K49" i="7" l="1"/>
  <c r="G48" i="7" l="1"/>
  <c r="F48" i="7" l="1"/>
  <c r="H48" i="7"/>
  <c r="I48" i="7" l="1"/>
  <c r="J48" i="7" l="1"/>
  <c r="K48" i="7" l="1"/>
  <c r="I45" i="1" l="1"/>
  <c r="G45" i="1" l="1"/>
  <c r="Q68" i="1" l="1"/>
  <c r="M66" i="1"/>
  <c r="Q66" i="1"/>
  <c r="Q67" i="1"/>
  <c r="M67" i="1"/>
  <c r="M68" i="1" l="1"/>
  <c r="A161" i="4" l="1"/>
  <c r="A212" i="4" s="1"/>
  <c r="A81" i="5"/>
  <c r="B81" i="5" s="1"/>
  <c r="B81" i="4"/>
  <c r="I212" i="4" l="1"/>
  <c r="J109" i="7" s="1" a="1"/>
  <c r="J109" i="7" s="1"/>
  <c r="F114" i="7" a="1"/>
  <c r="F114" i="7" s="1"/>
  <c r="F122" i="7" a="1"/>
  <c r="F122" i="7" s="1"/>
  <c r="H110" i="7" a="1"/>
  <c r="H110" i="7" s="1"/>
  <c r="J111" i="7" a="1"/>
  <c r="J111" i="7" s="1"/>
  <c r="J114" i="7" a="1"/>
  <c r="J114" i="7" s="1"/>
  <c r="H116" i="7" a="1"/>
  <c r="H116" i="7" s="1"/>
  <c r="J117" i="7" a="1"/>
  <c r="J117" i="7" s="1"/>
  <c r="H119" i="7" a="1"/>
  <c r="H119" i="7" s="1"/>
  <c r="J120" i="7" a="1"/>
  <c r="J120" i="7" s="1"/>
  <c r="H122" i="7" a="1"/>
  <c r="H122" i="7" s="1"/>
  <c r="J126" i="7" a="1"/>
  <c r="J126" i="7" s="1"/>
  <c r="G114" i="7" a="1"/>
  <c r="G114" i="7" s="1"/>
  <c r="I118" i="7" a="1"/>
  <c r="I118" i="7" s="1"/>
  <c r="I124" i="7" a="1"/>
  <c r="I124" i="7" s="1"/>
  <c r="F115" i="7" a="1"/>
  <c r="F115" i="7" s="1"/>
  <c r="G120" i="7" a="1"/>
  <c r="G120" i="7" s="1"/>
  <c r="F127" i="7" a="1"/>
  <c r="F127" i="7" s="1"/>
  <c r="H114" i="7" a="1"/>
  <c r="H114" i="7" s="1"/>
  <c r="J118" i="7" a="1"/>
  <c r="J118" i="7" s="1"/>
  <c r="J124" i="7" a="1"/>
  <c r="J124" i="7" s="1"/>
  <c r="F124" i="7" a="1"/>
  <c r="F124" i="7" s="1"/>
  <c r="I110" i="7" a="1"/>
  <c r="I110" i="7" s="1"/>
  <c r="G115" i="7" a="1"/>
  <c r="G115" i="7" s="1"/>
  <c r="I116" i="7" a="1"/>
  <c r="I116" i="7" s="1"/>
  <c r="G118" i="7" a="1"/>
  <c r="G118" i="7" s="1"/>
  <c r="I119" i="7" a="1"/>
  <c r="I119" i="7" s="1"/>
  <c r="I122" i="7" a="1"/>
  <c r="I122" i="7" s="1"/>
  <c r="G124" i="7" a="1"/>
  <c r="G124" i="7" s="1"/>
  <c r="G127" i="7" a="1"/>
  <c r="G127" i="7" s="1"/>
  <c r="F116" i="7" a="1"/>
  <c r="F116" i="7" s="1"/>
  <c r="F119" i="7" a="1"/>
  <c r="F119" i="7" s="1"/>
  <c r="I115" i="7" a="1"/>
  <c r="I115" i="7" s="1"/>
  <c r="I127" i="7" a="1"/>
  <c r="I127" i="7" s="1"/>
  <c r="F120" i="7" a="1"/>
  <c r="F120" i="7" s="1"/>
  <c r="H111" i="7" a="1"/>
  <c r="H111" i="7" s="1"/>
  <c r="J115" i="7" a="1"/>
  <c r="J115" i="7" s="1"/>
  <c r="H120" i="7" a="1"/>
  <c r="H120" i="7" s="1"/>
  <c r="H126" i="7" a="1"/>
  <c r="H126" i="7" s="1"/>
  <c r="F117" i="7" a="1"/>
  <c r="F117" i="7" s="1"/>
  <c r="J110" i="7" a="1"/>
  <c r="J110" i="7" s="1"/>
  <c r="H115" i="7" a="1"/>
  <c r="H115" i="7" s="1"/>
  <c r="J116" i="7" a="1"/>
  <c r="J116" i="7" s="1"/>
  <c r="H118" i="7" a="1"/>
  <c r="H118" i="7" s="1"/>
  <c r="J119" i="7" a="1"/>
  <c r="J119" i="7" s="1"/>
  <c r="J122" i="7" a="1"/>
  <c r="J122" i="7" s="1"/>
  <c r="H124" i="7" a="1"/>
  <c r="H124" i="7" s="1"/>
  <c r="H127" i="7" a="1"/>
  <c r="H127" i="7" s="1"/>
  <c r="F118" i="7" a="1"/>
  <c r="F118" i="7" s="1"/>
  <c r="F126" i="7" a="1"/>
  <c r="F126" i="7" s="1"/>
  <c r="F110" i="7" a="1"/>
  <c r="F110" i="7" s="1"/>
  <c r="G111" i="7" a="1"/>
  <c r="G111" i="7" s="1"/>
  <c r="G117" i="7" a="1"/>
  <c r="G117" i="7" s="1"/>
  <c r="G126" i="7" a="1"/>
  <c r="G126" i="7" s="1"/>
  <c r="F111" i="7" a="1"/>
  <c r="F111" i="7" s="1"/>
  <c r="H117" i="7" a="1"/>
  <c r="H117" i="7" s="1"/>
  <c r="J127" i="7" a="1"/>
  <c r="J127" i="7" s="1"/>
  <c r="I111" i="7" a="1"/>
  <c r="I111" i="7" s="1"/>
  <c r="I120" i="7" a="1"/>
  <c r="I120" i="7" s="1"/>
  <c r="G116" i="7" a="1"/>
  <c r="G116" i="7" s="1"/>
  <c r="G119" i="7" a="1"/>
  <c r="G119" i="7" s="1"/>
  <c r="I126" i="7" a="1"/>
  <c r="I126" i="7" s="1"/>
  <c r="G122" i="7" a="1"/>
  <c r="G122" i="7" s="1"/>
  <c r="I117" i="7" a="1"/>
  <c r="I117" i="7" s="1"/>
  <c r="I114" i="7" a="1"/>
  <c r="I114" i="7" s="1"/>
  <c r="G110" i="7" a="1"/>
  <c r="G110" i="7" s="1"/>
  <c r="G212" i="4"/>
  <c r="F212" i="4"/>
  <c r="E212" i="4"/>
  <c r="F109" i="7" s="1" a="1"/>
  <c r="F109" i="7" s="1"/>
  <c r="H212" i="4"/>
  <c r="I109" i="7" s="1" a="1"/>
  <c r="I109" i="7" s="1"/>
  <c r="F161" i="4"/>
  <c r="G161" i="4"/>
  <c r="H161" i="4"/>
  <c r="I161" i="4"/>
  <c r="CN32" i="21"/>
  <c r="CG32" i="21"/>
  <c r="BZ32" i="21"/>
  <c r="BS32" i="21"/>
  <c r="BL32" i="21"/>
  <c r="B82" i="4"/>
  <c r="B161" i="4"/>
  <c r="A161" i="5"/>
  <c r="A212" i="5" s="1"/>
  <c r="K124" i="7" l="1"/>
  <c r="B184" i="4"/>
  <c r="B212" i="4"/>
  <c r="K120" i="7"/>
  <c r="K110" i="7"/>
  <c r="K126" i="7"/>
  <c r="K118" i="7"/>
  <c r="K127" i="7"/>
  <c r="H109" i="7" a="1"/>
  <c r="H109" i="7" s="1"/>
  <c r="K119" i="7"/>
  <c r="K117" i="7"/>
  <c r="K116" i="7"/>
  <c r="K122" i="7"/>
  <c r="K114" i="7"/>
  <c r="K111" i="7"/>
  <c r="K115" i="7"/>
  <c r="J212" i="4"/>
  <c r="G109" i="7" a="1"/>
  <c r="G109" i="7" s="1"/>
  <c r="F212" i="5"/>
  <c r="G212" i="5"/>
  <c r="H212" i="5"/>
  <c r="I212" i="5"/>
  <c r="E212" i="5"/>
  <c r="Y32" i="21"/>
  <c r="AO32" i="21"/>
  <c r="CA32" i="21"/>
  <c r="CB32" i="21" s="1"/>
  <c r="CC32" i="21" s="1"/>
  <c r="CD32" i="21" s="1"/>
  <c r="CH32" i="21"/>
  <c r="CI32" i="21" s="1"/>
  <c r="CJ32" i="21" s="1"/>
  <c r="CK32" i="21" s="1"/>
  <c r="AW32" i="21"/>
  <c r="BM32" i="21"/>
  <c r="BN32" i="21" s="1"/>
  <c r="BO32" i="21" s="1"/>
  <c r="BP32" i="21" s="1"/>
  <c r="CV32" i="21"/>
  <c r="BT32" i="21"/>
  <c r="BU32" i="21" s="1"/>
  <c r="BV32" i="21" s="1"/>
  <c r="BW32" i="21" s="1"/>
  <c r="CO32" i="21"/>
  <c r="AG32" i="21"/>
  <c r="B161" i="5"/>
  <c r="B212" i="5" s="1"/>
  <c r="B162" i="4"/>
  <c r="B213" i="4" s="1"/>
  <c r="B83" i="4"/>
  <c r="K109" i="7" l="1"/>
  <c r="J212" i="5"/>
  <c r="E96" i="4"/>
  <c r="E96" i="5" s="1"/>
  <c r="E94" i="4"/>
  <c r="E94" i="5" s="1"/>
  <c r="F57" i="7"/>
  <c r="F55" i="7"/>
  <c r="G59" i="7"/>
  <c r="F99" i="4"/>
  <c r="F99" i="5" s="1"/>
  <c r="BQ32" i="21"/>
  <c r="CW32" i="21"/>
  <c r="BX32" i="21"/>
  <c r="CL32" i="21"/>
  <c r="CE32" i="21"/>
  <c r="CP32" i="21"/>
  <c r="B162" i="5"/>
  <c r="B213" i="5" s="1"/>
  <c r="F44" i="7"/>
  <c r="G44" i="7"/>
  <c r="F59" i="7"/>
  <c r="E81" i="4"/>
  <c r="E81" i="5" s="1"/>
  <c r="H44" i="7"/>
  <c r="B84" i="4"/>
  <c r="B163" i="4"/>
  <c r="B214" i="4" s="1"/>
  <c r="E176" i="4" l="1"/>
  <c r="E99" i="4"/>
  <c r="E99" i="5" s="1"/>
  <c r="E174" i="4"/>
  <c r="F96" i="4"/>
  <c r="F96" i="5" s="1"/>
  <c r="G57" i="7"/>
  <c r="F53" i="7"/>
  <c r="F94" i="4"/>
  <c r="F94" i="5" s="1"/>
  <c r="G55" i="7"/>
  <c r="I59" i="7"/>
  <c r="H99" i="4"/>
  <c r="H99" i="5" s="1"/>
  <c r="H59" i="7"/>
  <c r="CX32" i="21"/>
  <c r="CR32" i="21"/>
  <c r="CZ32" i="21" s="1"/>
  <c r="CQ32" i="21"/>
  <c r="CY32" i="21" s="1"/>
  <c r="E161" i="4"/>
  <c r="B164" i="4"/>
  <c r="B215" i="4" s="1"/>
  <c r="J44" i="7"/>
  <c r="B85" i="4"/>
  <c r="I44" i="7"/>
  <c r="F52" i="7"/>
  <c r="F81" i="4"/>
  <c r="F81" i="5" s="1"/>
  <c r="G52" i="7"/>
  <c r="E176" i="5"/>
  <c r="B163" i="5"/>
  <c r="B214" i="5" s="1"/>
  <c r="E179" i="4" l="1"/>
  <c r="F86" i="7" s="1"/>
  <c r="E92" i="4"/>
  <c r="E92" i="5" s="1"/>
  <c r="F179" i="4"/>
  <c r="G86" i="7" s="1"/>
  <c r="G174" i="4"/>
  <c r="F176" i="4"/>
  <c r="F174" i="4"/>
  <c r="G176" i="4"/>
  <c r="E174" i="5"/>
  <c r="H96" i="4"/>
  <c r="H96" i="5" s="1"/>
  <c r="I57" i="7"/>
  <c r="F92" i="4"/>
  <c r="F92" i="5" s="1"/>
  <c r="F179" i="5"/>
  <c r="G53" i="7"/>
  <c r="E179" i="5"/>
  <c r="I99" i="4"/>
  <c r="I99" i="5" s="1"/>
  <c r="G94" i="4"/>
  <c r="G94" i="5" s="1"/>
  <c r="H55" i="7"/>
  <c r="H94" i="4"/>
  <c r="H94" i="5" s="1"/>
  <c r="I55" i="7"/>
  <c r="G96" i="4"/>
  <c r="G96" i="5" s="1"/>
  <c r="H57" i="7"/>
  <c r="I94" i="4"/>
  <c r="I94" i="5" s="1"/>
  <c r="J55" i="7"/>
  <c r="J59" i="7"/>
  <c r="DA32" i="21"/>
  <c r="CS32" i="21"/>
  <c r="BE32" i="21"/>
  <c r="BG32" i="21" s="1"/>
  <c r="I81" i="4"/>
  <c r="I81" i="5" s="1"/>
  <c r="B165" i="4"/>
  <c r="B216" i="4" s="1"/>
  <c r="F174" i="5"/>
  <c r="K44" i="7"/>
  <c r="G81" i="4"/>
  <c r="G81" i="5" s="1"/>
  <c r="B86" i="4"/>
  <c r="B164" i="5"/>
  <c r="B215" i="5" s="1"/>
  <c r="H81" i="4"/>
  <c r="H81" i="5" s="1"/>
  <c r="E161" i="5"/>
  <c r="H179" i="4" l="1"/>
  <c r="I86" i="7" s="1"/>
  <c r="F176" i="5"/>
  <c r="H174" i="4"/>
  <c r="I174" i="4"/>
  <c r="E172" i="4"/>
  <c r="G99" i="4"/>
  <c r="G99" i="5" s="1"/>
  <c r="J99" i="5" s="1"/>
  <c r="H176" i="4"/>
  <c r="I96" i="4"/>
  <c r="I96" i="5" s="1"/>
  <c r="J96" i="5" s="1"/>
  <c r="I179" i="4"/>
  <c r="J86" i="7" s="1"/>
  <c r="J57" i="7"/>
  <c r="J94" i="5"/>
  <c r="H179" i="5"/>
  <c r="J94" i="4"/>
  <c r="K55" i="7"/>
  <c r="H53" i="7"/>
  <c r="K59" i="7"/>
  <c r="G92" i="4"/>
  <c r="G92" i="5" s="1"/>
  <c r="E172" i="5"/>
  <c r="J81" i="4"/>
  <c r="F172" i="5"/>
  <c r="F161" i="5"/>
  <c r="I174" i="5"/>
  <c r="B87" i="4"/>
  <c r="B165" i="5"/>
  <c r="B216" i="5" s="1"/>
  <c r="H52" i="7"/>
  <c r="G174" i="5"/>
  <c r="B166" i="4"/>
  <c r="B217" i="4" s="1"/>
  <c r="H174" i="5"/>
  <c r="G176" i="5"/>
  <c r="K57" i="7" l="1"/>
  <c r="G179" i="4"/>
  <c r="J174" i="4"/>
  <c r="J99" i="4"/>
  <c r="J96" i="4"/>
  <c r="H176" i="5"/>
  <c r="I176" i="4"/>
  <c r="J176" i="4" s="1"/>
  <c r="I179" i="5"/>
  <c r="J174" i="5"/>
  <c r="G179" i="5"/>
  <c r="I92" i="4"/>
  <c r="I92" i="5" s="1"/>
  <c r="J53" i="7"/>
  <c r="J52" i="7"/>
  <c r="J81" i="5"/>
  <c r="B167" i="4"/>
  <c r="B218" i="4" s="1"/>
  <c r="G161" i="5"/>
  <c r="I161" i="5"/>
  <c r="I52" i="7"/>
  <c r="B166" i="5"/>
  <c r="B217" i="5" s="1"/>
  <c r="B96" i="4"/>
  <c r="H161" i="5"/>
  <c r="J179" i="4" l="1"/>
  <c r="H86" i="7"/>
  <c r="I53" i="7"/>
  <c r="I176" i="5"/>
  <c r="J176" i="5" s="1"/>
  <c r="H92" i="4"/>
  <c r="H92" i="5" s="1"/>
  <c r="J92" i="5" s="1"/>
  <c r="H172" i="4"/>
  <c r="G172" i="4"/>
  <c r="J179" i="5"/>
  <c r="J161" i="4"/>
  <c r="G172" i="5"/>
  <c r="J161" i="5"/>
  <c r="B167" i="5"/>
  <c r="B218" i="5" s="1"/>
  <c r="B97" i="4"/>
  <c r="I172" i="5"/>
  <c r="B168" i="4"/>
  <c r="B219" i="4" s="1"/>
  <c r="K52" i="7"/>
  <c r="K86" i="7" l="1"/>
  <c r="K53" i="7"/>
  <c r="J92" i="4"/>
  <c r="I172" i="4"/>
  <c r="H172" i="5"/>
  <c r="B168" i="5"/>
  <c r="B219" i="5" s="1"/>
  <c r="B169" i="4"/>
  <c r="B220" i="4" s="1"/>
  <c r="B98" i="4"/>
  <c r="J172" i="5" l="1"/>
  <c r="B99" i="4"/>
  <c r="B170" i="4"/>
  <c r="B221" i="4" s="1"/>
  <c r="B169" i="5"/>
  <c r="B220" i="5" s="1"/>
  <c r="B171" i="4" l="1"/>
  <c r="B222" i="4" s="1"/>
  <c r="B170" i="5"/>
  <c r="B221" i="5" s="1"/>
  <c r="B171" i="5" l="1"/>
  <c r="B222" i="5" s="1"/>
  <c r="B172" i="4"/>
  <c r="B223" i="4" s="1"/>
  <c r="I74" i="7" l="1"/>
  <c r="F70" i="7"/>
  <c r="J68" i="7"/>
  <c r="J74" i="7"/>
  <c r="I70" i="7"/>
  <c r="G83" i="7"/>
  <c r="H81" i="7"/>
  <c r="F78" i="7"/>
  <c r="G78" i="7"/>
  <c r="H85" i="7"/>
  <c r="G81" i="7"/>
  <c r="H74" i="7"/>
  <c r="J85" i="7"/>
  <c r="I76" i="7"/>
  <c r="G72" i="7"/>
  <c r="G74" i="7"/>
  <c r="I73" i="7"/>
  <c r="F77" i="7"/>
  <c r="I75" i="7"/>
  <c r="H68" i="7"/>
  <c r="J81" i="7"/>
  <c r="J77" i="7"/>
  <c r="G77" i="7"/>
  <c r="H83" i="7"/>
  <c r="F68" i="7"/>
  <c r="F73" i="7"/>
  <c r="G70" i="7"/>
  <c r="I77" i="7"/>
  <c r="H70" i="7"/>
  <c r="H77" i="7"/>
  <c r="G75" i="7"/>
  <c r="F72" i="7"/>
  <c r="G68" i="7"/>
  <c r="J69" i="7"/>
  <c r="G69" i="7"/>
  <c r="H79" i="7"/>
  <c r="F74" i="7"/>
  <c r="I81" i="7"/>
  <c r="J76" i="7"/>
  <c r="F79" i="7"/>
  <c r="J73" i="7"/>
  <c r="F81" i="7"/>
  <c r="J75" i="7"/>
  <c r="H72" i="7"/>
  <c r="J79" i="7"/>
  <c r="F83" i="7"/>
  <c r="H73" i="7"/>
  <c r="G85" i="7"/>
  <c r="J70" i="7"/>
  <c r="H75" i="7"/>
  <c r="F75" i="7"/>
  <c r="H78" i="7"/>
  <c r="H76" i="7"/>
  <c r="H69" i="7"/>
  <c r="G73" i="7"/>
  <c r="J83" i="7"/>
  <c r="F76" i="7"/>
  <c r="I85" i="7"/>
  <c r="I72" i="7"/>
  <c r="F69" i="7"/>
  <c r="I69" i="7"/>
  <c r="I83" i="7"/>
  <c r="I68" i="7"/>
  <c r="J78" i="7"/>
  <c r="G76" i="7"/>
  <c r="I78" i="7"/>
  <c r="I79" i="7"/>
  <c r="F85" i="7"/>
  <c r="B172" i="5"/>
  <c r="B223" i="5" s="1"/>
  <c r="K81" i="7" l="1"/>
  <c r="K76" i="7"/>
  <c r="K73" i="7"/>
  <c r="K75" i="7"/>
  <c r="K74" i="7"/>
  <c r="K70" i="7"/>
  <c r="K68" i="7"/>
  <c r="K77" i="7"/>
  <c r="K85" i="7"/>
  <c r="K78" i="7"/>
  <c r="K83" i="7"/>
  <c r="K69" i="7"/>
  <c r="H45" i="1" l="1"/>
  <c r="J45" i="1"/>
  <c r="C32" i="21" l="1" a="1"/>
  <c r="C32" i="21" s="1"/>
  <c r="L32" i="21" s="1"/>
  <c r="G31" i="21" l="1" a="1"/>
  <c r="G31" i="21" s="1"/>
  <c r="P31" i="21" s="1"/>
  <c r="G32" i="21" a="1"/>
  <c r="G32" i="21" s="1"/>
  <c r="P32" i="21" s="1"/>
  <c r="F31" i="21" a="1"/>
  <c r="F31" i="21" s="1"/>
  <c r="O31" i="21" s="1"/>
  <c r="F32" i="21" a="1"/>
  <c r="F32" i="21" s="1"/>
  <c r="O32" i="21" s="1"/>
  <c r="E31" i="21" a="1"/>
  <c r="E31" i="21" s="1"/>
  <c r="N31" i="21" s="1"/>
  <c r="E32" i="21" a="1"/>
  <c r="E32" i="21" s="1"/>
  <c r="N32" i="21" s="1"/>
  <c r="C31" i="21" a="1"/>
  <c r="C31" i="21" s="1"/>
  <c r="L31" i="21" s="1"/>
  <c r="M65" i="1"/>
  <c r="Q65" i="1"/>
  <c r="D31" i="21" l="1" a="1"/>
  <c r="D31" i="21" s="1"/>
  <c r="M31" i="21" s="1"/>
  <c r="D32" i="21" a="1"/>
  <c r="D32" i="21" s="1"/>
  <c r="M32" i="21" s="1"/>
  <c r="H31" i="21" l="1"/>
  <c r="BH31" i="21" s="1"/>
  <c r="H32" i="21"/>
  <c r="Q31" i="21"/>
  <c r="CN31" i="21"/>
  <c r="BS31" i="21"/>
  <c r="CG31" i="21"/>
  <c r="BL31" i="21"/>
  <c r="BZ31" i="21"/>
  <c r="BH32" i="21" l="1"/>
  <c r="BI32" i="21" s="1"/>
  <c r="Q32" i="21"/>
  <c r="CA31" i="21"/>
  <c r="CH31" i="21"/>
  <c r="BM31" i="21"/>
  <c r="CV31" i="21"/>
  <c r="CO31" i="21"/>
  <c r="BT31" i="21"/>
  <c r="E32" i="4" l="1" a="1"/>
  <c r="E32" i="4" s="1"/>
  <c r="E32" i="5" s="1"/>
  <c r="E34" i="4" a="1"/>
  <c r="E34" i="4" s="1"/>
  <c r="E34" i="5" s="1"/>
  <c r="E33" i="4" a="1"/>
  <c r="E33" i="4" s="1"/>
  <c r="E33" i="5" s="1"/>
  <c r="E31" i="4" a="1"/>
  <c r="E31" i="4" s="1"/>
  <c r="E35" i="4" a="1"/>
  <c r="E35" i="4" s="1"/>
  <c r="E35" i="5" s="1"/>
  <c r="CI31" i="21"/>
  <c r="CJ31" i="21" s="1"/>
  <c r="CK31" i="21" s="1"/>
  <c r="CL31" i="21" s="1"/>
  <c r="BN31" i="21"/>
  <c r="BO31" i="21" s="1"/>
  <c r="BP31" i="21" s="1"/>
  <c r="CB31" i="21"/>
  <c r="CC31" i="21" s="1"/>
  <c r="AO31" i="21"/>
  <c r="Y31" i="21"/>
  <c r="CP31" i="21"/>
  <c r="CW31" i="21"/>
  <c r="AG31" i="21"/>
  <c r="BU31" i="21"/>
  <c r="BV31" i="21" s="1"/>
  <c r="BW31" i="21" s="1"/>
  <c r="AW31" i="21"/>
  <c r="E129" i="4"/>
  <c r="E31" i="5" l="1"/>
  <c r="F32" i="4" a="1"/>
  <c r="F32" i="4" s="1"/>
  <c r="F32" i="5" s="1"/>
  <c r="F34" i="4" a="1"/>
  <c r="F34" i="4" s="1"/>
  <c r="F34" i="5" s="1"/>
  <c r="F33" i="4" a="1"/>
  <c r="F33" i="4" s="1"/>
  <c r="F33" i="5" s="1"/>
  <c r="F31" i="4" a="1"/>
  <c r="F31" i="4" s="1"/>
  <c r="F35" i="4" a="1"/>
  <c r="F35" i="4" s="1"/>
  <c r="F35" i="5" s="1"/>
  <c r="CD31" i="21"/>
  <c r="CE31" i="21" s="1"/>
  <c r="F129" i="4"/>
  <c r="F129" i="5" s="1"/>
  <c r="BQ31" i="21"/>
  <c r="BX31" i="21"/>
  <c r="CQ31" i="21"/>
  <c r="CX31" i="21"/>
  <c r="E129" i="5"/>
  <c r="F31" i="5" l="1"/>
  <c r="G35" i="4" a="1"/>
  <c r="G35" i="4" s="1"/>
  <c r="G34" i="4" a="1"/>
  <c r="G34" i="4" s="1"/>
  <c r="G34" i="5" s="1"/>
  <c r="G32" i="4" a="1"/>
  <c r="G32" i="4" s="1"/>
  <c r="G32" i="5" s="1"/>
  <c r="G33" i="4" a="1"/>
  <c r="G33" i="4" s="1"/>
  <c r="G33" i="5" s="1"/>
  <c r="G31" i="4" a="1"/>
  <c r="G31" i="4" s="1"/>
  <c r="CR31" i="21"/>
  <c r="CZ31" i="21" s="1"/>
  <c r="BE31" i="21"/>
  <c r="BG31" i="21" s="1"/>
  <c r="BI31" i="21" s="1"/>
  <c r="CY31" i="21"/>
  <c r="G31" i="5" l="1"/>
  <c r="I32" i="4" a="1"/>
  <c r="I32" i="4" s="1"/>
  <c r="I32" i="5" s="1"/>
  <c r="I34" i="4" a="1"/>
  <c r="I34" i="4" s="1"/>
  <c r="I34" i="5" s="1"/>
  <c r="I33" i="4" a="1"/>
  <c r="I33" i="4" s="1"/>
  <c r="I33" i="5" s="1"/>
  <c r="I31" i="4" a="1"/>
  <c r="I31" i="4" s="1"/>
  <c r="H32" i="4" a="1"/>
  <c r="H32" i="4" s="1"/>
  <c r="H32" i="5" s="1"/>
  <c r="H34" i="4" a="1"/>
  <c r="H34" i="4" s="1"/>
  <c r="H34" i="5" s="1"/>
  <c r="H33" i="4" a="1"/>
  <c r="H33" i="4" s="1"/>
  <c r="H33" i="5" s="1"/>
  <c r="H31" i="4" a="1"/>
  <c r="H31" i="4" s="1"/>
  <c r="I35" i="4" a="1"/>
  <c r="I35" i="4" s="1"/>
  <c r="I35" i="5" s="1"/>
  <c r="H35" i="4" a="1"/>
  <c r="H35" i="4" s="1"/>
  <c r="H35" i="5" s="1"/>
  <c r="I129" i="4"/>
  <c r="I129" i="5" s="1"/>
  <c r="CS31" i="21"/>
  <c r="DA31" i="21"/>
  <c r="H129" i="4"/>
  <c r="H129" i="5" s="1"/>
  <c r="H31" i="5" l="1"/>
  <c r="I31" i="5"/>
  <c r="J33" i="5"/>
  <c r="J34" i="5"/>
  <c r="J32" i="5"/>
  <c r="J35" i="4" a="1"/>
  <c r="J35" i="4" s="1"/>
  <c r="J31" i="4" a="1"/>
  <c r="J31" i="4" s="1"/>
  <c r="J33" i="4" a="1"/>
  <c r="J33" i="4" s="1"/>
  <c r="J32" i="4" a="1"/>
  <c r="J32" i="4" s="1"/>
  <c r="J34" i="4" a="1"/>
  <c r="J34" i="4" s="1"/>
  <c r="G35" i="5"/>
  <c r="J35" i="5" s="1"/>
  <c r="G129" i="4"/>
  <c r="J31" i="5" l="1"/>
  <c r="G129" i="5"/>
  <c r="J129" i="5" s="1"/>
  <c r="J129" i="4"/>
  <c r="F172" i="4" l="1"/>
  <c r="J172" i="4" s="1"/>
  <c r="A69" i="1"/>
  <c r="G79" i="7" l="1"/>
  <c r="K79" i="7" l="1"/>
  <c r="G164" i="7" l="1"/>
  <c r="F164" i="7"/>
  <c r="H164" i="7" l="1"/>
  <c r="J164" i="7" l="1"/>
  <c r="I164" i="7" l="1"/>
  <c r="K164" i="7" s="1"/>
  <c r="J50" i="1" l="1"/>
  <c r="K50" i="1"/>
  <c r="H50" i="1"/>
  <c r="G50" i="1"/>
  <c r="I50" i="1"/>
  <c r="L50" i="1" l="1"/>
  <c r="C25" i="21" a="1"/>
  <c r="C25" i="21" s="1"/>
  <c r="G27" i="21" a="1"/>
  <c r="G27" i="21" s="1"/>
  <c r="P27" i="21" s="1"/>
  <c r="D27" i="21" a="1"/>
  <c r="D27" i="21" s="1"/>
  <c r="M27" i="21" s="1"/>
  <c r="F19" i="21" a="1"/>
  <c r="F19" i="21" s="1"/>
  <c r="O19" i="21" s="1"/>
  <c r="E25" i="21" a="1"/>
  <c r="E25" i="21" s="1"/>
  <c r="N25" i="21" s="1"/>
  <c r="D19" i="21" a="1"/>
  <c r="D19" i="21" s="1"/>
  <c r="M19" i="21" s="1"/>
  <c r="D20" i="21" a="1"/>
  <c r="D20" i="21" s="1"/>
  <c r="M20" i="21" s="1"/>
  <c r="E15" i="21" a="1"/>
  <c r="E15" i="21" s="1"/>
  <c r="N15" i="21" s="1"/>
  <c r="F14" i="21" a="1"/>
  <c r="F14" i="21" s="1"/>
  <c r="O14" i="21" s="1"/>
  <c r="E28" i="21" a="1"/>
  <c r="E28" i="21" s="1"/>
  <c r="N28" i="21" s="1"/>
  <c r="D12" i="21" a="1"/>
  <c r="D12" i="21" s="1"/>
  <c r="M12" i="21" s="1"/>
  <c r="E16" i="21" a="1"/>
  <c r="E16" i="21" s="1"/>
  <c r="N16" i="21" s="1"/>
  <c r="E12" i="21" a="1"/>
  <c r="E12" i="21" s="1"/>
  <c r="N12" i="21" s="1"/>
  <c r="F18" i="21" a="1"/>
  <c r="F18" i="21" s="1"/>
  <c r="O18" i="21" s="1"/>
  <c r="E30" i="21" a="1"/>
  <c r="E30" i="21" s="1"/>
  <c r="N30" i="21" s="1"/>
  <c r="G21" i="21" a="1"/>
  <c r="G21" i="21" s="1"/>
  <c r="P21" i="21" s="1"/>
  <c r="F28" i="21" a="1"/>
  <c r="F28" i="21" s="1"/>
  <c r="O28" i="21" s="1"/>
  <c r="E27" i="21" a="1"/>
  <c r="E27" i="21" s="1"/>
  <c r="N27" i="21" s="1"/>
  <c r="M53" i="1"/>
  <c r="Q53" i="1"/>
  <c r="M64" i="1"/>
  <c r="Q64" i="1"/>
  <c r="D22" i="21" a="1"/>
  <c r="D22" i="21" s="1"/>
  <c r="M22" i="21" s="1"/>
  <c r="E21" i="21" a="1"/>
  <c r="E21" i="21" s="1"/>
  <c r="N21" i="21" s="1"/>
  <c r="E17" i="21" a="1"/>
  <c r="E17" i="21" s="1"/>
  <c r="N17" i="21" s="1"/>
  <c r="G19" i="21" a="1"/>
  <c r="G19" i="21" s="1"/>
  <c r="P19" i="21" s="1"/>
  <c r="F21" i="21" a="1"/>
  <c r="F21" i="21" s="1"/>
  <c r="O21" i="21" s="1"/>
  <c r="F16" i="21" a="1"/>
  <c r="F16" i="21" s="1"/>
  <c r="O16" i="21" s="1"/>
  <c r="E29" i="21" a="1"/>
  <c r="E29" i="21" s="1"/>
  <c r="N29" i="21" s="1"/>
  <c r="E11" i="21" a="1"/>
  <c r="E11" i="21" s="1"/>
  <c r="N11" i="21" s="1"/>
  <c r="M47" i="1"/>
  <c r="Q47" i="1"/>
  <c r="F20" i="21" a="1"/>
  <c r="F20" i="21" s="1"/>
  <c r="O20" i="21" s="1"/>
  <c r="Q49" i="1"/>
  <c r="M49" i="1"/>
  <c r="Q61" i="1"/>
  <c r="M61" i="1"/>
  <c r="D18" i="21" a="1"/>
  <c r="D18" i="21" s="1"/>
  <c r="M18" i="21" s="1"/>
  <c r="D25" i="21" a="1"/>
  <c r="D25" i="21" s="1"/>
  <c r="M25" i="21" s="1"/>
  <c r="F11" i="21" a="1"/>
  <c r="F11" i="21" s="1"/>
  <c r="O11" i="21" s="1"/>
  <c r="D16" i="21" a="1"/>
  <c r="D16" i="21" s="1"/>
  <c r="M16" i="21" s="1"/>
  <c r="G13" i="21" a="1"/>
  <c r="G13" i="21" s="1"/>
  <c r="P13" i="21" s="1"/>
  <c r="M51" i="1"/>
  <c r="Q51" i="1"/>
  <c r="E13" i="21" a="1"/>
  <c r="E13" i="21" s="1"/>
  <c r="N13" i="21" s="1"/>
  <c r="G11" i="21" a="1"/>
  <c r="G11" i="21" s="1"/>
  <c r="P11" i="21" s="1"/>
  <c r="F23" i="21" a="1"/>
  <c r="F23" i="21" s="1"/>
  <c r="O23" i="21" s="1"/>
  <c r="E20" i="21" a="1"/>
  <c r="E20" i="21" s="1"/>
  <c r="N20" i="21" s="1"/>
  <c r="G22" i="21" a="1"/>
  <c r="G22" i="21" s="1"/>
  <c r="P22" i="21" s="1"/>
  <c r="D13" i="21" a="1"/>
  <c r="D13" i="21" s="1"/>
  <c r="M13" i="21" s="1"/>
  <c r="E24" i="21" a="1"/>
  <c r="E24" i="21" s="1"/>
  <c r="N24" i="21" s="1"/>
  <c r="Q46" i="1"/>
  <c r="M46" i="1"/>
  <c r="G14" i="21" a="1"/>
  <c r="G14" i="21" s="1"/>
  <c r="P14" i="21" s="1"/>
  <c r="D24" i="21" a="1"/>
  <c r="D24" i="21" s="1"/>
  <c r="M24" i="21" s="1"/>
  <c r="M55" i="1"/>
  <c r="Q55" i="1"/>
  <c r="D14" i="21" a="1"/>
  <c r="D14" i="21" s="1"/>
  <c r="M14" i="21" s="1"/>
  <c r="G23" i="21" a="1"/>
  <c r="G23" i="21" s="1"/>
  <c r="P23" i="21" s="1"/>
  <c r="F26" i="21" a="1"/>
  <c r="F26" i="21" s="1"/>
  <c r="O26" i="21" s="1"/>
  <c r="M56" i="1"/>
  <c r="Q56" i="1"/>
  <c r="F27" i="21" a="1"/>
  <c r="F27" i="21" s="1"/>
  <c r="O27" i="21" s="1"/>
  <c r="F25" i="21" a="1"/>
  <c r="F25" i="21" s="1"/>
  <c r="O25" i="21" s="1"/>
  <c r="M59" i="1"/>
  <c r="Q59" i="1"/>
  <c r="G30" i="21" a="1"/>
  <c r="G30" i="21" s="1"/>
  <c r="P30" i="21" s="1"/>
  <c r="F30" i="21" a="1"/>
  <c r="F30" i="21" s="1"/>
  <c r="O30" i="21" s="1"/>
  <c r="M60" i="1"/>
  <c r="Q60" i="1"/>
  <c r="M62" i="1"/>
  <c r="Q62" i="1"/>
  <c r="E26" i="21" a="1"/>
  <c r="E26" i="21" s="1"/>
  <c r="N26" i="21" s="1"/>
  <c r="D15" i="21" a="1"/>
  <c r="D15" i="21" s="1"/>
  <c r="M15" i="21" s="1"/>
  <c r="E23" i="21" a="1"/>
  <c r="E23" i="21" s="1"/>
  <c r="N23" i="21" s="1"/>
  <c r="Q44" i="1"/>
  <c r="M44" i="1"/>
  <c r="G28" i="21" a="1"/>
  <c r="G28" i="21" s="1"/>
  <c r="P28" i="21" s="1"/>
  <c r="E18" i="21" a="1"/>
  <c r="E18" i="21" s="1"/>
  <c r="N18" i="21" s="1"/>
  <c r="D21" i="21" a="1"/>
  <c r="D21" i="21" s="1"/>
  <c r="M21" i="21" s="1"/>
  <c r="Q63" i="1"/>
  <c r="M63" i="1"/>
  <c r="Q45" i="1"/>
  <c r="M45" i="1"/>
  <c r="D28" i="21" a="1"/>
  <c r="D28" i="21" s="1"/>
  <c r="M28" i="21" s="1"/>
  <c r="F17" i="21" a="1"/>
  <c r="F17" i="21" s="1"/>
  <c r="O17" i="21" s="1"/>
  <c r="Q52" i="1"/>
  <c r="M52" i="1"/>
  <c r="M50" i="1"/>
  <c r="Q50" i="1"/>
  <c r="G12" i="21" a="1"/>
  <c r="G12" i="21" s="1"/>
  <c r="P12" i="21" s="1"/>
  <c r="F12" i="21" a="1"/>
  <c r="F12" i="21" s="1"/>
  <c r="O12" i="21" s="1"/>
  <c r="G17" i="21" a="1"/>
  <c r="G17" i="21" s="1"/>
  <c r="P17" i="21" s="1"/>
  <c r="G25" i="21" a="1"/>
  <c r="G25" i="21" s="1"/>
  <c r="P25" i="21" s="1"/>
  <c r="G24" i="21" a="1"/>
  <c r="G24" i="21" s="1"/>
  <c r="P24" i="21" s="1"/>
  <c r="E22" i="21" a="1"/>
  <c r="E22" i="21" s="1"/>
  <c r="N22" i="21" s="1"/>
  <c r="Q57" i="1"/>
  <c r="M57" i="1"/>
  <c r="G20" i="21" a="1"/>
  <c r="G20" i="21" s="1"/>
  <c r="P20" i="21" s="1"/>
  <c r="G26" i="21" a="1"/>
  <c r="G26" i="21" s="1"/>
  <c r="P26" i="21" s="1"/>
  <c r="E14" i="21" a="1"/>
  <c r="E14" i="21" s="1"/>
  <c r="N14" i="21" s="1"/>
  <c r="F13" i="21" a="1"/>
  <c r="F13" i="21" s="1"/>
  <c r="O13" i="21" s="1"/>
  <c r="G16" i="21" a="1"/>
  <c r="G16" i="21" s="1"/>
  <c r="P16" i="21" s="1"/>
  <c r="G18" i="21" a="1"/>
  <c r="G18" i="21" s="1"/>
  <c r="P18" i="21" s="1"/>
  <c r="M48" i="1"/>
  <c r="Q48" i="1"/>
  <c r="Q58" i="1"/>
  <c r="M58" i="1"/>
  <c r="F24" i="21" a="1"/>
  <c r="F24" i="21" s="1"/>
  <c r="O24" i="21" s="1"/>
  <c r="D17" i="21" a="1"/>
  <c r="D17" i="21" s="1"/>
  <c r="M17" i="21" s="1"/>
  <c r="D30" i="21" a="1"/>
  <c r="D30" i="21" s="1"/>
  <c r="M30" i="21" s="1"/>
  <c r="D11" i="21" a="1"/>
  <c r="D11" i="21" s="1"/>
  <c r="M11" i="21" s="1"/>
  <c r="Q54" i="1"/>
  <c r="M54" i="1"/>
  <c r="G15" i="21" a="1"/>
  <c r="G15" i="21" s="1"/>
  <c r="P15" i="21" s="1"/>
  <c r="F22" i="21" a="1"/>
  <c r="F22" i="21" s="1"/>
  <c r="O22" i="21" s="1"/>
  <c r="E19" i="21" a="1"/>
  <c r="E19" i="21" s="1"/>
  <c r="N19" i="21" s="1"/>
  <c r="D26" i="21" a="1"/>
  <c r="D26" i="21" s="1"/>
  <c r="M26" i="21" s="1"/>
  <c r="D23" i="21" a="1"/>
  <c r="D23" i="21" s="1"/>
  <c r="M23" i="21" s="1"/>
  <c r="F15" i="21" a="1"/>
  <c r="F15" i="21" s="1"/>
  <c r="O15" i="21" s="1"/>
  <c r="C11" i="21" l="1" a="1"/>
  <c r="C11" i="21" s="1"/>
  <c r="C27" i="21" a="1"/>
  <c r="C27" i="21" s="1"/>
  <c r="C17" i="21" a="1"/>
  <c r="C17" i="21" s="1"/>
  <c r="F29" i="21" a="1"/>
  <c r="F29" i="21" s="1"/>
  <c r="O29" i="21" s="1"/>
  <c r="C20" i="21" a="1"/>
  <c r="C20" i="21" s="1"/>
  <c r="C26" i="21" a="1"/>
  <c r="C26" i="21" s="1"/>
  <c r="C29" i="21" a="1"/>
  <c r="C29" i="21" s="1"/>
  <c r="E10" i="21" a="1"/>
  <c r="E10" i="21" s="1"/>
  <c r="N10" i="21" s="1"/>
  <c r="N6" i="21" s="1"/>
  <c r="J5" i="1"/>
  <c r="C18" i="21" a="1"/>
  <c r="C18" i="21" s="1"/>
  <c r="C23" i="21" a="1"/>
  <c r="C23" i="21" s="1"/>
  <c r="C28" i="21" a="1"/>
  <c r="C28" i="21" s="1"/>
  <c r="D29" i="21" a="1"/>
  <c r="D29" i="21" s="1"/>
  <c r="M29" i="21" s="1"/>
  <c r="C24" i="21" a="1"/>
  <c r="C24" i="21" s="1"/>
  <c r="D10" i="21" a="1"/>
  <c r="D10" i="21" s="1"/>
  <c r="M10" i="21" s="1"/>
  <c r="C14" i="21" a="1"/>
  <c r="C14" i="21" s="1"/>
  <c r="C12" i="21" a="1"/>
  <c r="C12" i="21" s="1"/>
  <c r="C30" i="21" a="1"/>
  <c r="C30" i="21" s="1"/>
  <c r="H25" i="21"/>
  <c r="BH25" i="21" s="1"/>
  <c r="L25" i="21"/>
  <c r="C21" i="21" a="1"/>
  <c r="C21" i="21" s="1"/>
  <c r="C16" i="21" a="1"/>
  <c r="C16" i="21" s="1"/>
  <c r="H5" i="1"/>
  <c r="C10" i="21" a="1"/>
  <c r="C10" i="21" s="1"/>
  <c r="C19" i="21" a="1"/>
  <c r="C19" i="21" s="1"/>
  <c r="G29" i="21" a="1"/>
  <c r="G29" i="21" s="1"/>
  <c r="P29" i="21" s="1"/>
  <c r="C13" i="21" a="1"/>
  <c r="C13" i="21" s="1"/>
  <c r="C22" i="21" a="1"/>
  <c r="C22" i="21" s="1"/>
  <c r="C15" i="21" a="1"/>
  <c r="C15" i="21" s="1"/>
  <c r="F10" i="21" a="1"/>
  <c r="F10" i="21" s="1"/>
  <c r="O10" i="21" s="1"/>
  <c r="G10" i="21" a="1"/>
  <c r="G10" i="21" s="1"/>
  <c r="P10" i="21" s="1"/>
  <c r="K5" i="1" l="1"/>
  <c r="M6" i="21"/>
  <c r="O6" i="21"/>
  <c r="L20" i="21"/>
  <c r="H20" i="21"/>
  <c r="BH20" i="21" s="1"/>
  <c r="P6" i="21"/>
  <c r="H21" i="21"/>
  <c r="BH21" i="21" s="1"/>
  <c r="L21" i="21"/>
  <c r="H24" i="21"/>
  <c r="BH24" i="21" s="1"/>
  <c r="L24" i="21"/>
  <c r="AZ25" i="21"/>
  <c r="AR25" i="21"/>
  <c r="Q25" i="21"/>
  <c r="AJ25" i="21"/>
  <c r="T25" i="21"/>
  <c r="AB25" i="21"/>
  <c r="H29" i="21"/>
  <c r="BH29" i="21" s="1"/>
  <c r="L29" i="21"/>
  <c r="L5" i="1"/>
  <c r="H17" i="21"/>
  <c r="BH17" i="21" s="1"/>
  <c r="L17" i="21"/>
  <c r="L13" i="21"/>
  <c r="H13" i="21"/>
  <c r="BH13" i="21" s="1"/>
  <c r="L30" i="21"/>
  <c r="H30" i="21"/>
  <c r="BH30" i="21" s="1"/>
  <c r="H26" i="21"/>
  <c r="BH26" i="21" s="1"/>
  <c r="L26" i="21"/>
  <c r="L27" i="21"/>
  <c r="H27" i="21"/>
  <c r="BH27" i="21" s="1"/>
  <c r="H19" i="21"/>
  <c r="BH19" i="21" s="1"/>
  <c r="L19" i="21"/>
  <c r="H12" i="21"/>
  <c r="BH12" i="21" s="1"/>
  <c r="L12" i="21"/>
  <c r="H28" i="21"/>
  <c r="BH28" i="21" s="1"/>
  <c r="L28" i="21"/>
  <c r="H15" i="21"/>
  <c r="BH15" i="21" s="1"/>
  <c r="L15" i="21"/>
  <c r="L10" i="21"/>
  <c r="H10" i="21"/>
  <c r="D204" i="4" a="1"/>
  <c r="D204" i="4" s="1"/>
  <c r="D199" i="5" a="1"/>
  <c r="D199" i="5" s="1"/>
  <c r="D207" i="4" a="1"/>
  <c r="D207" i="4" s="1"/>
  <c r="D205" i="4" a="1"/>
  <c r="D205" i="4" s="1"/>
  <c r="D200" i="5" a="1"/>
  <c r="D200" i="5" s="1"/>
  <c r="D188" i="5" a="1"/>
  <c r="D188" i="5" s="1"/>
  <c r="D191" i="5" a="1"/>
  <c r="D191" i="5" s="1"/>
  <c r="D189" i="4" a="1"/>
  <c r="D189" i="4" s="1"/>
  <c r="D192" i="4" a="1"/>
  <c r="D192" i="4" s="1"/>
  <c r="D195" i="4" a="1"/>
  <c r="D195" i="4" s="1"/>
  <c r="D199" i="4" a="1"/>
  <c r="D199" i="4" s="1"/>
  <c r="D194" i="4" a="1"/>
  <c r="D194" i="4" s="1"/>
  <c r="D196" i="4" a="1"/>
  <c r="D196" i="4" s="1"/>
  <c r="D192" i="5" a="1"/>
  <c r="D192" i="5" s="1"/>
  <c r="D201" i="5" a="1"/>
  <c r="D201" i="5" s="1"/>
  <c r="D196" i="5" a="1"/>
  <c r="D196" i="5" s="1"/>
  <c r="D206" i="4" a="1"/>
  <c r="D206" i="4" s="1"/>
  <c r="D205" i="5" a="1"/>
  <c r="D205" i="5" s="1"/>
  <c r="D193" i="5" a="1"/>
  <c r="D193" i="5" s="1"/>
  <c r="D190" i="4" a="1"/>
  <c r="D190" i="4" s="1"/>
  <c r="D198" i="5" a="1"/>
  <c r="D198" i="5" s="1"/>
  <c r="D206" i="5" a="1"/>
  <c r="D206" i="5" s="1"/>
  <c r="D197" i="4" a="1"/>
  <c r="D197" i="4" s="1"/>
  <c r="D202" i="5" a="1"/>
  <c r="D202" i="5" s="1"/>
  <c r="D191" i="4" a="1"/>
  <c r="D191" i="4" s="1"/>
  <c r="D204" i="5" a="1"/>
  <c r="D204" i="5" s="1"/>
  <c r="D195" i="5" a="1"/>
  <c r="D195" i="5" s="1"/>
  <c r="D197" i="5" a="1"/>
  <c r="D197" i="5" s="1"/>
  <c r="D193" i="4" a="1"/>
  <c r="D193" i="4" s="1"/>
  <c r="D201" i="4" a="1"/>
  <c r="D201" i="4" s="1"/>
  <c r="D203" i="4" a="1"/>
  <c r="D203" i="4" s="1"/>
  <c r="D194" i="5" a="1"/>
  <c r="D194" i="5" s="1"/>
  <c r="D198" i="4" a="1"/>
  <c r="D198" i="4" s="1"/>
  <c r="D189" i="5" a="1"/>
  <c r="D189" i="5" s="1"/>
  <c r="D203" i="5" a="1"/>
  <c r="D203" i="5" s="1"/>
  <c r="D188" i="4" a="1"/>
  <c r="D188" i="4" s="1"/>
  <c r="D202" i="4" a="1"/>
  <c r="D202" i="4" s="1"/>
  <c r="D200" i="4" a="1"/>
  <c r="D200" i="4" s="1"/>
  <c r="D190" i="5" a="1"/>
  <c r="D190" i="5" s="1"/>
  <c r="H14" i="21"/>
  <c r="BH14" i="21" s="1"/>
  <c r="L14" i="21"/>
  <c r="H23" i="21"/>
  <c r="BH23" i="21" s="1"/>
  <c r="L23" i="21"/>
  <c r="L22" i="21"/>
  <c r="H22" i="21"/>
  <c r="BH22" i="21" s="1"/>
  <c r="L18" i="21"/>
  <c r="H18" i="21"/>
  <c r="BH18" i="21" s="1"/>
  <c r="L11" i="21"/>
  <c r="H11" i="21"/>
  <c r="BH11" i="21" s="1"/>
  <c r="H16" i="21"/>
  <c r="BH16" i="21" s="1"/>
  <c r="L16" i="21"/>
  <c r="I5" i="1"/>
  <c r="M5" i="1" l="1"/>
  <c r="D208" i="4" a="1"/>
  <c r="D208" i="4" s="1"/>
  <c r="D208" i="5" a="1"/>
  <c r="D208" i="5" s="1"/>
  <c r="F208" i="5" s="1"/>
  <c r="D207" i="5" a="1"/>
  <c r="D207" i="5" s="1"/>
  <c r="E207" i="5" s="1"/>
  <c r="E201" i="4"/>
  <c r="I201" i="4"/>
  <c r="F201" i="4"/>
  <c r="G201" i="4"/>
  <c r="H201" i="4"/>
  <c r="I198" i="5"/>
  <c r="I231" i="5" s="1"/>
  <c r="E198" i="5"/>
  <c r="H198" i="5"/>
  <c r="H231" i="5" s="1"/>
  <c r="F198" i="5"/>
  <c r="F231" i="5" s="1"/>
  <c r="G198" i="5"/>
  <c r="G231" i="5" s="1"/>
  <c r="I192" i="4"/>
  <c r="G192" i="4"/>
  <c r="F192" i="4"/>
  <c r="E192" i="4"/>
  <c r="H192" i="4"/>
  <c r="AK25" i="21"/>
  <c r="AL25" i="21" s="1"/>
  <c r="AM25" i="21" s="1"/>
  <c r="AN25" i="21" s="1"/>
  <c r="BZ25" i="21"/>
  <c r="T14" i="21"/>
  <c r="AB14" i="21"/>
  <c r="Q14" i="21"/>
  <c r="AJ14" i="21"/>
  <c r="AR14" i="21"/>
  <c r="AZ14" i="21"/>
  <c r="G193" i="4"/>
  <c r="I193" i="4"/>
  <c r="E193" i="4"/>
  <c r="H193" i="4"/>
  <c r="F193" i="4"/>
  <c r="H189" i="4"/>
  <c r="H216" i="4" s="1"/>
  <c r="I113" i="7" s="1" a="1"/>
  <c r="I113" i="7" s="1"/>
  <c r="E189" i="4"/>
  <c r="I189" i="4"/>
  <c r="I216" i="4" s="1"/>
  <c r="J113" i="7" s="1" a="1"/>
  <c r="J113" i="7" s="1"/>
  <c r="F189" i="4"/>
  <c r="F216" i="4" s="1"/>
  <c r="G113" i="7" s="1" a="1"/>
  <c r="G113" i="7" s="1"/>
  <c r="G189" i="4"/>
  <c r="G216" i="4" s="1"/>
  <c r="H113" i="7" s="1" a="1"/>
  <c r="H113" i="7" s="1"/>
  <c r="AB28" i="21"/>
  <c r="AZ28" i="21"/>
  <c r="T28" i="21"/>
  <c r="AJ28" i="21"/>
  <c r="Q28" i="21"/>
  <c r="AR28" i="21"/>
  <c r="Q30" i="21"/>
  <c r="AR30" i="21"/>
  <c r="AB30" i="21"/>
  <c r="T30" i="21"/>
  <c r="AJ30" i="21"/>
  <c r="AZ30" i="21"/>
  <c r="H208" i="5"/>
  <c r="I197" i="5"/>
  <c r="H197" i="5"/>
  <c r="F197" i="5"/>
  <c r="G197" i="5"/>
  <c r="E197" i="5"/>
  <c r="E193" i="5"/>
  <c r="G193" i="5"/>
  <c r="F193" i="5"/>
  <c r="I193" i="5"/>
  <c r="H193" i="5"/>
  <c r="F191" i="5"/>
  <c r="F215" i="5" s="1"/>
  <c r="G191" i="5"/>
  <c r="G215" i="5" s="1"/>
  <c r="E191" i="5"/>
  <c r="I191" i="5"/>
  <c r="I215" i="5" s="1"/>
  <c r="H191" i="5"/>
  <c r="H215" i="5" s="1"/>
  <c r="AS25" i="21"/>
  <c r="AT25" i="21" s="1"/>
  <c r="AU25" i="21" s="1"/>
  <c r="AV25" i="21" s="1"/>
  <c r="CG25" i="21"/>
  <c r="AR15" i="21"/>
  <c r="AJ15" i="21"/>
  <c r="T15" i="21"/>
  <c r="AB15" i="21"/>
  <c r="Q15" i="21"/>
  <c r="AZ15" i="21"/>
  <c r="G195" i="5"/>
  <c r="I195" i="5"/>
  <c r="F195" i="5"/>
  <c r="E195" i="5"/>
  <c r="H195" i="5"/>
  <c r="F205" i="5"/>
  <c r="G205" i="5"/>
  <c r="H205" i="5"/>
  <c r="E205" i="5"/>
  <c r="I205" i="5"/>
  <c r="I188" i="5"/>
  <c r="E188" i="5"/>
  <c r="G188" i="5"/>
  <c r="H188" i="5"/>
  <c r="F188" i="5"/>
  <c r="AR12" i="21"/>
  <c r="AB12" i="21"/>
  <c r="T12" i="21"/>
  <c r="Q12" i="21"/>
  <c r="AJ12" i="21"/>
  <c r="AZ12" i="21"/>
  <c r="Q13" i="21"/>
  <c r="AB13" i="21"/>
  <c r="AJ13" i="21"/>
  <c r="AR13" i="21"/>
  <c r="AZ13" i="21"/>
  <c r="T13" i="21"/>
  <c r="CN25" i="21"/>
  <c r="BA25" i="21"/>
  <c r="E200" i="4"/>
  <c r="F200" i="4"/>
  <c r="H200" i="4"/>
  <c r="I200" i="4"/>
  <c r="G200" i="4"/>
  <c r="G204" i="5"/>
  <c r="F204" i="5"/>
  <c r="H204" i="5"/>
  <c r="I204" i="5"/>
  <c r="E204" i="5"/>
  <c r="I206" i="4"/>
  <c r="F206" i="4"/>
  <c r="G206" i="4"/>
  <c r="E206" i="4"/>
  <c r="H206" i="4"/>
  <c r="G200" i="5"/>
  <c r="E200" i="5"/>
  <c r="I200" i="5"/>
  <c r="H200" i="5"/>
  <c r="F200" i="5"/>
  <c r="AR17" i="21"/>
  <c r="T17" i="21"/>
  <c r="Q17" i="21"/>
  <c r="AZ17" i="21"/>
  <c r="AJ17" i="21"/>
  <c r="AB17" i="21"/>
  <c r="Q24" i="21"/>
  <c r="AB24" i="21"/>
  <c r="AR24" i="21"/>
  <c r="T24" i="21"/>
  <c r="AJ24" i="21"/>
  <c r="AZ24" i="21"/>
  <c r="G202" i="4"/>
  <c r="I202" i="4"/>
  <c r="F202" i="4"/>
  <c r="E202" i="4"/>
  <c r="H202" i="4"/>
  <c r="H207" i="5"/>
  <c r="F207" i="5"/>
  <c r="G207" i="5"/>
  <c r="I207" i="5"/>
  <c r="F196" i="5"/>
  <c r="E196" i="5"/>
  <c r="G196" i="5"/>
  <c r="I196" i="5"/>
  <c r="H196" i="5"/>
  <c r="F205" i="4"/>
  <c r="I205" i="4"/>
  <c r="G205" i="4"/>
  <c r="H205" i="4"/>
  <c r="E205" i="4"/>
  <c r="T19" i="21"/>
  <c r="AJ19" i="21"/>
  <c r="Q19" i="21"/>
  <c r="AZ19" i="21"/>
  <c r="AB19" i="21"/>
  <c r="AR19" i="21"/>
  <c r="E195" i="4"/>
  <c r="G195" i="4"/>
  <c r="F195" i="4"/>
  <c r="H195" i="4"/>
  <c r="I195" i="4"/>
  <c r="I188" i="4"/>
  <c r="E188" i="4"/>
  <c r="H188" i="4"/>
  <c r="F188" i="4"/>
  <c r="G188" i="4"/>
  <c r="F191" i="4"/>
  <c r="F215" i="4" s="1"/>
  <c r="I191" i="4"/>
  <c r="I215" i="4" s="1"/>
  <c r="G191" i="4"/>
  <c r="G215" i="4" s="1"/>
  <c r="H191" i="4"/>
  <c r="H215" i="4" s="1"/>
  <c r="E191" i="4"/>
  <c r="H201" i="5"/>
  <c r="G201" i="5"/>
  <c r="F201" i="5"/>
  <c r="I201" i="5"/>
  <c r="E201" i="5"/>
  <c r="I207" i="4"/>
  <c r="H207" i="4"/>
  <c r="F207" i="4"/>
  <c r="G207" i="4"/>
  <c r="E207" i="4"/>
  <c r="AJ21" i="21"/>
  <c r="Q21" i="21"/>
  <c r="T21" i="21"/>
  <c r="AB21" i="21"/>
  <c r="AR21" i="21"/>
  <c r="AZ21" i="21"/>
  <c r="U25" i="21"/>
  <c r="V25" i="21" s="1"/>
  <c r="W25" i="21" s="1"/>
  <c r="X25" i="21" s="1"/>
  <c r="BL25" i="21"/>
  <c r="G203" i="5"/>
  <c r="F203" i="5"/>
  <c r="E203" i="5"/>
  <c r="H203" i="5"/>
  <c r="I203" i="5"/>
  <c r="E192" i="5"/>
  <c r="H192" i="5"/>
  <c r="G192" i="5"/>
  <c r="I192" i="5"/>
  <c r="F192" i="5"/>
  <c r="E199" i="5"/>
  <c r="G199" i="5"/>
  <c r="H199" i="5"/>
  <c r="F199" i="5"/>
  <c r="I199" i="5"/>
  <c r="AB16" i="21"/>
  <c r="Q16" i="21"/>
  <c r="AR16" i="21"/>
  <c r="AZ16" i="21"/>
  <c r="AJ16" i="21"/>
  <c r="T16" i="21"/>
  <c r="T11" i="21"/>
  <c r="AB11" i="21"/>
  <c r="AJ11" i="21"/>
  <c r="AR11" i="21"/>
  <c r="AZ11" i="21"/>
  <c r="Q11" i="21"/>
  <c r="H5" i="21"/>
  <c r="G189" i="5"/>
  <c r="G216" i="5" s="1"/>
  <c r="H189" i="5"/>
  <c r="H216" i="5" s="1"/>
  <c r="I189" i="5"/>
  <c r="I216" i="5" s="1"/>
  <c r="F189" i="5"/>
  <c r="F216" i="5" s="1"/>
  <c r="E189" i="5"/>
  <c r="H202" i="5"/>
  <c r="I202" i="5"/>
  <c r="F202" i="5"/>
  <c r="G202" i="5"/>
  <c r="E202" i="5"/>
  <c r="F196" i="4"/>
  <c r="G196" i="4"/>
  <c r="E196" i="4"/>
  <c r="H196" i="4"/>
  <c r="I196" i="4"/>
  <c r="F204" i="4"/>
  <c r="E204" i="4"/>
  <c r="G204" i="4"/>
  <c r="H204" i="4"/>
  <c r="I204" i="4"/>
  <c r="AJ29" i="21"/>
  <c r="AR29" i="21"/>
  <c r="AB29" i="21"/>
  <c r="T29" i="21"/>
  <c r="AZ29" i="21"/>
  <c r="Q29" i="21"/>
  <c r="H206" i="5"/>
  <c r="I206" i="5"/>
  <c r="G206" i="5"/>
  <c r="F206" i="5"/>
  <c r="E206" i="5"/>
  <c r="T18" i="21"/>
  <c r="AB18" i="21"/>
  <c r="AJ18" i="21"/>
  <c r="AR18" i="21"/>
  <c r="Q18" i="21"/>
  <c r="AZ18" i="21"/>
  <c r="F198" i="4"/>
  <c r="F232" i="4" s="1"/>
  <c r="G129" i="7" s="1" a="1"/>
  <c r="G129" i="7" s="1"/>
  <c r="E198" i="4"/>
  <c r="G198" i="4"/>
  <c r="G232" i="4" s="1"/>
  <c r="H129" i="7" s="1" a="1"/>
  <c r="H129" i="7" s="1"/>
  <c r="H198" i="4"/>
  <c r="H232" i="4" s="1"/>
  <c r="I129" i="7" s="1" a="1"/>
  <c r="I129" i="7" s="1"/>
  <c r="I198" i="4"/>
  <c r="I232" i="4" s="1"/>
  <c r="J129" i="7" s="1" a="1"/>
  <c r="J129" i="7" s="1"/>
  <c r="H197" i="4"/>
  <c r="E197" i="4"/>
  <c r="G197" i="4"/>
  <c r="F197" i="4"/>
  <c r="I197" i="4"/>
  <c r="G194" i="4"/>
  <c r="I194" i="4"/>
  <c r="H194" i="4"/>
  <c r="F194" i="4"/>
  <c r="E194" i="4"/>
  <c r="BH10" i="21"/>
  <c r="H6" i="21"/>
  <c r="T27" i="21"/>
  <c r="AR27" i="21"/>
  <c r="AJ27" i="21"/>
  <c r="AZ27" i="21"/>
  <c r="Q27" i="21"/>
  <c r="AB27" i="21"/>
  <c r="E203" i="4"/>
  <c r="G203" i="4"/>
  <c r="I203" i="4"/>
  <c r="F203" i="4"/>
  <c r="H203" i="4"/>
  <c r="AZ22" i="21"/>
  <c r="Q22" i="21"/>
  <c r="AR22" i="21"/>
  <c r="AJ22" i="21"/>
  <c r="T22" i="21"/>
  <c r="AB22" i="21"/>
  <c r="AJ23" i="21"/>
  <c r="T23" i="21"/>
  <c r="Q23" i="21"/>
  <c r="AR23" i="21"/>
  <c r="AB23" i="21"/>
  <c r="AZ23" i="21"/>
  <c r="E194" i="5"/>
  <c r="F194" i="5"/>
  <c r="I194" i="5"/>
  <c r="G194" i="5"/>
  <c r="H194" i="5"/>
  <c r="I208" i="4"/>
  <c r="I231" i="4" s="1"/>
  <c r="J128" i="7" s="1" a="1"/>
  <c r="J128" i="7" s="1"/>
  <c r="F208" i="4"/>
  <c r="F231" i="4" s="1"/>
  <c r="G128" i="7" s="1" a="1"/>
  <c r="G128" i="7" s="1"/>
  <c r="H208" i="4"/>
  <c r="H231" i="4" s="1"/>
  <c r="I128" i="7" s="1" a="1"/>
  <c r="I128" i="7" s="1"/>
  <c r="G208" i="4"/>
  <c r="G231" i="4" s="1"/>
  <c r="H128" i="7" s="1" a="1"/>
  <c r="H128" i="7" s="1"/>
  <c r="E208" i="4"/>
  <c r="F199" i="4"/>
  <c r="E199" i="4"/>
  <c r="H199" i="4"/>
  <c r="G199" i="4"/>
  <c r="I199" i="4"/>
  <c r="AZ10" i="21"/>
  <c r="Q10" i="21"/>
  <c r="AR10" i="21"/>
  <c r="T10" i="21"/>
  <c r="L6" i="21"/>
  <c r="AB10" i="21"/>
  <c r="AJ10" i="21"/>
  <c r="AR26" i="21"/>
  <c r="AZ26" i="21"/>
  <c r="T26" i="21"/>
  <c r="AJ26" i="21"/>
  <c r="AB26" i="21"/>
  <c r="Q26" i="21"/>
  <c r="AC25" i="21"/>
  <c r="AD25" i="21" s="1"/>
  <c r="AE25" i="21" s="1"/>
  <c r="AF25" i="21" s="1"/>
  <c r="BS25" i="21"/>
  <c r="Q20" i="21"/>
  <c r="AJ20" i="21"/>
  <c r="AB20" i="21"/>
  <c r="AR20" i="21"/>
  <c r="T20" i="21"/>
  <c r="AZ20" i="21"/>
  <c r="G208" i="5" l="1"/>
  <c r="I208" i="5"/>
  <c r="E208" i="5"/>
  <c r="AG25" i="21"/>
  <c r="AO25" i="21"/>
  <c r="J194" i="5"/>
  <c r="F224" i="5"/>
  <c r="J194" i="4"/>
  <c r="G224" i="4"/>
  <c r="H121" i="7" s="1" a="1"/>
  <c r="H121" i="7" s="1"/>
  <c r="J205" i="4"/>
  <c r="J206" i="4"/>
  <c r="J193" i="4"/>
  <c r="J201" i="5"/>
  <c r="BL11" i="21"/>
  <c r="U11" i="21"/>
  <c r="V11" i="21" s="1"/>
  <c r="W11" i="21" s="1"/>
  <c r="X11" i="21" s="1"/>
  <c r="H226" i="4"/>
  <c r="I123" i="7" s="1" a="1"/>
  <c r="I123" i="7" s="1"/>
  <c r="E226" i="5"/>
  <c r="J188" i="5"/>
  <c r="J204" i="4"/>
  <c r="E216" i="5"/>
  <c r="J216" i="5" s="1"/>
  <c r="J189" i="5"/>
  <c r="U16" i="21"/>
  <c r="V16" i="21" s="1"/>
  <c r="W16" i="21" s="1"/>
  <c r="X16" i="21" s="1"/>
  <c r="BL16" i="21"/>
  <c r="I224" i="5"/>
  <c r="BA21" i="21"/>
  <c r="CN21" i="21"/>
  <c r="J188" i="4"/>
  <c r="E226" i="4"/>
  <c r="U19" i="21"/>
  <c r="V19" i="21" s="1"/>
  <c r="W19" i="21" s="1"/>
  <c r="X19" i="21" s="1"/>
  <c r="Y19" i="21" s="1"/>
  <c r="BL19" i="21"/>
  <c r="J207" i="5"/>
  <c r="AS24" i="21"/>
  <c r="AT24" i="21" s="1"/>
  <c r="AU24" i="21" s="1"/>
  <c r="AV24" i="21" s="1"/>
  <c r="CG24" i="21"/>
  <c r="J200" i="5"/>
  <c r="BS13" i="21"/>
  <c r="AC13" i="21"/>
  <c r="AD13" i="21" s="1"/>
  <c r="AE13" i="21" s="1"/>
  <c r="AF13" i="21" s="1"/>
  <c r="I226" i="5"/>
  <c r="AS30" i="21"/>
  <c r="AT30" i="21" s="1"/>
  <c r="AU30" i="21" s="1"/>
  <c r="AV30" i="21" s="1"/>
  <c r="CG30" i="21"/>
  <c r="CG14" i="21"/>
  <c r="AS14" i="21"/>
  <c r="AT14" i="21" s="1"/>
  <c r="AU14" i="21" s="1"/>
  <c r="AV14" i="21" s="1"/>
  <c r="I224" i="4"/>
  <c r="J121" i="7" s="1" a="1"/>
  <c r="J121" i="7" s="1"/>
  <c r="BZ13" i="21"/>
  <c r="AK13" i="21"/>
  <c r="AL13" i="21" s="1"/>
  <c r="AM13" i="21" s="1"/>
  <c r="AN13" i="21" s="1"/>
  <c r="AK16" i="21"/>
  <c r="AL16" i="21" s="1"/>
  <c r="AM16" i="21" s="1"/>
  <c r="AN16" i="21" s="1"/>
  <c r="BZ16" i="21"/>
  <c r="G224" i="5"/>
  <c r="AS21" i="21"/>
  <c r="AT21" i="21" s="1"/>
  <c r="AU21" i="21" s="1"/>
  <c r="AV21" i="21" s="1"/>
  <c r="CG21" i="21"/>
  <c r="I226" i="4"/>
  <c r="J123" i="7" s="1" a="1"/>
  <c r="J123" i="7" s="1"/>
  <c r="AC24" i="21"/>
  <c r="AD24" i="21" s="1"/>
  <c r="AE24" i="21" s="1"/>
  <c r="AF24" i="21" s="1"/>
  <c r="AG24" i="21" s="1"/>
  <c r="BS24" i="21"/>
  <c r="BZ14" i="21"/>
  <c r="AK14" i="21"/>
  <c r="AL14" i="21" s="1"/>
  <c r="AM14" i="21" s="1"/>
  <c r="AN14" i="21" s="1"/>
  <c r="BA14" i="21"/>
  <c r="CN14" i="21"/>
  <c r="BA26" i="21"/>
  <c r="CN26" i="21"/>
  <c r="AC20" i="21"/>
  <c r="AD20" i="21" s="1"/>
  <c r="AE20" i="21" s="1"/>
  <c r="AF20" i="21" s="1"/>
  <c r="BS20" i="21"/>
  <c r="E232" i="4"/>
  <c r="J198" i="4"/>
  <c r="CN16" i="21"/>
  <c r="BA16" i="21"/>
  <c r="H224" i="5"/>
  <c r="AC21" i="21"/>
  <c r="AD21" i="21" s="1"/>
  <c r="AE21" i="21" s="1"/>
  <c r="AF21" i="21" s="1"/>
  <c r="BS21" i="21"/>
  <c r="BA12" i="21"/>
  <c r="CN12" i="21"/>
  <c r="J205" i="5"/>
  <c r="J191" i="5"/>
  <c r="E215" i="5"/>
  <c r="CG28" i="21"/>
  <c r="AS28" i="21"/>
  <c r="AT28" i="21" s="1"/>
  <c r="AU28" i="21" s="1"/>
  <c r="AV28" i="21" s="1"/>
  <c r="U26" i="21"/>
  <c r="V26" i="21" s="1"/>
  <c r="W26" i="21" s="1"/>
  <c r="X26" i="21" s="1"/>
  <c r="BL26" i="21"/>
  <c r="BL24" i="21"/>
  <c r="U24" i="21"/>
  <c r="V24" i="21" s="1"/>
  <c r="W24" i="21" s="1"/>
  <c r="X24" i="21" s="1"/>
  <c r="CG16" i="21"/>
  <c r="AS16" i="21"/>
  <c r="AT16" i="21" s="1"/>
  <c r="AU16" i="21" s="1"/>
  <c r="AV16" i="21" s="1"/>
  <c r="AW16" i="21" s="1"/>
  <c r="E224" i="5"/>
  <c r="J192" i="5"/>
  <c r="BL21" i="21"/>
  <c r="U21" i="21"/>
  <c r="V21" i="21" s="1"/>
  <c r="W21" i="21" s="1"/>
  <c r="X21" i="21" s="1"/>
  <c r="AC17" i="21"/>
  <c r="AD17" i="21" s="1"/>
  <c r="AE17" i="21" s="1"/>
  <c r="AF17" i="21" s="1"/>
  <c r="BS17" i="21"/>
  <c r="AK12" i="21"/>
  <c r="AL12" i="21" s="1"/>
  <c r="AM12" i="21" s="1"/>
  <c r="AN12" i="21" s="1"/>
  <c r="AO12" i="21" s="1"/>
  <c r="BZ12" i="21"/>
  <c r="BA15" i="21"/>
  <c r="CN15" i="21"/>
  <c r="BS14" i="21"/>
  <c r="AC14" i="21"/>
  <c r="AD14" i="21" s="1"/>
  <c r="AE14" i="21" s="1"/>
  <c r="AF14" i="21" s="1"/>
  <c r="CN20" i="21"/>
  <c r="BA20" i="21"/>
  <c r="BS30" i="21"/>
  <c r="AC30" i="21"/>
  <c r="AD30" i="21" s="1"/>
  <c r="AE30" i="21" s="1"/>
  <c r="AF30" i="21" s="1"/>
  <c r="U23" i="21"/>
  <c r="V23" i="21" s="1"/>
  <c r="W23" i="21" s="1"/>
  <c r="X23" i="21" s="1"/>
  <c r="BL23" i="21"/>
  <c r="J203" i="4"/>
  <c r="BA18" i="21"/>
  <c r="CN18" i="21"/>
  <c r="BA29" i="21"/>
  <c r="CN29" i="21"/>
  <c r="J196" i="4"/>
  <c r="J191" i="4"/>
  <c r="E215" i="4"/>
  <c r="BZ17" i="21"/>
  <c r="AK17" i="21"/>
  <c r="AL17" i="21" s="1"/>
  <c r="AM17" i="21" s="1"/>
  <c r="AN17" i="21" s="1"/>
  <c r="J200" i="4"/>
  <c r="AK28" i="21"/>
  <c r="AL28" i="21" s="1"/>
  <c r="AM28" i="21" s="1"/>
  <c r="AN28" i="21" s="1"/>
  <c r="BZ28" i="21"/>
  <c r="BL14" i="21"/>
  <c r="U14" i="21"/>
  <c r="V14" i="21" s="1"/>
  <c r="W14" i="21" s="1"/>
  <c r="X14" i="21" s="1"/>
  <c r="J198" i="5"/>
  <c r="E231" i="5"/>
  <c r="J231" i="5" s="1"/>
  <c r="BZ23" i="21"/>
  <c r="AK23" i="21"/>
  <c r="AL23" i="21" s="1"/>
  <c r="AM23" i="21" s="1"/>
  <c r="AN23" i="21" s="1"/>
  <c r="BS27" i="21"/>
  <c r="AC27" i="21"/>
  <c r="AD27" i="21" s="1"/>
  <c r="AE27" i="21" s="1"/>
  <c r="AF27" i="21" s="1"/>
  <c r="BL29" i="21"/>
  <c r="U29" i="21"/>
  <c r="V29" i="21" s="1"/>
  <c r="W29" i="21" s="1"/>
  <c r="X29" i="21" s="1"/>
  <c r="BS16" i="21"/>
  <c r="AC16" i="21"/>
  <c r="AD16" i="21" s="1"/>
  <c r="AE16" i="21" s="1"/>
  <c r="AF16" i="21" s="1"/>
  <c r="BZ21" i="21"/>
  <c r="AK21" i="21"/>
  <c r="AL21" i="21" s="1"/>
  <c r="AM21" i="21" s="1"/>
  <c r="AN21" i="21" s="1"/>
  <c r="I112" i="7" a="1"/>
  <c r="I112" i="7" s="1"/>
  <c r="J202" i="4"/>
  <c r="BA17" i="21"/>
  <c r="CN17" i="21"/>
  <c r="BL12" i="21"/>
  <c r="U12" i="21"/>
  <c r="V12" i="21" s="1"/>
  <c r="W12" i="21" s="1"/>
  <c r="X12" i="21" s="1"/>
  <c r="Y12" i="21" s="1"/>
  <c r="AC15" i="21"/>
  <c r="AD15" i="21" s="1"/>
  <c r="AE15" i="21" s="1"/>
  <c r="AF15" i="21" s="1"/>
  <c r="BS15" i="21"/>
  <c r="J208" i="5"/>
  <c r="BL28" i="21"/>
  <c r="U28" i="21"/>
  <c r="V28" i="21" s="1"/>
  <c r="W28" i="21" s="1"/>
  <c r="X28" i="21" s="1"/>
  <c r="AC22" i="21"/>
  <c r="AD22" i="21" s="1"/>
  <c r="AE22" i="21" s="1"/>
  <c r="AF22" i="21" s="1"/>
  <c r="BS22" i="21"/>
  <c r="CG18" i="21"/>
  <c r="AS18" i="21"/>
  <c r="AT18" i="21" s="1"/>
  <c r="AU18" i="21" s="1"/>
  <c r="AV18" i="21" s="1"/>
  <c r="AC29" i="21"/>
  <c r="AD29" i="21" s="1"/>
  <c r="AE29" i="21" s="1"/>
  <c r="AF29" i="21" s="1"/>
  <c r="BS29" i="21"/>
  <c r="J203" i="5"/>
  <c r="J207" i="4"/>
  <c r="H112" i="7" a="1"/>
  <c r="H112" i="7" s="1"/>
  <c r="J195" i="4"/>
  <c r="BB25" i="21"/>
  <c r="CO25" i="21"/>
  <c r="BS12" i="21"/>
  <c r="AC12" i="21"/>
  <c r="AD12" i="21" s="1"/>
  <c r="AE12" i="21" s="1"/>
  <c r="AF12" i="21" s="1"/>
  <c r="U15" i="21"/>
  <c r="V15" i="21" s="1"/>
  <c r="W15" i="21" s="1"/>
  <c r="X15" i="21" s="1"/>
  <c r="BL15" i="21"/>
  <c r="CN28" i="21"/>
  <c r="BA28" i="21"/>
  <c r="CA25" i="21"/>
  <c r="CB25" i="21" s="1"/>
  <c r="CC25" i="21" s="1"/>
  <c r="CD25" i="21" s="1"/>
  <c r="J199" i="4"/>
  <c r="AS20" i="21"/>
  <c r="AT20" i="21" s="1"/>
  <c r="AU20" i="21" s="1"/>
  <c r="AV20" i="21" s="1"/>
  <c r="CG20" i="21"/>
  <c r="J208" i="4"/>
  <c r="E231" i="4"/>
  <c r="BZ20" i="21"/>
  <c r="AK20" i="21"/>
  <c r="AL20" i="21" s="1"/>
  <c r="AM20" i="21" s="1"/>
  <c r="AN20" i="21" s="1"/>
  <c r="U10" i="21"/>
  <c r="V10" i="21" s="1"/>
  <c r="W10" i="21" s="1"/>
  <c r="X10" i="21" s="1"/>
  <c r="BL10" i="21"/>
  <c r="Q6" i="21"/>
  <c r="U22" i="21"/>
  <c r="V22" i="21" s="1"/>
  <c r="W22" i="21" s="1"/>
  <c r="X22" i="21" s="1"/>
  <c r="BL22" i="21"/>
  <c r="BA27" i="21"/>
  <c r="CN27" i="21"/>
  <c r="BZ18" i="21"/>
  <c r="AK18" i="21"/>
  <c r="AL18" i="21" s="1"/>
  <c r="AM18" i="21" s="1"/>
  <c r="AN18" i="21" s="1"/>
  <c r="AS29" i="21"/>
  <c r="AT29" i="21" s="1"/>
  <c r="AU29" i="21" s="1"/>
  <c r="AV29" i="21" s="1"/>
  <c r="CG29" i="21"/>
  <c r="J202" i="5"/>
  <c r="BA11" i="21"/>
  <c r="CN11" i="21"/>
  <c r="J112" i="7" a="1"/>
  <c r="J112" i="7" s="1"/>
  <c r="AS19" i="21"/>
  <c r="AT19" i="21" s="1"/>
  <c r="AU19" i="21" s="1"/>
  <c r="AV19" i="21" s="1"/>
  <c r="CG19" i="21"/>
  <c r="U17" i="21"/>
  <c r="V17" i="21" s="1"/>
  <c r="W17" i="21" s="1"/>
  <c r="X17" i="21" s="1"/>
  <c r="BL17" i="21"/>
  <c r="J204" i="5"/>
  <c r="CV25" i="21"/>
  <c r="AS12" i="21"/>
  <c r="AT12" i="21" s="1"/>
  <c r="AU12" i="21" s="1"/>
  <c r="AV12" i="21" s="1"/>
  <c r="CG12" i="21"/>
  <c r="J195" i="5"/>
  <c r="BZ15" i="21"/>
  <c r="AK15" i="21"/>
  <c r="AL15" i="21" s="1"/>
  <c r="AM15" i="21" s="1"/>
  <c r="AN15" i="21" s="1"/>
  <c r="AC28" i="21"/>
  <c r="AD28" i="21" s="1"/>
  <c r="AE28" i="21" s="1"/>
  <c r="AF28" i="21" s="1"/>
  <c r="BS28" i="21"/>
  <c r="BT25" i="21"/>
  <c r="BU25" i="21" s="1"/>
  <c r="BV25" i="21" s="1"/>
  <c r="BW25" i="21" s="1"/>
  <c r="CN10" i="21"/>
  <c r="BA10" i="21"/>
  <c r="AK22" i="21"/>
  <c r="AL22" i="21" s="1"/>
  <c r="AM22" i="21" s="1"/>
  <c r="AN22" i="21" s="1"/>
  <c r="BZ22" i="21"/>
  <c r="AK27" i="21"/>
  <c r="AL27" i="21" s="1"/>
  <c r="AM27" i="21" s="1"/>
  <c r="AN27" i="21" s="1"/>
  <c r="BZ27" i="21"/>
  <c r="BS18" i="21"/>
  <c r="AC18" i="21"/>
  <c r="AD18" i="21" s="1"/>
  <c r="AE18" i="21" s="1"/>
  <c r="AF18" i="21" s="1"/>
  <c r="BZ29" i="21"/>
  <c r="AK29" i="21"/>
  <c r="AL29" i="21" s="1"/>
  <c r="AM29" i="21" s="1"/>
  <c r="AN29" i="21" s="1"/>
  <c r="AS11" i="21"/>
  <c r="AT11" i="21" s="1"/>
  <c r="AU11" i="21" s="1"/>
  <c r="AV11" i="21" s="1"/>
  <c r="CG11" i="21"/>
  <c r="G112" i="7" a="1"/>
  <c r="G112" i="7" s="1"/>
  <c r="AC19" i="21"/>
  <c r="AD19" i="21" s="1"/>
  <c r="AE19" i="21" s="1"/>
  <c r="AF19" i="21" s="1"/>
  <c r="BS19" i="21"/>
  <c r="CG17" i="21"/>
  <c r="AS17" i="21"/>
  <c r="AT17" i="21" s="1"/>
  <c r="AU17" i="21" s="1"/>
  <c r="AV17" i="21" s="1"/>
  <c r="BL13" i="21"/>
  <c r="U13" i="21"/>
  <c r="V13" i="21" s="1"/>
  <c r="W13" i="21" s="1"/>
  <c r="X13" i="21" s="1"/>
  <c r="Y13" i="21" s="1"/>
  <c r="F226" i="5"/>
  <c r="AS15" i="21"/>
  <c r="AT15" i="21" s="1"/>
  <c r="AU15" i="21" s="1"/>
  <c r="AV15" i="21" s="1"/>
  <c r="CG15" i="21"/>
  <c r="CN30" i="21"/>
  <c r="BA30" i="21"/>
  <c r="H224" i="4"/>
  <c r="I121" i="7" s="1" a="1"/>
  <c r="I121" i="7" s="1"/>
  <c r="CN22" i="21"/>
  <c r="BA22" i="21"/>
  <c r="AK19" i="21"/>
  <c r="AL19" i="21" s="1"/>
  <c r="AM19" i="21" s="1"/>
  <c r="AN19" i="21" s="1"/>
  <c r="BZ19" i="21"/>
  <c r="CG26" i="21"/>
  <c r="AS26" i="21"/>
  <c r="AT26" i="21" s="1"/>
  <c r="AU26" i="21" s="1"/>
  <c r="AV26" i="21" s="1"/>
  <c r="AC23" i="21"/>
  <c r="AD23" i="21" s="1"/>
  <c r="AE23" i="21" s="1"/>
  <c r="AF23" i="21" s="1"/>
  <c r="BS23" i="21"/>
  <c r="AK10" i="21"/>
  <c r="AL10" i="21" s="1"/>
  <c r="AM10" i="21" s="1"/>
  <c r="AN10" i="21" s="1"/>
  <c r="BZ10" i="21"/>
  <c r="CG23" i="21"/>
  <c r="AS23" i="21"/>
  <c r="AT23" i="21" s="1"/>
  <c r="AU23" i="21" s="1"/>
  <c r="AV23" i="21" s="1"/>
  <c r="AC10" i="21"/>
  <c r="AD10" i="21" s="1"/>
  <c r="AE10" i="21" s="1"/>
  <c r="AF10" i="21" s="1"/>
  <c r="BS10" i="21"/>
  <c r="CG10" i="21"/>
  <c r="AS10" i="21"/>
  <c r="AT10" i="21" s="1"/>
  <c r="AU10" i="21" s="1"/>
  <c r="AV10" i="21" s="1"/>
  <c r="AC26" i="21"/>
  <c r="AD26" i="21" s="1"/>
  <c r="AE26" i="21" s="1"/>
  <c r="AF26" i="21" s="1"/>
  <c r="BS26" i="21"/>
  <c r="AS22" i="21"/>
  <c r="AT22" i="21" s="1"/>
  <c r="AU22" i="21" s="1"/>
  <c r="AV22" i="21" s="1"/>
  <c r="CG22" i="21"/>
  <c r="AS27" i="21"/>
  <c r="AT27" i="21" s="1"/>
  <c r="AU27" i="21" s="1"/>
  <c r="AV27" i="21" s="1"/>
  <c r="CG27" i="21"/>
  <c r="J197" i="4"/>
  <c r="BL18" i="21"/>
  <c r="U18" i="21"/>
  <c r="V18" i="21" s="1"/>
  <c r="W18" i="21" s="1"/>
  <c r="X18" i="21" s="1"/>
  <c r="AK11" i="21"/>
  <c r="AL11" i="21" s="1"/>
  <c r="AM11" i="21" s="1"/>
  <c r="AN11" i="21" s="1"/>
  <c r="BZ11" i="21"/>
  <c r="Y25" i="21"/>
  <c r="G226" i="4"/>
  <c r="H123" i="7" s="1" a="1"/>
  <c r="H123" i="7" s="1"/>
  <c r="BA19" i="21"/>
  <c r="CN19" i="21"/>
  <c r="J196" i="5"/>
  <c r="CN24" i="21"/>
  <c r="BA24" i="21"/>
  <c r="BA13" i="21"/>
  <c r="CN13" i="21"/>
  <c r="H226" i="5"/>
  <c r="AW25" i="21"/>
  <c r="J193" i="5"/>
  <c r="BZ30" i="21"/>
  <c r="AK30" i="21"/>
  <c r="AL30" i="21" s="1"/>
  <c r="AM30" i="21" s="1"/>
  <c r="AN30" i="21" s="1"/>
  <c r="AO30" i="21" s="1"/>
  <c r="J192" i="4"/>
  <c r="E224" i="4"/>
  <c r="E216" i="4"/>
  <c r="J189" i="4"/>
  <c r="U20" i="21"/>
  <c r="V20" i="21" s="1"/>
  <c r="W20" i="21" s="1"/>
  <c r="X20" i="21" s="1"/>
  <c r="BL20" i="21"/>
  <c r="CN23" i="21"/>
  <c r="BA23" i="21"/>
  <c r="AK26" i="21"/>
  <c r="AL26" i="21" s="1"/>
  <c r="AM26" i="21" s="1"/>
  <c r="AN26" i="21" s="1"/>
  <c r="BZ26" i="21"/>
  <c r="U27" i="21"/>
  <c r="V27" i="21" s="1"/>
  <c r="W27" i="21" s="1"/>
  <c r="X27" i="21" s="1"/>
  <c r="BL27" i="21"/>
  <c r="J206" i="5"/>
  <c r="AC11" i="21"/>
  <c r="AD11" i="21" s="1"/>
  <c r="AE11" i="21" s="1"/>
  <c r="AF11" i="21" s="1"/>
  <c r="BS11" i="21"/>
  <c r="J199" i="5"/>
  <c r="BM25" i="21"/>
  <c r="BN25" i="21" s="1"/>
  <c r="BO25" i="21" s="1"/>
  <c r="BP25" i="21" s="1"/>
  <c r="F226" i="4"/>
  <c r="G123" i="7" s="1" a="1"/>
  <c r="G123" i="7" s="1"/>
  <c r="BZ24" i="21"/>
  <c r="AK24" i="21"/>
  <c r="AL24" i="21" s="1"/>
  <c r="AM24" i="21" s="1"/>
  <c r="AN24" i="21" s="1"/>
  <c r="AS13" i="21"/>
  <c r="AT13" i="21" s="1"/>
  <c r="AU13" i="21" s="1"/>
  <c r="AV13" i="21" s="1"/>
  <c r="CG13" i="21"/>
  <c r="G226" i="5"/>
  <c r="CH25" i="21"/>
  <c r="CI25" i="21" s="1"/>
  <c r="CJ25" i="21" s="1"/>
  <c r="CK25" i="21" s="1"/>
  <c r="J197" i="5"/>
  <c r="U30" i="21"/>
  <c r="V30" i="21" s="1"/>
  <c r="W30" i="21" s="1"/>
  <c r="X30" i="21" s="1"/>
  <c r="BL30" i="21"/>
  <c r="F224" i="4"/>
  <c r="G121" i="7" s="1" a="1"/>
  <c r="G121" i="7" s="1"/>
  <c r="J201" i="4"/>
  <c r="AG19" i="21" l="1"/>
  <c r="CE25" i="21"/>
  <c r="AW13" i="21"/>
  <c r="AO20" i="21"/>
  <c r="CH12" i="21"/>
  <c r="CI12" i="21" s="1"/>
  <c r="CJ12" i="21" s="1"/>
  <c r="CK12" i="21" s="1"/>
  <c r="CL12" i="21" s="1"/>
  <c r="AW11" i="21"/>
  <c r="Y29" i="21"/>
  <c r="AW30" i="21"/>
  <c r="CA17" i="21"/>
  <c r="CB17" i="21" s="1"/>
  <c r="CC17" i="21" s="1"/>
  <c r="CD17" i="21" s="1"/>
  <c r="CE17" i="21" s="1"/>
  <c r="CA14" i="21"/>
  <c r="CB14" i="21" s="1"/>
  <c r="CC14" i="21" s="1"/>
  <c r="CD14" i="21" s="1"/>
  <c r="CE14" i="21" s="1"/>
  <c r="AW14" i="21"/>
  <c r="Y18" i="21"/>
  <c r="AG10" i="21"/>
  <c r="AG29" i="21"/>
  <c r="BQ25" i="21"/>
  <c r="AO22" i="21"/>
  <c r="AO18" i="21"/>
  <c r="AG14" i="21"/>
  <c r="AG21" i="21"/>
  <c r="AO24" i="21"/>
  <c r="AO11" i="21"/>
  <c r="AW26" i="21"/>
  <c r="AO28" i="21"/>
  <c r="AW27" i="21"/>
  <c r="AG16" i="21"/>
  <c r="Y21" i="21"/>
  <c r="CH22" i="21"/>
  <c r="CI22" i="21" s="1"/>
  <c r="CJ22" i="21" s="1"/>
  <c r="CK22" i="21" s="1"/>
  <c r="CL22" i="21" s="1"/>
  <c r="AW18" i="21"/>
  <c r="J224" i="5"/>
  <c r="AG27" i="21"/>
  <c r="AW10" i="21"/>
  <c r="Y20" i="21"/>
  <c r="AG28" i="21"/>
  <c r="AW19" i="21"/>
  <c r="AO17" i="21"/>
  <c r="Y28" i="21"/>
  <c r="AO21" i="21"/>
  <c r="AO23" i="21"/>
  <c r="AG30" i="21"/>
  <c r="Y26" i="21"/>
  <c r="AO14" i="21"/>
  <c r="AW24" i="21"/>
  <c r="CL25" i="21"/>
  <c r="AW17" i="21"/>
  <c r="F128" i="7" a="1"/>
  <c r="F128" i="7" s="1"/>
  <c r="J231" i="4"/>
  <c r="AO26" i="21"/>
  <c r="CV24" i="21"/>
  <c r="AG23" i="21"/>
  <c r="CA29" i="21"/>
  <c r="CB29" i="21" s="1"/>
  <c r="CC29" i="21" s="1"/>
  <c r="CD29" i="21" s="1"/>
  <c r="CV10" i="21"/>
  <c r="CO27" i="21"/>
  <c r="BB27" i="21"/>
  <c r="BT29" i="21"/>
  <c r="BU29" i="21" s="1"/>
  <c r="BV29" i="21" s="1"/>
  <c r="BW29" i="21" s="1"/>
  <c r="AG15" i="21"/>
  <c r="Y23" i="21"/>
  <c r="CH28" i="21"/>
  <c r="CI28" i="21" s="1"/>
  <c r="CJ28" i="21" s="1"/>
  <c r="CK28" i="21" s="1"/>
  <c r="CO16" i="21"/>
  <c r="BB16" i="21"/>
  <c r="BB14" i="21"/>
  <c r="CO14" i="21"/>
  <c r="CH30" i="21"/>
  <c r="CI30" i="21" s="1"/>
  <c r="CJ30" i="21" s="1"/>
  <c r="CK30" i="21" s="1"/>
  <c r="BM19" i="21"/>
  <c r="BN19" i="21" s="1"/>
  <c r="BO19" i="21" s="1"/>
  <c r="BP19" i="21" s="1"/>
  <c r="CA24" i="21"/>
  <c r="CB24" i="21" s="1"/>
  <c r="CC24" i="21" s="1"/>
  <c r="CD24" i="21" s="1"/>
  <c r="CA26" i="21"/>
  <c r="CB26" i="21" s="1"/>
  <c r="CC26" i="21" s="1"/>
  <c r="CD26" i="21" s="1"/>
  <c r="BM18" i="21"/>
  <c r="BN18" i="21" s="1"/>
  <c r="BO18" i="21" s="1"/>
  <c r="BP18" i="21" s="1"/>
  <c r="BT23" i="21"/>
  <c r="BU23" i="21" s="1"/>
  <c r="BV23" i="21" s="1"/>
  <c r="BW23" i="21" s="1"/>
  <c r="CH17" i="21"/>
  <c r="CI17" i="21" s="1"/>
  <c r="CJ17" i="21" s="1"/>
  <c r="CK17" i="21" s="1"/>
  <c r="AG18" i="21"/>
  <c r="BX25" i="21"/>
  <c r="CV11" i="21"/>
  <c r="Y22" i="21"/>
  <c r="AW20" i="21"/>
  <c r="AG12" i="21"/>
  <c r="BT15" i="21"/>
  <c r="BU15" i="21" s="1"/>
  <c r="BV15" i="21" s="1"/>
  <c r="BW15" i="21" s="1"/>
  <c r="CA21" i="21"/>
  <c r="CB21" i="21" s="1"/>
  <c r="CC21" i="21" s="1"/>
  <c r="CD21" i="21" s="1"/>
  <c r="CE21" i="21" s="1"/>
  <c r="CA23" i="21"/>
  <c r="CB23" i="21" s="1"/>
  <c r="CC23" i="21" s="1"/>
  <c r="CD23" i="21" s="1"/>
  <c r="CE23" i="21" s="1"/>
  <c r="BM23" i="21"/>
  <c r="BN23" i="21" s="1"/>
  <c r="BO23" i="21" s="1"/>
  <c r="BP23" i="21" s="1"/>
  <c r="CV15" i="21"/>
  <c r="J215" i="5"/>
  <c r="CV16" i="21"/>
  <c r="AO16" i="21"/>
  <c r="CO10" i="21"/>
  <c r="BB10" i="21"/>
  <c r="BT14" i="21"/>
  <c r="BU14" i="21" s="1"/>
  <c r="BV14" i="21" s="1"/>
  <c r="BW14" i="21" s="1"/>
  <c r="CO30" i="21"/>
  <c r="BB30" i="21"/>
  <c r="E25" i="4" a="1"/>
  <c r="E25" i="4" s="1"/>
  <c r="CO11" i="21"/>
  <c r="BB11" i="21"/>
  <c r="BM22" i="21"/>
  <c r="BN22" i="21" s="1"/>
  <c r="BO22" i="21" s="1"/>
  <c r="BP22" i="21" s="1"/>
  <c r="CH20" i="21"/>
  <c r="CI20" i="21" s="1"/>
  <c r="CJ20" i="21" s="1"/>
  <c r="CK20" i="21" s="1"/>
  <c r="J215" i="4"/>
  <c r="F112" i="7" a="1"/>
  <c r="F112" i="7" s="1"/>
  <c r="BB15" i="21"/>
  <c r="CO15" i="21"/>
  <c r="CA16" i="21"/>
  <c r="CB16" i="21" s="1"/>
  <c r="CC16" i="21" s="1"/>
  <c r="CD16" i="21" s="1"/>
  <c r="CE16" i="21" s="1"/>
  <c r="CA30" i="21"/>
  <c r="CB30" i="21" s="1"/>
  <c r="CC30" i="21" s="1"/>
  <c r="CD30" i="21" s="1"/>
  <c r="CV19" i="21"/>
  <c r="CV30" i="21"/>
  <c r="BT19" i="21"/>
  <c r="BU19" i="21" s="1"/>
  <c r="BV19" i="21" s="1"/>
  <c r="BW19" i="21" s="1"/>
  <c r="BT12" i="21"/>
  <c r="BU12" i="21" s="1"/>
  <c r="BV12" i="21" s="1"/>
  <c r="BW12" i="21" s="1"/>
  <c r="BX12" i="21" s="1"/>
  <c r="CH16" i="21"/>
  <c r="CI16" i="21" s="1"/>
  <c r="CJ16" i="21" s="1"/>
  <c r="CK16" i="21" s="1"/>
  <c r="J232" i="4"/>
  <c r="F129" i="7" a="1"/>
  <c r="F129" i="7" s="1"/>
  <c r="J226" i="4"/>
  <c r="F123" i="7" a="1"/>
  <c r="F123" i="7" s="1"/>
  <c r="CH10" i="21"/>
  <c r="CI10" i="21" s="1"/>
  <c r="CJ10" i="21" s="1"/>
  <c r="CK10" i="21" s="1"/>
  <c r="BT18" i="21"/>
  <c r="BU18" i="21" s="1"/>
  <c r="BV18" i="21" s="1"/>
  <c r="BW18" i="21" s="1"/>
  <c r="CO23" i="21"/>
  <c r="BB23" i="21"/>
  <c r="BB19" i="21"/>
  <c r="CO19" i="21"/>
  <c r="CH27" i="21"/>
  <c r="CI27" i="21" s="1"/>
  <c r="CJ27" i="21" s="1"/>
  <c r="CK27" i="21" s="1"/>
  <c r="BT10" i="21"/>
  <c r="BU10" i="21" s="1"/>
  <c r="BV10" i="21" s="1"/>
  <c r="BW10" i="21" s="1"/>
  <c r="AW15" i="21"/>
  <c r="AO27" i="21"/>
  <c r="BT28" i="21"/>
  <c r="BU28" i="21" s="1"/>
  <c r="BV28" i="21" s="1"/>
  <c r="BW28" i="21" s="1"/>
  <c r="Y17" i="21"/>
  <c r="AW29" i="21"/>
  <c r="CW25" i="21"/>
  <c r="F25" i="4" s="1" a="1"/>
  <c r="F25" i="4" s="1"/>
  <c r="CH18" i="21"/>
  <c r="CI18" i="21" s="1"/>
  <c r="CJ18" i="21" s="1"/>
  <c r="CK18" i="21" s="1"/>
  <c r="BM12" i="21"/>
  <c r="BN12" i="21" s="1"/>
  <c r="BO12" i="21" s="1"/>
  <c r="BP12" i="21" s="1"/>
  <c r="BT16" i="21"/>
  <c r="BU16" i="21" s="1"/>
  <c r="BV16" i="21" s="1"/>
  <c r="BW16" i="21" s="1"/>
  <c r="Y14" i="21"/>
  <c r="CA12" i="21"/>
  <c r="CB12" i="21" s="1"/>
  <c r="CC12" i="21" s="1"/>
  <c r="CD12" i="21" s="1"/>
  <c r="Y24" i="21"/>
  <c r="AG20" i="21"/>
  <c r="AO13" i="21"/>
  <c r="AG13" i="21"/>
  <c r="AG11" i="21"/>
  <c r="CV23" i="21"/>
  <c r="CH26" i="21"/>
  <c r="CI26" i="21" s="1"/>
  <c r="CJ26" i="21" s="1"/>
  <c r="CK26" i="21" s="1"/>
  <c r="CH15" i="21"/>
  <c r="CI15" i="21" s="1"/>
  <c r="CJ15" i="21" s="1"/>
  <c r="CK15" i="21" s="1"/>
  <c r="CA27" i="21"/>
  <c r="CB27" i="21" s="1"/>
  <c r="CC27" i="21" s="1"/>
  <c r="CD27" i="21" s="1"/>
  <c r="BM17" i="21"/>
  <c r="BN17" i="21" s="1"/>
  <c r="BO17" i="21" s="1"/>
  <c r="BP17" i="21" s="1"/>
  <c r="BQ17" i="21" s="1"/>
  <c r="CH29" i="21"/>
  <c r="CI29" i="21" s="1"/>
  <c r="CJ29" i="21" s="1"/>
  <c r="CK29" i="21" s="1"/>
  <c r="Y10" i="21"/>
  <c r="CP25" i="21"/>
  <c r="BC25" i="21"/>
  <c r="AG22" i="21"/>
  <c r="BT30" i="21"/>
  <c r="BU30" i="21" s="1"/>
  <c r="BV30" i="21" s="1"/>
  <c r="BW30" i="21" s="1"/>
  <c r="CV12" i="21"/>
  <c r="BT20" i="21"/>
  <c r="BU20" i="21" s="1"/>
  <c r="BV20" i="21" s="1"/>
  <c r="BW20" i="21" s="1"/>
  <c r="BT24" i="21"/>
  <c r="BU24" i="21" s="1"/>
  <c r="BV24" i="21" s="1"/>
  <c r="BW24" i="21" s="1"/>
  <c r="BX24" i="21" s="1"/>
  <c r="J226" i="5"/>
  <c r="BB24" i="21"/>
  <c r="CO24" i="21"/>
  <c r="CV27" i="21"/>
  <c r="CV14" i="21"/>
  <c r="AW22" i="21"/>
  <c r="AW23" i="21"/>
  <c r="AO19" i="21"/>
  <c r="AO15" i="21"/>
  <c r="BM10" i="21"/>
  <c r="BN10" i="21" s="1"/>
  <c r="BO10" i="21" s="1"/>
  <c r="BP10" i="21" s="1"/>
  <c r="BT22" i="21"/>
  <c r="BU22" i="21" s="1"/>
  <c r="BV22" i="21" s="1"/>
  <c r="BW22" i="21" s="1"/>
  <c r="CV17" i="21"/>
  <c r="BM14" i="21"/>
  <c r="BN14" i="21" s="1"/>
  <c r="BO14" i="21" s="1"/>
  <c r="BP14" i="21" s="1"/>
  <c r="CV29" i="21"/>
  <c r="AG17" i="21"/>
  <c r="BM24" i="21"/>
  <c r="BN24" i="21" s="1"/>
  <c r="BO24" i="21" s="1"/>
  <c r="BP24" i="21" s="1"/>
  <c r="CO12" i="21"/>
  <c r="BB12" i="21"/>
  <c r="CA13" i="21"/>
  <c r="CB13" i="21" s="1"/>
  <c r="CC13" i="21" s="1"/>
  <c r="CD13" i="21" s="1"/>
  <c r="BT13" i="21"/>
  <c r="BU13" i="21" s="1"/>
  <c r="BV13" i="21" s="1"/>
  <c r="BW13" i="21" s="1"/>
  <c r="CV21" i="21"/>
  <c r="BM30" i="21"/>
  <c r="BN30" i="21" s="1"/>
  <c r="BO30" i="21" s="1"/>
  <c r="BP30" i="21" s="1"/>
  <c r="CV22" i="21"/>
  <c r="BT11" i="21"/>
  <c r="BU11" i="21" s="1"/>
  <c r="BV11" i="21" s="1"/>
  <c r="BW11" i="21" s="1"/>
  <c r="CH13" i="21"/>
  <c r="CI13" i="21" s="1"/>
  <c r="CJ13" i="21" s="1"/>
  <c r="CK13" i="21" s="1"/>
  <c r="BM20" i="21"/>
  <c r="BN20" i="21" s="1"/>
  <c r="BO20" i="21" s="1"/>
  <c r="BP20" i="21" s="1"/>
  <c r="CA19" i="21"/>
  <c r="CB19" i="21" s="1"/>
  <c r="CC19" i="21" s="1"/>
  <c r="CD19" i="21" s="1"/>
  <c r="BB17" i="21"/>
  <c r="CO17" i="21"/>
  <c r="BM29" i="21"/>
  <c r="BN29" i="21" s="1"/>
  <c r="BO29" i="21" s="1"/>
  <c r="BP29" i="21" s="1"/>
  <c r="BB29" i="21"/>
  <c r="CO29" i="21"/>
  <c r="CO20" i="21"/>
  <c r="BB20" i="21"/>
  <c r="BT17" i="21"/>
  <c r="BU17" i="21" s="1"/>
  <c r="BV17" i="21" s="1"/>
  <c r="BW17" i="21" s="1"/>
  <c r="CO21" i="21"/>
  <c r="BB21" i="21"/>
  <c r="J224" i="4"/>
  <c r="F121" i="7" a="1"/>
  <c r="F121" i="7" s="1"/>
  <c r="CH11" i="21"/>
  <c r="CI11" i="21" s="1"/>
  <c r="CJ11" i="21" s="1"/>
  <c r="CK11" i="21" s="1"/>
  <c r="CA22" i="21"/>
  <c r="CB22" i="21" s="1"/>
  <c r="CC22" i="21" s="1"/>
  <c r="CD22" i="21" s="1"/>
  <c r="CA15" i="21"/>
  <c r="CB15" i="21" s="1"/>
  <c r="CC15" i="21" s="1"/>
  <c r="CD15" i="21" s="1"/>
  <c r="CH19" i="21"/>
  <c r="CI19" i="21" s="1"/>
  <c r="CJ19" i="21" s="1"/>
  <c r="CK19" i="21" s="1"/>
  <c r="CO28" i="21"/>
  <c r="BB28" i="21"/>
  <c r="CA28" i="21"/>
  <c r="CB28" i="21" s="1"/>
  <c r="CC28" i="21" s="1"/>
  <c r="CD28" i="21" s="1"/>
  <c r="CV20" i="21"/>
  <c r="BM26" i="21"/>
  <c r="BN26" i="21" s="1"/>
  <c r="BO26" i="21" s="1"/>
  <c r="BP26" i="21" s="1"/>
  <c r="BT21" i="21"/>
  <c r="BU21" i="21" s="1"/>
  <c r="BV21" i="21" s="1"/>
  <c r="BW21" i="21" s="1"/>
  <c r="CV26" i="21"/>
  <c r="Y11" i="21"/>
  <c r="BM15" i="21"/>
  <c r="BN15" i="21" s="1"/>
  <c r="BO15" i="21" s="1"/>
  <c r="BP15" i="21" s="1"/>
  <c r="BQ15" i="21" s="1"/>
  <c r="BM21" i="21"/>
  <c r="BN21" i="21" s="1"/>
  <c r="BO21" i="21" s="1"/>
  <c r="BP21" i="21" s="1"/>
  <c r="Y27" i="21"/>
  <c r="CO13" i="21"/>
  <c r="BB13" i="21"/>
  <c r="CA11" i="21"/>
  <c r="CB11" i="21" s="1"/>
  <c r="CC11" i="21" s="1"/>
  <c r="CD11" i="21" s="1"/>
  <c r="AG26" i="21"/>
  <c r="AO10" i="21"/>
  <c r="CA18" i="21"/>
  <c r="CB18" i="21" s="1"/>
  <c r="CC18" i="21" s="1"/>
  <c r="CD18" i="21" s="1"/>
  <c r="CE18" i="21" s="1"/>
  <c r="CV28" i="21"/>
  <c r="CV18" i="21"/>
  <c r="BB26" i="21"/>
  <c r="CO26" i="21"/>
  <c r="AW21" i="21"/>
  <c r="CH24" i="21"/>
  <c r="CI24" i="21" s="1"/>
  <c r="CJ24" i="21" s="1"/>
  <c r="CK24" i="21" s="1"/>
  <c r="Y16" i="21"/>
  <c r="CV13" i="21"/>
  <c r="CH23" i="21"/>
  <c r="CI23" i="21" s="1"/>
  <c r="CJ23" i="21" s="1"/>
  <c r="CK23" i="21" s="1"/>
  <c r="Y30" i="21"/>
  <c r="BM27" i="21"/>
  <c r="BN27" i="21" s="1"/>
  <c r="BO27" i="21" s="1"/>
  <c r="BP27" i="21" s="1"/>
  <c r="J216" i="4"/>
  <c r="F113" i="7" a="1"/>
  <c r="F113" i="7" s="1"/>
  <c r="BT26" i="21"/>
  <c r="BU26" i="21" s="1"/>
  <c r="BV26" i="21" s="1"/>
  <c r="BW26" i="21" s="1"/>
  <c r="CA10" i="21"/>
  <c r="CB10" i="21" s="1"/>
  <c r="CC10" i="21" s="1"/>
  <c r="CD10" i="21" s="1"/>
  <c r="CO22" i="21"/>
  <c r="BB22" i="21"/>
  <c r="BM13" i="21"/>
  <c r="BN13" i="21" s="1"/>
  <c r="BO13" i="21" s="1"/>
  <c r="BP13" i="21" s="1"/>
  <c r="AO29" i="21"/>
  <c r="AW12" i="21"/>
  <c r="CA20" i="21"/>
  <c r="CB20" i="21" s="1"/>
  <c r="CC20" i="21" s="1"/>
  <c r="CD20" i="21" s="1"/>
  <c r="Y15" i="21"/>
  <c r="BM28" i="21"/>
  <c r="BN28" i="21" s="1"/>
  <c r="BO28" i="21" s="1"/>
  <c r="BP28" i="21" s="1"/>
  <c r="BT27" i="21"/>
  <c r="BU27" i="21" s="1"/>
  <c r="BV27" i="21" s="1"/>
  <c r="BW27" i="21" s="1"/>
  <c r="BB18" i="21"/>
  <c r="CO18" i="21"/>
  <c r="AW28" i="21"/>
  <c r="CH21" i="21"/>
  <c r="CI21" i="21" s="1"/>
  <c r="CJ21" i="21" s="1"/>
  <c r="CK21" i="21" s="1"/>
  <c r="CH14" i="21"/>
  <c r="CI14" i="21" s="1"/>
  <c r="CJ14" i="21" s="1"/>
  <c r="CK14" i="21" s="1"/>
  <c r="BM16" i="21"/>
  <c r="BN16" i="21" s="1"/>
  <c r="BO16" i="21" s="1"/>
  <c r="BP16" i="21" s="1"/>
  <c r="BM11" i="21"/>
  <c r="BN11" i="21" s="1"/>
  <c r="BO11" i="21" s="1"/>
  <c r="BP11" i="21" s="1"/>
  <c r="CE20" i="21" l="1"/>
  <c r="CW22" i="21"/>
  <c r="F22" i="4" s="1" a="1"/>
  <c r="F22" i="4" s="1"/>
  <c r="F147" i="4" s="1"/>
  <c r="CW29" i="21"/>
  <c r="F29" i="4" s="1" a="1"/>
  <c r="F29" i="4" s="1"/>
  <c r="G157" i="7" s="1"/>
  <c r="CL11" i="21"/>
  <c r="BQ27" i="21"/>
  <c r="CE24" i="21"/>
  <c r="BQ10" i="21"/>
  <c r="BX20" i="21"/>
  <c r="CW23" i="21"/>
  <c r="F23" i="4" s="1" a="1"/>
  <c r="F23" i="4" s="1"/>
  <c r="F23" i="5" s="1"/>
  <c r="F148" i="5" s="1"/>
  <c r="BQ20" i="21"/>
  <c r="CW12" i="21"/>
  <c r="F12" i="4" s="1" a="1"/>
  <c r="F12" i="4" s="1"/>
  <c r="F137" i="4" s="1"/>
  <c r="BX30" i="21"/>
  <c r="CL10" i="21"/>
  <c r="CL14" i="21"/>
  <c r="CE28" i="21"/>
  <c r="BQ24" i="21"/>
  <c r="BQ11" i="21"/>
  <c r="CW18" i="21"/>
  <c r="F18" i="4" s="1" a="1"/>
  <c r="F18" i="4" s="1"/>
  <c r="F18" i="5" s="1"/>
  <c r="F143" i="5" s="1"/>
  <c r="BQ30" i="21"/>
  <c r="CW24" i="21"/>
  <c r="F24" i="4" s="1" a="1"/>
  <c r="F24" i="4" s="1"/>
  <c r="F149" i="4" s="1"/>
  <c r="CE22" i="21"/>
  <c r="BX22" i="21"/>
  <c r="BQ28" i="21"/>
  <c r="BX13" i="21"/>
  <c r="BQ12" i="21"/>
  <c r="BQ23" i="21"/>
  <c r="CL28" i="21"/>
  <c r="BX27" i="21"/>
  <c r="CE26" i="21"/>
  <c r="BX26" i="21"/>
  <c r="CW26" i="21"/>
  <c r="F26" i="4" s="1" a="1"/>
  <c r="F26" i="4" s="1"/>
  <c r="F151" i="4" s="1"/>
  <c r="CW20" i="21"/>
  <c r="F20" i="4" s="1" a="1"/>
  <c r="F20" i="4" s="1"/>
  <c r="G62" i="7" s="1"/>
  <c r="BX15" i="21"/>
  <c r="BQ29" i="21"/>
  <c r="BQ26" i="21"/>
  <c r="BQ16" i="21"/>
  <c r="CE19" i="21"/>
  <c r="CL18" i="21"/>
  <c r="K113" i="7"/>
  <c r="CE11" i="21"/>
  <c r="BX21" i="21"/>
  <c r="CE15" i="21"/>
  <c r="BC20" i="21"/>
  <c r="CP20" i="21"/>
  <c r="CE12" i="21"/>
  <c r="BX28" i="21"/>
  <c r="BX18" i="21"/>
  <c r="CW30" i="21"/>
  <c r="F30" i="4" s="1" a="1"/>
  <c r="F30" i="4" s="1"/>
  <c r="E11" i="4" a="1"/>
  <c r="E11" i="4" s="1"/>
  <c r="CL13" i="21"/>
  <c r="CE13" i="21"/>
  <c r="E17" i="4" a="1"/>
  <c r="E17" i="4" s="1"/>
  <c r="E27" i="4" a="1"/>
  <c r="E27" i="4" s="1"/>
  <c r="CL15" i="21"/>
  <c r="BX19" i="21"/>
  <c r="K112" i="7"/>
  <c r="BX14" i="21"/>
  <c r="BQ19" i="21"/>
  <c r="BX29" i="21"/>
  <c r="E14" i="4" a="1"/>
  <c r="E14" i="4" s="1"/>
  <c r="BC30" i="21"/>
  <c r="CP30" i="21"/>
  <c r="CX30" i="21" s="1"/>
  <c r="G30" i="4" s="1" a="1"/>
  <c r="G30" i="4" s="1"/>
  <c r="K128" i="7"/>
  <c r="CP15" i="21"/>
  <c r="CX15" i="21" s="1"/>
  <c r="G15" i="4" s="1" a="1"/>
  <c r="G15" i="4" s="1"/>
  <c r="BC15" i="21"/>
  <c r="CP18" i="21"/>
  <c r="CX18" i="21" s="1"/>
  <c r="G18" i="4" s="1" a="1"/>
  <c r="G18" i="4" s="1"/>
  <c r="BC18" i="21"/>
  <c r="BQ13" i="21"/>
  <c r="CW13" i="21"/>
  <c r="F13" i="4" s="1" a="1"/>
  <c r="F13" i="4" s="1"/>
  <c r="BC29" i="21"/>
  <c r="CP29" i="21"/>
  <c r="CX29" i="21" s="1"/>
  <c r="G29" i="4" s="1" a="1"/>
  <c r="G29" i="4" s="1"/>
  <c r="BX11" i="21"/>
  <c r="BC12" i="21"/>
  <c r="CP12" i="21"/>
  <c r="CX12" i="21" s="1"/>
  <c r="G12" i="4" s="1" a="1"/>
  <c r="G12" i="4" s="1"/>
  <c r="CP24" i="21"/>
  <c r="CX24" i="21" s="1"/>
  <c r="G24" i="4" s="1" a="1"/>
  <c r="G24" i="4" s="1"/>
  <c r="BC24" i="21"/>
  <c r="CQ25" i="21"/>
  <c r="CY25" i="21" s="1"/>
  <c r="H25" i="4" s="1" a="1"/>
  <c r="H25" i="4" s="1"/>
  <c r="BD25" i="21"/>
  <c r="CL26" i="21"/>
  <c r="BX16" i="21"/>
  <c r="CL20" i="21"/>
  <c r="BC10" i="21"/>
  <c r="CP10" i="21"/>
  <c r="CX10" i="21" s="1"/>
  <c r="CL17" i="21"/>
  <c r="CL30" i="21"/>
  <c r="BC27" i="21"/>
  <c r="CP27" i="21"/>
  <c r="BC26" i="21"/>
  <c r="CP26" i="21"/>
  <c r="CX26" i="21" s="1"/>
  <c r="G26" i="4" s="1" a="1"/>
  <c r="G26" i="4" s="1"/>
  <c r="CX25" i="21"/>
  <c r="G25" i="4" s="1" a="1"/>
  <c r="G25" i="4" s="1"/>
  <c r="BX10" i="21"/>
  <c r="E30" i="4" a="1"/>
  <c r="E30" i="4" s="1"/>
  <c r="CW10" i="21"/>
  <c r="CW27" i="21"/>
  <c r="F27" i="4" s="1" a="1"/>
  <c r="F27" i="4" s="1"/>
  <c r="CP22" i="21"/>
  <c r="CX22" i="21" s="1"/>
  <c r="G22" i="4" s="1" a="1"/>
  <c r="G22" i="4" s="1"/>
  <c r="BC22" i="21"/>
  <c r="CL23" i="21"/>
  <c r="BQ21" i="21"/>
  <c r="E20" i="4" a="1"/>
  <c r="E20" i="4" s="1"/>
  <c r="K123" i="7"/>
  <c r="BQ22" i="21"/>
  <c r="BX23" i="21"/>
  <c r="CW14" i="21"/>
  <c r="F14" i="4" s="1" a="1"/>
  <c r="F14" i="4" s="1"/>
  <c r="E26" i="4" a="1"/>
  <c r="E26" i="4" s="1"/>
  <c r="F26" i="5"/>
  <c r="F151" i="5" s="1"/>
  <c r="CP13" i="21"/>
  <c r="BC13" i="21"/>
  <c r="K121" i="7"/>
  <c r="CW17" i="21"/>
  <c r="F17" i="4" s="1" a="1"/>
  <c r="F17" i="4" s="1"/>
  <c r="E22" i="4" a="1"/>
  <c r="E22" i="4" s="1"/>
  <c r="CL29" i="21"/>
  <c r="E23" i="4" a="1"/>
  <c r="E23" i="4" s="1"/>
  <c r="CL27" i="21"/>
  <c r="E19" i="4" a="1"/>
  <c r="E19" i="4" s="1"/>
  <c r="CP14" i="21"/>
  <c r="BC14" i="21"/>
  <c r="CV5" i="21"/>
  <c r="E10" i="4" a="1"/>
  <c r="E10" i="4" s="1"/>
  <c r="E24" i="4" a="1"/>
  <c r="E24" i="4" s="1"/>
  <c r="E18" i="4" a="1"/>
  <c r="E18" i="4" s="1"/>
  <c r="CE10" i="21"/>
  <c r="E28" i="4" a="1"/>
  <c r="E28" i="4" s="1"/>
  <c r="BC17" i="21"/>
  <c r="CP17" i="21"/>
  <c r="K129" i="7"/>
  <c r="CE30" i="21"/>
  <c r="BC11" i="21"/>
  <c r="CP11" i="21"/>
  <c r="E16" i="4" a="1"/>
  <c r="E16" i="4" s="1"/>
  <c r="BQ18" i="21"/>
  <c r="CP16" i="21"/>
  <c r="BC16" i="21"/>
  <c r="CE29" i="21"/>
  <c r="E13" i="4" a="1"/>
  <c r="E13" i="4" s="1"/>
  <c r="CP28" i="21"/>
  <c r="BC28" i="21"/>
  <c r="CP21" i="21"/>
  <c r="CX21" i="21" s="1"/>
  <c r="G21" i="4" s="1" a="1"/>
  <c r="G21" i="4" s="1"/>
  <c r="BC21" i="21"/>
  <c r="CW19" i="21"/>
  <c r="F19" i="4" s="1" a="1"/>
  <c r="F19" i="4" s="1"/>
  <c r="CW11" i="21"/>
  <c r="F11" i="4" s="1" a="1"/>
  <c r="F11" i="4" s="1"/>
  <c r="CW16" i="21"/>
  <c r="F16" i="4" s="1" a="1"/>
  <c r="F16" i="4" s="1"/>
  <c r="G150" i="7"/>
  <c r="F22" i="5"/>
  <c r="F147" i="5" s="1"/>
  <c r="CW28" i="21"/>
  <c r="F28" i="4" s="1" a="1"/>
  <c r="F28" i="4" s="1"/>
  <c r="CW21" i="21"/>
  <c r="F21" i="4" s="1" a="1"/>
  <c r="F21" i="4" s="1"/>
  <c r="E29" i="4" a="1"/>
  <c r="E29" i="4" s="1"/>
  <c r="F150" i="4"/>
  <c r="G153" i="7"/>
  <c r="F25" i="5"/>
  <c r="F150" i="5" s="1"/>
  <c r="CP19" i="21"/>
  <c r="CX19" i="21" s="1"/>
  <c r="G19" i="4" s="1" a="1"/>
  <c r="G19" i="4" s="1"/>
  <c r="BC19" i="21"/>
  <c r="CL16" i="21"/>
  <c r="E15" i="4" a="1"/>
  <c r="E15" i="4" s="1"/>
  <c r="CL21" i="21"/>
  <c r="CL24" i="21"/>
  <c r="CL19" i="21"/>
  <c r="BX17" i="21"/>
  <c r="E21" i="4" a="1"/>
  <c r="E21" i="4" s="1"/>
  <c r="BQ14" i="21"/>
  <c r="E12" i="4" a="1"/>
  <c r="E12" i="4" s="1"/>
  <c r="CE27" i="21"/>
  <c r="CP23" i="21"/>
  <c r="CX23" i="21" s="1"/>
  <c r="G23" i="4" s="1" a="1"/>
  <c r="G23" i="4" s="1"/>
  <c r="BC23" i="21"/>
  <c r="CW15" i="21"/>
  <c r="F15" i="4" s="1" a="1"/>
  <c r="F15" i="4" s="1"/>
  <c r="F153" i="7"/>
  <c r="E150" i="4"/>
  <c r="E25" i="5"/>
  <c r="F29" i="5" l="1"/>
  <c r="F154" i="5" s="1"/>
  <c r="F154" i="4"/>
  <c r="G154" i="7"/>
  <c r="F122" i="4"/>
  <c r="F122" i="5" s="1"/>
  <c r="G151" i="7"/>
  <c r="F148" i="4"/>
  <c r="G58" i="7"/>
  <c r="F12" i="5"/>
  <c r="F137" i="5" s="1"/>
  <c r="F190" i="5" s="1"/>
  <c r="G146" i="7"/>
  <c r="F143" i="4"/>
  <c r="F126" i="4"/>
  <c r="F126" i="5" s="1"/>
  <c r="F101" i="4"/>
  <c r="F101" i="5" s="1"/>
  <c r="F20" i="5"/>
  <c r="F145" i="5" s="1"/>
  <c r="F180" i="5" s="1"/>
  <c r="F24" i="5"/>
  <c r="F149" i="5" s="1"/>
  <c r="F145" i="4"/>
  <c r="F181" i="4" s="1"/>
  <c r="G88" i="7" s="1"/>
  <c r="G152" i="7"/>
  <c r="G148" i="7"/>
  <c r="BD10" i="21"/>
  <c r="CR10" i="21" s="1"/>
  <c r="CZ10" i="21" s="1"/>
  <c r="CQ10" i="21"/>
  <c r="CY10" i="21" s="1"/>
  <c r="H157" i="7"/>
  <c r="G29" i="5"/>
  <c r="G154" i="5" s="1"/>
  <c r="G154" i="4"/>
  <c r="E27" i="5"/>
  <c r="E152" i="4"/>
  <c r="F155" i="7"/>
  <c r="E124" i="4"/>
  <c r="E140" i="4"/>
  <c r="E15" i="5"/>
  <c r="G146" i="4"/>
  <c r="H149" i="7"/>
  <c r="G21" i="5"/>
  <c r="G146" i="5" s="1"/>
  <c r="CQ17" i="21"/>
  <c r="CY17" i="21" s="1"/>
  <c r="H17" i="4" s="1" a="1"/>
  <c r="H17" i="4" s="1"/>
  <c r="BD17" i="21"/>
  <c r="CR17" i="21" s="1"/>
  <c r="CZ17" i="21" s="1"/>
  <c r="I17" i="4" s="1" a="1"/>
  <c r="I17" i="4" s="1"/>
  <c r="CX14" i="21"/>
  <c r="G14" i="4" s="1" a="1"/>
  <c r="G14" i="4" s="1"/>
  <c r="E150" i="5"/>
  <c r="F149" i="7"/>
  <c r="E146" i="4"/>
  <c r="E21" i="5"/>
  <c r="G149" i="7"/>
  <c r="F21" i="5"/>
  <c r="F146" i="5" s="1"/>
  <c r="F146" i="4"/>
  <c r="E112" i="4"/>
  <c r="E141" i="4"/>
  <c r="E16" i="5"/>
  <c r="F30" i="7"/>
  <c r="F144" i="7"/>
  <c r="E125" i="4"/>
  <c r="F154" i="7"/>
  <c r="E26" i="5"/>
  <c r="E151" i="4"/>
  <c r="E127" i="4"/>
  <c r="CQ29" i="21"/>
  <c r="BD29" i="21"/>
  <c r="G148" i="4"/>
  <c r="G23" i="5"/>
  <c r="G148" i="5" s="1"/>
  <c r="H151" i="7"/>
  <c r="E154" i="4"/>
  <c r="E29" i="5"/>
  <c r="F157" i="7"/>
  <c r="CX17" i="21"/>
  <c r="G17" i="4" s="1" a="1"/>
  <c r="G17" i="4" s="1"/>
  <c r="CQ14" i="21"/>
  <c r="CY14" i="21" s="1"/>
  <c r="H14" i="4" s="1" a="1"/>
  <c r="H14" i="4" s="1"/>
  <c r="BD14" i="21"/>
  <c r="CR14" i="21" s="1"/>
  <c r="CZ14" i="21" s="1"/>
  <c r="I14" i="4" s="1" a="1"/>
  <c r="I14" i="4" s="1"/>
  <c r="CQ20" i="21"/>
  <c r="CY20" i="21" s="1"/>
  <c r="H20" i="4" s="1" a="1"/>
  <c r="H20" i="4" s="1"/>
  <c r="BD20" i="21"/>
  <c r="CR20" i="21" s="1"/>
  <c r="CZ20" i="21" s="1"/>
  <c r="I20" i="4" s="1" a="1"/>
  <c r="I20" i="4" s="1"/>
  <c r="E153" i="4"/>
  <c r="F156" i="7"/>
  <c r="E28" i="5"/>
  <c r="F152" i="4"/>
  <c r="F27" i="5"/>
  <c r="F152" i="5" s="1"/>
  <c r="G155" i="7"/>
  <c r="F190" i="4"/>
  <c r="F84" i="4"/>
  <c r="F138" i="4"/>
  <c r="F164" i="4" s="1"/>
  <c r="G45" i="7"/>
  <c r="F123" i="4"/>
  <c r="F123" i="5" s="1"/>
  <c r="F13" i="5"/>
  <c r="F138" i="5" s="1"/>
  <c r="F164" i="5" s="1"/>
  <c r="E17" i="5"/>
  <c r="F145" i="7"/>
  <c r="E142" i="4"/>
  <c r="CQ21" i="21"/>
  <c r="BD21" i="21"/>
  <c r="CR21" i="21" s="1"/>
  <c r="CZ21" i="21" s="1"/>
  <c r="I21" i="4" s="1" a="1"/>
  <c r="I21" i="4" s="1"/>
  <c r="G10" i="4" a="1"/>
  <c r="G10" i="4" s="1"/>
  <c r="F153" i="4"/>
  <c r="G156" i="7"/>
  <c r="F28" i="5"/>
  <c r="F153" i="5" s="1"/>
  <c r="CQ28" i="21"/>
  <c r="CY28" i="21" s="1"/>
  <c r="H28" i="4" s="1" a="1"/>
  <c r="H28" i="4" s="1"/>
  <c r="BD28" i="21"/>
  <c r="CR28" i="21" s="1"/>
  <c r="CZ28" i="21" s="1"/>
  <c r="I28" i="4" s="1" a="1"/>
  <c r="I28" i="4" s="1"/>
  <c r="CX11" i="21"/>
  <c r="G11" i="4" s="1" a="1"/>
  <c r="G11" i="4" s="1"/>
  <c r="E19" i="5"/>
  <c r="F147" i="7"/>
  <c r="E144" i="4"/>
  <c r="CX28" i="21"/>
  <c r="G28" i="4" s="1" a="1"/>
  <c r="G28" i="4" s="1"/>
  <c r="BD11" i="21"/>
  <c r="CQ11" i="21"/>
  <c r="CY11" i="21" s="1"/>
  <c r="H11" i="4" s="1" a="1"/>
  <c r="H11" i="4" s="1"/>
  <c r="F10" i="4" a="1"/>
  <c r="F10" i="4" s="1"/>
  <c r="CW5" i="21"/>
  <c r="F124" i="4"/>
  <c r="F124" i="5" s="1"/>
  <c r="F15" i="5"/>
  <c r="F140" i="5" s="1"/>
  <c r="F140" i="4"/>
  <c r="F177" i="4" s="1"/>
  <c r="G84" i="7" s="1"/>
  <c r="BD19" i="21"/>
  <c r="CR19" i="21" s="1"/>
  <c r="CZ19" i="21" s="1"/>
  <c r="I19" i="4" s="1" a="1"/>
  <c r="I19" i="4" s="1"/>
  <c r="CQ19" i="21"/>
  <c r="CY19" i="21" s="1"/>
  <c r="H19" i="4" s="1" a="1"/>
  <c r="H19" i="4" s="1"/>
  <c r="F14" i="5"/>
  <c r="F139" i="5" s="1"/>
  <c r="F139" i="4"/>
  <c r="G54" i="7"/>
  <c r="F93" i="4"/>
  <c r="F93" i="5" s="1"/>
  <c r="E145" i="4"/>
  <c r="E20" i="5"/>
  <c r="E101" i="4"/>
  <c r="F148" i="7"/>
  <c r="E126" i="4"/>
  <c r="F62" i="7"/>
  <c r="H154" i="7"/>
  <c r="G151" i="4"/>
  <c r="G26" i="5"/>
  <c r="G151" i="5" s="1"/>
  <c r="H147" i="7"/>
  <c r="G144" i="4"/>
  <c r="G19" i="5"/>
  <c r="G144" i="5" s="1"/>
  <c r="F45" i="7"/>
  <c r="E13" i="5"/>
  <c r="E138" i="4"/>
  <c r="E84" i="4"/>
  <c r="E123" i="4"/>
  <c r="E143" i="4"/>
  <c r="F146" i="7"/>
  <c r="E18" i="5"/>
  <c r="E23" i="5"/>
  <c r="E148" i="4"/>
  <c r="F151" i="7"/>
  <c r="BD13" i="21"/>
  <c r="CQ13" i="21"/>
  <c r="CY13" i="21" s="1"/>
  <c r="H13" i="4" s="1" a="1"/>
  <c r="H13" i="4" s="1"/>
  <c r="E128" i="4"/>
  <c r="E30" i="5"/>
  <c r="F32" i="7"/>
  <c r="E100" i="4"/>
  <c r="F61" i="7"/>
  <c r="E155" i="4"/>
  <c r="E114" i="4"/>
  <c r="F158" i="7"/>
  <c r="BD26" i="21"/>
  <c r="CR26" i="21" s="1"/>
  <c r="CZ26" i="21" s="1"/>
  <c r="I26" i="4" s="1" a="1"/>
  <c r="I26" i="4" s="1"/>
  <c r="CQ26" i="21"/>
  <c r="CR25" i="21"/>
  <c r="BE25" i="21"/>
  <c r="BG25" i="21" s="1"/>
  <c r="BI25" i="21" s="1"/>
  <c r="E11" i="5"/>
  <c r="E85" i="4"/>
  <c r="F46" i="7"/>
  <c r="CQ23" i="21"/>
  <c r="CY23" i="21" s="1"/>
  <c r="H23" i="4" s="1" a="1"/>
  <c r="H23" i="4" s="1"/>
  <c r="BD23" i="21"/>
  <c r="CX13" i="21"/>
  <c r="H150" i="4"/>
  <c r="H25" i="5"/>
  <c r="H150" i="5" s="1"/>
  <c r="I153" i="7"/>
  <c r="CQ18" i="21"/>
  <c r="CY18" i="21" s="1"/>
  <c r="H18" i="4" s="1" a="1"/>
  <c r="H18" i="4" s="1"/>
  <c r="BD18" i="21"/>
  <c r="CR18" i="21" s="1"/>
  <c r="CZ18" i="21" s="1"/>
  <c r="I18" i="4" s="1" a="1"/>
  <c r="I18" i="4" s="1"/>
  <c r="G32" i="7"/>
  <c r="G61" i="7"/>
  <c r="F128" i="4"/>
  <c r="F128" i="5" s="1"/>
  <c r="F100" i="4"/>
  <c r="F100" i="5" s="1"/>
  <c r="F155" i="4"/>
  <c r="F180" i="4" s="1"/>
  <c r="G87" i="7" s="1"/>
  <c r="F114" i="4"/>
  <c r="F30" i="5"/>
  <c r="F155" i="5" s="1"/>
  <c r="G158" i="7"/>
  <c r="E24" i="5"/>
  <c r="E149" i="4"/>
  <c r="F152" i="7"/>
  <c r="CX27" i="21"/>
  <c r="BD24" i="21"/>
  <c r="CR24" i="21" s="1"/>
  <c r="CZ24" i="21" s="1"/>
  <c r="I24" i="4" s="1" a="1"/>
  <c r="I24" i="4" s="1"/>
  <c r="CQ24" i="21"/>
  <c r="G143" i="4"/>
  <c r="H146" i="7"/>
  <c r="G18" i="5"/>
  <c r="G143" i="5" s="1"/>
  <c r="G128" i="4"/>
  <c r="G128" i="5" s="1"/>
  <c r="G114" i="4"/>
  <c r="G100" i="4"/>
  <c r="G100" i="5" s="1"/>
  <c r="G30" i="5"/>
  <c r="G155" i="5" s="1"/>
  <c r="H61" i="7"/>
  <c r="H158" i="7"/>
  <c r="H32" i="7"/>
  <c r="G155" i="4"/>
  <c r="G180" i="4" s="1"/>
  <c r="H87" i="7" s="1"/>
  <c r="G144" i="7"/>
  <c r="F112" i="4"/>
  <c r="F16" i="5"/>
  <c r="F141" i="5" s="1"/>
  <c r="G30" i="7"/>
  <c r="F125" i="4"/>
  <c r="F125" i="5" s="1"/>
  <c r="F141" i="4"/>
  <c r="F85" i="4"/>
  <c r="F85" i="5" s="1"/>
  <c r="F11" i="5"/>
  <c r="G46" i="7"/>
  <c r="E147" i="4"/>
  <c r="F150" i="7"/>
  <c r="E22" i="5"/>
  <c r="F127" i="4"/>
  <c r="F127" i="5" s="1"/>
  <c r="BD22" i="21"/>
  <c r="CQ22" i="21"/>
  <c r="G150" i="4"/>
  <c r="H153" i="7"/>
  <c r="G25" i="5"/>
  <c r="G150" i="5" s="1"/>
  <c r="BD27" i="21"/>
  <c r="CR27" i="21" s="1"/>
  <c r="CZ27" i="21" s="1"/>
  <c r="I27" i="4" s="1" a="1"/>
  <c r="I27" i="4" s="1"/>
  <c r="CQ27" i="21"/>
  <c r="CY27" i="21" s="1"/>
  <c r="H27" i="4" s="1" a="1"/>
  <c r="H27" i="4" s="1"/>
  <c r="G149" i="4"/>
  <c r="H152" i="7"/>
  <c r="G24" i="5"/>
  <c r="G149" i="5" s="1"/>
  <c r="CQ15" i="21"/>
  <c r="BD15" i="21"/>
  <c r="CQ30" i="21"/>
  <c r="CY30" i="21" s="1"/>
  <c r="H30" i="4" s="1" a="1"/>
  <c r="H30" i="4" s="1"/>
  <c r="BD30" i="21"/>
  <c r="BD16" i="21"/>
  <c r="CQ16" i="21"/>
  <c r="CY16" i="21" s="1"/>
  <c r="H16" i="4" s="1" a="1"/>
  <c r="H16" i="4" s="1"/>
  <c r="E5" i="4"/>
  <c r="E4" i="4" s="1"/>
  <c r="E10" i="5"/>
  <c r="F27" i="7"/>
  <c r="F56" i="7"/>
  <c r="E95" i="4"/>
  <c r="E107" i="4"/>
  <c r="E135" i="4"/>
  <c r="E121" i="4"/>
  <c r="F17" i="5"/>
  <c r="F142" i="5" s="1"/>
  <c r="G145" i="7"/>
  <c r="F142" i="4"/>
  <c r="H150" i="7"/>
  <c r="G22" i="5"/>
  <c r="G147" i="5" s="1"/>
  <c r="G147" i="4"/>
  <c r="G97" i="4"/>
  <c r="G97" i="5" s="1"/>
  <c r="G122" i="4"/>
  <c r="G122" i="5" s="1"/>
  <c r="G12" i="5"/>
  <c r="G137" i="5" s="1"/>
  <c r="H58" i="7"/>
  <c r="G137" i="4"/>
  <c r="G140" i="4"/>
  <c r="G15" i="5"/>
  <c r="G140" i="5" s="1"/>
  <c r="G124" i="4"/>
  <c r="G124" i="5" s="1"/>
  <c r="G147" i="7"/>
  <c r="F144" i="4"/>
  <c r="F19" i="5"/>
  <c r="F144" i="5" s="1"/>
  <c r="E137" i="4"/>
  <c r="E12" i="5"/>
  <c r="E122" i="4"/>
  <c r="E97" i="4"/>
  <c r="F58" i="7"/>
  <c r="CX16" i="21"/>
  <c r="G16" i="4" s="1" a="1"/>
  <c r="G16" i="4" s="1"/>
  <c r="F97" i="4"/>
  <c r="F97" i="5" s="1"/>
  <c r="CQ12" i="21"/>
  <c r="BD12" i="21"/>
  <c r="F54" i="7"/>
  <c r="E14" i="5"/>
  <c r="E139" i="4"/>
  <c r="E93" i="4"/>
  <c r="E93" i="5" s="1"/>
  <c r="CX20" i="21"/>
  <c r="BE17" i="21" l="1"/>
  <c r="BG17" i="21" s="1"/>
  <c r="BI17" i="21" s="1"/>
  <c r="BE21" i="21"/>
  <c r="BG21" i="21" s="1"/>
  <c r="BI21" i="21" s="1"/>
  <c r="CS20" i="21"/>
  <c r="F177" i="5"/>
  <c r="BE20" i="21"/>
  <c r="BG20" i="21" s="1"/>
  <c r="BI20" i="21" s="1"/>
  <c r="DA14" i="21"/>
  <c r="J14" i="4" s="1" a="1"/>
  <c r="J14" i="4" s="1"/>
  <c r="CS19" i="21"/>
  <c r="CS27" i="21"/>
  <c r="CS17" i="21"/>
  <c r="BE24" i="21"/>
  <c r="BG24" i="21" s="1"/>
  <c r="BI24" i="21" s="1"/>
  <c r="DA19" i="21"/>
  <c r="J19" i="4" s="1" a="1"/>
  <c r="J19" i="4" s="1"/>
  <c r="CS28" i="21"/>
  <c r="F228" i="5"/>
  <c r="F232" i="5" s="1"/>
  <c r="F209" i="5"/>
  <c r="E177" i="4"/>
  <c r="E190" i="4"/>
  <c r="H128" i="4"/>
  <c r="H128" i="5" s="1"/>
  <c r="H100" i="4"/>
  <c r="H100" i="5" s="1"/>
  <c r="H114" i="4"/>
  <c r="H30" i="5"/>
  <c r="H155" i="5" s="1"/>
  <c r="I158" i="7"/>
  <c r="I32" i="7"/>
  <c r="I61" i="7"/>
  <c r="H155" i="4"/>
  <c r="H180" i="4" s="1"/>
  <c r="I87" i="7" s="1"/>
  <c r="CY22" i="21"/>
  <c r="C25" i="9"/>
  <c r="F114" i="5"/>
  <c r="B25" i="9"/>
  <c r="E114" i="5"/>
  <c r="E143" i="5"/>
  <c r="CR11" i="21"/>
  <c r="CZ11" i="21" s="1"/>
  <c r="I11" i="4" s="1" a="1"/>
  <c r="I11" i="4" s="1"/>
  <c r="BE11" i="21"/>
  <c r="BG11" i="21" s="1"/>
  <c r="BI11" i="21" s="1"/>
  <c r="J62" i="7"/>
  <c r="I145" i="4"/>
  <c r="I181" i="4" s="1"/>
  <c r="J88" i="7" s="1"/>
  <c r="I101" i="4"/>
  <c r="I101" i="5" s="1"/>
  <c r="J148" i="7"/>
  <c r="I20" i="5"/>
  <c r="I145" i="5" s="1"/>
  <c r="I180" i="5" s="1"/>
  <c r="DA28" i="21"/>
  <c r="J28" i="4" s="1" a="1"/>
  <c r="J28" i="4" s="1"/>
  <c r="E146" i="5"/>
  <c r="I10" i="4" a="1"/>
  <c r="I10" i="4" s="1"/>
  <c r="H10" i="4" a="1"/>
  <c r="H10" i="4" s="1"/>
  <c r="CR12" i="21"/>
  <c r="CZ12" i="21" s="1"/>
  <c r="I12" i="4" s="1" a="1"/>
  <c r="I12" i="4" s="1"/>
  <c r="BE12" i="21"/>
  <c r="BG12" i="21" s="1"/>
  <c r="BI12" i="21" s="1"/>
  <c r="G190" i="5"/>
  <c r="G177" i="5"/>
  <c r="E130" i="4"/>
  <c r="E121" i="5"/>
  <c r="CR15" i="21"/>
  <c r="BE15" i="21"/>
  <c r="BG15" i="21" s="1"/>
  <c r="BI15" i="21" s="1"/>
  <c r="CR22" i="21"/>
  <c r="CZ22" i="21" s="1"/>
  <c r="I22" i="4" s="1" a="1"/>
  <c r="I22" i="4" s="1"/>
  <c r="BE22" i="21"/>
  <c r="BG22" i="21" s="1"/>
  <c r="BI22" i="21" s="1"/>
  <c r="CY24" i="21"/>
  <c r="CS24" i="21"/>
  <c r="G13" i="4" a="1"/>
  <c r="G13" i="4" s="1"/>
  <c r="G107" i="4" s="1"/>
  <c r="E180" i="4"/>
  <c r="F173" i="4"/>
  <c r="G80" i="7" s="1"/>
  <c r="CX5" i="21"/>
  <c r="G71" i="7"/>
  <c r="H145" i="4"/>
  <c r="H181" i="4" s="1"/>
  <c r="I88" i="7" s="1"/>
  <c r="I62" i="7"/>
  <c r="H101" i="4"/>
  <c r="H101" i="5" s="1"/>
  <c r="H20" i="5"/>
  <c r="H145" i="5" s="1"/>
  <c r="H180" i="5" s="1"/>
  <c r="H126" i="4"/>
  <c r="H126" i="5" s="1"/>
  <c r="I148" i="7"/>
  <c r="E140" i="5"/>
  <c r="E137" i="5"/>
  <c r="CY12" i="21"/>
  <c r="E156" i="4"/>
  <c r="E175" i="4"/>
  <c r="CY15" i="21"/>
  <c r="J152" i="7"/>
  <c r="I24" i="5"/>
  <c r="I149" i="5" s="1"/>
  <c r="I149" i="4"/>
  <c r="F173" i="5"/>
  <c r="G28" i="5"/>
  <c r="G153" i="5" s="1"/>
  <c r="G153" i="4"/>
  <c r="H156" i="7"/>
  <c r="G10" i="5"/>
  <c r="G121" i="4"/>
  <c r="G135" i="4"/>
  <c r="H56" i="7"/>
  <c r="G95" i="4"/>
  <c r="G95" i="5" s="1"/>
  <c r="F84" i="5"/>
  <c r="BE14" i="21"/>
  <c r="BG14" i="21" s="1"/>
  <c r="BI14" i="21" s="1"/>
  <c r="DA17" i="21"/>
  <c r="J17" i="4" s="1" a="1"/>
  <c r="J17" i="4" s="1"/>
  <c r="E107" i="5"/>
  <c r="B9" i="9"/>
  <c r="E116" i="4"/>
  <c r="E85" i="5"/>
  <c r="E100" i="5"/>
  <c r="J149" i="7"/>
  <c r="I21" i="5"/>
  <c r="I146" i="5" s="1"/>
  <c r="I146" i="4"/>
  <c r="I14" i="5"/>
  <c r="I139" i="5" s="1"/>
  <c r="I139" i="4"/>
  <c r="CR29" i="21"/>
  <c r="BE29" i="21"/>
  <c r="BG29" i="21" s="1"/>
  <c r="BI29" i="21" s="1"/>
  <c r="E125" i="5"/>
  <c r="E124" i="5"/>
  <c r="E95" i="5"/>
  <c r="E147" i="5"/>
  <c r="G27" i="4" a="1"/>
  <c r="G27" i="4" s="1"/>
  <c r="H54" i="7" s="1"/>
  <c r="DA27" i="21"/>
  <c r="J27" i="4" s="1" a="1"/>
  <c r="J27" i="4" s="1"/>
  <c r="CR23" i="21"/>
  <c r="CZ23" i="21" s="1"/>
  <c r="I23" i="4" s="1" a="1"/>
  <c r="I23" i="4" s="1"/>
  <c r="I126" i="4" s="1"/>
  <c r="I126" i="5" s="1"/>
  <c r="BE23" i="21"/>
  <c r="BG23" i="21" s="1"/>
  <c r="BI23" i="21" s="1"/>
  <c r="E123" i="5"/>
  <c r="DA18" i="21"/>
  <c r="J18" i="4" s="1" a="1"/>
  <c r="J18" i="4" s="1"/>
  <c r="CY21" i="21"/>
  <c r="CS21" i="21"/>
  <c r="F228" i="4"/>
  <c r="F209" i="4"/>
  <c r="H139" i="4"/>
  <c r="H14" i="5"/>
  <c r="H139" i="5" s="1"/>
  <c r="CY29" i="21"/>
  <c r="H85" i="4"/>
  <c r="H85" i="5" s="1"/>
  <c r="I46" i="7"/>
  <c r="H11" i="5"/>
  <c r="C12" i="9"/>
  <c r="C23" i="9"/>
  <c r="F112" i="5"/>
  <c r="H23" i="5"/>
  <c r="H148" i="5" s="1"/>
  <c r="I151" i="7"/>
  <c r="H148" i="4"/>
  <c r="E155" i="5"/>
  <c r="E102" i="4"/>
  <c r="E84" i="5"/>
  <c r="H19" i="5"/>
  <c r="H144" i="5" s="1"/>
  <c r="H144" i="4"/>
  <c r="I147" i="7"/>
  <c r="E144" i="5"/>
  <c r="CS14" i="21"/>
  <c r="F34" i="7"/>
  <c r="BE27" i="21"/>
  <c r="BG27" i="21" s="1"/>
  <c r="BI27" i="21" s="1"/>
  <c r="E128" i="5"/>
  <c r="E164" i="4"/>
  <c r="E126" i="5"/>
  <c r="J147" i="7"/>
  <c r="I19" i="5"/>
  <c r="I144" i="5" s="1"/>
  <c r="I144" i="4"/>
  <c r="G17" i="5"/>
  <c r="G142" i="5" s="1"/>
  <c r="G142" i="4"/>
  <c r="H145" i="7"/>
  <c r="E141" i="5"/>
  <c r="G14" i="5"/>
  <c r="G139" i="5" s="1"/>
  <c r="G139" i="4"/>
  <c r="E152" i="5"/>
  <c r="G177" i="4"/>
  <c r="H84" i="7" s="1"/>
  <c r="G190" i="4"/>
  <c r="G141" i="4"/>
  <c r="H144" i="7"/>
  <c r="G16" i="5"/>
  <c r="G141" i="5" s="1"/>
  <c r="G125" i="4"/>
  <c r="G125" i="5" s="1"/>
  <c r="E5" i="5"/>
  <c r="E4" i="5" s="1"/>
  <c r="E135" i="5"/>
  <c r="I155" i="7"/>
  <c r="H27" i="5"/>
  <c r="H152" i="5" s="1"/>
  <c r="H152" i="4"/>
  <c r="DA10" i="21"/>
  <c r="D25" i="9"/>
  <c r="G114" i="5"/>
  <c r="I143" i="4"/>
  <c r="J146" i="7"/>
  <c r="I18" i="5"/>
  <c r="I143" i="5" s="1"/>
  <c r="CZ25" i="21"/>
  <c r="CS25" i="21"/>
  <c r="H138" i="4"/>
  <c r="H164" i="4" s="1"/>
  <c r="I45" i="7"/>
  <c r="H84" i="4"/>
  <c r="H13" i="5"/>
  <c r="H138" i="5" s="1"/>
  <c r="H164" i="5" s="1"/>
  <c r="H123" i="4"/>
  <c r="H123" i="5" s="1"/>
  <c r="E138" i="5"/>
  <c r="CS18" i="21"/>
  <c r="G85" i="4"/>
  <c r="G85" i="5" s="1"/>
  <c r="H46" i="7"/>
  <c r="G11" i="5"/>
  <c r="E142" i="5"/>
  <c r="E127" i="5"/>
  <c r="J145" i="7"/>
  <c r="I142" i="4"/>
  <c r="I17" i="5"/>
  <c r="I142" i="5" s="1"/>
  <c r="BE28" i="21"/>
  <c r="BG28" i="21" s="1"/>
  <c r="BI28" i="21" s="1"/>
  <c r="G20" i="4" a="1"/>
  <c r="G20" i="4" s="1"/>
  <c r="DA20" i="21"/>
  <c r="J20" i="4" s="1" a="1"/>
  <c r="J20" i="4" s="1"/>
  <c r="E149" i="5"/>
  <c r="H18" i="5"/>
  <c r="H143" i="5" s="1"/>
  <c r="H143" i="4"/>
  <c r="I146" i="7"/>
  <c r="CY26" i="21"/>
  <c r="CS26" i="21"/>
  <c r="CR13" i="21"/>
  <c r="BE13" i="21"/>
  <c r="BG13" i="21" s="1"/>
  <c r="BI13" i="21" s="1"/>
  <c r="F63" i="7"/>
  <c r="E101" i="5"/>
  <c r="J156" i="7"/>
  <c r="I153" i="4"/>
  <c r="I28" i="5"/>
  <c r="I153" i="5" s="1"/>
  <c r="E154" i="5"/>
  <c r="E112" i="5"/>
  <c r="B23" i="9"/>
  <c r="B12" i="9"/>
  <c r="H142" i="4"/>
  <c r="H17" i="5"/>
  <c r="H142" i="5" s="1"/>
  <c r="I145" i="7"/>
  <c r="BE26" i="21"/>
  <c r="BG26" i="21" s="1"/>
  <c r="BI26" i="21" s="1"/>
  <c r="E139" i="5"/>
  <c r="CR30" i="21"/>
  <c r="CZ30" i="21" s="1"/>
  <c r="I30" i="4" s="1" a="1"/>
  <c r="I30" i="4" s="1"/>
  <c r="BE30" i="21"/>
  <c r="BG30" i="21" s="1"/>
  <c r="BI30" i="21" s="1"/>
  <c r="E148" i="5"/>
  <c r="E97" i="5"/>
  <c r="I144" i="7"/>
  <c r="H141" i="4"/>
  <c r="H16" i="5"/>
  <c r="H141" i="5" s="1"/>
  <c r="J154" i="7"/>
  <c r="I151" i="4"/>
  <c r="I26" i="5"/>
  <c r="I151" i="5" s="1"/>
  <c r="E145" i="5"/>
  <c r="F135" i="4"/>
  <c r="F5" i="4"/>
  <c r="F4" i="4" s="1"/>
  <c r="F10" i="5"/>
  <c r="G27" i="7"/>
  <c r="G34" i="7" s="1"/>
  <c r="F95" i="4"/>
  <c r="F95" i="5" s="1"/>
  <c r="F121" i="4"/>
  <c r="F107" i="4"/>
  <c r="G56" i="7"/>
  <c r="H153" i="4"/>
  <c r="H28" i="5"/>
  <c r="H153" i="5" s="1"/>
  <c r="I156" i="7"/>
  <c r="E153" i="5"/>
  <c r="E151" i="5"/>
  <c r="BE18" i="21"/>
  <c r="BG18" i="21" s="1"/>
  <c r="BI18" i="21" s="1"/>
  <c r="I27" i="5"/>
  <c r="I152" i="5" s="1"/>
  <c r="J155" i="7"/>
  <c r="I152" i="4"/>
  <c r="E173" i="4"/>
  <c r="E122" i="5"/>
  <c r="CR16" i="21"/>
  <c r="BE16" i="21"/>
  <c r="BG16" i="21" s="1"/>
  <c r="BI16" i="21" s="1"/>
  <c r="E181" i="4"/>
  <c r="CS10" i="21"/>
  <c r="BE10" i="21"/>
  <c r="BG10" i="21" s="1"/>
  <c r="BI10" i="21" s="1"/>
  <c r="BE19" i="21"/>
  <c r="BG19" i="21" s="1"/>
  <c r="BI19" i="21" s="1"/>
  <c r="CS11" i="21" l="1"/>
  <c r="CS12" i="21"/>
  <c r="G37" i="7"/>
  <c r="F37" i="7"/>
  <c r="DA11" i="21"/>
  <c r="J11" i="4" s="1" a="1"/>
  <c r="J11" i="4" s="1"/>
  <c r="K145" i="7"/>
  <c r="K156" i="7"/>
  <c r="J14" i="5"/>
  <c r="J139" i="4"/>
  <c r="L139" i="4" s="1"/>
  <c r="CZ29" i="21"/>
  <c r="I29" i="4" s="1" a="1"/>
  <c r="I29" i="4" s="1"/>
  <c r="I127" i="4" s="1"/>
  <c r="I127" i="5" s="1"/>
  <c r="CS29" i="21"/>
  <c r="CZ15" i="21"/>
  <c r="I15" i="4" s="1" a="1"/>
  <c r="I15" i="4" s="1"/>
  <c r="I97" i="4" s="1"/>
  <c r="I97" i="5" s="1"/>
  <c r="CS15" i="21"/>
  <c r="G5" i="4"/>
  <c r="G4" i="4" s="1"/>
  <c r="K147" i="7"/>
  <c r="J153" i="4"/>
  <c r="L153" i="4" s="1"/>
  <c r="J144" i="4"/>
  <c r="L144" i="4" s="1"/>
  <c r="F102" i="5"/>
  <c r="J143" i="4"/>
  <c r="L143" i="4" s="1"/>
  <c r="CS23" i="21"/>
  <c r="J17" i="5"/>
  <c r="K146" i="7"/>
  <c r="G112" i="4"/>
  <c r="G116" i="4" s="1"/>
  <c r="J144" i="5"/>
  <c r="C27" i="9"/>
  <c r="C29" i="9" s="1"/>
  <c r="F135" i="5"/>
  <c r="F5" i="5"/>
  <c r="F4" i="5" s="1"/>
  <c r="E182" i="4"/>
  <c r="E184" i="4" s="1"/>
  <c r="F71" i="7"/>
  <c r="H21" i="4" a="1"/>
  <c r="H21" i="4" s="1"/>
  <c r="DA21" i="21"/>
  <c r="J21" i="4" s="1" a="1"/>
  <c r="J21" i="4" s="1"/>
  <c r="I10" i="5"/>
  <c r="I135" i="4"/>
  <c r="J56" i="7"/>
  <c r="I121" i="4"/>
  <c r="I95" i="4"/>
  <c r="I95" i="5" s="1"/>
  <c r="J10" i="4" a="1"/>
  <c r="J10" i="4" s="1"/>
  <c r="CZ16" i="21"/>
  <c r="CS16" i="21"/>
  <c r="J28" i="5"/>
  <c r="I71" i="7"/>
  <c r="J19" i="5"/>
  <c r="H15" i="4" a="1"/>
  <c r="H15" i="4" s="1"/>
  <c r="G63" i="7"/>
  <c r="E228" i="4"/>
  <c r="E209" i="4"/>
  <c r="DA30" i="21"/>
  <c r="J30" i="4" s="1" a="1"/>
  <c r="J30" i="4" s="1"/>
  <c r="CS22" i="21"/>
  <c r="I147" i="4"/>
  <c r="J150" i="7"/>
  <c r="I22" i="5"/>
  <c r="I147" i="5" s="1"/>
  <c r="I25" i="4" a="1"/>
  <c r="I25" i="4" s="1"/>
  <c r="DA25" i="21"/>
  <c r="J25" i="4" s="1" a="1"/>
  <c r="J25" i="4" s="1"/>
  <c r="G228" i="4"/>
  <c r="G209" i="4"/>
  <c r="J142" i="5"/>
  <c r="CS30" i="21"/>
  <c r="B15" i="9"/>
  <c r="F82" i="7"/>
  <c r="F87" i="7"/>
  <c r="E130" i="5"/>
  <c r="I85" i="4"/>
  <c r="J46" i="7"/>
  <c r="I11" i="5"/>
  <c r="J11" i="5" s="1"/>
  <c r="H22" i="4" a="1"/>
  <c r="H22" i="4" s="1"/>
  <c r="DA22" i="21"/>
  <c r="J22" i="4" s="1" a="1"/>
  <c r="J22" i="4" s="1"/>
  <c r="F84" i="7"/>
  <c r="E180" i="5"/>
  <c r="CZ13" i="21"/>
  <c r="CS13" i="21"/>
  <c r="E156" i="5"/>
  <c r="E182" i="5" s="1"/>
  <c r="E184" i="5" s="1"/>
  <c r="E175" i="5"/>
  <c r="H29" i="4" a="1"/>
  <c r="H29" i="4" s="1"/>
  <c r="E116" i="5"/>
  <c r="G175" i="4"/>
  <c r="H82" i="7" s="1"/>
  <c r="J142" i="4"/>
  <c r="L142" i="4" s="1"/>
  <c r="I128" i="4"/>
  <c r="I114" i="4"/>
  <c r="I30" i="5"/>
  <c r="I100" i="4"/>
  <c r="I100" i="5" s="1"/>
  <c r="J100" i="5" s="1"/>
  <c r="J158" i="7"/>
  <c r="K158" i="7" s="1"/>
  <c r="J61" i="7"/>
  <c r="J32" i="7"/>
  <c r="K32" i="7" s="1"/>
  <c r="I155" i="4"/>
  <c r="G121" i="5"/>
  <c r="G84" i="4"/>
  <c r="G138" i="4"/>
  <c r="H45" i="7"/>
  <c r="G13" i="5"/>
  <c r="G123" i="4"/>
  <c r="J18" i="5"/>
  <c r="H84" i="5"/>
  <c r="B27" i="9"/>
  <c r="B29" i="9" s="1"/>
  <c r="H26" i="4" a="1"/>
  <c r="H26" i="4" s="1"/>
  <c r="DA26" i="21"/>
  <c r="J26" i="4" s="1" a="1"/>
  <c r="J26" i="4" s="1"/>
  <c r="D9" i="9"/>
  <c r="G107" i="5"/>
  <c r="H12" i="4" a="1"/>
  <c r="H12" i="4" s="1"/>
  <c r="DA12" i="21"/>
  <c r="J12" i="4" s="1" a="1"/>
  <c r="J12" i="4" s="1"/>
  <c r="G228" i="5"/>
  <c r="G232" i="5" s="1"/>
  <c r="G209" i="5"/>
  <c r="J143" i="5"/>
  <c r="J153" i="5"/>
  <c r="F80" i="7"/>
  <c r="E164" i="5"/>
  <c r="G93" i="4"/>
  <c r="G93" i="5" s="1"/>
  <c r="G135" i="5"/>
  <c r="F88" i="7"/>
  <c r="DA23" i="21"/>
  <c r="J23" i="4" s="1" a="1"/>
  <c r="J23" i="4" s="1"/>
  <c r="H27" i="7"/>
  <c r="E177" i="5"/>
  <c r="E190" i="5"/>
  <c r="H24" i="4" a="1"/>
  <c r="H24" i="4" s="1"/>
  <c r="DA24" i="21"/>
  <c r="J24" i="4" s="1" a="1"/>
  <c r="J24" i="4" s="1"/>
  <c r="I137" i="4"/>
  <c r="I12" i="5"/>
  <c r="I137" i="5" s="1"/>
  <c r="I122" i="4"/>
  <c r="I122" i="5" s="1"/>
  <c r="I136" i="4"/>
  <c r="G152" i="4"/>
  <c r="G173" i="4" s="1"/>
  <c r="H80" i="7" s="1"/>
  <c r="G27" i="5"/>
  <c r="H155" i="7"/>
  <c r="K155" i="7" s="1"/>
  <c r="G127" i="4"/>
  <c r="H148" i="7"/>
  <c r="K148" i="7" s="1"/>
  <c r="H62" i="7"/>
  <c r="G101" i="4"/>
  <c r="G145" i="4"/>
  <c r="G20" i="5"/>
  <c r="G126" i="4"/>
  <c r="E173" i="5"/>
  <c r="J139" i="5"/>
  <c r="F107" i="5"/>
  <c r="F116" i="5" s="1"/>
  <c r="F116" i="4"/>
  <c r="C9" i="9"/>
  <c r="C15" i="9" s="1"/>
  <c r="F121" i="5"/>
  <c r="F130" i="5" s="1"/>
  <c r="F130" i="4"/>
  <c r="J151" i="7"/>
  <c r="K151" i="7" s="1"/>
  <c r="I23" i="5"/>
  <c r="I148" i="4"/>
  <c r="J148" i="4" s="1"/>
  <c r="CY5" i="21"/>
  <c r="F156" i="4"/>
  <c r="F175" i="4"/>
  <c r="G82" i="7" s="1"/>
  <c r="H30" i="7"/>
  <c r="E102" i="5"/>
  <c r="G125" i="7" a="1"/>
  <c r="G125" i="7" s="1"/>
  <c r="G130" i="7" s="1"/>
  <c r="F233" i="4"/>
  <c r="F102" i="4"/>
  <c r="H135" i="4"/>
  <c r="H95" i="4"/>
  <c r="H95" i="5" s="1"/>
  <c r="H10" i="5"/>
  <c r="I56" i="7"/>
  <c r="H121" i="4"/>
  <c r="E25" i="9"/>
  <c r="H114" i="5"/>
  <c r="D52" i="1" l="1"/>
  <c r="H47" i="1"/>
  <c r="J46" i="1"/>
  <c r="J47" i="1"/>
  <c r="K47" i="1"/>
  <c r="K49" i="1"/>
  <c r="K51" i="1"/>
  <c r="J51" i="1"/>
  <c r="I51" i="1"/>
  <c r="I49" i="1"/>
  <c r="I46" i="1"/>
  <c r="J49" i="1"/>
  <c r="H51" i="1"/>
  <c r="K46" i="1"/>
  <c r="K48" i="1"/>
  <c r="H49" i="1"/>
  <c r="H48" i="1"/>
  <c r="H46" i="1"/>
  <c r="J48" i="1"/>
  <c r="I48" i="1"/>
  <c r="I47" i="1"/>
  <c r="K46" i="7"/>
  <c r="J95" i="5"/>
  <c r="J58" i="7"/>
  <c r="I15" i="5"/>
  <c r="I140" i="5" s="1"/>
  <c r="I140" i="4"/>
  <c r="DA15" i="21"/>
  <c r="J15" i="4" s="1" a="1"/>
  <c r="J15" i="4" s="1"/>
  <c r="I124" i="4"/>
  <c r="I124" i="5" s="1"/>
  <c r="D23" i="9"/>
  <c r="D27" i="9" s="1"/>
  <c r="J100" i="4"/>
  <c r="DA29" i="21"/>
  <c r="J29" i="4" s="1" a="1"/>
  <c r="J29" i="4" s="1"/>
  <c r="I154" i="4"/>
  <c r="J157" i="7"/>
  <c r="I29" i="5"/>
  <c r="I154" i="5" s="1"/>
  <c r="L148" i="4"/>
  <c r="J10" i="5"/>
  <c r="G130" i="4"/>
  <c r="G112" i="5"/>
  <c r="D12" i="9"/>
  <c r="D15" i="9" s="1"/>
  <c r="J121" i="4"/>
  <c r="H5" i="4"/>
  <c r="H4" i="4" s="1"/>
  <c r="I27" i="7"/>
  <c r="H34" i="7"/>
  <c r="H107" i="4"/>
  <c r="E9" i="9" s="1"/>
  <c r="J152" i="4"/>
  <c r="L152" i="4" s="1"/>
  <c r="G5" i="5"/>
  <c r="G4" i="5" s="1"/>
  <c r="F182" i="4"/>
  <c r="F184" i="4" s="1"/>
  <c r="G164" i="4"/>
  <c r="I155" i="5"/>
  <c r="J155" i="5" s="1"/>
  <c r="J30" i="5"/>
  <c r="H154" i="4"/>
  <c r="I157" i="7"/>
  <c r="H29" i="5"/>
  <c r="H124" i="4"/>
  <c r="H15" i="5"/>
  <c r="H140" i="4"/>
  <c r="J140" i="4" s="1"/>
  <c r="G127" i="5"/>
  <c r="I148" i="5"/>
  <c r="J148" i="5" s="1"/>
  <c r="J23" i="5"/>
  <c r="G152" i="5"/>
  <c r="J27" i="5"/>
  <c r="G84" i="5"/>
  <c r="G102" i="4"/>
  <c r="F25" i="9"/>
  <c r="H25" i="9" s="1"/>
  <c r="I114" i="5"/>
  <c r="J114" i="5" s="1"/>
  <c r="J114" i="4"/>
  <c r="I85" i="5"/>
  <c r="J85" i="5" s="1"/>
  <c r="J85" i="4"/>
  <c r="J95" i="4"/>
  <c r="I121" i="5"/>
  <c r="E228" i="5"/>
  <c r="E209" i="5"/>
  <c r="G126" i="5"/>
  <c r="J126" i="5" s="1"/>
  <c r="J126" i="4"/>
  <c r="I128" i="5"/>
  <c r="J128" i="5" s="1"/>
  <c r="J128" i="4"/>
  <c r="H125" i="7" a="1"/>
  <c r="H125" i="7" s="1"/>
  <c r="H130" i="7" s="1"/>
  <c r="G233" i="4"/>
  <c r="F175" i="5"/>
  <c r="F156" i="5"/>
  <c r="F182" i="5" s="1"/>
  <c r="F184" i="5" s="1"/>
  <c r="H175" i="4"/>
  <c r="I82" i="7" s="1"/>
  <c r="K56" i="7"/>
  <c r="J136" i="4"/>
  <c r="L136" i="4" s="1"/>
  <c r="I165" i="4"/>
  <c r="G175" i="5"/>
  <c r="I152" i="7"/>
  <c r="K152" i="7" s="1"/>
  <c r="H149" i="4"/>
  <c r="J149" i="4" s="1"/>
  <c r="L149" i="4" s="1"/>
  <c r="H24" i="5"/>
  <c r="H63" i="7"/>
  <c r="I13" i="4" a="1"/>
  <c r="I13" i="4" s="1"/>
  <c r="DA13" i="21"/>
  <c r="J13" i="4" s="1" a="1"/>
  <c r="J13" i="4" s="1"/>
  <c r="CZ5" i="21"/>
  <c r="F125" i="7" a="1"/>
  <c r="F125" i="7" s="1"/>
  <c r="E233" i="4"/>
  <c r="H122" i="4"/>
  <c r="H137" i="4"/>
  <c r="H12" i="5"/>
  <c r="H97" i="4"/>
  <c r="I58" i="7"/>
  <c r="I150" i="4"/>
  <c r="J150" i="4" s="1"/>
  <c r="L150" i="4" s="1"/>
  <c r="I25" i="5"/>
  <c r="J153" i="7"/>
  <c r="K153" i="7" s="1"/>
  <c r="I175" i="4"/>
  <c r="J82" i="7" s="1"/>
  <c r="I136" i="5"/>
  <c r="G181" i="4"/>
  <c r="J145" i="4"/>
  <c r="L145" i="4" s="1"/>
  <c r="I135" i="5"/>
  <c r="J135" i="4"/>
  <c r="G145" i="5"/>
  <c r="J20" i="5"/>
  <c r="G101" i="5"/>
  <c r="J101" i="5" s="1"/>
  <c r="J101" i="4"/>
  <c r="I177" i="5"/>
  <c r="I190" i="5"/>
  <c r="G116" i="5"/>
  <c r="I180" i="4"/>
  <c r="J155" i="4"/>
  <c r="L155" i="4" s="1"/>
  <c r="G156" i="4"/>
  <c r="H121" i="5"/>
  <c r="K62" i="7"/>
  <c r="I177" i="4"/>
  <c r="J84" i="7" s="1"/>
  <c r="I190" i="4"/>
  <c r="G123" i="5"/>
  <c r="H146" i="4"/>
  <c r="I149" i="7"/>
  <c r="K149" i="7" s="1"/>
  <c r="H21" i="5"/>
  <c r="H93" i="4"/>
  <c r="I54" i="7"/>
  <c r="I30" i="7"/>
  <c r="H112" i="4"/>
  <c r="H125" i="4"/>
  <c r="K61" i="7"/>
  <c r="H135" i="5"/>
  <c r="G89" i="7"/>
  <c r="H26" i="5"/>
  <c r="H151" i="4"/>
  <c r="J151" i="4" s="1"/>
  <c r="L151" i="4" s="1"/>
  <c r="I154" i="7"/>
  <c r="K154" i="7" s="1"/>
  <c r="H127" i="4"/>
  <c r="H127" i="5" s="1"/>
  <c r="G138" i="5"/>
  <c r="H147" i="4"/>
  <c r="J147" i="4" s="1"/>
  <c r="L147" i="4" s="1"/>
  <c r="I150" i="7"/>
  <c r="K150" i="7" s="1"/>
  <c r="H22" i="5"/>
  <c r="I16" i="4" a="1"/>
  <c r="I16" i="4" s="1"/>
  <c r="DA16" i="21"/>
  <c r="J16" i="4" s="1" a="1"/>
  <c r="J16" i="4" s="1"/>
  <c r="F89" i="7"/>
  <c r="G44" i="1" l="1"/>
  <c r="H44" i="1"/>
  <c r="K44" i="1"/>
  <c r="G46" i="1"/>
  <c r="L46" i="1" s="1"/>
  <c r="I44" i="1"/>
  <c r="G52" i="1"/>
  <c r="H52" i="1"/>
  <c r="K52" i="1"/>
  <c r="I52" i="1"/>
  <c r="J52" i="1"/>
  <c r="J44" i="1"/>
  <c r="K45" i="1"/>
  <c r="L45" i="1" s="1"/>
  <c r="G47" i="1"/>
  <c r="L47" i="1" s="1"/>
  <c r="D53" i="1"/>
  <c r="G48" i="1"/>
  <c r="L48" i="1" s="1"/>
  <c r="G49" i="1"/>
  <c r="L49" i="1" s="1"/>
  <c r="G51" i="1"/>
  <c r="L51" i="1" s="1"/>
  <c r="J154" i="4"/>
  <c r="L140" i="4"/>
  <c r="D29" i="9"/>
  <c r="H37" i="7"/>
  <c r="K157" i="7"/>
  <c r="L154" i="4"/>
  <c r="H116" i="4"/>
  <c r="H107" i="5"/>
  <c r="K82" i="7"/>
  <c r="J44" i="4"/>
  <c r="F44" i="4" s="1" a="1"/>
  <c r="F44" i="4" s="1"/>
  <c r="F44" i="5" s="1"/>
  <c r="I34" i="7"/>
  <c r="J5" i="4"/>
  <c r="L35" i="4" s="1"/>
  <c r="J96" i="7" s="1"/>
  <c r="J53" i="4"/>
  <c r="B53" i="4" s="1" a="1"/>
  <c r="B53" i="4" s="1"/>
  <c r="G156" i="5"/>
  <c r="G182" i="5" s="1"/>
  <c r="G184" i="5" s="1"/>
  <c r="J127" i="5"/>
  <c r="J58" i="4"/>
  <c r="D58" i="4" s="1" a="1"/>
  <c r="D58" i="4" s="1"/>
  <c r="D58" i="5" s="1"/>
  <c r="J175" i="4"/>
  <c r="J121" i="5"/>
  <c r="J49" i="4"/>
  <c r="H49" i="4" s="1" a="1"/>
  <c r="H49" i="4" s="1"/>
  <c r="H49" i="5" s="1"/>
  <c r="J51" i="4"/>
  <c r="A51" i="4" s="1" a="1"/>
  <c r="A51" i="4" s="1"/>
  <c r="A51" i="5" s="1"/>
  <c r="B51" i="5" s="1"/>
  <c r="J54" i="4"/>
  <c r="F54" i="4" s="1" a="1"/>
  <c r="F54" i="4" s="1"/>
  <c r="F54" i="5" s="1"/>
  <c r="J45" i="4"/>
  <c r="C72" i="4" s="1"/>
  <c r="I228" i="4"/>
  <c r="I209" i="4"/>
  <c r="J87" i="7"/>
  <c r="J180" i="4"/>
  <c r="J48" i="4"/>
  <c r="J43" i="4"/>
  <c r="F130" i="7"/>
  <c r="H146" i="5"/>
  <c r="J21" i="5"/>
  <c r="J146" i="4"/>
  <c r="L146" i="4" s="1"/>
  <c r="H173" i="4"/>
  <c r="I175" i="5"/>
  <c r="H125" i="5"/>
  <c r="I228" i="5"/>
  <c r="I232" i="5" s="1"/>
  <c r="I209" i="5"/>
  <c r="J41" i="4"/>
  <c r="J60" i="4"/>
  <c r="K58" i="7"/>
  <c r="H149" i="5"/>
  <c r="J149" i="5" s="1"/>
  <c r="J24" i="5"/>
  <c r="J127" i="4"/>
  <c r="I165" i="5"/>
  <c r="J165" i="5" s="1"/>
  <c r="J136" i="5"/>
  <c r="E23" i="9"/>
  <c r="E12" i="9"/>
  <c r="E15" i="9" s="1"/>
  <c r="H112" i="5"/>
  <c r="J50" i="4"/>
  <c r="J46" i="4"/>
  <c r="H88" i="7"/>
  <c r="J181" i="4"/>
  <c r="H97" i="5"/>
  <c r="J97" i="5" s="1"/>
  <c r="J97" i="4"/>
  <c r="I84" i="4"/>
  <c r="I138" i="4"/>
  <c r="J45" i="7"/>
  <c r="I123" i="4"/>
  <c r="I13" i="5"/>
  <c r="I107" i="4"/>
  <c r="J27" i="7"/>
  <c r="I5" i="4"/>
  <c r="I4" i="4" s="1"/>
  <c r="J4" i="4" s="1"/>
  <c r="E232" i="5"/>
  <c r="H71" i="7"/>
  <c r="G182" i="4"/>
  <c r="G184" i="4" s="1"/>
  <c r="H151" i="5"/>
  <c r="J151" i="5" s="1"/>
  <c r="J26" i="5"/>
  <c r="I141" i="4"/>
  <c r="J144" i="7"/>
  <c r="K144" i="7" s="1"/>
  <c r="I16" i="5"/>
  <c r="I125" i="4"/>
  <c r="I125" i="5" s="1"/>
  <c r="J30" i="7"/>
  <c r="K30" i="7" s="1"/>
  <c r="I112" i="4"/>
  <c r="I93" i="4"/>
  <c r="J54" i="7"/>
  <c r="H147" i="5"/>
  <c r="J147" i="5" s="1"/>
  <c r="J22" i="5"/>
  <c r="H130" i="4"/>
  <c r="J56" i="4"/>
  <c r="J42" i="4"/>
  <c r="DA5" i="21"/>
  <c r="H137" i="5"/>
  <c r="J12" i="5"/>
  <c r="J165" i="4"/>
  <c r="J72" i="7"/>
  <c r="H5" i="5"/>
  <c r="H4" i="5" s="1"/>
  <c r="I63" i="7"/>
  <c r="J61" i="4"/>
  <c r="J52" i="4"/>
  <c r="H177" i="4"/>
  <c r="H190" i="4"/>
  <c r="J137" i="4"/>
  <c r="L137" i="4" s="1"/>
  <c r="G102" i="5"/>
  <c r="L135" i="4"/>
  <c r="H175" i="5"/>
  <c r="J135" i="5"/>
  <c r="H93" i="5"/>
  <c r="H102" i="4"/>
  <c r="J62" i="4"/>
  <c r="J47" i="4"/>
  <c r="H122" i="5"/>
  <c r="J122" i="5" s="1"/>
  <c r="J122" i="4"/>
  <c r="H140" i="5"/>
  <c r="J140" i="5" s="1"/>
  <c r="J15" i="5"/>
  <c r="H156" i="4"/>
  <c r="H124" i="5"/>
  <c r="J124" i="5" s="1"/>
  <c r="J124" i="4"/>
  <c r="G180" i="5"/>
  <c r="J180" i="5" s="1"/>
  <c r="J145" i="5"/>
  <c r="G164" i="5"/>
  <c r="J59" i="4"/>
  <c r="J57" i="4"/>
  <c r="I150" i="5"/>
  <c r="J150" i="5" s="1"/>
  <c r="J25" i="5"/>
  <c r="J152" i="5"/>
  <c r="G173" i="5"/>
  <c r="H154" i="5"/>
  <c r="J154" i="5" s="1"/>
  <c r="J29" i="5"/>
  <c r="J55" i="4"/>
  <c r="G130" i="5"/>
  <c r="L52" i="1" l="1"/>
  <c r="D54" i="1"/>
  <c r="K53" i="1"/>
  <c r="J53" i="1"/>
  <c r="I53" i="1"/>
  <c r="G53" i="1"/>
  <c r="H53" i="1"/>
  <c r="L44" i="1"/>
  <c r="B71" i="4"/>
  <c r="B44" i="4" a="1"/>
  <c r="B44" i="4" s="1"/>
  <c r="D54" i="4" a="1"/>
  <c r="D54" i="4" s="1"/>
  <c r="D54" i="5" s="1"/>
  <c r="D44" i="4" a="1"/>
  <c r="D44" i="4" s="1"/>
  <c r="D44" i="5" s="1"/>
  <c r="C71" i="4"/>
  <c r="A49" i="4" a="1"/>
  <c r="A49" i="4" s="1"/>
  <c r="A49" i="5" s="1"/>
  <c r="B49" i="5" s="1"/>
  <c r="F49" i="4" a="1"/>
  <c r="F49" i="4" s="1"/>
  <c r="F49" i="5" s="1"/>
  <c r="I49" i="4" a="1"/>
  <c r="I49" i="4" s="1"/>
  <c r="I49" i="5" s="1"/>
  <c r="D49" i="4" a="1"/>
  <c r="D49" i="4" s="1"/>
  <c r="D49" i="5" s="1"/>
  <c r="H116" i="5"/>
  <c r="A76" i="4"/>
  <c r="G76" i="4" s="1"/>
  <c r="B49" i="4" a="1"/>
  <c r="B49" i="4" s="1"/>
  <c r="C44" i="4" a="1"/>
  <c r="C44" i="4" s="1"/>
  <c r="C44" i="5" s="1"/>
  <c r="I54" i="4" a="1"/>
  <c r="I54" i="4" s="1"/>
  <c r="I54" i="5" s="1"/>
  <c r="C49" i="4" a="1"/>
  <c r="C49" i="4" s="1"/>
  <c r="C49" i="5" s="1"/>
  <c r="A44" i="4" a="1"/>
  <c r="A44" i="4" s="1"/>
  <c r="A44" i="5" s="1"/>
  <c r="B44" i="5" s="1"/>
  <c r="G54" i="4" a="1"/>
  <c r="G54" i="4" s="1"/>
  <c r="G54" i="5" s="1"/>
  <c r="E54" i="4" a="1"/>
  <c r="E54" i="4" s="1"/>
  <c r="E54" i="5" s="1"/>
  <c r="D71" i="4"/>
  <c r="I44" i="4" a="1"/>
  <c r="I44" i="4" s="1"/>
  <c r="I44" i="5" s="1"/>
  <c r="B72" i="4"/>
  <c r="I37" i="7"/>
  <c r="F58" i="4" a="1"/>
  <c r="F58" i="4" s="1"/>
  <c r="F58" i="5" s="1"/>
  <c r="G58" i="4" a="1"/>
  <c r="G58" i="4" s="1"/>
  <c r="G58" i="5" s="1"/>
  <c r="A54" i="4" a="1"/>
  <c r="A54" i="4" s="1"/>
  <c r="A54" i="5" s="1"/>
  <c r="B54" i="5" s="1"/>
  <c r="E44" i="4" a="1"/>
  <c r="E44" i="4" s="1"/>
  <c r="E44" i="5" s="1"/>
  <c r="B54" i="4" a="1"/>
  <c r="B54" i="4" s="1"/>
  <c r="G44" i="4" a="1"/>
  <c r="G44" i="4" s="1"/>
  <c r="G44" i="5" s="1"/>
  <c r="H54" i="4" a="1"/>
  <c r="H54" i="4" s="1"/>
  <c r="H54" i="5" s="1"/>
  <c r="G49" i="4" a="1"/>
  <c r="G49" i="4" s="1"/>
  <c r="G49" i="5" s="1"/>
  <c r="H44" i="4" a="1"/>
  <c r="H44" i="4" s="1"/>
  <c r="H44" i="5" s="1"/>
  <c r="C54" i="4" a="1"/>
  <c r="C54" i="4" s="1"/>
  <c r="C54" i="5" s="1"/>
  <c r="E49" i="4" a="1"/>
  <c r="E49" i="4" s="1"/>
  <c r="E49" i="5" s="1"/>
  <c r="C58" i="4" a="1"/>
  <c r="C58" i="4" s="1"/>
  <c r="C58" i="5" s="1"/>
  <c r="I58" i="4" a="1"/>
  <c r="I58" i="4" s="1"/>
  <c r="I58" i="5" s="1"/>
  <c r="A58" i="4" a="1"/>
  <c r="A58" i="4" s="1"/>
  <c r="A58" i="5" s="1"/>
  <c r="B58" i="5" s="1"/>
  <c r="H58" i="4" a="1"/>
  <c r="H58" i="4" s="1"/>
  <c r="H58" i="5" s="1"/>
  <c r="B58" i="4" a="1"/>
  <c r="B58" i="4" s="1"/>
  <c r="E58" i="4" a="1"/>
  <c r="E58" i="4" s="1"/>
  <c r="E58" i="5" s="1"/>
  <c r="D51" i="4" a="1"/>
  <c r="D51" i="4" s="1"/>
  <c r="D51" i="5" s="1"/>
  <c r="C51" i="4" a="1"/>
  <c r="C51" i="4" s="1"/>
  <c r="C51" i="5" s="1"/>
  <c r="H51" i="4" a="1"/>
  <c r="H51" i="4" s="1"/>
  <c r="H51" i="5" s="1"/>
  <c r="E51" i="4" a="1"/>
  <c r="E51" i="4" s="1"/>
  <c r="E51" i="5" s="1"/>
  <c r="F51" i="4" a="1"/>
  <c r="F51" i="4" s="1"/>
  <c r="F51" i="5" s="1"/>
  <c r="B51" i="4" a="1"/>
  <c r="B51" i="4" s="1"/>
  <c r="G51" i="4" a="1"/>
  <c r="G51" i="4" s="1"/>
  <c r="G51" i="5" s="1"/>
  <c r="I51" i="4" a="1"/>
  <c r="I51" i="4" s="1"/>
  <c r="I51" i="5" s="1"/>
  <c r="E53" i="4" a="1"/>
  <c r="E53" i="4" s="1"/>
  <c r="E53" i="5" s="1"/>
  <c r="C53" i="4" a="1"/>
  <c r="C53" i="4" s="1"/>
  <c r="C53" i="5" s="1"/>
  <c r="F53" i="4" a="1"/>
  <c r="F53" i="4" s="1"/>
  <c r="F53" i="5" s="1"/>
  <c r="H53" i="4" a="1"/>
  <c r="H53" i="4" s="1"/>
  <c r="H53" i="5" s="1"/>
  <c r="G53" i="4" a="1"/>
  <c r="G53" i="4" s="1"/>
  <c r="G53" i="5" s="1"/>
  <c r="A53" i="4" a="1"/>
  <c r="A53" i="4" s="1"/>
  <c r="A53" i="5" s="1"/>
  <c r="B53" i="5" s="1"/>
  <c r="D53" i="4" a="1"/>
  <c r="D53" i="4" s="1"/>
  <c r="D53" i="5" s="1"/>
  <c r="I53" i="4" a="1"/>
  <c r="I53" i="4" s="1"/>
  <c r="I53" i="5" s="1"/>
  <c r="B45" i="4" a="1"/>
  <c r="B45" i="4" s="1"/>
  <c r="F45" i="4" a="1"/>
  <c r="F45" i="4" s="1"/>
  <c r="F45" i="5" s="1"/>
  <c r="E45" i="4" a="1"/>
  <c r="E45" i="4" s="1"/>
  <c r="E45" i="5" s="1"/>
  <c r="J98" i="7"/>
  <c r="H45" i="4" a="1"/>
  <c r="H45" i="4" s="1"/>
  <c r="H45" i="5" s="1"/>
  <c r="J136" i="7"/>
  <c r="A45" i="4" a="1"/>
  <c r="A45" i="4" s="1"/>
  <c r="A45" i="5" s="1"/>
  <c r="B45" i="5" s="1"/>
  <c r="I45" i="4" a="1"/>
  <c r="I45" i="4" s="1"/>
  <c r="I45" i="5" s="1"/>
  <c r="C45" i="4" a="1"/>
  <c r="C45" i="4" s="1"/>
  <c r="C45" i="5" s="1"/>
  <c r="G45" i="4" a="1"/>
  <c r="G45" i="4" s="1"/>
  <c r="G45" i="5" s="1"/>
  <c r="J175" i="5"/>
  <c r="D45" i="4" a="1"/>
  <c r="D45" i="4" s="1"/>
  <c r="D45" i="5" s="1"/>
  <c r="D72" i="4"/>
  <c r="K54" i="7"/>
  <c r="L62" i="4"/>
  <c r="J34" i="7"/>
  <c r="K27" i="7"/>
  <c r="E27" i="9"/>
  <c r="E29" i="9" s="1"/>
  <c r="E47" i="4" a="1"/>
  <c r="E47" i="4" s="1"/>
  <c r="E47" i="5" s="1"/>
  <c r="B74" i="4"/>
  <c r="D74" i="4"/>
  <c r="F47" i="4" a="1"/>
  <c r="F47" i="4" s="1"/>
  <c r="F47" i="5" s="1"/>
  <c r="I47" i="4" a="1"/>
  <c r="I47" i="4" s="1"/>
  <c r="I47" i="5" s="1"/>
  <c r="B47" i="4" a="1"/>
  <c r="B47" i="4" s="1"/>
  <c r="C47" i="4" a="1"/>
  <c r="C47" i="4" s="1"/>
  <c r="C47" i="5" s="1"/>
  <c r="A47" i="4" a="1"/>
  <c r="A47" i="4" s="1"/>
  <c r="A47" i="5" s="1"/>
  <c r="B47" i="5" s="1"/>
  <c r="H47" i="4" a="1"/>
  <c r="H47" i="4" s="1"/>
  <c r="H47" i="5" s="1"/>
  <c r="D47" i="4" a="1"/>
  <c r="D47" i="4" s="1"/>
  <c r="D47" i="5" s="1"/>
  <c r="C74" i="4"/>
  <c r="A74" i="4"/>
  <c r="G47" i="4" a="1"/>
  <c r="G47" i="4" s="1"/>
  <c r="G47" i="5" s="1"/>
  <c r="I107" i="5"/>
  <c r="F9" i="9"/>
  <c r="H9" i="9" s="1"/>
  <c r="I116" i="4"/>
  <c r="J107" i="4"/>
  <c r="B60" i="4" a="1"/>
  <c r="B60" i="4" s="1"/>
  <c r="C60" i="4" a="1"/>
  <c r="C60" i="4" s="1"/>
  <c r="C60" i="5" s="1"/>
  <c r="A60" i="4" a="1"/>
  <c r="A60" i="4" s="1"/>
  <c r="A60" i="5" s="1"/>
  <c r="B60" i="5" s="1"/>
  <c r="G60" i="4" a="1"/>
  <c r="G60" i="4" s="1"/>
  <c r="G60" i="5" s="1"/>
  <c r="F60" i="4" a="1"/>
  <c r="F60" i="4" s="1"/>
  <c r="F60" i="5" s="1"/>
  <c r="H60" i="4" a="1"/>
  <c r="H60" i="4" s="1"/>
  <c r="H60" i="5" s="1"/>
  <c r="I60" i="4" a="1"/>
  <c r="I60" i="4" s="1"/>
  <c r="I60" i="5" s="1"/>
  <c r="E60" i="4" a="1"/>
  <c r="E60" i="4" s="1"/>
  <c r="E60" i="5" s="1"/>
  <c r="D60" i="4" a="1"/>
  <c r="D60" i="4" s="1"/>
  <c r="D60" i="5" s="1"/>
  <c r="A56" i="4" a="1"/>
  <c r="A56" i="4" s="1"/>
  <c r="A56" i="5" s="1"/>
  <c r="B56" i="5" s="1"/>
  <c r="G56" i="4" a="1"/>
  <c r="G56" i="4" s="1"/>
  <c r="G56" i="5" s="1"/>
  <c r="I56" i="4" a="1"/>
  <c r="I56" i="4" s="1"/>
  <c r="I56" i="5" s="1"/>
  <c r="C56" i="4" a="1"/>
  <c r="C56" i="4" s="1"/>
  <c r="C56" i="5" s="1"/>
  <c r="B56" i="4" a="1"/>
  <c r="B56" i="4" s="1"/>
  <c r="D56" i="4" a="1"/>
  <c r="D56" i="4" s="1"/>
  <c r="D56" i="5" s="1"/>
  <c r="H56" i="4" a="1"/>
  <c r="H56" i="4" s="1"/>
  <c r="H56" i="5" s="1"/>
  <c r="E56" i="4" a="1"/>
  <c r="E56" i="4" s="1"/>
  <c r="E56" i="5" s="1"/>
  <c r="F56" i="4" a="1"/>
  <c r="F56" i="4" s="1"/>
  <c r="F56" i="5" s="1"/>
  <c r="I141" i="5"/>
  <c r="J16" i="5"/>
  <c r="D62" i="4" a="1"/>
  <c r="D62" i="4" s="1"/>
  <c r="D62" i="5" s="1"/>
  <c r="B62" i="4" a="1"/>
  <c r="B62" i="4" s="1"/>
  <c r="E62" i="4" a="1"/>
  <c r="E62" i="4" s="1"/>
  <c r="E62" i="5" s="1"/>
  <c r="C62" i="4" a="1"/>
  <c r="C62" i="4" s="1"/>
  <c r="C62" i="5" s="1"/>
  <c r="G62" i="4" a="1"/>
  <c r="G62" i="4" s="1"/>
  <c r="G62" i="5" s="1"/>
  <c r="I62" i="4" a="1"/>
  <c r="I62" i="4" s="1"/>
  <c r="I62" i="5" s="1"/>
  <c r="H62" i="4" a="1"/>
  <c r="H62" i="4" s="1"/>
  <c r="H62" i="5" s="1"/>
  <c r="A62" i="4" a="1"/>
  <c r="A62" i="4" s="1"/>
  <c r="A62" i="5" s="1"/>
  <c r="B62" i="5" s="1"/>
  <c r="F62" i="4" a="1"/>
  <c r="F62" i="4" s="1"/>
  <c r="F62" i="5" s="1"/>
  <c r="J141" i="4"/>
  <c r="L141" i="4" s="1"/>
  <c r="I173" i="4"/>
  <c r="J80" i="7" s="1"/>
  <c r="D68" i="4"/>
  <c r="I41" i="4" a="1"/>
  <c r="I41" i="4" s="1"/>
  <c r="I41" i="5" s="1"/>
  <c r="G41" i="4" a="1"/>
  <c r="G41" i="4" s="1"/>
  <c r="G41" i="5" s="1"/>
  <c r="E41" i="4" a="1"/>
  <c r="E41" i="4" s="1"/>
  <c r="E41" i="5" s="1"/>
  <c r="A41" i="4" a="1"/>
  <c r="A41" i="4" s="1"/>
  <c r="A41" i="5" s="1"/>
  <c r="B41" i="5" s="1"/>
  <c r="D41" i="4" a="1"/>
  <c r="D41" i="4" s="1"/>
  <c r="D41" i="5" s="1"/>
  <c r="B41" i="4" a="1"/>
  <c r="B41" i="4" s="1"/>
  <c r="C41" i="4" a="1"/>
  <c r="C41" i="4" s="1"/>
  <c r="C41" i="5" s="1"/>
  <c r="B68" i="4"/>
  <c r="C68" i="4"/>
  <c r="F41" i="4" a="1"/>
  <c r="F41" i="4" s="1"/>
  <c r="F41" i="5" s="1"/>
  <c r="H41" i="4" a="1"/>
  <c r="H41" i="4" s="1"/>
  <c r="H41" i="5" s="1"/>
  <c r="J146" i="5"/>
  <c r="H173" i="5"/>
  <c r="I138" i="5"/>
  <c r="I5" i="5"/>
  <c r="I4" i="5" s="1"/>
  <c r="J13" i="5"/>
  <c r="B43" i="4" a="1"/>
  <c r="B43" i="4" s="1"/>
  <c r="F43" i="4" a="1"/>
  <c r="F43" i="4" s="1"/>
  <c r="F43" i="5" s="1"/>
  <c r="G43" i="4" a="1"/>
  <c r="G43" i="4" s="1"/>
  <c r="G43" i="5" s="1"/>
  <c r="I43" i="4" a="1"/>
  <c r="I43" i="4" s="1"/>
  <c r="I43" i="5" s="1"/>
  <c r="H43" i="4" a="1"/>
  <c r="H43" i="4" s="1"/>
  <c r="H43" i="5" s="1"/>
  <c r="A43" i="4" a="1"/>
  <c r="A43" i="4" s="1"/>
  <c r="A43" i="5" s="1"/>
  <c r="B43" i="5" s="1"/>
  <c r="D43" i="4" a="1"/>
  <c r="D43" i="4" s="1"/>
  <c r="D43" i="5" s="1"/>
  <c r="C43" i="4" a="1"/>
  <c r="C43" i="4" s="1"/>
  <c r="C43" i="5" s="1"/>
  <c r="E43" i="4" a="1"/>
  <c r="E43" i="4" s="1"/>
  <c r="E43" i="5" s="1"/>
  <c r="B70" i="4"/>
  <c r="D70" i="4"/>
  <c r="C70" i="4"/>
  <c r="H228" i="4"/>
  <c r="H209" i="4"/>
  <c r="J209" i="4" s="1"/>
  <c r="J190" i="4"/>
  <c r="I123" i="5"/>
  <c r="J123" i="4"/>
  <c r="I130" i="4"/>
  <c r="E48" i="4" a="1"/>
  <c r="E48" i="4" s="1"/>
  <c r="E48" i="5" s="1"/>
  <c r="A75" i="4"/>
  <c r="I48" i="4" a="1"/>
  <c r="I48" i="4" s="1"/>
  <c r="I48" i="5" s="1"/>
  <c r="B76" i="4"/>
  <c r="C76" i="4"/>
  <c r="D76" i="4"/>
  <c r="G48" i="4" a="1"/>
  <c r="G48" i="4" s="1"/>
  <c r="G48" i="5" s="1"/>
  <c r="H48" i="4" a="1"/>
  <c r="H48" i="4" s="1"/>
  <c r="H48" i="5" s="1"/>
  <c r="D48" i="4" a="1"/>
  <c r="D48" i="4" s="1"/>
  <c r="D48" i="5" s="1"/>
  <c r="C48" i="4" a="1"/>
  <c r="C48" i="4" s="1"/>
  <c r="C48" i="5" s="1"/>
  <c r="B48" i="4" a="1"/>
  <c r="B48" i="4" s="1"/>
  <c r="A48" i="4" a="1"/>
  <c r="A48" i="4" s="1"/>
  <c r="A48" i="5" s="1"/>
  <c r="B48" i="5" s="1"/>
  <c r="F48" i="4" a="1"/>
  <c r="F48" i="4" s="1"/>
  <c r="F48" i="5" s="1"/>
  <c r="H102" i="5"/>
  <c r="I84" i="7"/>
  <c r="J177" i="4"/>
  <c r="J63" i="7"/>
  <c r="K45" i="7"/>
  <c r="F103" i="7"/>
  <c r="I102" i="7"/>
  <c r="H103" i="7"/>
  <c r="I103" i="7"/>
  <c r="G103" i="7"/>
  <c r="J103" i="7"/>
  <c r="G102" i="7"/>
  <c r="J102" i="7"/>
  <c r="F102" i="7"/>
  <c r="H102" i="7"/>
  <c r="G95" i="7"/>
  <c r="G100" i="7"/>
  <c r="G99" i="7"/>
  <c r="G137" i="7"/>
  <c r="F101" i="7"/>
  <c r="H95" i="7"/>
  <c r="G96" i="7"/>
  <c r="G101" i="7"/>
  <c r="G97" i="7"/>
  <c r="F95" i="7"/>
  <c r="F100" i="7"/>
  <c r="H97" i="7"/>
  <c r="F137" i="7"/>
  <c r="G98" i="7"/>
  <c r="F99" i="7"/>
  <c r="F96" i="7"/>
  <c r="F136" i="7"/>
  <c r="F98" i="7"/>
  <c r="F97" i="7"/>
  <c r="H101" i="7"/>
  <c r="G136" i="7"/>
  <c r="F94" i="7"/>
  <c r="J100" i="7"/>
  <c r="I96" i="7"/>
  <c r="H136" i="7"/>
  <c r="H98" i="7"/>
  <c r="G94" i="7"/>
  <c r="I101" i="7"/>
  <c r="I99" i="7"/>
  <c r="I137" i="7"/>
  <c r="H94" i="7"/>
  <c r="J94" i="7"/>
  <c r="H100" i="7"/>
  <c r="H96" i="7"/>
  <c r="J99" i="7"/>
  <c r="I94" i="7"/>
  <c r="J97" i="7"/>
  <c r="J137" i="7"/>
  <c r="J101" i="7"/>
  <c r="J95" i="7"/>
  <c r="H137" i="7"/>
  <c r="H99" i="7"/>
  <c r="I95" i="7"/>
  <c r="I100" i="7"/>
  <c r="I97" i="7"/>
  <c r="I136" i="7"/>
  <c r="I98" i="7"/>
  <c r="K72" i="7"/>
  <c r="K87" i="7"/>
  <c r="J93" i="4"/>
  <c r="I93" i="5"/>
  <c r="J93" i="5" s="1"/>
  <c r="K88" i="7"/>
  <c r="H156" i="5"/>
  <c r="H182" i="5" s="1"/>
  <c r="H184" i="5" s="1"/>
  <c r="I84" i="5"/>
  <c r="I102" i="4"/>
  <c r="J84" i="4"/>
  <c r="D73" i="4"/>
  <c r="A73" i="4"/>
  <c r="G46" i="4" a="1"/>
  <c r="G46" i="4" s="1"/>
  <c r="G46" i="5" s="1"/>
  <c r="H46" i="4" a="1"/>
  <c r="H46" i="4" s="1"/>
  <c r="H46" i="5" s="1"/>
  <c r="E46" i="4" a="1"/>
  <c r="E46" i="4" s="1"/>
  <c r="E46" i="5" s="1"/>
  <c r="D46" i="4" a="1"/>
  <c r="D46" i="4" s="1"/>
  <c r="D46" i="5" s="1"/>
  <c r="I46" i="4" a="1"/>
  <c r="I46" i="4" s="1"/>
  <c r="I46" i="5" s="1"/>
  <c r="C46" i="4" a="1"/>
  <c r="C46" i="4" s="1"/>
  <c r="C46" i="5" s="1"/>
  <c r="F46" i="4" a="1"/>
  <c r="F46" i="4" s="1"/>
  <c r="F46" i="5" s="1"/>
  <c r="B73" i="4"/>
  <c r="C73" i="4"/>
  <c r="B46" i="4" a="1"/>
  <c r="B46" i="4" s="1"/>
  <c r="A46" i="4" a="1"/>
  <c r="A46" i="4" s="1"/>
  <c r="A46" i="5" s="1"/>
  <c r="B46" i="5" s="1"/>
  <c r="J125" i="4"/>
  <c r="I164" i="4"/>
  <c r="J138" i="4"/>
  <c r="I156" i="4"/>
  <c r="H57" i="4" a="1"/>
  <c r="H57" i="4" s="1"/>
  <c r="H57" i="5" s="1"/>
  <c r="D57" i="4" a="1"/>
  <c r="D57" i="4" s="1"/>
  <c r="D57" i="5" s="1"/>
  <c r="E57" i="4" a="1"/>
  <c r="E57" i="4" s="1"/>
  <c r="E57" i="5" s="1"/>
  <c r="B57" i="4" a="1"/>
  <c r="B57" i="4" s="1"/>
  <c r="F57" i="4" a="1"/>
  <c r="F57" i="4" s="1"/>
  <c r="F57" i="5" s="1"/>
  <c r="I57" i="4" a="1"/>
  <c r="I57" i="4" s="1"/>
  <c r="I57" i="5" s="1"/>
  <c r="C57" i="4" a="1"/>
  <c r="C57" i="4" s="1"/>
  <c r="C57" i="5" s="1"/>
  <c r="A57" i="4" a="1"/>
  <c r="A57" i="4" s="1"/>
  <c r="A57" i="5" s="1"/>
  <c r="B57" i="5" s="1"/>
  <c r="G57" i="4" a="1"/>
  <c r="G57" i="4" s="1"/>
  <c r="G57" i="5" s="1"/>
  <c r="H89" i="7"/>
  <c r="H50" i="4" a="1"/>
  <c r="H50" i="4" s="1"/>
  <c r="H50" i="5" s="1"/>
  <c r="A50" i="4" a="1"/>
  <c r="A50" i="4" s="1"/>
  <c r="A50" i="5" s="1"/>
  <c r="B50" i="5" s="1"/>
  <c r="I50" i="4" a="1"/>
  <c r="I50" i="4" s="1"/>
  <c r="I50" i="5" s="1"/>
  <c r="G50" i="4" a="1"/>
  <c r="G50" i="4" s="1"/>
  <c r="G50" i="5" s="1"/>
  <c r="B50" i="4" a="1"/>
  <c r="B50" i="4" s="1"/>
  <c r="C50" i="4" a="1"/>
  <c r="C50" i="4" s="1"/>
  <c r="C50" i="5" s="1"/>
  <c r="E50" i="4" a="1"/>
  <c r="E50" i="4" s="1"/>
  <c r="E50" i="5" s="1"/>
  <c r="D50" i="4" a="1"/>
  <c r="D50" i="4" s="1"/>
  <c r="D50" i="5" s="1"/>
  <c r="F50" i="4" a="1"/>
  <c r="F50" i="4" s="1"/>
  <c r="F50" i="5" s="1"/>
  <c r="J125" i="5"/>
  <c r="J125" i="7" a="1"/>
  <c r="J125" i="7" s="1"/>
  <c r="J130" i="7" s="1"/>
  <c r="I233" i="4"/>
  <c r="D59" i="4" a="1"/>
  <c r="D59" i="4" s="1"/>
  <c r="D59" i="5" s="1"/>
  <c r="G59" i="4" a="1"/>
  <c r="G59" i="4" s="1"/>
  <c r="G59" i="5" s="1"/>
  <c r="F59" i="4" a="1"/>
  <c r="F59" i="4" s="1"/>
  <c r="F59" i="5" s="1"/>
  <c r="E59" i="4" a="1"/>
  <c r="E59" i="4" s="1"/>
  <c r="E59" i="5" s="1"/>
  <c r="C59" i="4" a="1"/>
  <c r="C59" i="4" s="1"/>
  <c r="C59" i="5" s="1"/>
  <c r="I59" i="4" a="1"/>
  <c r="I59" i="4" s="1"/>
  <c r="I59" i="5" s="1"/>
  <c r="H59" i="4" a="1"/>
  <c r="H59" i="4" s="1"/>
  <c r="H59" i="5" s="1"/>
  <c r="A59" i="4" a="1"/>
  <c r="A59" i="4" s="1"/>
  <c r="A59" i="5" s="1"/>
  <c r="B59" i="5" s="1"/>
  <c r="B59" i="4" a="1"/>
  <c r="B59" i="4" s="1"/>
  <c r="G52" i="4" a="1"/>
  <c r="G52" i="4" s="1"/>
  <c r="G52" i="5" s="1"/>
  <c r="D52" i="4" a="1"/>
  <c r="D52" i="4" s="1"/>
  <c r="D52" i="5" s="1"/>
  <c r="F52" i="4" a="1"/>
  <c r="F52" i="4" s="1"/>
  <c r="F52" i="5" s="1"/>
  <c r="E52" i="4" a="1"/>
  <c r="E52" i="4" s="1"/>
  <c r="E52" i="5" s="1"/>
  <c r="I52" i="4" a="1"/>
  <c r="I52" i="4" s="1"/>
  <c r="I52" i="5" s="1"/>
  <c r="A52" i="4" a="1"/>
  <c r="A52" i="4" s="1"/>
  <c r="A52" i="5" s="1"/>
  <c r="B52" i="5" s="1"/>
  <c r="C52" i="4" a="1"/>
  <c r="C52" i="4" s="1"/>
  <c r="C52" i="5" s="1"/>
  <c r="B52" i="4" a="1"/>
  <c r="B52" i="4" s="1"/>
  <c r="H52" i="4" a="1"/>
  <c r="H52" i="4" s="1"/>
  <c r="H52" i="5" s="1"/>
  <c r="H177" i="5"/>
  <c r="J177" i="5" s="1"/>
  <c r="H190" i="5"/>
  <c r="J137" i="5"/>
  <c r="F23" i="9"/>
  <c r="F27" i="9" s="1"/>
  <c r="F12" i="9"/>
  <c r="H12" i="9" s="1"/>
  <c r="I112" i="5"/>
  <c r="J112" i="5" s="1"/>
  <c r="J112" i="4"/>
  <c r="D55" i="4" a="1"/>
  <c r="D55" i="4" s="1"/>
  <c r="D55" i="5" s="1"/>
  <c r="B55" i="4" a="1"/>
  <c r="B55" i="4" s="1"/>
  <c r="C55" i="4" a="1"/>
  <c r="C55" i="4" s="1"/>
  <c r="C55" i="5" s="1"/>
  <c r="E55" i="4" a="1"/>
  <c r="E55" i="4" s="1"/>
  <c r="E55" i="5" s="1"/>
  <c r="H55" i="4" a="1"/>
  <c r="H55" i="4" s="1"/>
  <c r="H55" i="5" s="1"/>
  <c r="I55" i="4" a="1"/>
  <c r="I55" i="4" s="1"/>
  <c r="I55" i="5" s="1"/>
  <c r="A55" i="4" a="1"/>
  <c r="A55" i="4" s="1"/>
  <c r="A55" i="5" s="1"/>
  <c r="B55" i="5" s="1"/>
  <c r="F55" i="4" a="1"/>
  <c r="F55" i="4" s="1"/>
  <c r="F55" i="5" s="1"/>
  <c r="G55" i="4" a="1"/>
  <c r="G55" i="4" s="1"/>
  <c r="G55" i="5" s="1"/>
  <c r="I61" i="4" a="1"/>
  <c r="I61" i="4" s="1"/>
  <c r="I61" i="5" s="1"/>
  <c r="H61" i="4" a="1"/>
  <c r="H61" i="4" s="1"/>
  <c r="H61" i="5" s="1"/>
  <c r="B61" i="4" a="1"/>
  <c r="B61" i="4" s="1"/>
  <c r="E61" i="4" a="1"/>
  <c r="E61" i="4" s="1"/>
  <c r="E61" i="5" s="1"/>
  <c r="D61" i="4" a="1"/>
  <c r="D61" i="4" s="1"/>
  <c r="D61" i="5" s="1"/>
  <c r="F61" i="4" a="1"/>
  <c r="F61" i="4" s="1"/>
  <c r="F61" i="5" s="1"/>
  <c r="A61" i="4" a="1"/>
  <c r="A61" i="4" s="1"/>
  <c r="A61" i="5" s="1"/>
  <c r="B61" i="5" s="1"/>
  <c r="C61" i="4" a="1"/>
  <c r="C61" i="4" s="1"/>
  <c r="C61" i="5" s="1"/>
  <c r="G61" i="4" a="1"/>
  <c r="G61" i="4" s="1"/>
  <c r="G61" i="5" s="1"/>
  <c r="K34" i="7"/>
  <c r="H130" i="5"/>
  <c r="D42" i="4" a="1"/>
  <c r="D42" i="4" s="1"/>
  <c r="D42" i="5" s="1"/>
  <c r="I42" i="4" a="1"/>
  <c r="I42" i="4" s="1"/>
  <c r="I42" i="5" s="1"/>
  <c r="D69" i="4"/>
  <c r="B42" i="4" a="1"/>
  <c r="B42" i="4" s="1"/>
  <c r="A42" i="4" a="1"/>
  <c r="A42" i="4" s="1"/>
  <c r="A42" i="5" s="1"/>
  <c r="B42" i="5" s="1"/>
  <c r="C69" i="4"/>
  <c r="H42" i="4" a="1"/>
  <c r="H42" i="4" s="1"/>
  <c r="H42" i="5" s="1"/>
  <c r="G42" i="4" a="1"/>
  <c r="G42" i="4" s="1"/>
  <c r="G42" i="5" s="1"/>
  <c r="F42" i="4" a="1"/>
  <c r="F42" i="4" s="1"/>
  <c r="F42" i="5" s="1"/>
  <c r="B69" i="4"/>
  <c r="C42" i="4" a="1"/>
  <c r="C42" i="4" s="1"/>
  <c r="C42" i="5" s="1"/>
  <c r="E42" i="4" a="1"/>
  <c r="E42" i="4" s="1"/>
  <c r="E42" i="5" s="1"/>
  <c r="I80" i="7"/>
  <c r="H182" i="4"/>
  <c r="H184" i="4" s="1"/>
  <c r="H54" i="1" l="1"/>
  <c r="G54" i="1"/>
  <c r="K54" i="1"/>
  <c r="I54" i="1"/>
  <c r="J54" i="1"/>
  <c r="D55" i="1"/>
  <c r="L53" i="1"/>
  <c r="J54" i="5"/>
  <c r="J44" i="5"/>
  <c r="A71" i="5"/>
  <c r="H71" i="5" s="1" a="1"/>
  <c r="H71" i="5" s="1"/>
  <c r="A71" i="4"/>
  <c r="E20" i="7" s="1"/>
  <c r="F76" i="4"/>
  <c r="H76" i="4"/>
  <c r="J58" i="5"/>
  <c r="I76" i="4"/>
  <c r="E76" i="4"/>
  <c r="J49" i="5"/>
  <c r="A76" i="5" s="1"/>
  <c r="H76" i="5" s="1" a="1"/>
  <c r="H76" i="5" s="1"/>
  <c r="K63" i="7"/>
  <c r="M63" i="7" s="1"/>
  <c r="J37" i="7"/>
  <c r="K37" i="7" s="1"/>
  <c r="M37" i="7" s="1"/>
  <c r="J51" i="5"/>
  <c r="J173" i="4"/>
  <c r="A72" i="4"/>
  <c r="F72" i="4" s="1"/>
  <c r="F15" i="9"/>
  <c r="J138" i="7"/>
  <c r="J5" i="5"/>
  <c r="L35" i="5" s="1"/>
  <c r="J53" i="5"/>
  <c r="J45" i="5"/>
  <c r="A72" i="5" s="1"/>
  <c r="B72" i="5" s="1"/>
  <c r="K96" i="7"/>
  <c r="J130" i="4"/>
  <c r="L130" i="4" s="1"/>
  <c r="J43" i="5"/>
  <c r="A70" i="5" s="1"/>
  <c r="G70" i="5" s="1" a="1"/>
  <c r="G70" i="5" s="1"/>
  <c r="J50" i="5"/>
  <c r="I138" i="7"/>
  <c r="A68" i="4"/>
  <c r="F68" i="4" s="1"/>
  <c r="G104" i="7"/>
  <c r="A69" i="4"/>
  <c r="E14" i="7" s="1"/>
  <c r="K101" i="7"/>
  <c r="I74" i="4"/>
  <c r="F74" i="4"/>
  <c r="E74" i="4"/>
  <c r="H74" i="4"/>
  <c r="G74" i="4"/>
  <c r="L138" i="4"/>
  <c r="J156" i="4"/>
  <c r="I73" i="4"/>
  <c r="H73" i="4"/>
  <c r="F73" i="4"/>
  <c r="E73" i="4"/>
  <c r="G73" i="4"/>
  <c r="J71" i="7"/>
  <c r="I182" i="4"/>
  <c r="I184" i="4" s="1"/>
  <c r="J164" i="4"/>
  <c r="K99" i="7"/>
  <c r="K103" i="7"/>
  <c r="K84" i="7"/>
  <c r="J102" i="4"/>
  <c r="L102" i="4" s="1"/>
  <c r="J42" i="5"/>
  <c r="A69" i="5" s="1"/>
  <c r="I89" i="7"/>
  <c r="K80" i="7"/>
  <c r="H138" i="7"/>
  <c r="K137" i="7"/>
  <c r="J59" i="5"/>
  <c r="J84" i="5"/>
  <c r="J102" i="5" s="1"/>
  <c r="I102" i="5"/>
  <c r="I104" i="7"/>
  <c r="I164" i="5"/>
  <c r="J164" i="5" s="1"/>
  <c r="I156" i="5"/>
  <c r="J138" i="5"/>
  <c r="J141" i="5"/>
  <c r="I173" i="5"/>
  <c r="J173" i="5" s="1"/>
  <c r="J55" i="5"/>
  <c r="K100" i="7"/>
  <c r="K102" i="7"/>
  <c r="D71" i="5" a="1"/>
  <c r="D71" i="5" s="1"/>
  <c r="J116" i="4"/>
  <c r="H23" i="9"/>
  <c r="H27" i="9" s="1"/>
  <c r="H29" i="9" s="1"/>
  <c r="J52" i="5"/>
  <c r="F104" i="7"/>
  <c r="K94" i="7"/>
  <c r="K95" i="7"/>
  <c r="J123" i="5"/>
  <c r="J130" i="5" s="1"/>
  <c r="I130" i="5"/>
  <c r="J56" i="5"/>
  <c r="J61" i="5"/>
  <c r="G138" i="7"/>
  <c r="G76" i="5" a="1"/>
  <c r="G76" i="5" s="1"/>
  <c r="J104" i="7"/>
  <c r="J41" i="5"/>
  <c r="A68" i="5" s="1"/>
  <c r="J60" i="5"/>
  <c r="I116" i="5"/>
  <c r="J107" i="5"/>
  <c r="J116" i="5" s="1"/>
  <c r="F29" i="9"/>
  <c r="J46" i="5"/>
  <c r="A73" i="5" s="1"/>
  <c r="H104" i="7"/>
  <c r="K97" i="7"/>
  <c r="G75" i="4"/>
  <c r="F75" i="4"/>
  <c r="H75" i="4"/>
  <c r="E75" i="4"/>
  <c r="I75" i="4"/>
  <c r="I125" i="7" a="1"/>
  <c r="I125" i="7" s="1"/>
  <c r="H233" i="4"/>
  <c r="J233" i="4" s="1"/>
  <c r="L233" i="4" s="1"/>
  <c r="J228" i="4"/>
  <c r="A70" i="4"/>
  <c r="H228" i="5"/>
  <c r="H209" i="5"/>
  <c r="J209" i="5" s="1"/>
  <c r="J190" i="5"/>
  <c r="F138" i="7"/>
  <c r="K136" i="7"/>
  <c r="J57" i="5"/>
  <c r="K98" i="7"/>
  <c r="J48" i="5"/>
  <c r="A75" i="5" s="1"/>
  <c r="J62" i="5"/>
  <c r="J47" i="5"/>
  <c r="A74" i="5" s="1"/>
  <c r="G71" i="5" l="1" a="1"/>
  <c r="G71" i="5" s="1"/>
  <c r="C71" i="5" a="1"/>
  <c r="C71" i="5" s="1"/>
  <c r="F71" i="5" a="1"/>
  <c r="F71" i="5" s="1"/>
  <c r="B71" i="5"/>
  <c r="I71" i="5" a="1"/>
  <c r="I71" i="5" s="1"/>
  <c r="F71" i="4"/>
  <c r="E71" i="5" a="1"/>
  <c r="E71" i="5" s="1"/>
  <c r="I71" i="4"/>
  <c r="H68" i="4"/>
  <c r="E71" i="4"/>
  <c r="F20" i="7" s="1"/>
  <c r="D56" i="1"/>
  <c r="J55" i="1"/>
  <c r="K55" i="1"/>
  <c r="I55" i="1"/>
  <c r="H55" i="1"/>
  <c r="G55" i="1"/>
  <c r="L55" i="1" s="1"/>
  <c r="L54" i="1"/>
  <c r="H71" i="4"/>
  <c r="D76" i="5" a="1"/>
  <c r="D76" i="5" s="1"/>
  <c r="F76" i="5" a="1"/>
  <c r="F76" i="5" s="1"/>
  <c r="E76" i="5" a="1"/>
  <c r="E76" i="5" s="1"/>
  <c r="J76" i="4"/>
  <c r="B76" i="5"/>
  <c r="I76" i="5" a="1"/>
  <c r="I76" i="5" s="1"/>
  <c r="J76" i="5" s="1"/>
  <c r="C76" i="5" a="1"/>
  <c r="C76" i="5" s="1"/>
  <c r="G71" i="4"/>
  <c r="G72" i="4"/>
  <c r="I72" i="4"/>
  <c r="E11" i="7"/>
  <c r="F11" i="7" s="1"/>
  <c r="E68" i="4"/>
  <c r="G68" i="4"/>
  <c r="I68" i="4"/>
  <c r="H69" i="4"/>
  <c r="I14" i="7" s="1"/>
  <c r="I72" i="5" a="1"/>
  <c r="I72" i="5" s="1"/>
  <c r="H72" i="4"/>
  <c r="E23" i="7"/>
  <c r="G23" i="7" s="1"/>
  <c r="J182" i="4"/>
  <c r="L182" i="4" s="1"/>
  <c r="H15" i="9"/>
  <c r="L130" i="5"/>
  <c r="L102" i="5"/>
  <c r="G69" i="4"/>
  <c r="H14" i="7" s="1"/>
  <c r="E72" i="4"/>
  <c r="K138" i="7"/>
  <c r="F72" i="5" a="1"/>
  <c r="F72" i="5" s="1"/>
  <c r="H72" i="5" a="1"/>
  <c r="H72" i="5" s="1"/>
  <c r="C72" i="5" a="1"/>
  <c r="C72" i="5" s="1"/>
  <c r="D72" i="5" a="1"/>
  <c r="D72" i="5" s="1"/>
  <c r="G72" i="5" a="1"/>
  <c r="G72" i="5" s="1"/>
  <c r="E72" i="5" a="1"/>
  <c r="E72" i="5" s="1"/>
  <c r="F69" i="4"/>
  <c r="G14" i="7" s="1"/>
  <c r="E69" i="4"/>
  <c r="F14" i="7" s="1"/>
  <c r="D70" i="5" a="1"/>
  <c r="D70" i="5" s="1"/>
  <c r="E70" i="5" a="1"/>
  <c r="E70" i="5" s="1"/>
  <c r="H70" i="5" a="1"/>
  <c r="H70" i="5" s="1"/>
  <c r="C70" i="5" a="1"/>
  <c r="C70" i="5" s="1"/>
  <c r="I70" i="5" a="1"/>
  <c r="I70" i="5" s="1"/>
  <c r="F70" i="5" a="1"/>
  <c r="F70" i="5" s="1"/>
  <c r="B70" i="5"/>
  <c r="L116" i="4"/>
  <c r="J20" i="7"/>
  <c r="I69" i="4"/>
  <c r="J14" i="7" s="1"/>
  <c r="H20" i="7"/>
  <c r="I20" i="7"/>
  <c r="G20" i="7"/>
  <c r="J156" i="5"/>
  <c r="L156" i="5" s="1"/>
  <c r="L62" i="5"/>
  <c r="I182" i="5"/>
  <c r="J182" i="5" s="1"/>
  <c r="H69" i="5" a="1"/>
  <c r="H69" i="5" s="1"/>
  <c r="C69" i="5" a="1"/>
  <c r="C69" i="5" s="1"/>
  <c r="I69" i="5" a="1"/>
  <c r="I69" i="5" s="1"/>
  <c r="F69" i="5" a="1"/>
  <c r="F69" i="5" s="1"/>
  <c r="E69" i="5" a="1"/>
  <c r="E69" i="5" s="1"/>
  <c r="B69" i="5"/>
  <c r="G69" i="5" a="1"/>
  <c r="G69" i="5" s="1"/>
  <c r="D69" i="5" a="1"/>
  <c r="D69" i="5" s="1"/>
  <c r="I74" i="5" a="1"/>
  <c r="I74" i="5" s="1"/>
  <c r="H74" i="5" a="1"/>
  <c r="H74" i="5" s="1"/>
  <c r="G74" i="5" a="1"/>
  <c r="G74" i="5" s="1"/>
  <c r="D74" i="5" a="1"/>
  <c r="D74" i="5" s="1"/>
  <c r="E74" i="5" a="1"/>
  <c r="E74" i="5" s="1"/>
  <c r="B74" i="5"/>
  <c r="C74" i="5" a="1"/>
  <c r="C74" i="5" s="1"/>
  <c r="F74" i="5" a="1"/>
  <c r="F74" i="5" s="1"/>
  <c r="L156" i="4"/>
  <c r="I130" i="7"/>
  <c r="K125" i="7"/>
  <c r="K130" i="7" s="1"/>
  <c r="M130" i="7" s="1"/>
  <c r="I68" i="5" a="1"/>
  <c r="I68" i="5" s="1"/>
  <c r="D68" i="5" a="1"/>
  <c r="D68" i="5" s="1"/>
  <c r="C68" i="5" a="1"/>
  <c r="C68" i="5" s="1"/>
  <c r="F68" i="5" a="1"/>
  <c r="F68" i="5" s="1"/>
  <c r="B68" i="5"/>
  <c r="E68" i="5" a="1"/>
  <c r="E68" i="5" s="1"/>
  <c r="G68" i="5" a="1"/>
  <c r="G68" i="5" s="1"/>
  <c r="H68" i="5" a="1"/>
  <c r="H68" i="5" s="1"/>
  <c r="J89" i="7"/>
  <c r="K71" i="7"/>
  <c r="K89" i="7" s="1"/>
  <c r="M89" i="7" s="1"/>
  <c r="L116" i="5"/>
  <c r="J75" i="4"/>
  <c r="K104" i="7"/>
  <c r="M104" i="7" s="1"/>
  <c r="B75" i="5"/>
  <c r="I75" i="5" a="1"/>
  <c r="I75" i="5" s="1"/>
  <c r="D75" i="5" a="1"/>
  <c r="D75" i="5" s="1"/>
  <c r="E75" i="5" a="1"/>
  <c r="E75" i="5" s="1"/>
  <c r="H75" i="5" a="1"/>
  <c r="H75" i="5" s="1"/>
  <c r="G75" i="5" a="1"/>
  <c r="G75" i="5" s="1"/>
  <c r="F75" i="5" a="1"/>
  <c r="F75" i="5" s="1"/>
  <c r="C75" i="5" a="1"/>
  <c r="C75" i="5" s="1"/>
  <c r="B73" i="5"/>
  <c r="D73" i="5" a="1"/>
  <c r="D73" i="5" s="1"/>
  <c r="I73" i="5" a="1"/>
  <c r="I73" i="5" s="1"/>
  <c r="G73" i="5" a="1"/>
  <c r="G73" i="5" s="1"/>
  <c r="F73" i="5" a="1"/>
  <c r="F73" i="5" s="1"/>
  <c r="E73" i="5" a="1"/>
  <c r="E73" i="5" s="1"/>
  <c r="C73" i="5" a="1"/>
  <c r="C73" i="5" s="1"/>
  <c r="H73" i="5" a="1"/>
  <c r="H73" i="5" s="1"/>
  <c r="J71" i="5"/>
  <c r="H232" i="5"/>
  <c r="J232" i="5" s="1"/>
  <c r="L232" i="5" s="1"/>
  <c r="J228" i="5"/>
  <c r="J73" i="4"/>
  <c r="E17" i="7"/>
  <c r="E70" i="4"/>
  <c r="I70" i="4"/>
  <c r="H70" i="4"/>
  <c r="F70" i="4"/>
  <c r="G70" i="4"/>
  <c r="J74" i="4"/>
  <c r="I23" i="7" l="1"/>
  <c r="H23" i="7"/>
  <c r="J71" i="4"/>
  <c r="K56" i="1"/>
  <c r="J56" i="1"/>
  <c r="H56" i="1"/>
  <c r="I56" i="1"/>
  <c r="G56" i="1"/>
  <c r="L56" i="1" s="1"/>
  <c r="D57" i="1"/>
  <c r="F23" i="7"/>
  <c r="J68" i="4"/>
  <c r="H11" i="7"/>
  <c r="I11" i="7"/>
  <c r="G11" i="7"/>
  <c r="J23" i="7"/>
  <c r="J11" i="7"/>
  <c r="J72" i="5"/>
  <c r="J184" i="4"/>
  <c r="J70" i="5"/>
  <c r="J72" i="4"/>
  <c r="J69" i="4"/>
  <c r="J74" i="5"/>
  <c r="L182" i="5"/>
  <c r="K14" i="7"/>
  <c r="M14" i="7" s="1"/>
  <c r="K20" i="7"/>
  <c r="M20" i="7" s="1"/>
  <c r="J73" i="5"/>
  <c r="J70" i="4"/>
  <c r="I17" i="7"/>
  <c r="H17" i="7"/>
  <c r="G17" i="7"/>
  <c r="J17" i="7"/>
  <c r="F17" i="7"/>
  <c r="J75" i="5"/>
  <c r="I184" i="5"/>
  <c r="J184" i="5"/>
  <c r="J69" i="5"/>
  <c r="J68" i="5"/>
  <c r="K23" i="7" l="1"/>
  <c r="M23" i="7" s="1"/>
  <c r="G57" i="1"/>
  <c r="H57" i="1"/>
  <c r="K57" i="1"/>
  <c r="J57" i="1"/>
  <c r="I57" i="1"/>
  <c r="D58" i="1"/>
  <c r="K11" i="7"/>
  <c r="M11" i="7" s="1"/>
  <c r="K17" i="7"/>
  <c r="M17" i="7" s="1"/>
  <c r="G58" i="1" l="1"/>
  <c r="H58" i="1"/>
  <c r="K58" i="1"/>
  <c r="I58" i="1"/>
  <c r="J58" i="1"/>
  <c r="D59" i="1"/>
  <c r="L57" i="1"/>
  <c r="M34" i="7"/>
  <c r="K59" i="1" l="1"/>
  <c r="I59" i="1"/>
  <c r="H59" i="1"/>
  <c r="G59" i="1"/>
  <c r="J59" i="1"/>
  <c r="L58" i="1"/>
  <c r="L59" i="1" l="1"/>
  <c r="H60" i="1"/>
  <c r="G60" i="1"/>
  <c r="L60" i="1" s="1"/>
  <c r="K60" i="1"/>
  <c r="J60" i="1"/>
  <c r="I60" i="1"/>
  <c r="G61" i="1" l="1"/>
  <c r="K61" i="1"/>
  <c r="H61" i="1"/>
  <c r="I61" i="1"/>
  <c r="J61" i="1"/>
  <c r="K62" i="1" l="1"/>
  <c r="H62" i="1"/>
  <c r="G62" i="1"/>
  <c r="L62" i="1" s="1"/>
  <c r="I62" i="1"/>
  <c r="J62" i="1"/>
  <c r="L61" i="1"/>
  <c r="G63" i="1"/>
  <c r="I63" i="1" l="1"/>
  <c r="J63" i="1"/>
  <c r="K63" i="1"/>
  <c r="H63" i="1"/>
  <c r="G64" i="1" l="1"/>
  <c r="I64" i="1"/>
  <c r="J64" i="1"/>
  <c r="H64" i="1"/>
  <c r="K64" i="1"/>
  <c r="L63" i="1"/>
  <c r="K65" i="1" l="1"/>
  <c r="J65" i="1"/>
  <c r="H65" i="1"/>
  <c r="I65" i="1"/>
  <c r="G65" i="1"/>
  <c r="L64" i="1"/>
  <c r="I66" i="1" l="1"/>
  <c r="J66" i="1"/>
  <c r="G66" i="1"/>
  <c r="K66" i="1"/>
  <c r="H66" i="1"/>
  <c r="L65" i="1"/>
  <c r="H67" i="1" l="1"/>
  <c r="G67" i="1"/>
  <c r="K67" i="1"/>
  <c r="J67" i="1"/>
  <c r="I67" i="1"/>
  <c r="L66" i="1"/>
  <c r="H68" i="1" l="1"/>
  <c r="I68" i="1"/>
  <c r="G68" i="1"/>
  <c r="J68" i="1"/>
  <c r="K68" i="1"/>
  <c r="L67" i="1"/>
  <c r="L6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<sst xmlns="http://schemas.openxmlformats.org/spreadsheetml/2006/main" count="442" uniqueCount="164">
  <si>
    <t>Capex</t>
  </si>
  <si>
    <t>Check</t>
  </si>
  <si>
    <t>Total</t>
  </si>
  <si>
    <t>Program</t>
  </si>
  <si>
    <t>Asset Class</t>
  </si>
  <si>
    <t>Other</t>
  </si>
  <si>
    <t>Project</t>
  </si>
  <si>
    <t>Input</t>
  </si>
  <si>
    <t>Driver</t>
  </si>
  <si>
    <t>Commissioning Year</t>
  </si>
  <si>
    <t>Asset Classes</t>
  </si>
  <si>
    <t>Reactor DC Refurbishment</t>
  </si>
  <si>
    <t>End of Life Replacement</t>
  </si>
  <si>
    <t>SMOOTHING REACTOR</t>
  </si>
  <si>
    <t>Replacement expenditure</t>
  </si>
  <si>
    <t>2022/23</t>
  </si>
  <si>
    <t>as incurred</t>
  </si>
  <si>
    <t>Diminishing</t>
  </si>
  <si>
    <t>CONTROL SYSTEM</t>
  </si>
  <si>
    <t>2029/30</t>
  </si>
  <si>
    <t>Control &amp; Protection - System Renewal</t>
  </si>
  <si>
    <t>Stay in Business</t>
  </si>
  <si>
    <t>SWITCHYARD COMPONENTS</t>
  </si>
  <si>
    <t>2020/21</t>
  </si>
  <si>
    <t>Immediate</t>
  </si>
  <si>
    <t>Spares</t>
  </si>
  <si>
    <t>CABLE</t>
  </si>
  <si>
    <t>Subsea Cable Repair Strategy</t>
  </si>
  <si>
    <t>OTHER</t>
  </si>
  <si>
    <t>Minor Plant and Equipment</t>
  </si>
  <si>
    <t>Ambient Temperature Project</t>
  </si>
  <si>
    <t>2021/22</t>
  </si>
  <si>
    <t>Basslink IT/OT</t>
  </si>
  <si>
    <t>Non-network IT &amp; communications</t>
  </si>
  <si>
    <t>Laptop</t>
  </si>
  <si>
    <t>Phones</t>
  </si>
  <si>
    <t>Video Conferencing Rooms</t>
  </si>
  <si>
    <t>Printer</t>
  </si>
  <si>
    <t>APA IT</t>
  </si>
  <si>
    <t>IN-HOUSE SOFTWARE</t>
  </si>
  <si>
    <t>Straight Line</t>
  </si>
  <si>
    <t>Enterprise Asset Management System Upgrade</t>
  </si>
  <si>
    <t>OT initial integration and standard asset integration</t>
  </si>
  <si>
    <t>EMS basslink integration, Reliability / predictive monitoring</t>
  </si>
  <si>
    <t>OT Technology Capability uplift</t>
  </si>
  <si>
    <t>Asset Integration</t>
  </si>
  <si>
    <t>Program Management and Consultation</t>
  </si>
  <si>
    <t>SOCI</t>
  </si>
  <si>
    <t>Cyber Security</t>
  </si>
  <si>
    <t>Program Management and Material Risk</t>
  </si>
  <si>
    <t>Enterprise Security Governance</t>
  </si>
  <si>
    <t>Supply Chain Security</t>
  </si>
  <si>
    <t>BUILDING INSTALLATION</t>
  </si>
  <si>
    <t>Non-network buildings and property expenditure</t>
  </si>
  <si>
    <t>Physical Security and Natural Hazards</t>
  </si>
  <si>
    <t>Inflation</t>
  </si>
  <si>
    <t>CPI</t>
  </si>
  <si>
    <t>2017/18</t>
  </si>
  <si>
    <t>2018/19</t>
  </si>
  <si>
    <t>2019/20</t>
  </si>
  <si>
    <t>2023/24</t>
  </si>
  <si>
    <t>2024/25</t>
  </si>
  <si>
    <t>Date of ABS measure</t>
  </si>
  <si>
    <t>Actual</t>
  </si>
  <si>
    <t>RBA</t>
  </si>
  <si>
    <t>PTRM</t>
  </si>
  <si>
    <t>RBA Mid Point</t>
  </si>
  <si>
    <t>All cities</t>
  </si>
  <si>
    <t>CPI change</t>
  </si>
  <si>
    <t>Convert to Base Year FY2024/25</t>
  </si>
  <si>
    <t>Convert to Base Year FY 2017/18</t>
  </si>
  <si>
    <t>Convert 2016/17 to nominal</t>
  </si>
  <si>
    <t>Asset Classes (Hist)</t>
  </si>
  <si>
    <t>Asset Classes (Fore)</t>
  </si>
  <si>
    <t>AC FILTERS</t>
  </si>
  <si>
    <t>Connections</t>
  </si>
  <si>
    <t>AC SWITCHYARD</t>
  </si>
  <si>
    <t>Augmentation Expenditure</t>
  </si>
  <si>
    <t>AUXILIARY SYSTEMS</t>
  </si>
  <si>
    <t>Capitalised network overheads</t>
  </si>
  <si>
    <t>Capitalised corporate overheads</t>
  </si>
  <si>
    <t>CONVERTER TRANSFORMER</t>
  </si>
  <si>
    <t>Non-network motor vehicle expenditure</t>
  </si>
  <si>
    <t>DC FILTER</t>
  </si>
  <si>
    <t>DC SWITCHYARD</t>
  </si>
  <si>
    <t>Non-network other</t>
  </si>
  <si>
    <t>EASEMENT</t>
  </si>
  <si>
    <t>FREEHOLD LAND</t>
  </si>
  <si>
    <t>MEASURING DEVICES</t>
  </si>
  <si>
    <t>MOTOR VEHICLES</t>
  </si>
  <si>
    <t>OVERHEAD LINES</t>
  </si>
  <si>
    <t>STATION POWER SUPPLY</t>
  </si>
  <si>
    <t>VALVE COOLING</t>
  </si>
  <si>
    <t>VALVE HALL</t>
  </si>
  <si>
    <t>Cost Escalators</t>
  </si>
  <si>
    <t>Labour</t>
  </si>
  <si>
    <t>Indexes</t>
  </si>
  <si>
    <t>Historic Capex ($nominal)</t>
  </si>
  <si>
    <t>Capital Expenditure (As incurred)</t>
  </si>
  <si>
    <t>Forecast Period (Financial Years)</t>
  </si>
  <si>
    <t>Real $</t>
  </si>
  <si>
    <t>Quantum</t>
  </si>
  <si>
    <t>2025/26</t>
  </si>
  <si>
    <t>2026/27</t>
  </si>
  <si>
    <t>2027/28</t>
  </si>
  <si>
    <t>2028/29</t>
  </si>
  <si>
    <t>Forecast Value</t>
  </si>
  <si>
    <t>Tax Depreciation</t>
  </si>
  <si>
    <t>Capital Expenditure (As Commissioned)</t>
  </si>
  <si>
    <t>Current Period (Financial Years)</t>
  </si>
  <si>
    <t>Project Real Dollars - as incurred</t>
  </si>
  <si>
    <t>Project Real Dollars (FY2025)</t>
  </si>
  <si>
    <t>Escalated Total</t>
  </si>
  <si>
    <t>Sum</t>
  </si>
  <si>
    <t>Difference</t>
  </si>
  <si>
    <t>Forecast Capital Expenditure - As Incurred</t>
  </si>
  <si>
    <t>Forecast Period ($FY 2024/25 '000)</t>
  </si>
  <si>
    <t>Project by size</t>
  </si>
  <si>
    <t>Material Projects (&gt;$1m)</t>
  </si>
  <si>
    <t>by Asset Class</t>
  </si>
  <si>
    <t>Incurred by Driver</t>
  </si>
  <si>
    <t>$</t>
  </si>
  <si>
    <t>As incurred by Program</t>
  </si>
  <si>
    <t>Forecast Capital Expenditure - As Commissioned</t>
  </si>
  <si>
    <t>Immediate Expensing Assets</t>
  </si>
  <si>
    <t>Immediate Expense</t>
  </si>
  <si>
    <t>Forecast Period (nominal '000)</t>
  </si>
  <si>
    <t>nominal</t>
  </si>
  <si>
    <t>Actual Capital Expenditure</t>
  </si>
  <si>
    <t>Forecast Period ($'000 real FY 23)</t>
  </si>
  <si>
    <t>Name</t>
  </si>
  <si>
    <t>Portion of Total</t>
  </si>
  <si>
    <t>Total capital expenditure ($'000)</t>
  </si>
  <si>
    <t>Total capital expenditure ($m)</t>
  </si>
  <si>
    <t>Forecast Capital Expenditure</t>
  </si>
  <si>
    <t>As Incurred - Asset Class</t>
  </si>
  <si>
    <t>As Commissioned - Asset Class</t>
  </si>
  <si>
    <t>By Program</t>
  </si>
  <si>
    <t>Real</t>
  </si>
  <si>
    <t>Immdiate Expensing Assets</t>
  </si>
  <si>
    <t>As Incurred by Progrm</t>
  </si>
  <si>
    <t>Historic Capex ($FY25)</t>
  </si>
  <si>
    <t>Check Cell (against workbook)</t>
  </si>
  <si>
    <t/>
  </si>
  <si>
    <t>2018-19</t>
  </si>
  <si>
    <t>2019-20</t>
  </si>
  <si>
    <t>2020-21</t>
  </si>
  <si>
    <t>2021-22</t>
  </si>
  <si>
    <t>2022-23</t>
  </si>
  <si>
    <t>2023-24</t>
  </si>
  <si>
    <t>2024-25</t>
  </si>
  <si>
    <t>2.1.1 - PRESCRIBED TRANSMISSION SERVICES CAPEX (as incurred)</t>
  </si>
  <si>
    <t>2025-26</t>
  </si>
  <si>
    <t>2026-27</t>
  </si>
  <si>
    <t>2027-28</t>
  </si>
  <si>
    <t>2028-29</t>
  </si>
  <si>
    <t>2029-30</t>
  </si>
  <si>
    <t>Non-network</t>
  </si>
  <si>
    <t>TOTAL  CAPEX</t>
  </si>
  <si>
    <t>2.6.1 - NON-NETWORK EXPENDITURE</t>
  </si>
  <si>
    <t>Total IT &amp; communications</t>
  </si>
  <si>
    <t>Total motor vehicle expenditure</t>
  </si>
  <si>
    <t>Total buildings and property expenditure</t>
  </si>
  <si>
    <t>Total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</si>
</sst>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_-;_-@_-"/>
    <numFmt numFmtId="167" formatCode="_-* #,##0.0_-;\-* #,##0.0_-;_-* &quot;-&quot;??_-;_-@_-"/>
    <numFmt numFmtId="168" formatCode="_-* #,##0.00_-;\-* #,##0.00_-;_-* &quot;-&quot;_-;_-@_-"/>
    <numFmt numFmtId="169" formatCode="_-* #,##0.0_-;\-* #,##0.0_-;_-* &quot;-&quot;?_-;_-@_-"/>
    <numFmt numFmtId="171" formatCode="_-* #,##0.000_-;\-* #,##0.000_-;_-* &quot;-&quot;??_-;_-@_-"/>
  </numFmts>
  <fonts count="29">
    <font>
      <sz val="11"/>
      <color theme="1"/>
      <name val="Amasis MT Pro"/>
      <family val="1"/>
    </font>
    <font>
      <sz val="11"/>
      <color theme="1"/>
      <name val="Georgia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1"/>
      <color theme="1"/>
      <name val="Arial"/>
      <family val="2"/>
    </font>
    <font>
      <b/>
      <sz val="8"/>
      <name val="Times New Roman"/>
      <family val="1"/>
    </font>
    <font>
      <sz val="11"/>
      <color rgb="FF006100"/>
      <name val="Georgia"/>
      <family val="2"/>
      <scheme val="minor"/>
    </font>
    <font>
      <sz val="11"/>
      <color rgb="FFFF0000"/>
      <name val="Georgia"/>
      <family val="2"/>
      <scheme val="minor"/>
    </font>
    <font>
      <sz val="8"/>
      <name val="Arial"/>
      <family val="2"/>
    </font>
    <font>
      <sz val="9"/>
      <color rgb="FF9C0006"/>
      <name val="Times New Roman"/>
      <family val="1"/>
    </font>
    <font>
      <sz val="8"/>
      <color rgb="FF9C6500"/>
      <name val="Century Gothic"/>
      <family val="2"/>
    </font>
    <font>
      <i/>
      <sz val="11"/>
      <color rgb="FF7F7F7F"/>
      <name val="Georgia"/>
      <family val="2"/>
      <scheme val="minor"/>
    </font>
    <font>
      <sz val="9"/>
      <color theme="1"/>
      <name val="Times New Roman"/>
      <family val="1"/>
    </font>
    <font>
      <b/>
      <sz val="11"/>
      <color theme="0"/>
      <name val="Amasis MT Pro"/>
      <family val="1"/>
    </font>
    <font>
      <sz val="9"/>
      <color theme="1"/>
      <name val="Amasis MT Pro"/>
      <family val="1"/>
    </font>
    <font>
      <sz val="6"/>
      <color theme="0"/>
      <name val="Times New Roman"/>
      <family val="1"/>
    </font>
    <font>
      <sz val="9"/>
      <color rgb="FF0000FF"/>
      <name val="Amasis MT Pro"/>
      <family val="1"/>
    </font>
    <font>
      <sz val="9"/>
      <name val="Amasis MT Pro"/>
      <family val="1"/>
    </font>
    <font>
      <sz val="9"/>
      <color theme="8" tint="-0.24994659260841701"/>
      <name val="Amasis MT Pro"/>
      <family val="1"/>
    </font>
    <font>
      <b/>
      <sz val="11"/>
      <color rgb="FF92CDDC"/>
      <name val="Amasis MT Pro"/>
      <family val="1"/>
    </font>
    <font>
      <sz val="11"/>
      <color rgb="FF92CDDC"/>
      <name val="Amasis MT Pro"/>
      <family val="1"/>
    </font>
    <font>
      <b/>
      <sz val="11"/>
      <color rgb="FF31869B"/>
      <name val="Amasis MT Pro"/>
      <family val="1"/>
    </font>
    <font>
      <sz val="8"/>
      <name val="Amasis MT Pro"/>
      <family val="1"/>
    </font>
    <font>
      <b/>
      <sz val="8"/>
      <color theme="0"/>
      <name val="Georgia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CDDC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92CDDC"/>
      </left>
      <right style="medium">
        <color rgb="FF92CDDC"/>
      </right>
      <top style="medium">
        <color rgb="FF92CDDC"/>
      </top>
      <bottom style="medium">
        <color rgb="FF92CDDC"/>
      </bottom>
      <diagonal/>
    </border>
    <border>
      <left style="thick">
        <color rgb="FF92CDDC"/>
      </left>
      <right style="thin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rgb="FF92CDDC"/>
      </left>
      <right style="thin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rgb="FF92CDDC"/>
      </left>
      <right style="thick">
        <color rgb="FF92CDDC"/>
      </right>
      <top style="thin">
        <color rgb="FF92CDDC"/>
      </top>
      <bottom style="thin">
        <color rgb="FF92CDD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2CDDC"/>
      </left>
      <right style="thin">
        <color rgb="FF92CDDC"/>
      </right>
      <top style="thick">
        <color rgb="FF92CDDC"/>
      </top>
      <bottom style="thin">
        <color rgb="FF92CDDC"/>
      </bottom>
      <diagonal/>
    </border>
    <border>
      <left/>
      <right/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9">
    <xf numFmtId="0" fontId="0" fillId="8" borderId="0"/>
    <xf numFmtId="9" fontId="2" fillId="0" borderId="0" applyFont="0" applyFill="0" applyBorder="0" applyAlignment="0" applyProtection="0"/>
    <xf numFmtId="0" fontId="4" fillId="3" borderId="0" applyNumberFormat="0" applyAlignment="0" applyProtection="0"/>
    <xf numFmtId="0" fontId="5" fillId="2" borderId="0" applyNumberFormat="0" applyAlignment="0" applyProtection="0"/>
    <xf numFmtId="0" fontId="6" fillId="4" borderId="0" applyNumberFormat="0" applyAlignment="0" applyProtection="0"/>
    <xf numFmtId="0" fontId="7" fillId="5" borderId="0" applyNumberFormat="0" applyAlignment="0" applyProtection="0"/>
    <xf numFmtId="0" fontId="7" fillId="6" borderId="0" applyNumberFormat="0" applyAlignment="0" applyProtection="0"/>
    <xf numFmtId="43" fontId="21" fillId="0" borderId="8" applyAlignment="0" applyProtection="0"/>
    <xf numFmtId="43" fontId="22" fillId="0" borderId="6" applyAlignment="0" applyProtection="0"/>
    <xf numFmtId="0" fontId="3" fillId="0" borderId="1" applyNumberFormat="0" applyFill="0" applyAlignment="0" applyProtection="0"/>
    <xf numFmtId="41" fontId="26" fillId="15" borderId="15" applyAlignment="0" applyProtection="0"/>
    <xf numFmtId="41" fontId="26" fillId="15" borderId="10" applyAlignment="0" applyProtection="0"/>
    <xf numFmtId="43" fontId="17" fillId="0" borderId="0" applyFill="0" applyBorder="0" applyAlignment="0" applyProtection="0"/>
    <xf numFmtId="0" fontId="20" fillId="9" borderId="3" applyNumberFormat="0" applyAlignment="0" applyProtection="0"/>
    <xf numFmtId="0" fontId="15" fillId="10" borderId="0" applyNumberFormat="0" applyBorder="0" applyAlignment="0" applyProtection="0"/>
    <xf numFmtId="0" fontId="19" fillId="11" borderId="4" applyNumberFormat="0" applyAlignment="0" applyProtection="0"/>
    <xf numFmtId="41" fontId="21" fillId="0" borderId="7" applyAlignment="0" applyProtection="0"/>
    <xf numFmtId="0" fontId="11" fillId="12" borderId="0" applyNumberFormat="0" applyBorder="0" applyAlignment="0" applyProtection="0"/>
    <xf numFmtId="0" fontId="14" fillId="13" borderId="0" applyNumberFormat="0" applyBorder="0" applyAlignment="0" applyProtection="0"/>
    <xf numFmtId="0" fontId="12" fillId="0" borderId="0" applyNumberFormat="0" applyFill="0" applyBorder="0" applyAlignment="0" applyProtection="0"/>
    <xf numFmtId="41" fontId="17" fillId="0" borderId="0" applyFill="0" applyBorder="0" applyAlignment="0" applyProtection="0"/>
    <xf numFmtId="0" fontId="23" fillId="8" borderId="5" applyNumberFormat="0" applyAlignment="0" applyProtection="0"/>
    <xf numFmtId="0" fontId="16" fillId="0" borderId="0" applyNumberFormat="0" applyFill="0" applyBorder="0" applyAlignment="0" applyProtection="0"/>
    <xf numFmtId="43" fontId="24" fillId="8" borderId="12">
      <alignment vertical="center" wrapText="1"/>
    </xf>
    <xf numFmtId="0" fontId="18" fillId="14" borderId="9">
      <alignment horizontal="left" vertical="center"/>
    </xf>
    <xf numFmtId="41" fontId="25" fillId="8" borderId="11">
      <alignment vertical="center" wrapText="1"/>
    </xf>
    <xf numFmtId="0" fontId="1" fillId="0" borderId="0"/>
    <xf numFmtId="0" fontId="28" fillId="9" borderId="3" applyNumberFormat="0" applyAlignment="0" applyProtection="0"/>
    <xf numFmtId="43" fontId="1" fillId="0" borderId="0" applyFont="0" applyFill="0" applyBorder="0" applyAlignment="0" applyProtection="0"/>
  </cellStyleXfs>
  <cellXfs count="73">
    <xf numFmtId="0" fontId="0" fillId="8" borderId="0" xfId="0"/>
    <xf numFmtId="0" fontId="4" fillId="3" borderId="0" xfId="2"/>
    <xf numFmtId="0" fontId="5" fillId="2" borderId="0" xfId="3"/>
    <xf numFmtId="0" fontId="7" fillId="5" borderId="0" xfId="5"/>
    <xf numFmtId="0" fontId="6" fillId="4" borderId="0" xfId="4"/>
    <xf numFmtId="43" fontId="21" fillId="0" borderId="8" xfId="7"/>
    <xf numFmtId="43" fontId="22" fillId="0" borderId="6" xfId="8"/>
    <xf numFmtId="14" fontId="21" fillId="0" borderId="8" xfId="7" applyNumberFormat="1"/>
    <xf numFmtId="164" fontId="8" fillId="7" borderId="0" xfId="1" applyNumberFormat="1" applyFont="1" applyFill="1"/>
    <xf numFmtId="0" fontId="7" fillId="5" borderId="0" xfId="5" quotePrefix="1"/>
    <xf numFmtId="165" fontId="21" fillId="0" borderId="8" xfId="7" applyNumberFormat="1"/>
    <xf numFmtId="0" fontId="21" fillId="0" borderId="8" xfId="7" quotePrefix="1" applyNumberFormat="1"/>
    <xf numFmtId="0" fontId="20" fillId="9" borderId="3" xfId="13"/>
    <xf numFmtId="0" fontId="3" fillId="8" borderId="0" xfId="0" applyFont="1" applyAlignment="1">
      <alignment vertical="center" wrapText="1"/>
    </xf>
    <xf numFmtId="165" fontId="9" fillId="8" borderId="0" xfId="12" applyNumberFormat="1" applyFont="1" applyFill="1" applyBorder="1" applyAlignment="1">
      <alignment horizontal="right" vertical="center" wrapText="1"/>
    </xf>
    <xf numFmtId="165" fontId="9" fillId="8" borderId="0" xfId="0" applyNumberFormat="1" applyFont="1" applyAlignment="1">
      <alignment horizontal="right" vertical="center" wrapText="1"/>
    </xf>
    <xf numFmtId="43" fontId="0" fillId="8" borderId="0" xfId="0" applyNumberFormat="1"/>
    <xf numFmtId="0" fontId="10" fillId="11" borderId="4" xfId="15" applyFont="1"/>
    <xf numFmtId="0" fontId="7" fillId="6" borderId="0" xfId="6"/>
    <xf numFmtId="14" fontId="22" fillId="0" borderId="6" xfId="8" applyNumberFormat="1"/>
    <xf numFmtId="41" fontId="26" fillId="15" borderId="15" xfId="10"/>
    <xf numFmtId="165" fontId="4" fillId="3" borderId="0" xfId="2" applyNumberFormat="1"/>
    <xf numFmtId="43" fontId="23" fillId="8" borderId="5" xfId="21" applyNumberFormat="1"/>
    <xf numFmtId="43" fontId="20" fillId="9" borderId="3" xfId="13" applyNumberFormat="1"/>
    <xf numFmtId="165" fontId="20" fillId="9" borderId="3" xfId="13" applyNumberFormat="1"/>
    <xf numFmtId="43" fontId="24" fillId="8" borderId="12" xfId="23">
      <alignment vertical="center" wrapText="1"/>
    </xf>
    <xf numFmtId="0" fontId="18" fillId="14" borderId="9" xfId="24">
      <alignment horizontal="left" vertical="center"/>
    </xf>
    <xf numFmtId="0" fontId="23" fillId="8" borderId="5" xfId="21"/>
    <xf numFmtId="166" fontId="25" fillId="8" borderId="11" xfId="25" applyNumberFormat="1">
      <alignment vertical="center" wrapText="1"/>
    </xf>
    <xf numFmtId="41" fontId="26" fillId="15" borderId="10" xfId="11"/>
    <xf numFmtId="41" fontId="20" fillId="9" borderId="3" xfId="13" applyNumberFormat="1"/>
    <xf numFmtId="41" fontId="26" fillId="15" borderId="15" xfId="10" applyAlignment="1">
      <alignment vertical="center" wrapText="1"/>
    </xf>
    <xf numFmtId="165" fontId="21" fillId="0" borderId="8" xfId="7" quotePrefix="1" applyNumberFormat="1"/>
    <xf numFmtId="10" fontId="8" fillId="7" borderId="0" xfId="1" applyNumberFormat="1" applyFont="1" applyFill="1"/>
    <xf numFmtId="166" fontId="26" fillId="15" borderId="10" xfId="11" applyNumberFormat="1"/>
    <xf numFmtId="43" fontId="21" fillId="0" borderId="17" xfId="7" applyBorder="1"/>
    <xf numFmtId="168" fontId="26" fillId="15" borderId="10" xfId="11" applyNumberFormat="1"/>
    <xf numFmtId="168" fontId="0" fillId="8" borderId="0" xfId="0" applyNumberFormat="1"/>
    <xf numFmtId="166" fontId="26" fillId="15" borderId="10" xfId="11" applyNumberFormat="1" applyAlignment="1">
      <alignment horizontal="right" vertical="center" wrapText="1"/>
    </xf>
    <xf numFmtId="166" fontId="26" fillId="15" borderId="15" xfId="10" applyNumberFormat="1" applyAlignment="1">
      <alignment vertical="center" wrapText="1"/>
    </xf>
    <xf numFmtId="166" fontId="26" fillId="15" borderId="15" xfId="10" applyNumberFormat="1" applyAlignment="1">
      <alignment horizontal="right" vertical="center" wrapText="1"/>
    </xf>
    <xf numFmtId="166" fontId="26" fillId="15" borderId="10" xfId="11" applyNumberFormat="1" applyAlignment="1">
      <alignment vertical="center" wrapText="1"/>
    </xf>
    <xf numFmtId="9" fontId="21" fillId="0" borderId="8" xfId="1" applyFont="1" applyBorder="1"/>
    <xf numFmtId="9" fontId="22" fillId="0" borderId="6" xfId="1" applyFont="1" applyBorder="1"/>
    <xf numFmtId="166" fontId="26" fillId="15" borderId="15" xfId="10" applyNumberFormat="1"/>
    <xf numFmtId="168" fontId="26" fillId="15" borderId="15" xfId="10" applyNumberFormat="1"/>
    <xf numFmtId="167" fontId="26" fillId="15" borderId="15" xfId="10" applyNumberFormat="1"/>
    <xf numFmtId="164" fontId="21" fillId="0" borderId="8" xfId="1" applyNumberFormat="1" applyFont="1" applyBorder="1"/>
    <xf numFmtId="9" fontId="21" fillId="0" borderId="0" xfId="1" applyFont="1" applyBorder="1"/>
    <xf numFmtId="167" fontId="26" fillId="15" borderId="10" xfId="11" applyNumberFormat="1" applyAlignment="1">
      <alignment horizontal="right" vertical="center" wrapText="1"/>
    </xf>
    <xf numFmtId="167" fontId="22" fillId="0" borderId="6" xfId="8" applyNumberFormat="1"/>
    <xf numFmtId="167" fontId="26" fillId="15" borderId="10" xfId="11" applyNumberFormat="1"/>
    <xf numFmtId="167" fontId="0" fillId="8" borderId="0" xfId="0" applyNumberFormat="1"/>
    <xf numFmtId="43" fontId="4" fillId="3" borderId="0" xfId="2" applyNumberFormat="1"/>
    <xf numFmtId="169" fontId="20" fillId="9" borderId="3" xfId="13" applyNumberFormat="1"/>
    <xf numFmtId="166" fontId="20" fillId="9" borderId="3" xfId="13" applyNumberFormat="1"/>
    <xf numFmtId="167" fontId="20" fillId="9" borderId="3" xfId="13" applyNumberFormat="1"/>
    <xf numFmtId="167" fontId="23" fillId="8" borderId="5" xfId="21" applyNumberFormat="1"/>
    <xf numFmtId="41" fontId="21" fillId="0" borderId="7" xfId="16"/>
    <xf numFmtId="41" fontId="25" fillId="8" borderId="11" xfId="25">
      <alignment vertical="center" wrapText="1"/>
    </xf>
    <xf numFmtId="41" fontId="26" fillId="15" borderId="10" xfId="11" applyAlignment="1">
      <alignment vertical="center" wrapText="1"/>
    </xf>
    <xf numFmtId="41" fontId="26" fillId="15" borderId="15" xfId="10" applyAlignment="1">
      <alignment horizontal="right" vertical="center" wrapText="1"/>
    </xf>
    <xf numFmtId="168" fontId="26" fillId="15" borderId="10" xfId="11" applyNumberFormat="1" applyAlignment="1">
      <alignment vertical="center" wrapText="1"/>
    </xf>
    <xf numFmtId="168" fontId="26" fillId="15" borderId="15" xfId="10" applyNumberFormat="1" applyAlignment="1">
      <alignment horizontal="right" vertical="center" wrapText="1"/>
    </xf>
    <xf numFmtId="171" fontId="23" fillId="8" borderId="5" xfId="21" applyNumberFormat="1"/>
    <xf numFmtId="2" fontId="0" fillId="8" borderId="0" xfId="0" applyNumberFormat="1"/>
    <xf numFmtId="10" fontId="21" fillId="0" borderId="8" xfId="1" applyNumberFormat="1" applyFont="1" applyBorder="1"/>
    <xf numFmtId="0" fontId="7" fillId="5" borderId="16" xfId="5" applyBorder="1" applyAlignment="1">
      <alignment horizontal="center"/>
    </xf>
    <xf numFmtId="0" fontId="7" fillId="5" borderId="18" xfId="5" applyBorder="1" applyAlignment="1">
      <alignment horizontal="center"/>
    </xf>
    <xf numFmtId="0" fontId="7" fillId="5" borderId="19" xfId="5" applyBorder="1" applyAlignment="1">
      <alignment horizontal="center"/>
    </xf>
    <xf numFmtId="0" fontId="7" fillId="5" borderId="13" xfId="5" applyBorder="1" applyAlignment="1">
      <alignment horizontal="center"/>
    </xf>
    <xf numFmtId="0" fontId="7" fillId="5" borderId="2" xfId="5" applyBorder="1" applyAlignment="1">
      <alignment horizontal="center"/>
    </xf>
    <xf numFmtId="0" fontId="7" fillId="5" borderId="14" xfId="5" applyBorder="1" applyAlignment="1">
      <alignment horizontal="center"/>
    </xf>
  </cellXfs>
  <cellStyles count="29">
    <cellStyle name="Bad" xfId="18" builtinId="27" customBuiltin="1"/>
    <cellStyle name="Calculation" xfId="8" builtinId="22" customBuiltin="1"/>
    <cellStyle name="Check Cell" xfId="13" builtinId="23" customBuiltin="1"/>
    <cellStyle name="Check Cell 2" xfId="27" xr:uid="{00000000-0005-0000-0000-000004000000}"/>
    <cellStyle name="Comma" xfId="12" builtinId="3" customBuiltin="1"/>
    <cellStyle name="Comma [0]" xfId="20" builtinId="6" customBuiltin="1"/>
    <cellStyle name="Comma 2" xfId="28" xr:uid="{00000000-0005-0000-0000-000007000000}"/>
    <cellStyle name="Explanatory Text" xfId="22" builtinId="53" hidden="1"/>
    <cellStyle name="Good" xfId="17" builtinId="26" hidde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7" builtinId="20" customBuiltin="1"/>
    <cellStyle name="Linked Cell" xfId="21" builtinId="24" customBuiltin="1"/>
    <cellStyle name="Neutral" xfId="14" builtinId="28" hidden="1" customBuiltin="1"/>
    <cellStyle name="Normal" xfId="0" builtinId="0" customBuiltin="1"/>
    <cellStyle name="Normal 2" xfId="26" xr:uid="{00000000-0005-0000-0000-000012000000}"/>
    <cellStyle name="Note" xfId="15" builtinId="10" customBuiltin="1"/>
    <cellStyle name="Output" xfId="16" builtinId="21" customBuiltin="1"/>
    <cellStyle name="Percent" xfId="1" builtinId="5"/>
    <cellStyle name="Table Data" xfId="25" xr:uid="{00000000-0005-0000-0000-000016000000}"/>
    <cellStyle name="Table Heading" xfId="24" xr:uid="{00000000-0005-0000-0000-000017000000}"/>
    <cellStyle name="Table Label" xfId="23" xr:uid="{00000000-0005-0000-0000-000018000000}"/>
    <cellStyle name="Title" xfId="2" builtinId="15" customBuiltin="1"/>
    <cellStyle name="Total" xfId="9" builtinId="25" hidden="1"/>
    <cellStyle name="Total - horizontal" xfId="11" xr:uid="{00000000-0005-0000-0000-00001B000000}"/>
    <cellStyle name="Total - vertical" xfId="10" xr:uid="{00000000-0005-0000-0000-00001C000000}"/>
    <cellStyle name="Warning Text" xfId="19" builtinId="11" hidden="1"/>
  </cellStyles>
  <dxfs count="19"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C00000"/>
      </font>
      <fill>
        <patternFill>
          <bgColor rgb="FFFF00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numFmt numFmtId="0" formatCode="General"/>
      <fill>
        <patternFill>
          <bgColor rgb="FFC0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C00000"/>
      </font>
      <fill>
        <patternFill>
          <bgColor rgb="FFFF9393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319A87"/>
      <color rgb="FFFF9999"/>
      <color rgb="FFFFE7E7"/>
      <color rgb="FFFF9393"/>
      <color rgb="FFFF6161"/>
      <color rgb="FFFFB7B7"/>
      <color rgb="FFD9D9D9"/>
      <color rgb="FF31869B"/>
      <color rgb="FF319B86"/>
      <color rgb="FF2D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Forecast capital expenditure 2025/26 to 2029/30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896768452379367"/>
          <c:y val="0.16992007113200114"/>
          <c:w val="0.81001524876264774"/>
          <c:h val="0.5772272895763873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'3.0 Outputs'!$E$94</c:f>
              <c:strCache>
                <c:ptCount val="1"/>
                <c:pt idx="0">
                  <c:v> End of Life Replacement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Outputs'!$F$94:$J$94</c:f>
              <c:numCache>
                <c:formatCode>_-* #,##0.0_-;\-* #,##0.0_-;_-* "-"_-;_-@_-</c:formatCode>
                <c:ptCount val="5"/>
                <c:pt idx="0">
                  <c:v>7.9299140299674757</c:v>
                </c:pt>
                <c:pt idx="1">
                  <c:v>7.1860341886503676</c:v>
                </c:pt>
                <c:pt idx="2">
                  <c:v>3.1131364263325692</c:v>
                </c:pt>
                <c:pt idx="3">
                  <c:v>8.507874070500586</c:v>
                </c:pt>
                <c:pt idx="4">
                  <c:v>18.476071218838523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C-462D-A5EB-062976296589}"/>
            </c:ext>
          </c:extLst>
        </c:ser>
        <c:ser>
          <c:idx val="1"/>
          <c:order val="1"/>
          <c:tx>
            <c:strRef>
              <c:f>'3.0 Outputs'!$E$95</c:f>
              <c:strCache>
                <c:ptCount val="1"/>
                <c:pt idx="0">
                  <c:v> Stay in Business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Outputs'!$F$95:$J$95</c:f>
              <c:numCache>
                <c:formatCode>_-* #,##0.0_-;\-* #,##0.0_-;_-* "-"_-;_-@_-</c:formatCode>
                <c:ptCount val="5"/>
                <c:pt idx="0">
                  <c:v>6.0351923549488054E-2</c:v>
                </c:pt>
                <c:pt idx="1">
                  <c:v>0.24140769419795222</c:v>
                </c:pt>
                <c:pt idx="2">
                  <c:v>0.12070384709897611</c:v>
                </c:pt>
                <c:pt idx="3">
                  <c:v>0.25347807890784979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61-442F-870D-81C5E999A37D}"/>
            </c:ext>
          </c:extLst>
        </c:ser>
        <c:ser>
          <c:idx val="2"/>
          <c:order val="2"/>
          <c:tx>
            <c:strRef>
              <c:f>'3.0 Outputs'!$E$96</c:f>
              <c:strCache>
                <c:ptCount val="1"/>
                <c:pt idx="0">
                  <c:v> Subsea Cable Repair Strategy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Outputs'!$F$96:$J$96</c:f>
              <c:numCache>
                <c:formatCode>_-* #,##0.0_-;\-* #,##0.0_-;_-* "-"_-;_-@_-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0.98879356092055048</c:v>
                </c:pt>
                <c:pt idx="4">
                  <c:v>10.822995115911107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61-442F-870D-81C5E999A37D}"/>
            </c:ext>
          </c:extLst>
        </c:ser>
        <c:ser>
          <c:idx val="3"/>
          <c:order val="3"/>
          <c:tx>
            <c:strRef>
              <c:f>'3.0 Outputs'!$E$97</c:f>
              <c:strCache>
                <c:ptCount val="1"/>
                <c:pt idx="0">
                  <c:v> Ambient Temperature Project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Outputs'!$F$97:$J$97</c:f>
              <c:numCache>
                <c:formatCode>_-* #,##0.0_-;\-* #,##0.0_-;_-* "-"_-;_-@_-</c:formatCode>
                <c:ptCount val="5"/>
                <c:pt idx="0">
                  <c:v>6.9974398417147574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61-442F-870D-81C5E999A37D}"/>
            </c:ext>
          </c:extLst>
        </c:ser>
        <c:ser>
          <c:idx val="4"/>
          <c:order val="4"/>
          <c:tx>
            <c:strRef>
              <c:f>'3.0 Outputs'!$E$98</c:f>
              <c:strCache>
                <c:ptCount val="1"/>
                <c:pt idx="0">
                  <c:v> Basslink IT/OT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Outputs'!$F$98:$J$98</c:f>
              <c:numCache>
                <c:formatCode>_-* #,##0.0_-;\-* #,##0.0_-;_-* "-"_-;_-@_-</c:formatCode>
                <c:ptCount val="5"/>
                <c:pt idx="0">
                  <c:v>0.50836400450057717</c:v>
                </c:pt>
                <c:pt idx="1">
                  <c:v>0.23324799472382526</c:v>
                </c:pt>
                <c:pt idx="2">
                  <c:v>0.17493600770526868</c:v>
                </c:pt>
                <c:pt idx="3">
                  <c:v>0.48503920502819464</c:v>
                </c:pt>
                <c:pt idx="4">
                  <c:v>0.32654719261335535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61-442F-870D-81C5E999A37D}"/>
            </c:ext>
          </c:extLst>
        </c:ser>
        <c:ser>
          <c:idx val="5"/>
          <c:order val="5"/>
          <c:tx>
            <c:strRef>
              <c:f>'3.0 Outputs'!$E$99</c:f>
              <c:strCache>
                <c:ptCount val="1"/>
                <c:pt idx="0">
                  <c:v> APA IT </c:v>
                </c:pt>
              </c:strCache>
            </c:strRef>
          </c:tx>
          <c:spPr>
            <a:solidFill>
              <a:srgbClr val="319A87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Outputs'!$F$99:$J$99</c:f>
              <c:numCache>
                <c:formatCode>_-* #,##0.0_-;\-* #,##0.0_-;_-* "-"_-;_-@_-</c:formatCode>
                <c:ptCount val="5"/>
                <c:pt idx="0">
                  <c:v>0.22702393647708133</c:v>
                </c:pt>
                <c:pt idx="1">
                  <c:v>4.3940116737499611E-2</c:v>
                </c:pt>
                <c:pt idx="2">
                  <c:v>4.3940116737499611E-2</c:v>
                </c:pt>
                <c:pt idx="3">
                  <c:v>4.3940116737499611E-2</c:v>
                </c:pt>
                <c:pt idx="4">
                  <c:v>4.3940116737499611E-2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61-442F-870D-81C5E999A37D}"/>
            </c:ext>
          </c:extLst>
        </c:ser>
        <c:ser>
          <c:idx val="6"/>
          <c:order val="6"/>
          <c:tx>
            <c:strRef>
              <c:f>'3.0 Outputs'!$E$100</c:f>
              <c:strCache>
                <c:ptCount val="1"/>
                <c:pt idx="0">
                  <c:v> SOCI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Outputs'!$F$100:$J$100</c:f>
              <c:numCache>
                <c:formatCode>_-* #,##0.0_-;\-* #,##0.0_-;_-* "-"_-;_-@_-</c:formatCode>
                <c:ptCount val="5"/>
                <c:pt idx="0">
                  <c:v>1.0166613781782368</c:v>
                </c:pt>
                <c:pt idx="1">
                  <c:v>0.87310972085657057</c:v>
                </c:pt>
                <c:pt idx="2">
                  <c:v>0.62248498711457789</c:v>
                </c:pt>
                <c:pt idx="3">
                  <c:v>0.62248498711457789</c:v>
                </c:pt>
                <c:pt idx="4">
                  <c:v>0.62248498711457789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461-442F-870D-81C5E999A37D}"/>
            </c:ext>
          </c:extLst>
        </c:ser>
        <c:ser>
          <c:idx val="7"/>
          <c:order val="7"/>
          <c:tx>
            <c:strRef>
              <c:f>'3.0 Outputs'!$E$101</c:f>
              <c:strCache>
                <c:ptCount val="1"/>
                <c:pt idx="0">
                  <c:v> Physical Security and Natural Hazards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'3.0 Outputs'!$F$93:$J$93</c:f>
              <c:strCache>
                <c:ptCount val="5"/>
                <c:pt idx="0">
                  <c:v>2025/26</c:v>
                </c:pt>
                <c:pt idx="1">
                  <c:v>2026/27</c:v>
                </c:pt>
                <c:pt idx="2">
                  <c:v>2027/28</c:v>
                </c:pt>
                <c:pt idx="3">
                  <c:v>2028/29</c:v>
                </c:pt>
                <c:pt idx="4">
                  <c:v>2029/30</c:v>
                </c:pt>
              </c:strCache>
            </c:strRef>
          </c:cat>
          <c:val>
            <c:numRef>
              <c:f>'3.0 Outputs'!$F$101:$J$101</c:f>
              <c:numCache>
                <c:formatCode>_-* #,##0.0_-;\-* #,##0.0_-;_-* "-"_-;_-@_-</c:formatCode>
                <c:ptCount val="5"/>
                <c:pt idx="0">
                  <c:v>1.7493599604286894</c:v>
                </c:pt>
                <c:pt idx="1">
                  <c:v>1.7493599604286894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461-442F-870D-81C5E999A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6783"/>
        <c:axId val="1675951"/>
        <c:axId val="0"/>
      </c:bar3DChart>
      <c:catAx>
        <c:axId val="167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951"/>
        <c:crosses val="autoZero"/>
        <c:auto val="1"/>
        <c:lblAlgn val="ctr"/>
        <c:lblOffset val="100"/>
        <c:noMultiLvlLbl val="0"/>
      </c:catAx>
      <c:valAx>
        <c:axId val="1675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.0_-;\-* #,##0.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758954096517473E-2"/>
          <c:y val="0.78610082953105598"/>
          <c:w val="0.97648186978071816"/>
          <c:h val="0.198556500389305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238125</xdr:colOff>
      <xdr:row>3</xdr:row>
      <xdr:rowOff>104775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2333625</xdr:colOff>
      <xdr:row>3</xdr:row>
      <xdr:rowOff>104775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819150</xdr:colOff>
      <xdr:row>4</xdr:row>
      <xdr:rowOff>190500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C163FF03-9184-4BCA-A447-837CD5EF34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0</xdr:colOff>
      <xdr:row>3</xdr:row>
      <xdr:rowOff>95250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1993526</xdr:colOff>
      <xdr:row>3</xdr:row>
      <xdr:rowOff>95250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4</xdr:col>
      <xdr:colOff>1231210</xdr:colOff>
      <xdr:row>3</xdr:row>
      <xdr:rowOff>104775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247650</xdr:colOff>
      <xdr:row>3</xdr:row>
      <xdr:rowOff>104775</xdr:rowOff>
    </xdr:to>
    <xdr:pic>
      <xdr:nvPicPr>
        <xdr:cNvPr id="2" name="Picture 1" descr="C:\Users\scoyou\AppData\Local\Microsoft\Windows\Temporary Internet Files\Content.Outlook\2X0YH98E\EII_logo_FINAL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333624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236772</xdr:colOff>
      <xdr:row>30</xdr:row>
      <xdr:rowOff>13541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4CAB97-A60A-4BCF-9A18-0ED15FF11BED}"/>
            </a:ext>
            <a:ext uri="{147F2762-F138-4A5C-976F-8EAC2B608ADB}">
              <a16:predDERef xmlns:a16="http://schemas.microsoft.com/office/drawing/2014/main" pred="{FED45B6E-FA97-4143-AE7C-81457422C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EconomicRegandPolicy-EconomicRegExtPol/Shared%20Documents/Murraylink/2023%20Reset/RIN/Templates/Murraylink%202024-28%20-%20Reset%20RIN%20-%20FINAL%20-%20Workbook%201%20-%20historical%20and%20foreca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Sheet Heading"/>
      <sheetName val="AER CF"/>
      <sheetName val="AER NRs"/>
      <sheetName val="AER lookups"/>
      <sheetName val="AER ETL"/>
      <sheetName val="CONTENTS"/>
      <sheetName val="Business &amp; other details"/>
      <sheetName val="2.1 Expenditure Summary"/>
      <sheetName val="2.3c Material Projects"/>
      <sheetName val="2.6 Non-network"/>
      <sheetName val="2.14 Forecast price changes"/>
      <sheetName val="2.16 Opex Summary"/>
      <sheetName val="2.17 Step Changes"/>
      <sheetName val="3.2.3 Provisions"/>
      <sheetName val="7.1  Policies and Procedures"/>
      <sheetName val="7.2 Contingent projects"/>
      <sheetName val="7.3 Obligations"/>
      <sheetName val="7.4 Shared Assets"/>
      <sheetName val="7.9 STPIS"/>
      <sheetName val="8.2 Capex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Urban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Urban">
      <a:majorFont>
        <a:latin typeface="Trebuchet MS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eorgia"/>
        <a:ea typeface=""/>
        <a:cs typeface=""/>
        <a:font script="Jpan" typeface="HG明朝B"/>
        <a:font script="Hang" typeface="맑은 고딕"/>
        <a:font script="Hans" typeface="宋体"/>
        <a:font script="Hant" typeface="新細明體"/>
        <a:font script="Arab" typeface="Arial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Z64"/>
  <sheetViews>
    <sheetView tabSelected="1" workbookViewId="0">
      <selection activeCell="P19" sqref="P18:P19"/>
    </sheetView>
  </sheetViews>
  <sheetFormatPr defaultRowHeight="15"/>
  <cols>
    <col min="1" max="1" width="27.42578125" customWidth="1"/>
    <col min="2" max="2" width="11.5703125" customWidth="1"/>
    <col min="4" max="4" width="10.28515625" bestFit="1" customWidth="1"/>
    <col min="12" max="13" width="9" customWidth="1"/>
    <col min="16" max="17" width="10.28515625" customWidth="1"/>
    <col min="18" max="20" width="9" customWidth="1"/>
  </cols>
  <sheetData>
    <row r="1" spans="1:26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>
      <c r="A5" s="1" t="str">
        <f ca="1">RIGHT(CELL("filename"),LEN(CELL("filename"))-FIND("]",CELL("filename")))</f>
        <v>1.1 Input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>
      <c r="A6" s="2" t="s">
        <v>55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>
      <c r="A7" s="4" t="s">
        <v>56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3" t="s">
        <v>56</v>
      </c>
      <c r="B8" s="9" t="s">
        <v>57</v>
      </c>
      <c r="C8" s="9" t="s">
        <v>58</v>
      </c>
      <c r="D8" s="9" t="s">
        <v>59</v>
      </c>
      <c r="E8" s="9" t="s">
        <v>23</v>
      </c>
      <c r="F8" s="9" t="s">
        <v>31</v>
      </c>
      <c r="G8" s="9" t="s">
        <v>15</v>
      </c>
      <c r="H8" s="9" t="s">
        <v>60</v>
      </c>
      <c r="I8" s="9" t="s">
        <v>61</v>
      </c>
      <c r="J8" s="9" t="str">
        <f>'2.0 Capex Real Dollars'!E8</f>
        <v>2025/26</v>
      </c>
      <c r="K8" s="9" t="str">
        <f>'2.0 Capex Real Dollars'!F8</f>
        <v>2026/27</v>
      </c>
      <c r="L8" s="9" t="str">
        <f>'2.0 Capex Real Dollars'!G8</f>
        <v>2027/28</v>
      </c>
      <c r="M8" s="9" t="str">
        <f>'2.0 Capex Real Dollars'!H8</f>
        <v>2028/29</v>
      </c>
      <c r="N8" s="9" t="str">
        <f>'2.0 Capex Real Dollars'!I8</f>
        <v>2029/30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5" t="s">
        <v>62</v>
      </c>
      <c r="B9" s="7">
        <v>43070</v>
      </c>
      <c r="C9" s="19">
        <f>DATE(YEAR(B9)+1,MONTH(B9),DAY(B9))</f>
        <v>43435</v>
      </c>
      <c r="D9" s="19">
        <f t="shared" ref="D9:N9" si="0">DATE(YEAR(C9)+1,MONTH(C9),DAY(C9))</f>
        <v>43800</v>
      </c>
      <c r="E9" s="19">
        <f t="shared" si="0"/>
        <v>44166</v>
      </c>
      <c r="F9" s="19">
        <f t="shared" si="0"/>
        <v>44531</v>
      </c>
      <c r="G9" s="19">
        <f t="shared" si="0"/>
        <v>44896</v>
      </c>
      <c r="H9" s="19">
        <f t="shared" si="0"/>
        <v>45261</v>
      </c>
      <c r="I9" s="19">
        <f t="shared" si="0"/>
        <v>45627</v>
      </c>
      <c r="J9" s="19">
        <f t="shared" si="0"/>
        <v>45992</v>
      </c>
      <c r="K9" s="19">
        <f t="shared" si="0"/>
        <v>46357</v>
      </c>
      <c r="L9" s="19">
        <f t="shared" si="0"/>
        <v>46722</v>
      </c>
      <c r="M9" s="19">
        <f t="shared" si="0"/>
        <v>47088</v>
      </c>
      <c r="N9" s="19">
        <f t="shared" si="0"/>
        <v>47453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B10" s="67" t="s">
        <v>63</v>
      </c>
      <c r="C10" s="67"/>
      <c r="D10" s="67"/>
      <c r="E10" s="67"/>
      <c r="F10" s="67"/>
      <c r="G10" s="67"/>
      <c r="H10" s="68" t="s">
        <v>64</v>
      </c>
      <c r="I10" s="69"/>
      <c r="J10" s="70" t="s">
        <v>65</v>
      </c>
      <c r="K10" s="71"/>
      <c r="L10" s="71"/>
      <c r="M10" s="71" t="s">
        <v>66</v>
      </c>
      <c r="N10" s="72"/>
    </row>
    <row r="11" spans="1:26">
      <c r="A11" s="5" t="s">
        <v>67</v>
      </c>
      <c r="B11" s="5">
        <v>112.1</v>
      </c>
      <c r="C11" s="5">
        <v>114.1</v>
      </c>
      <c r="D11" s="5">
        <v>116.2</v>
      </c>
      <c r="E11" s="5">
        <v>117.2</v>
      </c>
      <c r="F11" s="5">
        <v>121.3</v>
      </c>
      <c r="G11" s="5">
        <v>130.80000000000001</v>
      </c>
      <c r="H11" s="5"/>
      <c r="I11" s="5"/>
      <c r="J11" s="35" t="s">
        <v>143</v>
      </c>
      <c r="K11" s="35" t="s">
        <v>143</v>
      </c>
      <c r="L11" s="35" t="s">
        <v>143</v>
      </c>
      <c r="M11" s="35" t="s">
        <v>143</v>
      </c>
      <c r="N11" s="35" t="s">
        <v>143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5" t="s">
        <v>68</v>
      </c>
      <c r="B12" s="8"/>
      <c r="C12" s="33">
        <f t="shared" ref="C12:G12" si="1">C11/B11-1</f>
        <v>1.7841213202497874E-2</v>
      </c>
      <c r="D12" s="33">
        <f t="shared" si="1"/>
        <v>1.8404907975460238E-2</v>
      </c>
      <c r="E12" s="33">
        <f t="shared" si="1"/>
        <v>8.6058519793459354E-3</v>
      </c>
      <c r="F12" s="33">
        <f t="shared" si="1"/>
        <v>3.4982935153583528E-2</v>
      </c>
      <c r="G12" s="33">
        <f t="shared" si="1"/>
        <v>7.8318219291014124E-2</v>
      </c>
      <c r="H12" s="66">
        <v>4.8000000000000001E-2</v>
      </c>
      <c r="I12" s="66">
        <v>3.2000000000000001E-2</v>
      </c>
      <c r="J12" s="66">
        <v>2.9666666666666668E-2</v>
      </c>
      <c r="K12" s="66">
        <v>2.8500000000000001E-2</v>
      </c>
      <c r="L12" s="66">
        <v>2.7333333333333334E-2</v>
      </c>
      <c r="M12" s="66">
        <v>2.6166666666666668E-2</v>
      </c>
      <c r="N12" s="66">
        <v>2.5000000000000001E-2</v>
      </c>
    </row>
    <row r="13" spans="1:26">
      <c r="A13" s="5" t="s">
        <v>69</v>
      </c>
      <c r="B13" s="6">
        <f t="shared" ref="B13:G14" si="2">C13*(1+C$12)</f>
        <v>1.2619527992863515</v>
      </c>
      <c r="C13" s="6">
        <f t="shared" si="2"/>
        <v>1.2398326801051709</v>
      </c>
      <c r="D13" s="6">
        <f t="shared" si="2"/>
        <v>1.2174260654044748</v>
      </c>
      <c r="E13" s="6">
        <f t="shared" si="2"/>
        <v>1.207038470989761</v>
      </c>
      <c r="F13" s="6">
        <f t="shared" si="2"/>
        <v>1.1662399736191262</v>
      </c>
      <c r="G13" s="6">
        <f t="shared" si="2"/>
        <v>1.0815360000000001</v>
      </c>
      <c r="H13" s="6">
        <f>I13*(1+I$12)</f>
        <v>1.032</v>
      </c>
      <c r="I13" s="6">
        <v>1</v>
      </c>
      <c r="J13" s="6">
        <f t="shared" ref="J13:N14" si="3">I13/(1+J$12)</f>
        <v>0.97118808675946899</v>
      </c>
      <c r="K13" s="6">
        <f t="shared" si="3"/>
        <v>0.94427621464216727</v>
      </c>
      <c r="L13" s="6">
        <f t="shared" si="3"/>
        <v>0.91915270730905307</v>
      </c>
      <c r="M13" s="6">
        <f t="shared" si="3"/>
        <v>0.89571483577299305</v>
      </c>
      <c r="N13" s="6">
        <f t="shared" si="3"/>
        <v>0.87386813246145667</v>
      </c>
    </row>
    <row r="14" spans="1:26">
      <c r="A14" s="5" t="s">
        <v>70</v>
      </c>
      <c r="B14" s="6">
        <f t="shared" si="2"/>
        <v>1.0365744870651206</v>
      </c>
      <c r="C14" s="6">
        <f t="shared" si="2"/>
        <v>1.0184049079754602</v>
      </c>
      <c r="D14" s="5">
        <v>1</v>
      </c>
      <c r="E14" s="6">
        <f>D14/(1+E$12)</f>
        <v>0.99146757679180886</v>
      </c>
      <c r="F14" s="6">
        <f>E14/(1+F$12)</f>
        <v>0.95795548227535043</v>
      </c>
      <c r="G14" s="6">
        <f>F14/(1+G$12)</f>
        <v>0.88837920489296629</v>
      </c>
      <c r="H14" s="6">
        <f>G14/(1+H$12)</f>
        <v>0.84769008100473875</v>
      </c>
      <c r="I14" s="6">
        <f>H14/(1+I$12)</f>
        <v>0.82140511725265375</v>
      </c>
      <c r="J14" s="6">
        <f t="shared" si="3"/>
        <v>0.79773886427904217</v>
      </c>
      <c r="K14" s="6">
        <f t="shared" si="3"/>
        <v>0.77563331480704156</v>
      </c>
      <c r="L14" s="6">
        <f t="shared" si="3"/>
        <v>0.75499673732028694</v>
      </c>
      <c r="M14" s="6">
        <f t="shared" si="3"/>
        <v>0.73574474970305692</v>
      </c>
      <c r="N14" s="6">
        <f t="shared" si="3"/>
        <v>0.71779975580786048</v>
      </c>
    </row>
    <row r="15" spans="1:26">
      <c r="A15" s="5" t="s">
        <v>71</v>
      </c>
      <c r="B15" s="5"/>
      <c r="C15" s="5">
        <v>1</v>
      </c>
      <c r="D15" s="5">
        <f>C15*(1+D12)</f>
        <v>1.0184049079754602</v>
      </c>
      <c r="E15" s="5">
        <f t="shared" ref="E15:N15" si="4">D15*(1+E12)</f>
        <v>1.0271691498685365</v>
      </c>
      <c r="F15" s="5">
        <f t="shared" si="4"/>
        <v>1.0631025416301489</v>
      </c>
      <c r="G15" s="5">
        <f t="shared" si="4"/>
        <v>1.1463628396143735</v>
      </c>
      <c r="H15" s="5">
        <f t="shared" si="4"/>
        <v>1.2013882559158635</v>
      </c>
      <c r="I15" s="5">
        <f t="shared" si="4"/>
        <v>1.2398326801051711</v>
      </c>
      <c r="J15" s="5">
        <f t="shared" si="4"/>
        <v>1.2766143829482912</v>
      </c>
      <c r="K15" s="5">
        <f t="shared" si="4"/>
        <v>1.3129978928623174</v>
      </c>
      <c r="L15" s="5">
        <f t="shared" si="4"/>
        <v>1.3488865019338876</v>
      </c>
      <c r="M15" s="5">
        <f t="shared" si="4"/>
        <v>1.3841823654011576</v>
      </c>
      <c r="N15" s="5">
        <f t="shared" si="4"/>
        <v>1.4187869245361864</v>
      </c>
    </row>
    <row r="17" spans="1:14">
      <c r="E17" s="16"/>
      <c r="F17" s="16"/>
      <c r="G17" s="16"/>
      <c r="H17" s="16"/>
      <c r="I17" s="16"/>
      <c r="J17" s="16"/>
    </row>
    <row r="19" spans="1:14" ht="16.5">
      <c r="A19" s="4" t="s">
        <v>72</v>
      </c>
      <c r="B19" s="4" t="s">
        <v>8</v>
      </c>
      <c r="C19" s="4" t="s">
        <v>73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>
      <c r="B20" s="5" t="s">
        <v>14</v>
      </c>
      <c r="C20" s="5" t="s">
        <v>74</v>
      </c>
    </row>
    <row r="21" spans="1:14">
      <c r="B21" s="5" t="s">
        <v>75</v>
      </c>
      <c r="C21" s="5" t="s">
        <v>76</v>
      </c>
    </row>
    <row r="22" spans="1:14">
      <c r="B22" s="5" t="s">
        <v>77</v>
      </c>
      <c r="C22" s="5" t="s">
        <v>78</v>
      </c>
    </row>
    <row r="23" spans="1:14">
      <c r="B23" s="5" t="s">
        <v>79</v>
      </c>
      <c r="C23" s="5" t="s">
        <v>26</v>
      </c>
    </row>
    <row r="24" spans="1:14">
      <c r="B24" s="5" t="s">
        <v>80</v>
      </c>
      <c r="C24" s="5" t="s">
        <v>18</v>
      </c>
    </row>
    <row r="25" spans="1:14">
      <c r="B25" s="5" t="s">
        <v>33</v>
      </c>
      <c r="C25" s="5" t="s">
        <v>81</v>
      </c>
    </row>
    <row r="26" spans="1:14">
      <c r="B26" s="5" t="s">
        <v>82</v>
      </c>
      <c r="C26" s="5" t="s">
        <v>83</v>
      </c>
    </row>
    <row r="27" spans="1:14">
      <c r="B27" s="5" t="s">
        <v>53</v>
      </c>
      <c r="C27" s="5" t="s">
        <v>84</v>
      </c>
    </row>
    <row r="28" spans="1:14">
      <c r="B28" s="5" t="s">
        <v>85</v>
      </c>
      <c r="C28" s="5" t="s">
        <v>86</v>
      </c>
    </row>
    <row r="29" spans="1:14">
      <c r="C29" s="5" t="s">
        <v>87</v>
      </c>
    </row>
    <row r="30" spans="1:14">
      <c r="C30" s="5" t="s">
        <v>88</v>
      </c>
    </row>
    <row r="31" spans="1:14">
      <c r="C31" s="5" t="s">
        <v>89</v>
      </c>
    </row>
    <row r="32" spans="1:14">
      <c r="C32" s="5" t="s">
        <v>28</v>
      </c>
    </row>
    <row r="33" spans="3:3">
      <c r="C33" s="5" t="s">
        <v>90</v>
      </c>
    </row>
    <row r="34" spans="3:3">
      <c r="C34" s="5" t="s">
        <v>13</v>
      </c>
    </row>
    <row r="35" spans="3:3">
      <c r="C35" s="5" t="s">
        <v>91</v>
      </c>
    </row>
    <row r="36" spans="3:3">
      <c r="C36" s="5" t="s">
        <v>22</v>
      </c>
    </row>
    <row r="37" spans="3:3">
      <c r="C37" s="5" t="s">
        <v>92</v>
      </c>
    </row>
    <row r="38" spans="3:3">
      <c r="C38" s="5" t="s">
        <v>93</v>
      </c>
    </row>
    <row r="39" spans="3:3">
      <c r="C39" s="5" t="s">
        <v>52</v>
      </c>
    </row>
    <row r="40" spans="3:3">
      <c r="C40" s="5" t="s">
        <v>39</v>
      </c>
    </row>
    <row r="41" spans="3:3">
      <c r="C41" s="5"/>
    </row>
    <row r="42" spans="3:3">
      <c r="C42" s="5"/>
    </row>
    <row r="51" spans="1:14" ht="16.5">
      <c r="A51" s="4" t="s">
        <v>94</v>
      </c>
      <c r="B51" s="4" t="str">
        <f t="shared" ref="B51:C51" si="5">H8</f>
        <v>2023/24</v>
      </c>
      <c r="C51" s="4" t="str">
        <f t="shared" si="5"/>
        <v>2024/25</v>
      </c>
      <c r="D51" s="4" t="str">
        <f>J8</f>
        <v>2025/26</v>
      </c>
      <c r="E51" s="4" t="str">
        <f>K8</f>
        <v>2026/27</v>
      </c>
      <c r="F51" s="4" t="str">
        <f>L8</f>
        <v>2027/28</v>
      </c>
      <c r="G51" s="4" t="str">
        <f>M8</f>
        <v>2028/29</v>
      </c>
      <c r="H51" s="4" t="str">
        <f>N8</f>
        <v>2029/30</v>
      </c>
      <c r="I51" s="4"/>
      <c r="J51" s="4"/>
      <c r="K51" s="4"/>
      <c r="L51" s="4"/>
      <c r="M51" s="4"/>
      <c r="N51" s="4"/>
    </row>
    <row r="52" spans="1:14">
      <c r="A52" t="s">
        <v>95</v>
      </c>
      <c r="B52" s="47">
        <v>-4.0227096410918456E-3</v>
      </c>
      <c r="C52" s="47">
        <v>8.7667370550943806E-3</v>
      </c>
      <c r="D52" s="47">
        <v>1.2720875870919739E-2</v>
      </c>
      <c r="E52" s="47">
        <v>1.1067054257859102E-2</v>
      </c>
      <c r="F52" s="47">
        <v>9.3232474720913797E-3</v>
      </c>
      <c r="G52" s="47">
        <v>1.1844095943564389E-2</v>
      </c>
      <c r="H52" s="47">
        <v>1.3368339817157463E-2</v>
      </c>
    </row>
    <row r="53" spans="1:14">
      <c r="B53" s="5"/>
      <c r="C53" s="5"/>
      <c r="D53" s="5"/>
      <c r="E53" s="5"/>
      <c r="F53" s="5"/>
      <c r="G53" s="5"/>
      <c r="H53" s="5"/>
    </row>
    <row r="54" spans="1:14">
      <c r="B54" s="5"/>
      <c r="C54" s="5"/>
      <c r="D54" s="5"/>
      <c r="E54" s="5"/>
      <c r="F54" s="5"/>
      <c r="G54" s="5"/>
      <c r="H54" s="5"/>
    </row>
    <row r="55" spans="1:14">
      <c r="B55" s="5"/>
      <c r="C55" s="5"/>
      <c r="D55" s="5"/>
      <c r="E55" s="5"/>
      <c r="F55" s="5"/>
      <c r="G55" s="5"/>
      <c r="H55" s="5"/>
    </row>
    <row r="57" spans="1:14">
      <c r="A57" t="s">
        <v>96</v>
      </c>
    </row>
    <row r="58" spans="1:14">
      <c r="A58" t="str">
        <f>A52</f>
        <v>Labour</v>
      </c>
      <c r="B58" s="6">
        <f>1*(1+B52)</f>
        <v>0.99597729035890814</v>
      </c>
      <c r="C58" s="6">
        <f>B58*(1+C52)</f>
        <v>1.0047087613763301</v>
      </c>
      <c r="D58" s="6">
        <f t="shared" ref="D58:H58" si="6">C58*(1+D52)</f>
        <v>1.0174895368162238</v>
      </c>
      <c r="E58" s="6">
        <f t="shared" si="6"/>
        <v>1.0287501487269728</v>
      </c>
      <c r="F58" s="6">
        <f t="shared" si="6"/>
        <v>1.0383414409505052</v>
      </c>
      <c r="G58" s="6">
        <f t="shared" si="6"/>
        <v>1.0506396565993019</v>
      </c>
      <c r="H58" s="6">
        <f t="shared" si="6"/>
        <v>1.0646849645541032</v>
      </c>
    </row>
    <row r="59" spans="1:14">
      <c r="A59">
        <f t="shared" ref="A59:A61" si="7">A53</f>
        <v>0</v>
      </c>
      <c r="B59" s="6">
        <f t="shared" ref="B59:B61" si="8">1*(1+B53)</f>
        <v>1</v>
      </c>
      <c r="C59" s="6">
        <f t="shared" ref="C59:H61" si="9">B59*(1+C53)</f>
        <v>1</v>
      </c>
      <c r="D59" s="6">
        <f t="shared" si="9"/>
        <v>1</v>
      </c>
      <c r="E59" s="6">
        <f t="shared" si="9"/>
        <v>1</v>
      </c>
      <c r="F59" s="6">
        <f t="shared" si="9"/>
        <v>1</v>
      </c>
      <c r="G59" s="6">
        <f t="shared" si="9"/>
        <v>1</v>
      </c>
      <c r="H59" s="6">
        <f t="shared" si="9"/>
        <v>1</v>
      </c>
    </row>
    <row r="60" spans="1:14">
      <c r="A60">
        <f t="shared" si="7"/>
        <v>0</v>
      </c>
      <c r="B60" s="6">
        <f t="shared" si="8"/>
        <v>1</v>
      </c>
      <c r="C60" s="6">
        <f t="shared" si="9"/>
        <v>1</v>
      </c>
      <c r="D60" s="6">
        <f t="shared" si="9"/>
        <v>1</v>
      </c>
      <c r="E60" s="6">
        <f t="shared" si="9"/>
        <v>1</v>
      </c>
      <c r="F60" s="6">
        <f t="shared" si="9"/>
        <v>1</v>
      </c>
      <c r="G60" s="6">
        <f t="shared" si="9"/>
        <v>1</v>
      </c>
      <c r="H60" s="6">
        <f t="shared" si="9"/>
        <v>1</v>
      </c>
    </row>
    <row r="61" spans="1:14">
      <c r="A61">
        <f t="shared" si="7"/>
        <v>0</v>
      </c>
      <c r="B61" s="6">
        <f t="shared" si="8"/>
        <v>1</v>
      </c>
      <c r="C61" s="6">
        <f t="shared" si="9"/>
        <v>1</v>
      </c>
      <c r="D61" s="6">
        <f t="shared" si="9"/>
        <v>1</v>
      </c>
      <c r="E61" s="6">
        <f t="shared" si="9"/>
        <v>1</v>
      </c>
      <c r="F61" s="6">
        <f t="shared" si="9"/>
        <v>1</v>
      </c>
      <c r="G61" s="6">
        <f t="shared" si="9"/>
        <v>1</v>
      </c>
      <c r="H61" s="6">
        <f t="shared" si="9"/>
        <v>1</v>
      </c>
    </row>
    <row r="63" spans="1:14" ht="16.5">
      <c r="A63" s="4" t="s">
        <v>97</v>
      </c>
      <c r="B63" s="4" t="s">
        <v>144</v>
      </c>
      <c r="C63" s="4" t="s">
        <v>145</v>
      </c>
      <c r="D63" s="4" t="s">
        <v>146</v>
      </c>
      <c r="E63" s="4" t="s">
        <v>147</v>
      </c>
      <c r="F63" s="4" t="s">
        <v>148</v>
      </c>
      <c r="G63" s="4" t="s">
        <v>149</v>
      </c>
      <c r="H63" s="4" t="s">
        <v>150</v>
      </c>
      <c r="I63" s="4"/>
      <c r="J63" s="4"/>
      <c r="K63" s="4"/>
      <c r="L63" s="4"/>
      <c r="M63" s="4"/>
      <c r="N63" s="4"/>
    </row>
    <row r="64" spans="1:14">
      <c r="A64" t="s">
        <v>0</v>
      </c>
      <c r="B64" s="5">
        <v>6.519688780000001</v>
      </c>
      <c r="C64" s="5">
        <v>1.4954534800000003</v>
      </c>
      <c r="D64" s="5">
        <v>4.6987078599999998</v>
      </c>
      <c r="E64" s="5">
        <v>5.2286717500000002</v>
      </c>
      <c r="F64" s="5">
        <v>7.1457547437544049</v>
      </c>
      <c r="G64" s="5">
        <v>28.175872806273027</v>
      </c>
      <c r="H64" s="5">
        <v>4.4696184005347277</v>
      </c>
    </row>
  </sheetData>
  <mergeCells count="4">
    <mergeCell ref="B10:G10"/>
    <mergeCell ref="H10:I10"/>
    <mergeCell ref="J10:L10"/>
    <mergeCell ref="M10:N10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U71"/>
  <sheetViews>
    <sheetView zoomScaleNormal="100" workbookViewId="0">
      <selection activeCell="C4" sqref="C4"/>
    </sheetView>
  </sheetViews>
  <sheetFormatPr defaultRowHeight="15"/>
  <cols>
    <col min="1" max="1" width="38.42578125" customWidth="1"/>
    <col min="2" max="2" width="31.42578125" customWidth="1"/>
    <col min="3" max="4" width="11.85546875" customWidth="1"/>
    <col min="5" max="5" width="20.42578125" bestFit="1" customWidth="1"/>
    <col min="6" max="6" width="12.28515625" customWidth="1"/>
    <col min="8" max="8" width="15.42578125" customWidth="1"/>
    <col min="9" max="9" width="11.42578125" customWidth="1"/>
    <col min="10" max="10" width="12.42578125" customWidth="1"/>
    <col min="11" max="11" width="10.85546875" customWidth="1"/>
    <col min="12" max="12" width="9.42578125" customWidth="1"/>
    <col min="14" max="15" width="3.28515625" bestFit="1" customWidth="1"/>
    <col min="16" max="16" width="11.140625" customWidth="1"/>
    <col min="18" max="18" width="47.85546875" bestFit="1" customWidth="1"/>
    <col min="19" max="19" width="20.140625" bestFit="1" customWidth="1"/>
    <col min="20" max="20" width="20.7109375" bestFit="1" customWidth="1"/>
    <col min="21" max="21" width="15.140625" bestFit="1" customWidth="1"/>
  </cols>
  <sheetData>
    <row r="1" spans="1:21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ht="22.5">
      <c r="A3" s="1"/>
      <c r="B3" s="1"/>
      <c r="C3" s="1"/>
      <c r="D3" s="1"/>
      <c r="E3" s="1"/>
      <c r="F3" s="1"/>
      <c r="G3" s="1"/>
      <c r="H3" s="10">
        <v>1</v>
      </c>
      <c r="I3" s="10">
        <v>2</v>
      </c>
      <c r="J3" s="10">
        <v>3</v>
      </c>
      <c r="K3" s="10">
        <v>4</v>
      </c>
      <c r="L3" s="10">
        <v>5</v>
      </c>
      <c r="M3" s="1"/>
      <c r="N3" s="1"/>
      <c r="O3" s="1"/>
      <c r="P3" s="1"/>
      <c r="Q3" s="1"/>
      <c r="R3" s="1"/>
      <c r="S3" s="1"/>
      <c r="T3" s="1"/>
    </row>
    <row r="4" spans="1:21" ht="23.2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 ht="23.25" thickTop="1">
      <c r="A5" s="1" t="str">
        <f ca="1">RIGHT(CELL("filename"),LEN(CELL("filename"))-FIND("]",CELL("filename")))</f>
        <v>1.1 Input</v>
      </c>
      <c r="B5" s="1"/>
      <c r="C5" s="1"/>
      <c r="D5" s="1"/>
      <c r="E5" s="1"/>
      <c r="F5" s="1"/>
      <c r="G5" s="1"/>
      <c r="H5" s="45">
        <f>SUM(G9:G39)</f>
        <v>16.298915008015541</v>
      </c>
      <c r="I5" s="45">
        <f t="shared" ref="I5:L5" si="0">SUM(H9:H39)</f>
        <v>9.1979393079453207</v>
      </c>
      <c r="J5" s="45">
        <f t="shared" si="0"/>
        <v>3.6280395208098795</v>
      </c>
      <c r="K5" s="45">
        <f t="shared" si="0"/>
        <v>9.6039395108098802</v>
      </c>
      <c r="L5" s="45">
        <f t="shared" si="0"/>
        <v>25.91803951080988</v>
      </c>
      <c r="M5" s="45">
        <f>SUM(H5:L5)</f>
        <v>64.646872858390495</v>
      </c>
      <c r="N5" s="1"/>
      <c r="O5" s="1"/>
      <c r="P5" s="1"/>
      <c r="Q5" s="1"/>
      <c r="R5" s="1"/>
      <c r="S5" s="1"/>
      <c r="T5" s="1"/>
      <c r="U5" s="1"/>
    </row>
    <row r="6" spans="1:21" ht="19.5">
      <c r="A6" s="2" t="s">
        <v>98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6.5">
      <c r="A7" s="4" t="s">
        <v>99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>
      <c r="A8" s="3" t="s">
        <v>6</v>
      </c>
      <c r="B8" s="3" t="s">
        <v>100</v>
      </c>
      <c r="C8" s="3" t="s">
        <v>101</v>
      </c>
      <c r="D8" s="3" t="s">
        <v>3</v>
      </c>
      <c r="E8" s="3" t="s">
        <v>73</v>
      </c>
      <c r="F8" s="3" t="s">
        <v>8</v>
      </c>
      <c r="G8" s="3" t="s">
        <v>102</v>
      </c>
      <c r="H8" s="3" t="s">
        <v>103</v>
      </c>
      <c r="I8" s="3" t="s">
        <v>104</v>
      </c>
      <c r="J8" s="3" t="s">
        <v>105</v>
      </c>
      <c r="K8" s="3" t="s">
        <v>19</v>
      </c>
      <c r="L8" s="3" t="s">
        <v>2</v>
      </c>
      <c r="M8" s="3" t="s">
        <v>95</v>
      </c>
      <c r="N8" s="3" t="s">
        <v>143</v>
      </c>
      <c r="O8" s="3" t="s">
        <v>143</v>
      </c>
      <c r="P8" s="3" t="s">
        <v>143</v>
      </c>
      <c r="Q8" s="3" t="s">
        <v>5</v>
      </c>
      <c r="R8" s="3" t="s">
        <v>106</v>
      </c>
      <c r="S8" s="3" t="s">
        <v>4</v>
      </c>
      <c r="T8" s="3" t="s">
        <v>9</v>
      </c>
      <c r="U8" s="3" t="s">
        <v>107</v>
      </c>
    </row>
    <row r="9" spans="1:21">
      <c r="A9" s="5" t="s">
        <v>11</v>
      </c>
      <c r="B9" s="11" t="s">
        <v>15</v>
      </c>
      <c r="C9" s="32">
        <v>1000000</v>
      </c>
      <c r="D9" s="32" t="s">
        <v>12</v>
      </c>
      <c r="E9" s="5" t="s">
        <v>13</v>
      </c>
      <c r="F9" s="5" t="s">
        <v>14</v>
      </c>
      <c r="G9" s="5">
        <v>0</v>
      </c>
      <c r="H9" s="5">
        <v>0.70499999999999996</v>
      </c>
      <c r="I9" s="5">
        <v>0</v>
      </c>
      <c r="J9" s="5">
        <v>0</v>
      </c>
      <c r="K9" s="5">
        <v>0</v>
      </c>
      <c r="L9" s="36">
        <v>0.70499999999999996</v>
      </c>
      <c r="M9" s="42">
        <v>1.0000000000000002</v>
      </c>
      <c r="N9" s="42"/>
      <c r="O9" s="42"/>
      <c r="P9" s="5"/>
      <c r="Q9" s="43">
        <v>0</v>
      </c>
      <c r="R9" s="5" t="s">
        <v>11</v>
      </c>
      <c r="S9" s="5" t="s">
        <v>13</v>
      </c>
      <c r="T9" s="5" t="s">
        <v>16</v>
      </c>
      <c r="U9" s="5" t="s">
        <v>17</v>
      </c>
    </row>
    <row r="10" spans="1:21">
      <c r="A10" s="5" t="s">
        <v>20</v>
      </c>
      <c r="B10" s="11" t="s">
        <v>15</v>
      </c>
      <c r="C10" s="32">
        <v>1000000</v>
      </c>
      <c r="D10" s="32" t="s">
        <v>12</v>
      </c>
      <c r="E10" s="5" t="s">
        <v>18</v>
      </c>
      <c r="F10" s="5" t="s">
        <v>14</v>
      </c>
      <c r="G10" s="5">
        <v>7.2</v>
      </c>
      <c r="H10" s="5">
        <v>5.76</v>
      </c>
      <c r="I10" s="5">
        <v>2.76</v>
      </c>
      <c r="J10" s="5">
        <v>7.56</v>
      </c>
      <c r="K10" s="5">
        <v>16.32</v>
      </c>
      <c r="L10" s="36">
        <v>39.6</v>
      </c>
      <c r="M10" s="42">
        <v>0.67878787878787872</v>
      </c>
      <c r="N10" s="42"/>
      <c r="O10" s="42"/>
      <c r="P10" s="5"/>
      <c r="Q10" s="43">
        <v>0.32121212121212128</v>
      </c>
      <c r="R10" s="5" t="s">
        <v>20</v>
      </c>
      <c r="S10" s="5" t="s">
        <v>18</v>
      </c>
      <c r="T10" s="5" t="s">
        <v>19</v>
      </c>
      <c r="U10" s="5" t="s">
        <v>17</v>
      </c>
    </row>
    <row r="11" spans="1:21">
      <c r="A11" s="5" t="s">
        <v>25</v>
      </c>
      <c r="B11" s="11" t="s">
        <v>23</v>
      </c>
      <c r="C11" s="32">
        <v>1000000</v>
      </c>
      <c r="D11" s="32" t="s">
        <v>21</v>
      </c>
      <c r="E11" s="5" t="s">
        <v>22</v>
      </c>
      <c r="F11" s="5" t="s">
        <v>14</v>
      </c>
      <c r="G11" s="5">
        <v>0.05</v>
      </c>
      <c r="H11" s="5">
        <v>0.2</v>
      </c>
      <c r="I11" s="5">
        <v>0.1</v>
      </c>
      <c r="J11" s="5">
        <v>0.21</v>
      </c>
      <c r="K11" s="5">
        <v>0</v>
      </c>
      <c r="L11" s="36">
        <v>0.55999999999999994</v>
      </c>
      <c r="M11" s="42">
        <v>0</v>
      </c>
      <c r="N11" s="42"/>
      <c r="O11" s="42"/>
      <c r="P11" s="5"/>
      <c r="Q11" s="43">
        <v>1</v>
      </c>
      <c r="R11" s="5" t="s">
        <v>25</v>
      </c>
      <c r="S11" s="5" t="s">
        <v>22</v>
      </c>
      <c r="T11" s="5" t="s">
        <v>16</v>
      </c>
      <c r="U11" s="5" t="s">
        <v>24</v>
      </c>
    </row>
    <row r="12" spans="1:21">
      <c r="A12" s="5" t="s">
        <v>27</v>
      </c>
      <c r="B12" s="11" t="s">
        <v>23</v>
      </c>
      <c r="C12" s="32">
        <v>1000000</v>
      </c>
      <c r="D12" s="32" t="s">
        <v>27</v>
      </c>
      <c r="E12" s="5" t="s">
        <v>26</v>
      </c>
      <c r="F12" s="5" t="s">
        <v>14</v>
      </c>
      <c r="G12" s="5">
        <v>0</v>
      </c>
      <c r="H12" s="5">
        <v>0</v>
      </c>
      <c r="I12" s="5">
        <v>0</v>
      </c>
      <c r="J12" s="5">
        <v>0.8</v>
      </c>
      <c r="K12" s="5">
        <v>8.6999999999999993</v>
      </c>
      <c r="L12" s="36">
        <v>9.5</v>
      </c>
      <c r="M12" s="42">
        <v>0.47368421052631576</v>
      </c>
      <c r="N12" s="42"/>
      <c r="O12" s="42"/>
      <c r="P12" s="5"/>
      <c r="Q12" s="43">
        <v>0.52631578947368429</v>
      </c>
      <c r="R12" s="5" t="s">
        <v>27</v>
      </c>
      <c r="S12" s="5" t="s">
        <v>26</v>
      </c>
      <c r="T12" s="5" t="s">
        <v>16</v>
      </c>
      <c r="U12" s="5" t="s">
        <v>17</v>
      </c>
    </row>
    <row r="13" spans="1:21">
      <c r="A13" s="5" t="s">
        <v>29</v>
      </c>
      <c r="B13" s="11" t="s">
        <v>15</v>
      </c>
      <c r="C13" s="32">
        <v>1000000</v>
      </c>
      <c r="D13" s="32" t="s">
        <v>12</v>
      </c>
      <c r="E13" s="5" t="s">
        <v>28</v>
      </c>
      <c r="F13" s="5" t="s">
        <v>14</v>
      </c>
      <c r="G13" s="5">
        <v>4.6608999999999998E-2</v>
      </c>
      <c r="H13" s="5">
        <v>4.6608999999999998E-2</v>
      </c>
      <c r="I13" s="5">
        <v>4.6608999999999998E-2</v>
      </c>
      <c r="J13" s="5">
        <v>4.6608999999999998E-2</v>
      </c>
      <c r="K13" s="5">
        <v>4.6608999999999998E-2</v>
      </c>
      <c r="L13" s="36">
        <v>0.233045</v>
      </c>
      <c r="M13" s="42">
        <v>0</v>
      </c>
      <c r="N13" s="42"/>
      <c r="O13" s="42"/>
      <c r="P13" s="5"/>
      <c r="Q13" s="43">
        <v>1</v>
      </c>
      <c r="R13" s="5" t="s">
        <v>29</v>
      </c>
      <c r="S13" s="5" t="s">
        <v>28</v>
      </c>
      <c r="T13" s="5" t="s">
        <v>16</v>
      </c>
      <c r="U13" s="5" t="s">
        <v>17</v>
      </c>
    </row>
    <row r="14" spans="1:21">
      <c r="A14" s="5" t="s">
        <v>30</v>
      </c>
      <c r="B14" s="11" t="s">
        <v>31</v>
      </c>
      <c r="C14" s="32">
        <v>1000000</v>
      </c>
      <c r="D14" s="32" t="s">
        <v>30</v>
      </c>
      <c r="E14" s="5" t="s">
        <v>22</v>
      </c>
      <c r="F14" s="5" t="s">
        <v>14</v>
      </c>
      <c r="G14" s="5">
        <v>6</v>
      </c>
      <c r="H14" s="5">
        <v>0</v>
      </c>
      <c r="I14" s="5">
        <v>0</v>
      </c>
      <c r="J14" s="5">
        <v>0</v>
      </c>
      <c r="K14" s="5">
        <v>0</v>
      </c>
      <c r="L14" s="36">
        <v>6</v>
      </c>
      <c r="M14" s="42">
        <v>0</v>
      </c>
      <c r="N14" s="42"/>
      <c r="O14" s="42"/>
      <c r="P14" s="5"/>
      <c r="Q14" s="43">
        <v>1</v>
      </c>
      <c r="R14" s="5" t="s">
        <v>30</v>
      </c>
      <c r="S14" s="5" t="s">
        <v>22</v>
      </c>
      <c r="T14" s="5" t="s">
        <v>16</v>
      </c>
      <c r="U14" s="5" t="s">
        <v>17</v>
      </c>
    </row>
    <row r="15" spans="1:21">
      <c r="A15" s="5" t="s">
        <v>34</v>
      </c>
      <c r="B15" s="11" t="s">
        <v>31</v>
      </c>
      <c r="C15" s="32">
        <v>1000000</v>
      </c>
      <c r="D15" s="32" t="s">
        <v>32</v>
      </c>
      <c r="E15" s="5" t="s">
        <v>28</v>
      </c>
      <c r="F15" s="5" t="s">
        <v>33</v>
      </c>
      <c r="G15" s="5">
        <v>2.8899999999999999E-2</v>
      </c>
      <c r="H15" s="5">
        <v>0</v>
      </c>
      <c r="I15" s="5">
        <v>0</v>
      </c>
      <c r="J15" s="5">
        <v>2.8899999999999999E-2</v>
      </c>
      <c r="K15" s="5">
        <v>0</v>
      </c>
      <c r="L15" s="36">
        <v>5.7799999999999997E-2</v>
      </c>
      <c r="M15" s="42">
        <v>0</v>
      </c>
      <c r="N15" s="42"/>
      <c r="O15" s="42"/>
      <c r="P15" s="5"/>
      <c r="Q15" s="43">
        <v>1</v>
      </c>
      <c r="R15" s="5" t="s">
        <v>34</v>
      </c>
      <c r="S15" s="5" t="s">
        <v>28</v>
      </c>
      <c r="T15" s="5" t="s">
        <v>16</v>
      </c>
      <c r="U15" s="5" t="s">
        <v>17</v>
      </c>
    </row>
    <row r="16" spans="1:21">
      <c r="A16" s="5" t="s">
        <v>35</v>
      </c>
      <c r="B16" s="11" t="s">
        <v>31</v>
      </c>
      <c r="C16" s="32">
        <v>1000000</v>
      </c>
      <c r="D16" s="32" t="s">
        <v>32</v>
      </c>
      <c r="E16" s="5" t="s">
        <v>28</v>
      </c>
      <c r="F16" s="5" t="s">
        <v>33</v>
      </c>
      <c r="G16" s="5">
        <v>7.0000000000000001E-3</v>
      </c>
      <c r="H16" s="5">
        <v>0</v>
      </c>
      <c r="I16" s="5">
        <v>0</v>
      </c>
      <c r="J16" s="5">
        <v>7.0000000000000001E-3</v>
      </c>
      <c r="K16" s="5">
        <v>0</v>
      </c>
      <c r="L16" s="36">
        <v>1.4E-2</v>
      </c>
      <c r="M16" s="42">
        <v>0</v>
      </c>
      <c r="N16" s="42"/>
      <c r="O16" s="42"/>
      <c r="P16" s="5"/>
      <c r="Q16" s="43">
        <v>1</v>
      </c>
      <c r="R16" s="5" t="s">
        <v>35</v>
      </c>
      <c r="S16" s="5" t="s">
        <v>28</v>
      </c>
      <c r="T16" s="5" t="s">
        <v>16</v>
      </c>
      <c r="U16" s="5" t="s">
        <v>17</v>
      </c>
    </row>
    <row r="17" spans="1:21">
      <c r="A17" s="5" t="s">
        <v>36</v>
      </c>
      <c r="B17" s="11" t="s">
        <v>31</v>
      </c>
      <c r="C17" s="32">
        <v>1000000</v>
      </c>
      <c r="D17" s="32" t="s">
        <v>32</v>
      </c>
      <c r="E17" s="5" t="s">
        <v>28</v>
      </c>
      <c r="F17" s="5" t="s">
        <v>33</v>
      </c>
      <c r="G17" s="5">
        <v>0</v>
      </c>
      <c r="H17" s="5">
        <v>0</v>
      </c>
      <c r="I17" s="5">
        <v>0</v>
      </c>
      <c r="J17" s="5">
        <v>7.0000000000000007E-2</v>
      </c>
      <c r="K17" s="5">
        <v>0</v>
      </c>
      <c r="L17" s="36">
        <v>7.0000000000000007E-2</v>
      </c>
      <c r="M17" s="42">
        <v>0</v>
      </c>
      <c r="N17" s="42"/>
      <c r="O17" s="42"/>
      <c r="P17" s="5"/>
      <c r="Q17" s="43">
        <v>1</v>
      </c>
      <c r="R17" s="5" t="s">
        <v>36</v>
      </c>
      <c r="S17" s="5" t="s">
        <v>28</v>
      </c>
      <c r="T17" s="5" t="s">
        <v>16</v>
      </c>
      <c r="U17" s="5" t="s">
        <v>17</v>
      </c>
    </row>
    <row r="18" spans="1:21">
      <c r="A18" s="5" t="s">
        <v>37</v>
      </c>
      <c r="B18" s="11" t="s">
        <v>31</v>
      </c>
      <c r="C18" s="32">
        <v>1000000</v>
      </c>
      <c r="D18" s="32" t="s">
        <v>32</v>
      </c>
      <c r="E18" s="5" t="s">
        <v>28</v>
      </c>
      <c r="F18" s="5" t="s">
        <v>33</v>
      </c>
      <c r="G18" s="5">
        <v>0</v>
      </c>
      <c r="H18" s="5">
        <v>0</v>
      </c>
      <c r="I18" s="5">
        <v>0</v>
      </c>
      <c r="J18" s="5">
        <v>0.01</v>
      </c>
      <c r="K18" s="5">
        <v>0</v>
      </c>
      <c r="L18" s="36">
        <v>0.01</v>
      </c>
      <c r="M18" s="42">
        <v>0</v>
      </c>
      <c r="N18" s="42"/>
      <c r="O18" s="42"/>
      <c r="P18" s="5"/>
      <c r="Q18" s="43">
        <v>1</v>
      </c>
      <c r="R18" s="5" t="s">
        <v>37</v>
      </c>
      <c r="S18" s="5" t="s">
        <v>28</v>
      </c>
      <c r="T18" s="5" t="s">
        <v>16</v>
      </c>
      <c r="U18" s="5" t="s">
        <v>17</v>
      </c>
    </row>
    <row r="19" spans="1:21">
      <c r="A19" s="5" t="s">
        <v>41</v>
      </c>
      <c r="B19" s="11" t="s">
        <v>31</v>
      </c>
      <c r="C19" s="32">
        <v>1000000</v>
      </c>
      <c r="D19" s="32" t="s">
        <v>38</v>
      </c>
      <c r="E19" s="5" t="s">
        <v>39</v>
      </c>
      <c r="F19" s="5" t="s">
        <v>33</v>
      </c>
      <c r="G19" s="5">
        <v>0.15698640406864814</v>
      </c>
      <c r="H19" s="5">
        <v>0</v>
      </c>
      <c r="I19" s="5">
        <v>0</v>
      </c>
      <c r="J19" s="5">
        <v>0</v>
      </c>
      <c r="K19" s="5">
        <v>0</v>
      </c>
      <c r="L19" s="36">
        <v>0.15698640406864814</v>
      </c>
      <c r="M19" s="42">
        <v>0</v>
      </c>
      <c r="N19" s="42"/>
      <c r="O19" s="42"/>
      <c r="P19" s="5"/>
      <c r="Q19" s="43">
        <v>1</v>
      </c>
      <c r="R19" s="5" t="s">
        <v>41</v>
      </c>
      <c r="S19" s="5" t="s">
        <v>39</v>
      </c>
      <c r="T19" s="5" t="s">
        <v>16</v>
      </c>
      <c r="U19" s="5" t="s">
        <v>40</v>
      </c>
    </row>
    <row r="20" spans="1:21">
      <c r="A20" s="5" t="s">
        <v>42</v>
      </c>
      <c r="B20" s="11" t="s">
        <v>31</v>
      </c>
      <c r="C20" s="32">
        <v>1000000</v>
      </c>
      <c r="D20" s="32" t="s">
        <v>32</v>
      </c>
      <c r="E20" s="5" t="s">
        <v>28</v>
      </c>
      <c r="F20" s="5" t="s">
        <v>33</v>
      </c>
      <c r="G20" s="5">
        <v>0</v>
      </c>
      <c r="H20" s="5">
        <v>0</v>
      </c>
      <c r="I20" s="5">
        <v>0</v>
      </c>
      <c r="J20" s="5">
        <v>0</v>
      </c>
      <c r="K20" s="5">
        <v>0.1</v>
      </c>
      <c r="L20" s="36">
        <v>0.1</v>
      </c>
      <c r="M20" s="42">
        <v>0</v>
      </c>
      <c r="N20" s="42"/>
      <c r="O20" s="42"/>
      <c r="P20" s="5"/>
      <c r="Q20" s="43">
        <v>1</v>
      </c>
      <c r="R20" s="5" t="s">
        <v>42</v>
      </c>
      <c r="S20" s="5" t="s">
        <v>28</v>
      </c>
      <c r="T20" s="5" t="s">
        <v>16</v>
      </c>
      <c r="U20" s="5" t="s">
        <v>17</v>
      </c>
    </row>
    <row r="21" spans="1:21">
      <c r="A21" s="5" t="s">
        <v>43</v>
      </c>
      <c r="B21" s="11" t="s">
        <v>31</v>
      </c>
      <c r="C21" s="32">
        <v>1000000</v>
      </c>
      <c r="D21" s="32" t="s">
        <v>32</v>
      </c>
      <c r="E21" s="5" t="s">
        <v>28</v>
      </c>
      <c r="F21" s="5" t="s">
        <v>33</v>
      </c>
      <c r="G21" s="5">
        <v>0.4</v>
      </c>
      <c r="H21" s="5">
        <v>0.2</v>
      </c>
      <c r="I21" s="5">
        <v>0</v>
      </c>
      <c r="J21" s="5">
        <v>0</v>
      </c>
      <c r="K21" s="5">
        <v>0</v>
      </c>
      <c r="L21" s="36">
        <v>0.60000000000000009</v>
      </c>
      <c r="M21" s="42">
        <v>0</v>
      </c>
      <c r="N21" s="42"/>
      <c r="O21" s="42"/>
      <c r="P21" s="5"/>
      <c r="Q21" s="43">
        <v>1</v>
      </c>
      <c r="R21" s="5" t="s">
        <v>43</v>
      </c>
      <c r="S21" s="5" t="s">
        <v>28</v>
      </c>
      <c r="T21" s="5" t="s">
        <v>16</v>
      </c>
      <c r="U21" s="5" t="s">
        <v>17</v>
      </c>
    </row>
    <row r="22" spans="1:21">
      <c r="A22" s="5" t="s">
        <v>44</v>
      </c>
      <c r="B22" s="11" t="s">
        <v>31</v>
      </c>
      <c r="C22" s="32">
        <v>1000000</v>
      </c>
      <c r="D22" s="32" t="s">
        <v>38</v>
      </c>
      <c r="E22" s="5" t="s">
        <v>28</v>
      </c>
      <c r="F22" s="5" t="s">
        <v>33</v>
      </c>
      <c r="G22" s="5">
        <v>3.7676736976475556E-2</v>
      </c>
      <c r="H22" s="5">
        <v>3.7676736976475556E-2</v>
      </c>
      <c r="I22" s="5">
        <v>3.7676736976475556E-2</v>
      </c>
      <c r="J22" s="5">
        <v>3.7676736976475556E-2</v>
      </c>
      <c r="K22" s="5">
        <v>3.7676736976475556E-2</v>
      </c>
      <c r="L22" s="36">
        <v>0.18838368488237778</v>
      </c>
      <c r="M22" s="42">
        <v>0</v>
      </c>
      <c r="N22" s="42"/>
      <c r="O22" s="42"/>
      <c r="P22" s="5"/>
      <c r="Q22" s="43">
        <v>1</v>
      </c>
      <c r="R22" s="5" t="s">
        <v>44</v>
      </c>
      <c r="S22" s="5" t="s">
        <v>28</v>
      </c>
      <c r="T22" s="5" t="s">
        <v>16</v>
      </c>
      <c r="U22" s="5" t="s">
        <v>17</v>
      </c>
    </row>
    <row r="23" spans="1:21">
      <c r="A23" s="5" t="s">
        <v>45</v>
      </c>
      <c r="B23" s="11" t="s">
        <v>31</v>
      </c>
      <c r="C23" s="32">
        <v>1000000</v>
      </c>
      <c r="D23" s="32" t="s">
        <v>32</v>
      </c>
      <c r="E23" s="5" t="s">
        <v>28</v>
      </c>
      <c r="F23" s="5" t="s">
        <v>33</v>
      </c>
      <c r="G23" s="5">
        <v>0</v>
      </c>
      <c r="H23" s="5">
        <v>0</v>
      </c>
      <c r="I23" s="5">
        <v>0</v>
      </c>
      <c r="J23" s="5">
        <v>0</v>
      </c>
      <c r="K23" s="5">
        <v>0.03</v>
      </c>
      <c r="L23" s="36">
        <v>0.03</v>
      </c>
      <c r="M23" s="42">
        <v>0</v>
      </c>
      <c r="N23" s="42"/>
      <c r="O23" s="42"/>
      <c r="P23" s="5"/>
      <c r="Q23" s="43">
        <v>1</v>
      </c>
      <c r="R23" s="5" t="s">
        <v>45</v>
      </c>
      <c r="S23" s="5" t="s">
        <v>28</v>
      </c>
      <c r="T23" s="5" t="s">
        <v>16</v>
      </c>
      <c r="U23" s="5" t="s">
        <v>17</v>
      </c>
    </row>
    <row r="24" spans="1:21">
      <c r="A24" s="5" t="s">
        <v>46</v>
      </c>
      <c r="B24" s="11" t="s">
        <v>31</v>
      </c>
      <c r="C24" s="32">
        <v>1000000</v>
      </c>
      <c r="D24" s="32" t="s">
        <v>32</v>
      </c>
      <c r="E24" s="5" t="s">
        <v>28</v>
      </c>
      <c r="F24" s="5" t="s">
        <v>33</v>
      </c>
      <c r="G24" s="5">
        <v>0</v>
      </c>
      <c r="H24" s="5">
        <v>0</v>
      </c>
      <c r="I24" s="5">
        <v>0.15000001000000002</v>
      </c>
      <c r="J24" s="5">
        <v>0.3</v>
      </c>
      <c r="K24" s="5">
        <v>0.15</v>
      </c>
      <c r="L24" s="36">
        <v>0.60000001000000003</v>
      </c>
      <c r="M24" s="42">
        <v>0</v>
      </c>
      <c r="N24" s="42"/>
      <c r="O24" s="42"/>
      <c r="P24" s="5"/>
      <c r="Q24" s="43">
        <v>1</v>
      </c>
      <c r="R24" s="5" t="s">
        <v>46</v>
      </c>
      <c r="S24" s="5" t="s">
        <v>28</v>
      </c>
      <c r="T24" s="5" t="s">
        <v>16</v>
      </c>
      <c r="U24" s="5" t="s">
        <v>17</v>
      </c>
    </row>
    <row r="25" spans="1:21">
      <c r="A25" s="5" t="s">
        <v>48</v>
      </c>
      <c r="B25" s="11" t="s">
        <v>31</v>
      </c>
      <c r="C25" s="32">
        <v>1000000</v>
      </c>
      <c r="D25" s="32" t="s">
        <v>47</v>
      </c>
      <c r="E25" s="5" t="s">
        <v>28</v>
      </c>
      <c r="F25" s="5" t="s">
        <v>33</v>
      </c>
      <c r="G25" s="5">
        <v>0.77920682502875827</v>
      </c>
      <c r="H25" s="5">
        <v>0.74865357096884511</v>
      </c>
      <c r="I25" s="5">
        <v>0.4709592122059445</v>
      </c>
      <c r="J25" s="5">
        <v>0.4709592122059445</v>
      </c>
      <c r="K25" s="5">
        <v>0.4709592122059445</v>
      </c>
      <c r="L25" s="36">
        <v>2.9407380326154366</v>
      </c>
      <c r="M25" s="42">
        <v>0</v>
      </c>
      <c r="N25" s="42"/>
      <c r="O25" s="42"/>
      <c r="P25" s="5"/>
      <c r="Q25" s="43">
        <v>1</v>
      </c>
      <c r="R25" s="5" t="s">
        <v>48</v>
      </c>
      <c r="S25" s="5" t="s">
        <v>28</v>
      </c>
      <c r="T25" s="5" t="s">
        <v>16</v>
      </c>
      <c r="U25" s="5" t="s">
        <v>17</v>
      </c>
    </row>
    <row r="26" spans="1:21">
      <c r="A26" s="5" t="s">
        <v>49</v>
      </c>
      <c r="B26" s="11" t="s">
        <v>31</v>
      </c>
      <c r="C26" s="32">
        <v>1000000</v>
      </c>
      <c r="D26" s="32" t="s">
        <v>47</v>
      </c>
      <c r="E26" s="5" t="s">
        <v>28</v>
      </c>
      <c r="F26" s="5" t="s">
        <v>33</v>
      </c>
      <c r="G26" s="5">
        <v>3.7964803508067003E-2</v>
      </c>
      <c r="H26" s="5">
        <v>0</v>
      </c>
      <c r="I26" s="5">
        <v>0</v>
      </c>
      <c r="J26" s="5">
        <v>0</v>
      </c>
      <c r="K26" s="5">
        <v>0</v>
      </c>
      <c r="L26" s="36">
        <v>3.7964803508067003E-2</v>
      </c>
      <c r="M26" s="42">
        <v>0</v>
      </c>
      <c r="N26" s="42"/>
      <c r="O26" s="42"/>
      <c r="P26" s="5"/>
      <c r="Q26" s="43">
        <v>1</v>
      </c>
      <c r="R26" s="5" t="s">
        <v>49</v>
      </c>
      <c r="S26" s="5" t="s">
        <v>28</v>
      </c>
      <c r="T26" s="5" t="s">
        <v>16</v>
      </c>
      <c r="U26" s="5" t="s">
        <v>17</v>
      </c>
    </row>
    <row r="27" spans="1:21">
      <c r="A27" s="5" t="s">
        <v>50</v>
      </c>
      <c r="B27" s="11" t="s">
        <v>31</v>
      </c>
      <c r="C27" s="32">
        <v>1000000</v>
      </c>
      <c r="D27" s="32" t="s">
        <v>47</v>
      </c>
      <c r="E27" s="5" t="s">
        <v>28</v>
      </c>
      <c r="F27" s="5" t="s">
        <v>33</v>
      </c>
      <c r="G27" s="5">
        <v>2.7303367463347786E-2</v>
      </c>
      <c r="H27" s="5">
        <v>0</v>
      </c>
      <c r="I27" s="5">
        <v>6.2794561627459264E-2</v>
      </c>
      <c r="J27" s="5">
        <v>6.2794561627459264E-2</v>
      </c>
      <c r="K27" s="5">
        <v>6.2794561627459264E-2</v>
      </c>
      <c r="L27" s="36">
        <v>0.21568705234572561</v>
      </c>
      <c r="M27" s="42">
        <v>0</v>
      </c>
      <c r="N27" s="42"/>
      <c r="O27" s="42"/>
      <c r="P27" s="5"/>
      <c r="Q27" s="43">
        <v>1</v>
      </c>
      <c r="R27" s="5" t="s">
        <v>50</v>
      </c>
      <c r="S27" s="5" t="s">
        <v>28</v>
      </c>
      <c r="T27" s="5" t="s">
        <v>16</v>
      </c>
      <c r="U27" s="5" t="s">
        <v>17</v>
      </c>
    </row>
    <row r="28" spans="1:21">
      <c r="A28" s="5" t="s">
        <v>51</v>
      </c>
      <c r="B28" s="11" t="s">
        <v>31</v>
      </c>
      <c r="C28" s="32">
        <v>1000000</v>
      </c>
      <c r="D28" s="32" t="s">
        <v>47</v>
      </c>
      <c r="E28" s="5" t="s">
        <v>28</v>
      </c>
      <c r="F28" s="5" t="s">
        <v>33</v>
      </c>
      <c r="G28" s="5">
        <v>2.7267870970240599E-2</v>
      </c>
      <c r="H28" s="5">
        <v>0</v>
      </c>
      <c r="I28" s="5">
        <v>0</v>
      </c>
      <c r="J28" s="5">
        <v>0</v>
      </c>
      <c r="K28" s="5">
        <v>0</v>
      </c>
      <c r="L28" s="36">
        <v>2.7267870970240599E-2</v>
      </c>
      <c r="M28" s="42">
        <v>0</v>
      </c>
      <c r="N28" s="42"/>
      <c r="O28" s="42"/>
      <c r="P28" s="5"/>
      <c r="Q28" s="43">
        <v>1</v>
      </c>
      <c r="R28" s="5" t="s">
        <v>51</v>
      </c>
      <c r="S28" s="5" t="s">
        <v>28</v>
      </c>
      <c r="T28" s="5" t="s">
        <v>16</v>
      </c>
      <c r="U28" s="5" t="s">
        <v>17</v>
      </c>
    </row>
    <row r="29" spans="1:21">
      <c r="A29" s="5" t="s">
        <v>54</v>
      </c>
      <c r="B29" s="11" t="s">
        <v>31</v>
      </c>
      <c r="C29" s="32">
        <v>1000000</v>
      </c>
      <c r="D29" s="32" t="s">
        <v>54</v>
      </c>
      <c r="E29" s="5" t="s">
        <v>52</v>
      </c>
      <c r="F29" s="5" t="s">
        <v>53</v>
      </c>
      <c r="G29" s="5">
        <v>1.5</v>
      </c>
      <c r="H29" s="5">
        <v>1.5</v>
      </c>
      <c r="I29" s="5">
        <v>0</v>
      </c>
      <c r="J29" s="5">
        <v>0</v>
      </c>
      <c r="K29" s="5">
        <v>0</v>
      </c>
      <c r="L29" s="36">
        <v>3</v>
      </c>
      <c r="M29" s="42">
        <v>0</v>
      </c>
      <c r="N29" s="42"/>
      <c r="O29" s="42"/>
      <c r="P29" s="5"/>
      <c r="Q29" s="43">
        <v>1</v>
      </c>
      <c r="R29" s="5" t="s">
        <v>54</v>
      </c>
      <c r="S29" s="5" t="s">
        <v>52</v>
      </c>
      <c r="T29" s="5" t="s">
        <v>16</v>
      </c>
      <c r="U29" s="5" t="s">
        <v>40</v>
      </c>
    </row>
    <row r="30" spans="1:21">
      <c r="A30" s="5" t="s">
        <v>143</v>
      </c>
      <c r="B30" s="11">
        <v>0</v>
      </c>
      <c r="C30" s="32"/>
      <c r="D30" s="32"/>
      <c r="E30" s="5"/>
      <c r="F30" s="5"/>
      <c r="G30" s="5"/>
      <c r="H30" s="5"/>
      <c r="I30" s="5"/>
      <c r="J30" s="5"/>
      <c r="K30" s="5"/>
      <c r="L30" s="36"/>
      <c r="M30" s="42"/>
      <c r="N30" s="42"/>
      <c r="O30" s="42"/>
      <c r="P30" s="5"/>
      <c r="Q30" s="43"/>
      <c r="R30" s="5"/>
      <c r="S30" s="5"/>
      <c r="T30" s="5"/>
      <c r="U30" s="5"/>
    </row>
    <row r="31" spans="1:21">
      <c r="A31" s="5" t="s">
        <v>143</v>
      </c>
      <c r="B31" s="11">
        <v>0</v>
      </c>
      <c r="C31" s="32"/>
      <c r="D31" s="32"/>
      <c r="E31" s="5"/>
      <c r="F31" s="5"/>
      <c r="G31" s="5"/>
      <c r="H31" s="5"/>
      <c r="I31" s="5"/>
      <c r="J31" s="5"/>
      <c r="K31" s="5"/>
      <c r="L31" s="36"/>
      <c r="M31" s="42"/>
      <c r="N31" s="42"/>
      <c r="O31" s="42"/>
      <c r="P31" s="5"/>
      <c r="Q31" s="43"/>
      <c r="R31" s="5"/>
      <c r="S31" s="5"/>
      <c r="T31" s="5"/>
      <c r="U31" s="5" t="s">
        <v>143</v>
      </c>
    </row>
    <row r="32" spans="1:21">
      <c r="A32" s="5" t="s">
        <v>143</v>
      </c>
      <c r="B32" s="11">
        <v>0</v>
      </c>
      <c r="C32" s="32"/>
      <c r="D32" s="32"/>
      <c r="E32" s="5"/>
      <c r="F32" s="5"/>
      <c r="G32" s="5"/>
      <c r="H32" s="5"/>
      <c r="I32" s="5"/>
      <c r="J32" s="5"/>
      <c r="K32" s="5"/>
      <c r="L32" s="29"/>
      <c r="M32" s="42"/>
      <c r="N32" s="42"/>
      <c r="O32" s="42"/>
      <c r="P32" s="5"/>
      <c r="Q32" s="43"/>
      <c r="R32" s="5"/>
      <c r="S32" s="5"/>
      <c r="T32" s="5"/>
      <c r="U32" s="5" t="s">
        <v>143</v>
      </c>
    </row>
    <row r="33" spans="1:21">
      <c r="A33" s="5" t="s">
        <v>143</v>
      </c>
      <c r="B33" s="11">
        <v>0</v>
      </c>
      <c r="C33" s="32"/>
      <c r="D33" s="32"/>
      <c r="E33" s="5"/>
      <c r="F33" s="5"/>
      <c r="G33" s="5"/>
      <c r="H33" s="5"/>
      <c r="I33" s="5"/>
      <c r="J33" s="5"/>
      <c r="K33" s="5"/>
      <c r="L33" s="29"/>
      <c r="M33" s="42"/>
      <c r="N33" s="42"/>
      <c r="O33" s="42"/>
      <c r="P33" s="5"/>
      <c r="Q33" s="43"/>
      <c r="R33" s="5"/>
      <c r="S33" s="5"/>
      <c r="T33" s="5"/>
      <c r="U33" s="5" t="s">
        <v>143</v>
      </c>
    </row>
    <row r="34" spans="1:21">
      <c r="A34" s="5" t="s">
        <v>143</v>
      </c>
      <c r="B34" s="11">
        <v>0</v>
      </c>
      <c r="C34" s="32"/>
      <c r="D34" s="32"/>
      <c r="E34" s="5"/>
      <c r="F34" s="5"/>
      <c r="G34" s="5"/>
      <c r="H34" s="5"/>
      <c r="I34" s="5"/>
      <c r="J34" s="5"/>
      <c r="K34" s="5"/>
      <c r="L34" s="29"/>
      <c r="M34" s="42"/>
      <c r="N34" s="42"/>
      <c r="O34" s="42"/>
      <c r="P34" s="5"/>
      <c r="Q34" s="43"/>
      <c r="R34" s="5"/>
      <c r="S34" s="5"/>
      <c r="T34" s="5"/>
      <c r="U34" s="5" t="s">
        <v>143</v>
      </c>
    </row>
    <row r="35" spans="1:21">
      <c r="A35" s="5" t="s">
        <v>143</v>
      </c>
      <c r="B35" s="11">
        <v>0</v>
      </c>
      <c r="C35" s="32"/>
      <c r="D35" s="32"/>
      <c r="E35" s="5"/>
      <c r="F35" s="5"/>
      <c r="G35" s="5"/>
      <c r="H35" s="5"/>
      <c r="I35" s="5"/>
      <c r="J35" s="5"/>
      <c r="K35" s="5"/>
      <c r="L35" s="29"/>
      <c r="M35" s="42"/>
      <c r="N35" s="42"/>
      <c r="O35" s="42"/>
      <c r="P35" s="5"/>
      <c r="Q35" s="43"/>
      <c r="R35" s="5"/>
      <c r="S35" s="5"/>
      <c r="T35" s="5"/>
      <c r="U35" s="5" t="s">
        <v>143</v>
      </c>
    </row>
    <row r="36" spans="1:21">
      <c r="A36" s="5" t="s">
        <v>143</v>
      </c>
      <c r="B36" s="11">
        <v>0</v>
      </c>
      <c r="C36" s="32"/>
      <c r="D36" s="32"/>
      <c r="E36" s="5"/>
      <c r="F36" s="5"/>
      <c r="G36" s="5"/>
      <c r="H36" s="5"/>
      <c r="I36" s="5"/>
      <c r="J36" s="5"/>
      <c r="K36" s="5"/>
      <c r="L36" s="29"/>
      <c r="M36" s="42"/>
      <c r="N36" s="42"/>
      <c r="O36" s="42"/>
      <c r="P36" s="5"/>
      <c r="Q36" s="43"/>
      <c r="R36" s="5"/>
      <c r="S36" s="5"/>
      <c r="T36" s="5"/>
      <c r="U36" s="5" t="s">
        <v>143</v>
      </c>
    </row>
    <row r="41" spans="1:21" ht="19.5">
      <c r="A41" s="2" t="s">
        <v>108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21" ht="16.5">
      <c r="A42" s="4" t="s">
        <v>109</v>
      </c>
      <c r="B42" s="4" t="s">
        <v>99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1">
      <c r="A43" s="3" t="str">
        <f t="shared" ref="A43:O43" si="1">A8</f>
        <v>Project</v>
      </c>
      <c r="B43" s="3" t="str">
        <f t="shared" si="1"/>
        <v>Real $</v>
      </c>
      <c r="C43" s="3" t="str">
        <f t="shared" si="1"/>
        <v>Quantum</v>
      </c>
      <c r="D43" s="3" t="str">
        <f t="shared" si="1"/>
        <v>Program</v>
      </c>
      <c r="E43" s="3" t="str">
        <f t="shared" si="1"/>
        <v>Asset Classes (Fore)</v>
      </c>
      <c r="F43" s="3" t="str">
        <f t="shared" si="1"/>
        <v>Driver</v>
      </c>
      <c r="G43" s="3" t="str">
        <f t="shared" si="1"/>
        <v>2025/26</v>
      </c>
      <c r="H43" s="3" t="str">
        <f t="shared" si="1"/>
        <v>2026/27</v>
      </c>
      <c r="I43" s="3" t="str">
        <f t="shared" si="1"/>
        <v>2027/28</v>
      </c>
      <c r="J43" s="3" t="str">
        <f t="shared" si="1"/>
        <v>2028/29</v>
      </c>
      <c r="K43" s="3" t="str">
        <f t="shared" si="1"/>
        <v>2029/30</v>
      </c>
      <c r="L43" s="3" t="str">
        <f t="shared" si="1"/>
        <v>Total</v>
      </c>
      <c r="M43" s="3" t="str">
        <f t="shared" si="1"/>
        <v>Labour</v>
      </c>
      <c r="N43" s="3" t="str">
        <f t="shared" si="1"/>
        <v/>
      </c>
      <c r="O43" s="3" t="str">
        <f t="shared" si="1"/>
        <v/>
      </c>
      <c r="P43" s="3"/>
      <c r="Q43" s="3" t="str">
        <f>Q8</f>
        <v>Other</v>
      </c>
    </row>
    <row r="44" spans="1:21">
      <c r="A44" s="5" t="str">
        <f t="shared" ref="A44:F44" si="2">A9</f>
        <v>Reactor DC Refurbishment</v>
      </c>
      <c r="B44" s="5" t="str">
        <f t="shared" si="2"/>
        <v>2022/23</v>
      </c>
      <c r="C44" s="5">
        <f t="shared" si="2"/>
        <v>1000000</v>
      </c>
      <c r="D44" s="5" t="str">
        <f t="shared" si="2"/>
        <v>End of Life Replacement</v>
      </c>
      <c r="E44" s="5" t="str">
        <f t="shared" si="2"/>
        <v>SMOOTHING REACTOR</v>
      </c>
      <c r="F44" s="5" t="str">
        <f t="shared" si="2"/>
        <v>Replacement expenditure</v>
      </c>
      <c r="G44" s="5" t="e">
        <f>#REF!/1000</f>
        <v>#REF!</v>
      </c>
      <c r="H44" s="5" t="e">
        <f>#REF!/1000</f>
        <v>#REF!</v>
      </c>
      <c r="I44" s="5" t="e">
        <f>#REF!/1000</f>
        <v>#REF!</v>
      </c>
      <c r="J44" s="5" t="e">
        <f>#REF!/1000</f>
        <v>#REF!</v>
      </c>
      <c r="K44" s="5" t="e">
        <f>#REF!/1000</f>
        <v>#REF!</v>
      </c>
      <c r="L44" s="29" t="e">
        <f t="shared" ref="L44:L71" si="3">SUM(G44:K44)</f>
        <v>#REF!</v>
      </c>
      <c r="M44" s="42">
        <f>M9</f>
        <v>1.0000000000000002</v>
      </c>
      <c r="N44" s="42">
        <f t="shared" ref="N44:Q44" si="4">N9</f>
        <v>0</v>
      </c>
      <c r="O44" s="42">
        <f t="shared" si="4"/>
        <v>0</v>
      </c>
      <c r="P44" s="48"/>
      <c r="Q44" s="6">
        <f t="shared" si="4"/>
        <v>0</v>
      </c>
    </row>
    <row r="45" spans="1:21">
      <c r="A45" s="5" t="str">
        <f t="shared" ref="A45:B70" si="5">A10</f>
        <v>Control &amp; Protection - System Renewal</v>
      </c>
      <c r="B45" s="5" t="str">
        <f t="shared" si="5"/>
        <v>2022/23</v>
      </c>
      <c r="C45" s="5">
        <f t="shared" ref="C45:D45" si="6">C10</f>
        <v>1000000</v>
      </c>
      <c r="D45" s="5" t="str">
        <f t="shared" si="6"/>
        <v>End of Life Replacement</v>
      </c>
      <c r="E45" s="5" t="str">
        <f t="shared" ref="E45:F45" si="7">E10</f>
        <v>CONTROL SYSTEM</v>
      </c>
      <c r="F45" s="5" t="str">
        <f t="shared" si="7"/>
        <v>Replacement expenditure</v>
      </c>
      <c r="G45" s="5" t="e">
        <f>#REF!/1000</f>
        <v>#REF!</v>
      </c>
      <c r="H45" s="5" t="e">
        <f>#REF!/1000</f>
        <v>#REF!</v>
      </c>
      <c r="I45" s="5" t="e">
        <f>#REF!/1000</f>
        <v>#REF!</v>
      </c>
      <c r="J45" s="5" t="e">
        <f>#REF!/1000</f>
        <v>#REF!</v>
      </c>
      <c r="K45" s="5" t="e">
        <f>#REF!/1000</f>
        <v>#REF!</v>
      </c>
      <c r="L45" s="29" t="e">
        <f t="shared" si="3"/>
        <v>#REF!</v>
      </c>
      <c r="M45" s="42">
        <f t="shared" ref="M45:Q45" si="8">M10</f>
        <v>0.67878787878787872</v>
      </c>
      <c r="N45" s="42">
        <f t="shared" si="8"/>
        <v>0</v>
      </c>
      <c r="O45" s="42">
        <f t="shared" si="8"/>
        <v>0</v>
      </c>
      <c r="P45" s="48"/>
      <c r="Q45" s="6">
        <f t="shared" si="8"/>
        <v>0.32121212121212128</v>
      </c>
    </row>
    <row r="46" spans="1:21">
      <c r="A46" s="5" t="str">
        <f t="shared" si="5"/>
        <v>Spares</v>
      </c>
      <c r="B46" s="5" t="str">
        <f t="shared" si="5"/>
        <v>2020/21</v>
      </c>
      <c r="C46" s="5">
        <f t="shared" ref="C46:D46" si="9">C11</f>
        <v>1000000</v>
      </c>
      <c r="D46" s="5" t="str">
        <f t="shared" si="9"/>
        <v>Stay in Business</v>
      </c>
      <c r="E46" s="5" t="str">
        <f t="shared" ref="E46:F46" si="10">E11</f>
        <v>SWITCHYARD COMPONENTS</v>
      </c>
      <c r="F46" s="5" t="str">
        <f t="shared" si="10"/>
        <v>Replacement expenditure</v>
      </c>
      <c r="G46" s="5" t="e">
        <f>#REF!/1000</f>
        <v>#REF!</v>
      </c>
      <c r="H46" s="5" t="e">
        <f>#REF!/1000</f>
        <v>#REF!</v>
      </c>
      <c r="I46" s="5" t="e">
        <f>#REF!/1000</f>
        <v>#REF!</v>
      </c>
      <c r="J46" s="5" t="e">
        <f>#REF!/1000</f>
        <v>#REF!</v>
      </c>
      <c r="K46" s="5" t="e">
        <f>#REF!/1000</f>
        <v>#REF!</v>
      </c>
      <c r="L46" s="29" t="e">
        <f t="shared" si="3"/>
        <v>#REF!</v>
      </c>
      <c r="M46" s="42">
        <f t="shared" ref="M46:Q46" si="11">M11</f>
        <v>0</v>
      </c>
      <c r="N46" s="42">
        <f t="shared" si="11"/>
        <v>0</v>
      </c>
      <c r="O46" s="42">
        <f t="shared" si="11"/>
        <v>0</v>
      </c>
      <c r="P46" s="48"/>
      <c r="Q46" s="6">
        <f t="shared" si="11"/>
        <v>1</v>
      </c>
    </row>
    <row r="47" spans="1:21">
      <c r="A47" s="5" t="str">
        <f t="shared" si="5"/>
        <v>Subsea Cable Repair Strategy</v>
      </c>
      <c r="B47" s="5" t="str">
        <f t="shared" si="5"/>
        <v>2020/21</v>
      </c>
      <c r="C47" s="5">
        <f t="shared" ref="C47:D47" si="12">C12</f>
        <v>1000000</v>
      </c>
      <c r="D47" s="5" t="str">
        <f t="shared" si="12"/>
        <v>Subsea Cable Repair Strategy</v>
      </c>
      <c r="E47" s="5" t="str">
        <f t="shared" ref="E47:F47" si="13">E12</f>
        <v>CABLE</v>
      </c>
      <c r="F47" s="5" t="str">
        <f t="shared" si="13"/>
        <v>Replacement expenditure</v>
      </c>
      <c r="G47" s="5" t="e">
        <f>#REF!/1000</f>
        <v>#REF!</v>
      </c>
      <c r="H47" s="5" t="e">
        <f>#REF!/1000</f>
        <v>#REF!</v>
      </c>
      <c r="I47" s="5" t="e">
        <f>#REF!/1000</f>
        <v>#REF!</v>
      </c>
      <c r="J47" s="5" t="e">
        <f>#REF!/1000</f>
        <v>#REF!</v>
      </c>
      <c r="K47" s="5" t="e">
        <f>#REF!/1000</f>
        <v>#REF!</v>
      </c>
      <c r="L47" s="29" t="e">
        <f t="shared" si="3"/>
        <v>#REF!</v>
      </c>
      <c r="M47" s="42">
        <f t="shared" ref="M47:Q47" si="14">M12</f>
        <v>0.47368421052631576</v>
      </c>
      <c r="N47" s="42">
        <f t="shared" si="14"/>
        <v>0</v>
      </c>
      <c r="O47" s="42">
        <f t="shared" si="14"/>
        <v>0</v>
      </c>
      <c r="P47" s="48"/>
      <c r="Q47" s="6">
        <f t="shared" si="14"/>
        <v>0.52631578947368429</v>
      </c>
    </row>
    <row r="48" spans="1:21">
      <c r="A48" s="5" t="str">
        <f t="shared" si="5"/>
        <v>Minor Plant and Equipment</v>
      </c>
      <c r="B48" s="5" t="str">
        <f t="shared" si="5"/>
        <v>2022/23</v>
      </c>
      <c r="C48" s="5">
        <f t="shared" ref="C48:D48" si="15">C13</f>
        <v>1000000</v>
      </c>
      <c r="D48" s="5" t="str">
        <f t="shared" si="15"/>
        <v>End of Life Replacement</v>
      </c>
      <c r="E48" s="5" t="str">
        <f t="shared" ref="E48:F48" si="16">E13</f>
        <v>OTHER</v>
      </c>
      <c r="F48" s="5" t="str">
        <f t="shared" si="16"/>
        <v>Replacement expenditure</v>
      </c>
      <c r="G48" s="5" t="e">
        <f>#REF!/1000</f>
        <v>#REF!</v>
      </c>
      <c r="H48" s="5" t="e">
        <f>#REF!/1000</f>
        <v>#REF!</v>
      </c>
      <c r="I48" s="5" t="e">
        <f>#REF!/1000</f>
        <v>#REF!</v>
      </c>
      <c r="J48" s="5" t="e">
        <f>#REF!/1000</f>
        <v>#REF!</v>
      </c>
      <c r="K48" s="5" t="e">
        <f>#REF!/1000</f>
        <v>#REF!</v>
      </c>
      <c r="L48" s="29" t="e">
        <f t="shared" si="3"/>
        <v>#REF!</v>
      </c>
      <c r="M48" s="42">
        <f t="shared" ref="M48:Q48" si="17">M13</f>
        <v>0</v>
      </c>
      <c r="N48" s="42">
        <f t="shared" si="17"/>
        <v>0</v>
      </c>
      <c r="O48" s="42">
        <f t="shared" si="17"/>
        <v>0</v>
      </c>
      <c r="P48" s="48"/>
      <c r="Q48" s="6">
        <f t="shared" si="17"/>
        <v>1</v>
      </c>
    </row>
    <row r="49" spans="1:17">
      <c r="A49" s="5" t="str">
        <f t="shared" si="5"/>
        <v>Ambient Temperature Project</v>
      </c>
      <c r="B49" s="5" t="str">
        <f t="shared" si="5"/>
        <v>2021/22</v>
      </c>
      <c r="C49" s="5">
        <f t="shared" ref="C49:D49" si="18">C14</f>
        <v>1000000</v>
      </c>
      <c r="D49" s="5" t="str">
        <f t="shared" si="18"/>
        <v>Ambient Temperature Project</v>
      </c>
      <c r="E49" s="5" t="str">
        <f t="shared" ref="E49:F49" si="19">E14</f>
        <v>SWITCHYARD COMPONENTS</v>
      </c>
      <c r="F49" s="5" t="str">
        <f t="shared" si="19"/>
        <v>Replacement expenditure</v>
      </c>
      <c r="G49" s="5" t="e">
        <f>#REF!/1000</f>
        <v>#REF!</v>
      </c>
      <c r="H49" s="5" t="e">
        <f>#REF!/1000</f>
        <v>#REF!</v>
      </c>
      <c r="I49" s="5" t="e">
        <f>#REF!/1000</f>
        <v>#REF!</v>
      </c>
      <c r="J49" s="5" t="e">
        <f>#REF!/1000</f>
        <v>#REF!</v>
      </c>
      <c r="K49" s="5" t="e">
        <f>#REF!/1000</f>
        <v>#REF!</v>
      </c>
      <c r="L49" s="29" t="e">
        <f t="shared" si="3"/>
        <v>#REF!</v>
      </c>
      <c r="M49" s="42">
        <f t="shared" ref="M49:Q49" si="20">M14</f>
        <v>0</v>
      </c>
      <c r="N49" s="42">
        <f t="shared" si="20"/>
        <v>0</v>
      </c>
      <c r="O49" s="42">
        <f t="shared" si="20"/>
        <v>0</v>
      </c>
      <c r="P49" s="48"/>
      <c r="Q49" s="6">
        <f t="shared" si="20"/>
        <v>1</v>
      </c>
    </row>
    <row r="50" spans="1:17">
      <c r="A50" s="5" t="str">
        <f t="shared" si="5"/>
        <v>Laptop</v>
      </c>
      <c r="B50" s="5" t="str">
        <f t="shared" si="5"/>
        <v>2021/22</v>
      </c>
      <c r="C50" s="5">
        <f t="shared" ref="C50:D50" si="21">C15</f>
        <v>1000000</v>
      </c>
      <c r="D50" s="5" t="str">
        <f t="shared" si="21"/>
        <v>Basslink IT/OT</v>
      </c>
      <c r="E50" s="5" t="str">
        <f t="shared" ref="E50:F50" si="22">E15</f>
        <v>OTHER</v>
      </c>
      <c r="F50" s="5" t="str">
        <f t="shared" si="22"/>
        <v>Non-network IT &amp; communications</v>
      </c>
      <c r="G50" s="5" t="e">
        <f>#REF!/1000</f>
        <v>#REF!</v>
      </c>
      <c r="H50" s="5" t="e">
        <f>#REF!/1000</f>
        <v>#REF!</v>
      </c>
      <c r="I50" s="5" t="e">
        <f>#REF!/1000</f>
        <v>#REF!</v>
      </c>
      <c r="J50" s="5" t="e">
        <f>#REF!/1000</f>
        <v>#REF!</v>
      </c>
      <c r="K50" s="5" t="e">
        <f>#REF!/1000</f>
        <v>#REF!</v>
      </c>
      <c r="L50" s="29" t="e">
        <f t="shared" si="3"/>
        <v>#REF!</v>
      </c>
      <c r="M50" s="42">
        <f t="shared" ref="M50:Q50" si="23">M15</f>
        <v>0</v>
      </c>
      <c r="N50" s="42">
        <f t="shared" si="23"/>
        <v>0</v>
      </c>
      <c r="O50" s="42">
        <f t="shared" si="23"/>
        <v>0</v>
      </c>
      <c r="P50" s="48"/>
      <c r="Q50" s="6">
        <f t="shared" si="23"/>
        <v>1</v>
      </c>
    </row>
    <row r="51" spans="1:17">
      <c r="A51" s="5" t="str">
        <f t="shared" si="5"/>
        <v>Phones</v>
      </c>
      <c r="B51" s="5" t="str">
        <f t="shared" si="5"/>
        <v>2021/22</v>
      </c>
      <c r="C51" s="5">
        <f t="shared" ref="C51:D51" si="24">C16</f>
        <v>1000000</v>
      </c>
      <c r="D51" s="5" t="str">
        <f t="shared" si="24"/>
        <v>Basslink IT/OT</v>
      </c>
      <c r="E51" s="5" t="str">
        <f t="shared" ref="E51:F51" si="25">E16</f>
        <v>OTHER</v>
      </c>
      <c r="F51" s="5" t="str">
        <f t="shared" si="25"/>
        <v>Non-network IT &amp; communications</v>
      </c>
      <c r="G51" s="5" t="e">
        <f>#REF!/1000</f>
        <v>#REF!</v>
      </c>
      <c r="H51" s="5" t="e">
        <f>#REF!/1000</f>
        <v>#REF!</v>
      </c>
      <c r="I51" s="5" t="e">
        <f>#REF!/1000</f>
        <v>#REF!</v>
      </c>
      <c r="J51" s="5" t="e">
        <f>#REF!/1000</f>
        <v>#REF!</v>
      </c>
      <c r="K51" s="5" t="e">
        <f>#REF!/1000</f>
        <v>#REF!</v>
      </c>
      <c r="L51" s="29" t="e">
        <f t="shared" si="3"/>
        <v>#REF!</v>
      </c>
      <c r="M51" s="42">
        <f t="shared" ref="M51:Q51" si="26">M16</f>
        <v>0</v>
      </c>
      <c r="N51" s="42">
        <f t="shared" si="26"/>
        <v>0</v>
      </c>
      <c r="O51" s="42">
        <f t="shared" si="26"/>
        <v>0</v>
      </c>
      <c r="P51" s="48"/>
      <c r="Q51" s="6">
        <f t="shared" si="26"/>
        <v>1</v>
      </c>
    </row>
    <row r="52" spans="1:17">
      <c r="A52" s="5" t="str">
        <f t="shared" si="5"/>
        <v>Video Conferencing Rooms</v>
      </c>
      <c r="B52" s="5" t="str">
        <f t="shared" si="5"/>
        <v>2021/22</v>
      </c>
      <c r="C52" s="5">
        <f t="shared" ref="C52:D52" si="27">C17</f>
        <v>1000000</v>
      </c>
      <c r="D52" s="5" t="str">
        <f t="shared" si="27"/>
        <v>Basslink IT/OT</v>
      </c>
      <c r="E52" s="5" t="str">
        <f t="shared" ref="E52:F52" si="28">E17</f>
        <v>OTHER</v>
      </c>
      <c r="F52" s="5" t="str">
        <f t="shared" si="28"/>
        <v>Non-network IT &amp; communications</v>
      </c>
      <c r="G52" s="5" t="e">
        <f>#REF!/1000</f>
        <v>#REF!</v>
      </c>
      <c r="H52" s="5" t="e">
        <f>#REF!/1000</f>
        <v>#REF!</v>
      </c>
      <c r="I52" s="5" t="e">
        <f>#REF!/1000</f>
        <v>#REF!</v>
      </c>
      <c r="J52" s="5" t="e">
        <f>#REF!/1000</f>
        <v>#REF!</v>
      </c>
      <c r="K52" s="5" t="e">
        <f>#REF!/1000</f>
        <v>#REF!</v>
      </c>
      <c r="L52" s="29" t="e">
        <f t="shared" si="3"/>
        <v>#REF!</v>
      </c>
      <c r="M52" s="42">
        <f t="shared" ref="M52:Q52" si="29">M17</f>
        <v>0</v>
      </c>
      <c r="N52" s="42">
        <f t="shared" si="29"/>
        <v>0</v>
      </c>
      <c r="O52" s="42">
        <f t="shared" si="29"/>
        <v>0</v>
      </c>
      <c r="P52" s="48"/>
      <c r="Q52" s="6">
        <f t="shared" si="29"/>
        <v>1</v>
      </c>
    </row>
    <row r="53" spans="1:17">
      <c r="A53" s="5" t="str">
        <f t="shared" si="5"/>
        <v>Printer</v>
      </c>
      <c r="B53" s="5" t="str">
        <f t="shared" si="5"/>
        <v>2021/22</v>
      </c>
      <c r="C53" s="5">
        <f t="shared" ref="C53:D53" si="30">C18</f>
        <v>1000000</v>
      </c>
      <c r="D53" s="5" t="str">
        <f t="shared" si="30"/>
        <v>Basslink IT/OT</v>
      </c>
      <c r="E53" s="5" t="str">
        <f t="shared" ref="E53:F53" si="31">E18</f>
        <v>OTHER</v>
      </c>
      <c r="F53" s="5" t="str">
        <f t="shared" si="31"/>
        <v>Non-network IT &amp; communications</v>
      </c>
      <c r="G53" s="5" t="e">
        <f>#REF!/1000</f>
        <v>#REF!</v>
      </c>
      <c r="H53" s="5" t="e">
        <f>#REF!/1000</f>
        <v>#REF!</v>
      </c>
      <c r="I53" s="5" t="e">
        <f>#REF!/1000</f>
        <v>#REF!</v>
      </c>
      <c r="J53" s="5" t="e">
        <f>#REF!/1000</f>
        <v>#REF!</v>
      </c>
      <c r="K53" s="5" t="e">
        <f>#REF!/1000</f>
        <v>#REF!</v>
      </c>
      <c r="L53" s="29" t="e">
        <f t="shared" si="3"/>
        <v>#REF!</v>
      </c>
      <c r="M53" s="42">
        <f t="shared" ref="M53:Q53" si="32">M18</f>
        <v>0</v>
      </c>
      <c r="N53" s="42">
        <f t="shared" si="32"/>
        <v>0</v>
      </c>
      <c r="O53" s="42">
        <f t="shared" si="32"/>
        <v>0</v>
      </c>
      <c r="P53" s="48"/>
      <c r="Q53" s="6">
        <f t="shared" si="32"/>
        <v>1</v>
      </c>
    </row>
    <row r="54" spans="1:17">
      <c r="A54" s="5" t="str">
        <f t="shared" si="5"/>
        <v>Enterprise Asset Management System Upgrade</v>
      </c>
      <c r="B54" s="5" t="str">
        <f t="shared" si="5"/>
        <v>2021/22</v>
      </c>
      <c r="C54" s="5">
        <f t="shared" ref="C54:D54" si="33">C19</f>
        <v>1000000</v>
      </c>
      <c r="D54" s="5" t="str">
        <f t="shared" si="33"/>
        <v>APA IT</v>
      </c>
      <c r="E54" s="5" t="str">
        <f t="shared" ref="E54:F54" si="34">E19</f>
        <v>IN-HOUSE SOFTWARE</v>
      </c>
      <c r="F54" s="5" t="str">
        <f t="shared" si="34"/>
        <v>Non-network IT &amp; communications</v>
      </c>
      <c r="G54" s="5" t="e">
        <f>#REF!/1000</f>
        <v>#REF!</v>
      </c>
      <c r="H54" s="5" t="e">
        <f>#REF!/1000</f>
        <v>#REF!</v>
      </c>
      <c r="I54" s="5" t="e">
        <f>#REF!/1000</f>
        <v>#REF!</v>
      </c>
      <c r="J54" s="5" t="e">
        <f>#REF!/1000</f>
        <v>#REF!</v>
      </c>
      <c r="K54" s="5" t="e">
        <f>#REF!/1000</f>
        <v>#REF!</v>
      </c>
      <c r="L54" s="29" t="e">
        <f t="shared" si="3"/>
        <v>#REF!</v>
      </c>
      <c r="M54" s="42">
        <f t="shared" ref="M54:Q54" si="35">M19</f>
        <v>0</v>
      </c>
      <c r="N54" s="42">
        <f t="shared" si="35"/>
        <v>0</v>
      </c>
      <c r="O54" s="42">
        <f t="shared" si="35"/>
        <v>0</v>
      </c>
      <c r="P54" s="48"/>
      <c r="Q54" s="6">
        <f t="shared" si="35"/>
        <v>1</v>
      </c>
    </row>
    <row r="55" spans="1:17">
      <c r="A55" s="5" t="str">
        <f t="shared" si="5"/>
        <v>OT initial integration and standard asset integration</v>
      </c>
      <c r="B55" s="5" t="str">
        <f t="shared" si="5"/>
        <v>2021/22</v>
      </c>
      <c r="C55" s="5">
        <f t="shared" ref="C55:D55" si="36">C20</f>
        <v>1000000</v>
      </c>
      <c r="D55" s="5" t="str">
        <f t="shared" si="36"/>
        <v>Basslink IT/OT</v>
      </c>
      <c r="E55" s="5" t="str">
        <f t="shared" ref="E55:F55" si="37">E20</f>
        <v>OTHER</v>
      </c>
      <c r="F55" s="5" t="str">
        <f t="shared" si="37"/>
        <v>Non-network IT &amp; communications</v>
      </c>
      <c r="G55" s="5" t="e">
        <f>#REF!/1000</f>
        <v>#REF!</v>
      </c>
      <c r="H55" s="5" t="e">
        <f>#REF!/1000</f>
        <v>#REF!</v>
      </c>
      <c r="I55" s="5" t="e">
        <f>#REF!/1000</f>
        <v>#REF!</v>
      </c>
      <c r="J55" s="5" t="e">
        <f>#REF!/1000</f>
        <v>#REF!</v>
      </c>
      <c r="K55" s="5" t="e">
        <f>#REF!/1000</f>
        <v>#REF!</v>
      </c>
      <c r="L55" s="29" t="e">
        <f t="shared" si="3"/>
        <v>#REF!</v>
      </c>
      <c r="M55" s="42">
        <f t="shared" ref="M55:Q55" si="38">M20</f>
        <v>0</v>
      </c>
      <c r="N55" s="42">
        <f t="shared" si="38"/>
        <v>0</v>
      </c>
      <c r="O55" s="42">
        <f t="shared" si="38"/>
        <v>0</v>
      </c>
      <c r="P55" s="48"/>
      <c r="Q55" s="6">
        <f t="shared" si="38"/>
        <v>1</v>
      </c>
    </row>
    <row r="56" spans="1:17">
      <c r="A56" s="5" t="str">
        <f t="shared" si="5"/>
        <v>EMS basslink integration, Reliability / predictive monitoring</v>
      </c>
      <c r="B56" s="5" t="str">
        <f t="shared" si="5"/>
        <v>2021/22</v>
      </c>
      <c r="C56" s="5">
        <f t="shared" ref="C56:D56" si="39">C21</f>
        <v>1000000</v>
      </c>
      <c r="D56" s="5" t="str">
        <f t="shared" si="39"/>
        <v>Basslink IT/OT</v>
      </c>
      <c r="E56" s="5" t="str">
        <f t="shared" ref="E56:F56" si="40">E21</f>
        <v>OTHER</v>
      </c>
      <c r="F56" s="5" t="str">
        <f t="shared" si="40"/>
        <v>Non-network IT &amp; communications</v>
      </c>
      <c r="G56" s="5" t="e">
        <f>#REF!/1000</f>
        <v>#REF!</v>
      </c>
      <c r="H56" s="5" t="e">
        <f>#REF!/1000</f>
        <v>#REF!</v>
      </c>
      <c r="I56" s="5" t="e">
        <f>#REF!/1000</f>
        <v>#REF!</v>
      </c>
      <c r="J56" s="5" t="e">
        <f>#REF!/1000</f>
        <v>#REF!</v>
      </c>
      <c r="K56" s="5" t="e">
        <f>#REF!/1000</f>
        <v>#REF!</v>
      </c>
      <c r="L56" s="29" t="e">
        <f t="shared" si="3"/>
        <v>#REF!</v>
      </c>
      <c r="M56" s="42">
        <f t="shared" ref="M56:Q56" si="41">M21</f>
        <v>0</v>
      </c>
      <c r="N56" s="42">
        <f t="shared" si="41"/>
        <v>0</v>
      </c>
      <c r="O56" s="42">
        <f t="shared" si="41"/>
        <v>0</v>
      </c>
      <c r="P56" s="48"/>
      <c r="Q56" s="6">
        <f t="shared" si="41"/>
        <v>1</v>
      </c>
    </row>
    <row r="57" spans="1:17">
      <c r="A57" s="5" t="str">
        <f t="shared" si="5"/>
        <v>OT Technology Capability uplift</v>
      </c>
      <c r="B57" s="5" t="str">
        <f t="shared" si="5"/>
        <v>2021/22</v>
      </c>
      <c r="C57" s="5">
        <f t="shared" ref="C57:D57" si="42">C22</f>
        <v>1000000</v>
      </c>
      <c r="D57" s="5" t="str">
        <f t="shared" si="42"/>
        <v>APA IT</v>
      </c>
      <c r="E57" s="5" t="str">
        <f t="shared" ref="E57:F57" si="43">E22</f>
        <v>OTHER</v>
      </c>
      <c r="F57" s="5" t="str">
        <f t="shared" si="43"/>
        <v>Non-network IT &amp; communications</v>
      </c>
      <c r="G57" s="5" t="e">
        <f>#REF!/1000</f>
        <v>#REF!</v>
      </c>
      <c r="H57" s="5" t="e">
        <f>#REF!/1000</f>
        <v>#REF!</v>
      </c>
      <c r="I57" s="5" t="e">
        <f>#REF!/1000</f>
        <v>#REF!</v>
      </c>
      <c r="J57" s="5" t="e">
        <f>#REF!/1000</f>
        <v>#REF!</v>
      </c>
      <c r="K57" s="5" t="e">
        <f>#REF!/1000</f>
        <v>#REF!</v>
      </c>
      <c r="L57" s="29" t="e">
        <f t="shared" si="3"/>
        <v>#REF!</v>
      </c>
      <c r="M57" s="42">
        <f t="shared" ref="M57:Q57" si="44">M22</f>
        <v>0</v>
      </c>
      <c r="N57" s="42">
        <f t="shared" si="44"/>
        <v>0</v>
      </c>
      <c r="O57" s="42">
        <f t="shared" si="44"/>
        <v>0</v>
      </c>
      <c r="P57" s="48"/>
      <c r="Q57" s="6">
        <f t="shared" si="44"/>
        <v>1</v>
      </c>
    </row>
    <row r="58" spans="1:17">
      <c r="A58" s="5" t="str">
        <f t="shared" si="5"/>
        <v>Asset Integration</v>
      </c>
      <c r="B58" s="5" t="str">
        <f t="shared" si="5"/>
        <v>2021/22</v>
      </c>
      <c r="C58" s="5">
        <f t="shared" ref="C58:D58" si="45">C23</f>
        <v>1000000</v>
      </c>
      <c r="D58" s="5" t="str">
        <f t="shared" si="45"/>
        <v>Basslink IT/OT</v>
      </c>
      <c r="E58" s="5" t="str">
        <f t="shared" ref="E58:F58" si="46">E23</f>
        <v>OTHER</v>
      </c>
      <c r="F58" s="5" t="str">
        <f t="shared" si="46"/>
        <v>Non-network IT &amp; communications</v>
      </c>
      <c r="G58" s="5" t="e">
        <f>#REF!/1000</f>
        <v>#REF!</v>
      </c>
      <c r="H58" s="5" t="e">
        <f>#REF!/1000</f>
        <v>#REF!</v>
      </c>
      <c r="I58" s="5" t="e">
        <f>#REF!/1000</f>
        <v>#REF!</v>
      </c>
      <c r="J58" s="5" t="e">
        <f>#REF!/1000</f>
        <v>#REF!</v>
      </c>
      <c r="K58" s="5" t="e">
        <f>#REF!/1000</f>
        <v>#REF!</v>
      </c>
      <c r="L58" s="29" t="e">
        <f t="shared" si="3"/>
        <v>#REF!</v>
      </c>
      <c r="M58" s="42">
        <f t="shared" ref="M58:Q58" si="47">M23</f>
        <v>0</v>
      </c>
      <c r="N58" s="42">
        <f t="shared" si="47"/>
        <v>0</v>
      </c>
      <c r="O58" s="42">
        <f t="shared" si="47"/>
        <v>0</v>
      </c>
      <c r="P58" s="48"/>
      <c r="Q58" s="6">
        <f t="shared" si="47"/>
        <v>1</v>
      </c>
    </row>
    <row r="59" spans="1:17">
      <c r="A59" s="5" t="str">
        <f t="shared" si="5"/>
        <v>Program Management and Consultation</v>
      </c>
      <c r="B59" s="5" t="str">
        <f t="shared" si="5"/>
        <v>2021/22</v>
      </c>
      <c r="C59" s="5">
        <f t="shared" ref="C59:D59" si="48">C24</f>
        <v>1000000</v>
      </c>
      <c r="D59" s="5" t="str">
        <f t="shared" si="48"/>
        <v>Basslink IT/OT</v>
      </c>
      <c r="E59" s="5" t="str">
        <f t="shared" ref="E59:F59" si="49">E24</f>
        <v>OTHER</v>
      </c>
      <c r="F59" s="5" t="str">
        <f t="shared" si="49"/>
        <v>Non-network IT &amp; communications</v>
      </c>
      <c r="G59" s="5" t="e">
        <f>#REF!/1000</f>
        <v>#REF!</v>
      </c>
      <c r="H59" s="5" t="e">
        <f>#REF!/1000</f>
        <v>#REF!</v>
      </c>
      <c r="I59" s="5" t="e">
        <f>#REF!/1000</f>
        <v>#REF!</v>
      </c>
      <c r="J59" s="5" t="e">
        <f>#REF!/1000</f>
        <v>#REF!</v>
      </c>
      <c r="K59" s="5" t="e">
        <f>#REF!/1000</f>
        <v>#REF!</v>
      </c>
      <c r="L59" s="29" t="e">
        <f t="shared" si="3"/>
        <v>#REF!</v>
      </c>
      <c r="M59" s="42">
        <f t="shared" ref="M59:Q59" si="50">M24</f>
        <v>0</v>
      </c>
      <c r="N59" s="42">
        <f t="shared" si="50"/>
        <v>0</v>
      </c>
      <c r="O59" s="42">
        <f t="shared" si="50"/>
        <v>0</v>
      </c>
      <c r="P59" s="48"/>
      <c r="Q59" s="6">
        <f t="shared" si="50"/>
        <v>1</v>
      </c>
    </row>
    <row r="60" spans="1:17">
      <c r="A60" s="5" t="str">
        <f t="shared" si="5"/>
        <v>Cyber Security</v>
      </c>
      <c r="B60" s="5" t="str">
        <f t="shared" si="5"/>
        <v>2021/22</v>
      </c>
      <c r="C60" s="5">
        <f t="shared" ref="C60:D60" si="51">C25</f>
        <v>1000000</v>
      </c>
      <c r="D60" s="5" t="str">
        <f t="shared" si="51"/>
        <v>SOCI</v>
      </c>
      <c r="E60" s="5" t="str">
        <f t="shared" ref="E60:F60" si="52">E25</f>
        <v>OTHER</v>
      </c>
      <c r="F60" s="5" t="str">
        <f t="shared" si="52"/>
        <v>Non-network IT &amp; communications</v>
      </c>
      <c r="G60" s="5" t="e">
        <f>#REF!/1000</f>
        <v>#REF!</v>
      </c>
      <c r="H60" s="5" t="e">
        <f>#REF!/1000</f>
        <v>#REF!</v>
      </c>
      <c r="I60" s="5" t="e">
        <f>#REF!/1000</f>
        <v>#REF!</v>
      </c>
      <c r="J60" s="5" t="e">
        <f>#REF!/1000</f>
        <v>#REF!</v>
      </c>
      <c r="K60" s="5" t="e">
        <f>#REF!/1000</f>
        <v>#REF!</v>
      </c>
      <c r="L60" s="29" t="e">
        <f t="shared" si="3"/>
        <v>#REF!</v>
      </c>
      <c r="M60" s="42">
        <f t="shared" ref="M60:Q60" si="53">M25</f>
        <v>0</v>
      </c>
      <c r="N60" s="42">
        <f t="shared" si="53"/>
        <v>0</v>
      </c>
      <c r="O60" s="42">
        <f t="shared" si="53"/>
        <v>0</v>
      </c>
      <c r="P60" s="48"/>
      <c r="Q60" s="6">
        <f t="shared" si="53"/>
        <v>1</v>
      </c>
    </row>
    <row r="61" spans="1:17">
      <c r="A61" s="5" t="str">
        <f t="shared" si="5"/>
        <v>Program Management and Material Risk</v>
      </c>
      <c r="B61" s="5" t="str">
        <f t="shared" si="5"/>
        <v>2021/22</v>
      </c>
      <c r="C61" s="5">
        <f t="shared" ref="C61:D61" si="54">C26</f>
        <v>1000000</v>
      </c>
      <c r="D61" s="5" t="str">
        <f t="shared" si="54"/>
        <v>SOCI</v>
      </c>
      <c r="E61" s="5" t="str">
        <f t="shared" ref="E61:F61" si="55">E26</f>
        <v>OTHER</v>
      </c>
      <c r="F61" s="5" t="str">
        <f t="shared" si="55"/>
        <v>Non-network IT &amp; communications</v>
      </c>
      <c r="G61" s="5" t="e">
        <f>#REF!/1000</f>
        <v>#REF!</v>
      </c>
      <c r="H61" s="5" t="e">
        <f>#REF!/1000</f>
        <v>#REF!</v>
      </c>
      <c r="I61" s="5" t="e">
        <f>#REF!/1000</f>
        <v>#REF!</v>
      </c>
      <c r="J61" s="5" t="e">
        <f>#REF!/1000</f>
        <v>#REF!</v>
      </c>
      <c r="K61" s="5" t="e">
        <f>#REF!/1000</f>
        <v>#REF!</v>
      </c>
      <c r="L61" s="29" t="e">
        <f t="shared" si="3"/>
        <v>#REF!</v>
      </c>
      <c r="M61" s="42">
        <f t="shared" ref="M61:Q61" si="56">M26</f>
        <v>0</v>
      </c>
      <c r="N61" s="42">
        <f t="shared" si="56"/>
        <v>0</v>
      </c>
      <c r="O61" s="42">
        <f t="shared" si="56"/>
        <v>0</v>
      </c>
      <c r="P61" s="48"/>
      <c r="Q61" s="6">
        <f t="shared" si="56"/>
        <v>1</v>
      </c>
    </row>
    <row r="62" spans="1:17">
      <c r="A62" s="5" t="str">
        <f t="shared" si="5"/>
        <v>Enterprise Security Governance</v>
      </c>
      <c r="B62" s="5" t="str">
        <f t="shared" si="5"/>
        <v>2021/22</v>
      </c>
      <c r="C62" s="5">
        <f t="shared" ref="C62:D62" si="57">C27</f>
        <v>1000000</v>
      </c>
      <c r="D62" s="5" t="str">
        <f t="shared" si="57"/>
        <v>SOCI</v>
      </c>
      <c r="E62" s="5" t="str">
        <f t="shared" ref="E62:F62" si="58">E27</f>
        <v>OTHER</v>
      </c>
      <c r="F62" s="5" t="str">
        <f t="shared" si="58"/>
        <v>Non-network IT &amp; communications</v>
      </c>
      <c r="G62" s="5" t="e">
        <f>#REF!/1000</f>
        <v>#REF!</v>
      </c>
      <c r="H62" s="5" t="e">
        <f>#REF!/1000</f>
        <v>#REF!</v>
      </c>
      <c r="I62" s="5" t="e">
        <f>#REF!/1000</f>
        <v>#REF!</v>
      </c>
      <c r="J62" s="5" t="e">
        <f>#REF!/1000</f>
        <v>#REF!</v>
      </c>
      <c r="K62" s="5" t="e">
        <f>#REF!/1000</f>
        <v>#REF!</v>
      </c>
      <c r="L62" s="29" t="e">
        <f t="shared" si="3"/>
        <v>#REF!</v>
      </c>
      <c r="M62" s="42">
        <f t="shared" ref="M62:Q62" si="59">M27</f>
        <v>0</v>
      </c>
      <c r="N62" s="42">
        <f t="shared" si="59"/>
        <v>0</v>
      </c>
      <c r="O62" s="42">
        <f t="shared" si="59"/>
        <v>0</v>
      </c>
      <c r="P62" s="48"/>
      <c r="Q62" s="6">
        <f t="shared" si="59"/>
        <v>1</v>
      </c>
    </row>
    <row r="63" spans="1:17">
      <c r="A63" s="5" t="str">
        <f t="shared" si="5"/>
        <v>Supply Chain Security</v>
      </c>
      <c r="B63" s="5" t="str">
        <f t="shared" si="5"/>
        <v>2021/22</v>
      </c>
      <c r="C63" s="5">
        <f t="shared" ref="C63:D63" si="60">C28</f>
        <v>1000000</v>
      </c>
      <c r="D63" s="5" t="str">
        <f t="shared" si="60"/>
        <v>SOCI</v>
      </c>
      <c r="E63" s="5" t="str">
        <f t="shared" ref="E63:F63" si="61">E28</f>
        <v>OTHER</v>
      </c>
      <c r="F63" s="5" t="str">
        <f t="shared" si="61"/>
        <v>Non-network IT &amp; communications</v>
      </c>
      <c r="G63" s="5" t="e">
        <f>#REF!/1000</f>
        <v>#REF!</v>
      </c>
      <c r="H63" s="5" t="e">
        <f>#REF!/1000</f>
        <v>#REF!</v>
      </c>
      <c r="I63" s="5" t="e">
        <f>#REF!/1000</f>
        <v>#REF!</v>
      </c>
      <c r="J63" s="5" t="e">
        <f>#REF!/1000</f>
        <v>#REF!</v>
      </c>
      <c r="K63" s="5" t="e">
        <f>#REF!/1000</f>
        <v>#REF!</v>
      </c>
      <c r="L63" s="29" t="e">
        <f t="shared" si="3"/>
        <v>#REF!</v>
      </c>
      <c r="M63" s="42">
        <f t="shared" ref="M63:Q63" si="62">M28</f>
        <v>0</v>
      </c>
      <c r="N63" s="42">
        <f t="shared" si="62"/>
        <v>0</v>
      </c>
      <c r="O63" s="42">
        <f t="shared" si="62"/>
        <v>0</v>
      </c>
      <c r="P63" s="48"/>
      <c r="Q63" s="6">
        <f t="shared" si="62"/>
        <v>1</v>
      </c>
    </row>
    <row r="64" spans="1:17">
      <c r="A64" s="5" t="str">
        <f t="shared" si="5"/>
        <v>Physical Security and Natural Hazards</v>
      </c>
      <c r="B64" s="5" t="str">
        <f t="shared" si="5"/>
        <v>2021/22</v>
      </c>
      <c r="C64" s="5">
        <f t="shared" ref="C64:D64" si="63">C29</f>
        <v>1000000</v>
      </c>
      <c r="D64" s="5" t="str">
        <f t="shared" si="63"/>
        <v>Physical Security and Natural Hazards</v>
      </c>
      <c r="E64" s="5" t="str">
        <f t="shared" ref="E64:F64" si="64">E29</f>
        <v>BUILDING INSTALLATION</v>
      </c>
      <c r="F64" s="5" t="str">
        <f t="shared" si="64"/>
        <v>Non-network buildings and property expenditure</v>
      </c>
      <c r="G64" s="5" t="e">
        <f>#REF!/1000</f>
        <v>#REF!</v>
      </c>
      <c r="H64" s="5" t="e">
        <f>#REF!/1000</f>
        <v>#REF!</v>
      </c>
      <c r="I64" s="5" t="e">
        <f>#REF!/1000</f>
        <v>#REF!</v>
      </c>
      <c r="J64" s="5" t="e">
        <f>#REF!/1000</f>
        <v>#REF!</v>
      </c>
      <c r="K64" s="5" t="e">
        <f>#REF!/1000</f>
        <v>#REF!</v>
      </c>
      <c r="L64" s="29" t="e">
        <f t="shared" si="3"/>
        <v>#REF!</v>
      </c>
      <c r="M64" s="42">
        <f t="shared" ref="M64:Q64" si="65">M29</f>
        <v>0</v>
      </c>
      <c r="N64" s="42">
        <f t="shared" si="65"/>
        <v>0</v>
      </c>
      <c r="O64" s="42">
        <f t="shared" si="65"/>
        <v>0</v>
      </c>
      <c r="P64" s="48"/>
      <c r="Q64" s="6">
        <f t="shared" si="65"/>
        <v>1</v>
      </c>
    </row>
    <row r="65" spans="1:17">
      <c r="A65" s="5" t="str">
        <f t="shared" si="5"/>
        <v/>
      </c>
      <c r="B65" s="5">
        <f t="shared" si="5"/>
        <v>0</v>
      </c>
      <c r="C65" s="5">
        <f t="shared" ref="C65:D65" si="66">C30</f>
        <v>0</v>
      </c>
      <c r="D65" s="5">
        <f t="shared" si="66"/>
        <v>0</v>
      </c>
      <c r="E65" s="5">
        <f t="shared" ref="E65:F65" si="67">E30</f>
        <v>0</v>
      </c>
      <c r="F65" s="5">
        <f t="shared" si="67"/>
        <v>0</v>
      </c>
      <c r="G65" s="5" t="e">
        <f>#REF!/1000</f>
        <v>#REF!</v>
      </c>
      <c r="H65" s="5" t="e">
        <f>#REF!/1000</f>
        <v>#REF!</v>
      </c>
      <c r="I65" s="5" t="e">
        <f>#REF!/1000</f>
        <v>#REF!</v>
      </c>
      <c r="J65" s="5" t="e">
        <f>#REF!/1000</f>
        <v>#REF!</v>
      </c>
      <c r="K65" s="5" t="e">
        <f>#REF!/1000</f>
        <v>#REF!</v>
      </c>
      <c r="L65" s="29" t="e">
        <f t="shared" si="3"/>
        <v>#REF!</v>
      </c>
      <c r="M65" s="42">
        <f t="shared" ref="M65:Q65" si="68">M30</f>
        <v>0</v>
      </c>
      <c r="N65" s="42">
        <f t="shared" si="68"/>
        <v>0</v>
      </c>
      <c r="O65" s="42">
        <f t="shared" si="68"/>
        <v>0</v>
      </c>
      <c r="P65" s="48"/>
      <c r="Q65" s="6">
        <f t="shared" si="68"/>
        <v>0</v>
      </c>
    </row>
    <row r="66" spans="1:17">
      <c r="A66" s="5" t="str">
        <f t="shared" si="5"/>
        <v/>
      </c>
      <c r="B66" s="5">
        <f t="shared" si="5"/>
        <v>0</v>
      </c>
      <c r="C66" s="5">
        <f t="shared" ref="C66:D66" si="69">C31</f>
        <v>0</v>
      </c>
      <c r="D66" s="5">
        <f t="shared" si="69"/>
        <v>0</v>
      </c>
      <c r="E66" s="5">
        <f t="shared" ref="E66:F66" si="70">E31</f>
        <v>0</v>
      </c>
      <c r="F66" s="5">
        <f t="shared" si="70"/>
        <v>0</v>
      </c>
      <c r="G66" s="5" t="e">
        <f>#REF!/1000</f>
        <v>#REF!</v>
      </c>
      <c r="H66" s="5" t="e">
        <f>#REF!/1000</f>
        <v>#REF!</v>
      </c>
      <c r="I66" s="5" t="e">
        <f>#REF!/1000</f>
        <v>#REF!</v>
      </c>
      <c r="J66" s="5" t="e">
        <f>#REF!/1000</f>
        <v>#REF!</v>
      </c>
      <c r="K66" s="5" t="e">
        <f>#REF!/1000</f>
        <v>#REF!</v>
      </c>
      <c r="L66" s="29" t="e">
        <f t="shared" si="3"/>
        <v>#REF!</v>
      </c>
      <c r="M66" s="42">
        <f t="shared" ref="M66:Q66" si="71">M31</f>
        <v>0</v>
      </c>
      <c r="N66" s="42">
        <f t="shared" si="71"/>
        <v>0</v>
      </c>
      <c r="O66" s="42">
        <f t="shared" si="71"/>
        <v>0</v>
      </c>
      <c r="P66" s="48"/>
      <c r="Q66" s="6">
        <f t="shared" si="71"/>
        <v>0</v>
      </c>
    </row>
    <row r="67" spans="1:17">
      <c r="A67" s="5" t="str">
        <f t="shared" si="5"/>
        <v/>
      </c>
      <c r="B67" s="5">
        <f t="shared" si="5"/>
        <v>0</v>
      </c>
      <c r="C67" s="5">
        <f t="shared" ref="C67:D67" si="72">C32</f>
        <v>0</v>
      </c>
      <c r="D67" s="5">
        <f t="shared" si="72"/>
        <v>0</v>
      </c>
      <c r="E67" s="5">
        <f t="shared" ref="E67:F67" si="73">E32</f>
        <v>0</v>
      </c>
      <c r="F67" s="5">
        <f t="shared" si="73"/>
        <v>0</v>
      </c>
      <c r="G67" s="5" t="e">
        <f>#REF!/1000</f>
        <v>#REF!</v>
      </c>
      <c r="H67" s="5" t="e">
        <f>#REF!/1000</f>
        <v>#REF!</v>
      </c>
      <c r="I67" s="5" t="e">
        <f>#REF!/1000</f>
        <v>#REF!</v>
      </c>
      <c r="J67" s="5" t="e">
        <f>#REF!/1000</f>
        <v>#REF!</v>
      </c>
      <c r="K67" s="5" t="e">
        <f>#REF!/1000</f>
        <v>#REF!</v>
      </c>
      <c r="L67" s="29" t="e">
        <f t="shared" si="3"/>
        <v>#REF!</v>
      </c>
      <c r="M67" s="42">
        <f t="shared" ref="M67:Q67" si="74">M32</f>
        <v>0</v>
      </c>
      <c r="N67" s="42">
        <f t="shared" si="74"/>
        <v>0</v>
      </c>
      <c r="O67" s="42">
        <f t="shared" si="74"/>
        <v>0</v>
      </c>
      <c r="P67" s="48"/>
      <c r="Q67" s="6">
        <f t="shared" si="74"/>
        <v>0</v>
      </c>
    </row>
    <row r="68" spans="1:17">
      <c r="A68" s="5" t="str">
        <f t="shared" si="5"/>
        <v/>
      </c>
      <c r="B68" s="5">
        <f t="shared" si="5"/>
        <v>0</v>
      </c>
      <c r="C68" s="5">
        <f t="shared" ref="C68:D68" si="75">C33</f>
        <v>0</v>
      </c>
      <c r="D68" s="5">
        <f t="shared" si="75"/>
        <v>0</v>
      </c>
      <c r="E68" s="5">
        <f t="shared" ref="E68:F68" si="76">E33</f>
        <v>0</v>
      </c>
      <c r="F68" s="5">
        <f t="shared" si="76"/>
        <v>0</v>
      </c>
      <c r="G68" s="5" t="e">
        <f>#REF!/1000</f>
        <v>#REF!</v>
      </c>
      <c r="H68" s="5" t="e">
        <f>#REF!/1000</f>
        <v>#REF!</v>
      </c>
      <c r="I68" s="5" t="e">
        <f>#REF!/1000</f>
        <v>#REF!</v>
      </c>
      <c r="J68" s="5" t="e">
        <f>#REF!/1000</f>
        <v>#REF!</v>
      </c>
      <c r="K68" s="5" t="e">
        <f>#REF!/1000</f>
        <v>#REF!</v>
      </c>
      <c r="L68" s="29" t="e">
        <f t="shared" si="3"/>
        <v>#REF!</v>
      </c>
      <c r="M68" s="42">
        <f t="shared" ref="M68:Q68" si="77">M33</f>
        <v>0</v>
      </c>
      <c r="N68" s="42">
        <f t="shared" si="77"/>
        <v>0</v>
      </c>
      <c r="O68" s="42">
        <f t="shared" si="77"/>
        <v>0</v>
      </c>
      <c r="P68" s="48"/>
      <c r="Q68" s="6">
        <f t="shared" si="77"/>
        <v>0</v>
      </c>
    </row>
    <row r="69" spans="1:17">
      <c r="A69" s="5" t="str">
        <f t="shared" ref="A69:F69" si="78">A34</f>
        <v/>
      </c>
      <c r="B69" s="5">
        <f t="shared" si="78"/>
        <v>0</v>
      </c>
      <c r="C69" s="5">
        <f t="shared" si="78"/>
        <v>0</v>
      </c>
      <c r="D69" s="5">
        <f t="shared" si="78"/>
        <v>0</v>
      </c>
      <c r="E69" s="5">
        <f t="shared" si="78"/>
        <v>0</v>
      </c>
      <c r="F69" s="5">
        <f t="shared" si="78"/>
        <v>0</v>
      </c>
      <c r="G69" s="5" t="e">
        <f>#REF!/1000</f>
        <v>#REF!</v>
      </c>
      <c r="H69" s="5" t="e">
        <f>#REF!/1000</f>
        <v>#REF!</v>
      </c>
      <c r="I69" s="5" t="e">
        <f>#REF!/1000</f>
        <v>#REF!</v>
      </c>
      <c r="J69" s="5" t="e">
        <f>#REF!/1000</f>
        <v>#REF!</v>
      </c>
      <c r="K69" s="5" t="e">
        <f>#REF!/1000</f>
        <v>#REF!</v>
      </c>
      <c r="L69" s="29" t="e">
        <f t="shared" si="3"/>
        <v>#REF!</v>
      </c>
      <c r="M69" s="42">
        <f t="shared" ref="M69:Q69" si="79">M34</f>
        <v>0</v>
      </c>
      <c r="N69" s="42">
        <f t="shared" si="79"/>
        <v>0</v>
      </c>
      <c r="O69" s="42">
        <f t="shared" si="79"/>
        <v>0</v>
      </c>
      <c r="P69" s="48"/>
      <c r="Q69" s="6">
        <f t="shared" si="79"/>
        <v>0</v>
      </c>
    </row>
    <row r="70" spans="1:17">
      <c r="A70" s="5" t="str">
        <f t="shared" si="5"/>
        <v/>
      </c>
      <c r="B70" s="5">
        <f t="shared" si="5"/>
        <v>0</v>
      </c>
      <c r="C70" s="5">
        <f t="shared" ref="C70:D70" si="80">C35</f>
        <v>0</v>
      </c>
      <c r="D70" s="5">
        <f t="shared" si="80"/>
        <v>0</v>
      </c>
      <c r="E70" s="5">
        <f t="shared" ref="E70:F70" si="81">E35</f>
        <v>0</v>
      </c>
      <c r="F70" s="5">
        <f t="shared" si="81"/>
        <v>0</v>
      </c>
      <c r="G70" s="5" t="e">
        <f>#REF!/1000</f>
        <v>#REF!</v>
      </c>
      <c r="H70" s="5" t="e">
        <f>#REF!/1000</f>
        <v>#REF!</v>
      </c>
      <c r="I70" s="5" t="e">
        <f>#REF!/1000</f>
        <v>#REF!</v>
      </c>
      <c r="J70" s="5" t="e">
        <f>#REF!/1000</f>
        <v>#REF!</v>
      </c>
      <c r="K70" s="5" t="e">
        <f>#REF!/1000</f>
        <v>#REF!</v>
      </c>
      <c r="L70" s="29" t="e">
        <f t="shared" si="3"/>
        <v>#REF!</v>
      </c>
      <c r="M70" s="42">
        <f t="shared" ref="M70:Q70" si="82">M35</f>
        <v>0</v>
      </c>
      <c r="N70" s="42">
        <f t="shared" si="82"/>
        <v>0</v>
      </c>
      <c r="O70" s="42">
        <f t="shared" si="82"/>
        <v>0</v>
      </c>
      <c r="P70" s="48"/>
      <c r="Q70" s="6">
        <f t="shared" si="82"/>
        <v>0</v>
      </c>
    </row>
    <row r="71" spans="1:17">
      <c r="A71" s="5" t="str">
        <f t="shared" ref="A71:F71" si="83">A36</f>
        <v/>
      </c>
      <c r="B71" s="5">
        <f t="shared" si="83"/>
        <v>0</v>
      </c>
      <c r="C71" s="5">
        <f t="shared" si="83"/>
        <v>0</v>
      </c>
      <c r="D71" s="5">
        <f t="shared" si="83"/>
        <v>0</v>
      </c>
      <c r="E71" s="5">
        <f t="shared" si="83"/>
        <v>0</v>
      </c>
      <c r="F71" s="5">
        <f t="shared" si="83"/>
        <v>0</v>
      </c>
      <c r="G71" s="5" t="e">
        <f>#REF!/1000</f>
        <v>#REF!</v>
      </c>
      <c r="H71" s="5" t="e">
        <f>#REF!/1000</f>
        <v>#REF!</v>
      </c>
      <c r="I71" s="5" t="e">
        <f>#REF!/1000</f>
        <v>#REF!</v>
      </c>
      <c r="J71" s="5" t="e">
        <f>#REF!/1000</f>
        <v>#REF!</v>
      </c>
      <c r="K71" s="5" t="e">
        <f>#REF!/1000</f>
        <v>#REF!</v>
      </c>
      <c r="L71" s="29" t="e">
        <f t="shared" si="3"/>
        <v>#REF!</v>
      </c>
      <c r="M71" s="42">
        <f t="shared" ref="M71:Q71" si="84">M36</f>
        <v>0</v>
      </c>
      <c r="N71" s="42">
        <f t="shared" si="84"/>
        <v>0</v>
      </c>
      <c r="O71" s="42">
        <f t="shared" si="84"/>
        <v>0</v>
      </c>
      <c r="P71" s="48"/>
      <c r="Q71" s="6">
        <f t="shared" si="84"/>
        <v>0</v>
      </c>
    </row>
  </sheetData>
  <autoFilter ref="A8:L36" xr:uid="{00000000-0009-0000-0000-000006000000}"/>
  <phoneticPr fontId="13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4503466-C897-4082-B584-FE3E6B9DCBC0}">
          <x14:formula1>
            <xm:f>'1.1 Input'!$B$20:$B$24</xm:f>
          </x14:formula1>
          <xm:sqref>F44:F71</xm:sqref>
        </x14:dataValidation>
        <x14:dataValidation type="list" allowBlank="1" showInputMessage="1" showErrorMessage="1" xr:uid="{0A9AD334-7B22-426C-A7F0-109F63472A53}">
          <x14:formula1>
            <xm:f>'1.1 Input'!$C$20:$C$31</xm:f>
          </x14:formula1>
          <xm:sqref>E44:E71</xm:sqref>
        </x14:dataValidation>
        <x14:dataValidation type="list" allowBlank="1" showInputMessage="1" showErrorMessage="1" xr:uid="{220BF254-033E-42CF-AC71-485640AA7CCB}">
          <x14:formula1>
            <xm:f>'1.1 Input'!$B$20:$B$28</xm:f>
          </x14:formula1>
          <xm:sqref>F9:F13 F29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C6EE-8BFC-4E03-B349-71FBF407285C}">
  <dimension ref="A1:DA33"/>
  <sheetViews>
    <sheetView zoomScale="150" zoomScaleNormal="150" workbookViewId="0">
      <selection activeCell="C14" sqref="C14"/>
    </sheetView>
  </sheetViews>
  <sheetFormatPr defaultRowHeight="15"/>
  <cols>
    <col min="1" max="1" width="23.85546875" bestFit="1" customWidth="1"/>
    <col min="2" max="2" width="23.85546875" customWidth="1"/>
    <col min="8" max="8" width="11.28515625" bestFit="1" customWidth="1"/>
    <col min="9" max="9" width="2.7109375" customWidth="1"/>
    <col min="10" max="10" width="8.85546875" customWidth="1"/>
    <col min="11" max="11" width="8" bestFit="1" customWidth="1"/>
    <col min="12" max="16" width="9.7109375" bestFit="1" customWidth="1"/>
    <col min="17" max="17" width="6.85546875" bestFit="1" customWidth="1"/>
    <col min="18" max="18" width="2.7109375" customWidth="1"/>
    <col min="25" max="25" width="9.42578125" bestFit="1" customWidth="1"/>
    <col min="51" max="52" width="9.42578125" bestFit="1" customWidth="1"/>
    <col min="100" max="100" width="22.85546875" customWidth="1"/>
  </cols>
  <sheetData>
    <row r="1" spans="1:105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105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105" ht="22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105" ht="23.25" thickBot="1">
      <c r="A4" s="1"/>
      <c r="B4" s="1"/>
      <c r="C4" s="1"/>
      <c r="D4" s="1"/>
      <c r="E4" s="1"/>
      <c r="F4" s="1"/>
      <c r="G4" s="1"/>
      <c r="H4" s="5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105" ht="24" thickTop="1" thickBot="1">
      <c r="A5" s="1"/>
      <c r="B5" s="1"/>
      <c r="C5" s="1"/>
      <c r="D5" s="1"/>
      <c r="E5" s="1"/>
      <c r="F5" s="1"/>
      <c r="G5" s="1"/>
      <c r="H5" s="23">
        <f>SUM(H10:H32)-'1.0 Data'!M5</f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CM5" s="16"/>
      <c r="CN5" s="16"/>
      <c r="CO5" s="16"/>
      <c r="CP5" s="16"/>
      <c r="CQ5" s="16"/>
      <c r="CR5" s="16"/>
      <c r="CV5" s="16">
        <f t="shared" ref="CV5:DA5" si="0">SUM(CV10:CV31)</f>
        <v>18.489115074816304</v>
      </c>
      <c r="CW5" s="16">
        <f t="shared" si="0"/>
        <v>10.327099675594905</v>
      </c>
      <c r="CX5" s="16">
        <f t="shared" si="0"/>
        <v>4.0752013849888913</v>
      </c>
      <c r="CY5" s="16">
        <f t="shared" si="0"/>
        <v>10.901610019209258</v>
      </c>
      <c r="CZ5" s="16">
        <f t="shared" si="0"/>
        <v>30.29203863121506</v>
      </c>
      <c r="DA5" s="16">
        <f t="shared" si="0"/>
        <v>74.085064785824429</v>
      </c>
    </row>
    <row r="6" spans="1:105" ht="24" thickTop="1" thickBot="1">
      <c r="A6" s="1" t="str">
        <f ca="1">RIGHT(CELL("filename"),LEN(CELL("filename"))-FIND("]",CELL("filename")))</f>
        <v>1.1 Input</v>
      </c>
      <c r="B6" s="1"/>
      <c r="C6" s="1"/>
      <c r="D6" s="1"/>
      <c r="E6" s="1"/>
      <c r="F6" s="1"/>
      <c r="G6" s="1"/>
      <c r="H6" s="23">
        <f>SUM(H10:H31)</f>
        <v>64.646872858390509</v>
      </c>
      <c r="I6" s="1"/>
      <c r="J6" s="1"/>
      <c r="K6" s="1"/>
      <c r="L6" s="44">
        <f t="shared" ref="L6:Q6" si="1">SUM(L10:L32)</f>
        <v>18.39666955627283</v>
      </c>
      <c r="M6" s="44">
        <f t="shared" si="1"/>
        <v>10.183605038368539</v>
      </c>
      <c r="N6" s="44">
        <f t="shared" si="1"/>
        <v>3.9975136300803222</v>
      </c>
      <c r="O6" s="44">
        <f t="shared" si="1"/>
        <v>10.59739463600393</v>
      </c>
      <c r="P6" s="44">
        <f t="shared" si="1"/>
        <v>29.195283825500358</v>
      </c>
      <c r="Q6" s="44">
        <f t="shared" si="1"/>
        <v>72.370466686225967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105" ht="15.75" thickTop="1"/>
    <row r="8" spans="1:105" ht="19.5">
      <c r="A8" s="2" t="s">
        <v>110</v>
      </c>
      <c r="B8" s="2"/>
      <c r="C8" s="2"/>
      <c r="D8" s="2"/>
      <c r="E8" s="2"/>
      <c r="F8" s="2"/>
      <c r="G8" s="2"/>
      <c r="H8" s="2"/>
      <c r="J8" s="2" t="s">
        <v>111</v>
      </c>
      <c r="K8" s="2"/>
      <c r="L8" s="2"/>
      <c r="M8" s="2"/>
      <c r="N8" s="2"/>
      <c r="O8" s="2"/>
      <c r="P8" s="2"/>
      <c r="Q8" s="2"/>
      <c r="S8" s="2" t="str">
        <f>'1.0 Data'!M8</f>
        <v>Labour</v>
      </c>
      <c r="T8" s="2"/>
      <c r="U8" s="2"/>
      <c r="V8" s="2"/>
      <c r="W8" s="2"/>
      <c r="X8" s="2"/>
      <c r="Y8" s="2"/>
      <c r="AA8" s="2" t="str">
        <f>'1.0 Data'!N8</f>
        <v/>
      </c>
      <c r="AB8" s="2"/>
      <c r="AC8" s="2"/>
      <c r="AD8" s="2"/>
      <c r="AE8" s="2"/>
      <c r="AF8" s="2"/>
      <c r="AG8" s="2"/>
      <c r="AI8" s="2" t="str">
        <f>'1.0 Data'!O8</f>
        <v/>
      </c>
      <c r="AJ8" s="2"/>
      <c r="AK8" s="2"/>
      <c r="AL8" s="2"/>
      <c r="AM8" s="2"/>
      <c r="AN8" s="2"/>
      <c r="AO8" s="2"/>
      <c r="AQ8" s="2" t="str">
        <f>'1.0 Data'!P8</f>
        <v/>
      </c>
      <c r="AR8" s="2"/>
      <c r="AS8" s="2"/>
      <c r="AT8" s="2"/>
      <c r="AU8" s="2"/>
      <c r="AV8" s="2"/>
      <c r="AW8" s="2"/>
      <c r="AY8" s="2" t="s">
        <v>5</v>
      </c>
      <c r="AZ8" s="2"/>
      <c r="BA8" s="2"/>
      <c r="BB8" s="2"/>
      <c r="BC8" s="2"/>
      <c r="BD8" s="2"/>
      <c r="BE8" s="2"/>
      <c r="BG8" s="2" t="s">
        <v>1</v>
      </c>
      <c r="BH8" s="2"/>
      <c r="BI8" s="2"/>
      <c r="BK8" s="2" t="str">
        <f>"Escalated "&amp;S8</f>
        <v>Escalated Labour</v>
      </c>
      <c r="BL8" s="2"/>
      <c r="BM8" s="2"/>
      <c r="BN8" s="2"/>
      <c r="BO8" s="2"/>
      <c r="BP8" s="2"/>
      <c r="BQ8" s="2"/>
      <c r="BR8" s="2" t="str">
        <f>"Escalated "&amp;Z8</f>
        <v xml:space="preserve">Escalated </v>
      </c>
      <c r="BS8" s="2"/>
      <c r="BT8" s="2"/>
      <c r="BU8" s="2"/>
      <c r="BV8" s="2"/>
      <c r="BW8" s="2"/>
      <c r="BX8" s="2"/>
      <c r="BY8" s="2" t="str">
        <f>"Escalated "&amp;AG8</f>
        <v xml:space="preserve">Escalated </v>
      </c>
      <c r="BZ8" s="2"/>
      <c r="CA8" s="2"/>
      <c r="CB8" s="2"/>
      <c r="CC8" s="2"/>
      <c r="CD8" s="2"/>
      <c r="CE8" s="2"/>
      <c r="CF8" s="2" t="str">
        <f>"Escalated "&amp;AN8</f>
        <v xml:space="preserve">Escalated </v>
      </c>
      <c r="CG8" s="2"/>
      <c r="CH8" s="2"/>
      <c r="CI8" s="2"/>
      <c r="CJ8" s="2"/>
      <c r="CK8" s="2"/>
      <c r="CL8" s="2"/>
      <c r="CM8" s="2" t="s">
        <v>5</v>
      </c>
      <c r="CN8" s="2"/>
      <c r="CO8" s="2"/>
      <c r="CP8" s="2"/>
      <c r="CQ8" s="2"/>
      <c r="CR8" s="2"/>
      <c r="CS8" s="2"/>
      <c r="CT8" s="2" t="s">
        <v>112</v>
      </c>
      <c r="CU8" s="2"/>
      <c r="CV8" s="2"/>
      <c r="CW8" s="2"/>
      <c r="CX8" s="2"/>
      <c r="CY8" s="2"/>
      <c r="CZ8" s="2"/>
      <c r="DA8" s="2"/>
    </row>
    <row r="9" spans="1:105" ht="17.25" thickBot="1">
      <c r="A9" s="4" t="s">
        <v>6</v>
      </c>
      <c r="B9" s="4" t="s">
        <v>100</v>
      </c>
      <c r="C9" s="4" t="str">
        <f>'1.0 Data'!G8</f>
        <v>2025/26</v>
      </c>
      <c r="D9" s="4" t="str">
        <f>'1.0 Data'!H8</f>
        <v>2026/27</v>
      </c>
      <c r="E9" s="4" t="str">
        <f>'1.0 Data'!I8</f>
        <v>2027/28</v>
      </c>
      <c r="F9" s="4" t="str">
        <f>'1.0 Data'!J8</f>
        <v>2028/29</v>
      </c>
      <c r="G9" s="4" t="str">
        <f>'1.0 Data'!K8</f>
        <v>2029/30</v>
      </c>
      <c r="H9" s="4" t="str">
        <f>'1.0 Data'!L8</f>
        <v>Total</v>
      </c>
      <c r="J9" s="4" t="str">
        <f>A9</f>
        <v>Project</v>
      </c>
      <c r="K9" s="4" t="str">
        <f t="shared" ref="K9" si="2">B9</f>
        <v>Real $</v>
      </c>
      <c r="L9" s="4" t="str">
        <f>'1.1 Input'!C51</f>
        <v>2024/25</v>
      </c>
      <c r="M9" s="4" t="str">
        <f>'1.1 Input'!D51</f>
        <v>2025/26</v>
      </c>
      <c r="N9" s="4" t="str">
        <f>'1.1 Input'!E51</f>
        <v>2026/27</v>
      </c>
      <c r="O9" s="4" t="str">
        <f>'1.1 Input'!F51</f>
        <v>2027/28</v>
      </c>
      <c r="P9" s="4" t="str">
        <f>'1.1 Input'!G51</f>
        <v>2028/29</v>
      </c>
      <c r="Q9" s="4" t="str">
        <f>H9</f>
        <v>Total</v>
      </c>
      <c r="S9" t="str">
        <f t="shared" ref="S9:S32" si="3">A9</f>
        <v>Project</v>
      </c>
      <c r="T9" t="str">
        <f t="shared" ref="T9:Y9" si="4">C9</f>
        <v>2025/26</v>
      </c>
      <c r="U9" t="str">
        <f t="shared" si="4"/>
        <v>2026/27</v>
      </c>
      <c r="V9" t="str">
        <f t="shared" si="4"/>
        <v>2027/28</v>
      </c>
      <c r="W9" t="str">
        <f t="shared" si="4"/>
        <v>2028/29</v>
      </c>
      <c r="X9" t="str">
        <f t="shared" si="4"/>
        <v>2029/30</v>
      </c>
      <c r="Y9" t="str">
        <f t="shared" si="4"/>
        <v>Total</v>
      </c>
      <c r="AA9" t="str">
        <f>S9</f>
        <v>Project</v>
      </c>
      <c r="AB9" t="str">
        <f t="shared" ref="AB9" si="5">T9</f>
        <v>2025/26</v>
      </c>
      <c r="AC9" t="str">
        <f t="shared" ref="AC9" si="6">U9</f>
        <v>2026/27</v>
      </c>
      <c r="AD9" t="str">
        <f t="shared" ref="AD9" si="7">V9</f>
        <v>2027/28</v>
      </c>
      <c r="AE9" t="str">
        <f t="shared" ref="AE9" si="8">W9</f>
        <v>2028/29</v>
      </c>
      <c r="AF9" t="str">
        <f t="shared" ref="AF9" si="9">X9</f>
        <v>2029/30</v>
      </c>
      <c r="AG9" t="str">
        <f t="shared" ref="AG9" si="10">Y9</f>
        <v>Total</v>
      </c>
      <c r="AI9" t="str">
        <f>AA9</f>
        <v>Project</v>
      </c>
      <c r="AJ9" t="str">
        <f t="shared" ref="AJ9" si="11">AB9</f>
        <v>2025/26</v>
      </c>
      <c r="AK9" t="str">
        <f t="shared" ref="AK9" si="12">AC9</f>
        <v>2026/27</v>
      </c>
      <c r="AL9" t="str">
        <f t="shared" ref="AL9" si="13">AD9</f>
        <v>2027/28</v>
      </c>
      <c r="AM9" t="str">
        <f t="shared" ref="AM9" si="14">AE9</f>
        <v>2028/29</v>
      </c>
      <c r="AN9" t="str">
        <f t="shared" ref="AN9" si="15">AF9</f>
        <v>2029/30</v>
      </c>
      <c r="AO9" t="str">
        <f t="shared" ref="AO9" si="16">AG9</f>
        <v>Total</v>
      </c>
      <c r="AQ9" t="str">
        <f>AI9</f>
        <v>Project</v>
      </c>
      <c r="AR9" t="str">
        <f t="shared" ref="AR9" si="17">AJ9</f>
        <v>2025/26</v>
      </c>
      <c r="AS9" t="str">
        <f t="shared" ref="AS9" si="18">AK9</f>
        <v>2026/27</v>
      </c>
      <c r="AT9" t="str">
        <f t="shared" ref="AT9" si="19">AL9</f>
        <v>2027/28</v>
      </c>
      <c r="AU9" t="str">
        <f t="shared" ref="AU9" si="20">AM9</f>
        <v>2028/29</v>
      </c>
      <c r="AV9" t="str">
        <f t="shared" ref="AV9" si="21">AN9</f>
        <v>2029/30</v>
      </c>
      <c r="AW9" t="str">
        <f t="shared" ref="AW9" si="22">AO9</f>
        <v>Total</v>
      </c>
      <c r="AY9" t="str">
        <f t="shared" ref="AY9:BE9" si="23">AI9</f>
        <v>Project</v>
      </c>
      <c r="AZ9" t="str">
        <f t="shared" si="23"/>
        <v>2025/26</v>
      </c>
      <c r="BA9" t="str">
        <f t="shared" si="23"/>
        <v>2026/27</v>
      </c>
      <c r="BB9" t="str">
        <f t="shared" si="23"/>
        <v>2027/28</v>
      </c>
      <c r="BC9" t="str">
        <f t="shared" si="23"/>
        <v>2028/29</v>
      </c>
      <c r="BD9" t="str">
        <f t="shared" si="23"/>
        <v>2029/30</v>
      </c>
      <c r="BE9" t="str">
        <f t="shared" si="23"/>
        <v>Total</v>
      </c>
      <c r="BG9" s="4" t="s">
        <v>113</v>
      </c>
      <c r="BH9" s="4" t="s">
        <v>7</v>
      </c>
      <c r="BI9" s="4" t="s">
        <v>114</v>
      </c>
      <c r="BK9" s="4" t="str">
        <f t="shared" ref="BK9:BQ9" si="24">AY9</f>
        <v>Project</v>
      </c>
      <c r="BL9" s="4" t="str">
        <f t="shared" si="24"/>
        <v>2025/26</v>
      </c>
      <c r="BM9" s="4" t="str">
        <f t="shared" si="24"/>
        <v>2026/27</v>
      </c>
      <c r="BN9" s="4" t="str">
        <f t="shared" si="24"/>
        <v>2027/28</v>
      </c>
      <c r="BO9" s="4" t="str">
        <f t="shared" si="24"/>
        <v>2028/29</v>
      </c>
      <c r="BP9" s="4" t="str">
        <f t="shared" si="24"/>
        <v>2029/30</v>
      </c>
      <c r="BQ9" s="4" t="str">
        <f t="shared" si="24"/>
        <v>Total</v>
      </c>
      <c r="BR9" s="4" t="str">
        <f>BK9</f>
        <v>Project</v>
      </c>
      <c r="BS9" s="4" t="str">
        <f t="shared" ref="BS9:CT9" si="25">BL9</f>
        <v>2025/26</v>
      </c>
      <c r="BT9" s="4" t="str">
        <f t="shared" si="25"/>
        <v>2026/27</v>
      </c>
      <c r="BU9" s="4" t="str">
        <f t="shared" si="25"/>
        <v>2027/28</v>
      </c>
      <c r="BV9" s="4" t="str">
        <f t="shared" si="25"/>
        <v>2028/29</v>
      </c>
      <c r="BW9" s="4" t="str">
        <f t="shared" si="25"/>
        <v>2029/30</v>
      </c>
      <c r="BX9" s="4" t="str">
        <f t="shared" si="25"/>
        <v>Total</v>
      </c>
      <c r="BY9" s="4" t="str">
        <f t="shared" si="25"/>
        <v>Project</v>
      </c>
      <c r="BZ9" s="4" t="str">
        <f t="shared" si="25"/>
        <v>2025/26</v>
      </c>
      <c r="CA9" s="4" t="str">
        <f t="shared" si="25"/>
        <v>2026/27</v>
      </c>
      <c r="CB9" s="4" t="str">
        <f t="shared" si="25"/>
        <v>2027/28</v>
      </c>
      <c r="CC9" s="4" t="str">
        <f t="shared" si="25"/>
        <v>2028/29</v>
      </c>
      <c r="CD9" s="4" t="str">
        <f t="shared" si="25"/>
        <v>2029/30</v>
      </c>
      <c r="CE9" s="4" t="str">
        <f t="shared" si="25"/>
        <v>Total</v>
      </c>
      <c r="CF9" s="4" t="str">
        <f t="shared" ref="CF9" si="26">BY9</f>
        <v>Project</v>
      </c>
      <c r="CG9" s="4" t="str">
        <f t="shared" ref="CG9" si="27">BZ9</f>
        <v>2025/26</v>
      </c>
      <c r="CH9" s="4" t="str">
        <f t="shared" ref="CH9" si="28">CA9</f>
        <v>2026/27</v>
      </c>
      <c r="CI9" s="4" t="str">
        <f t="shared" ref="CI9" si="29">CB9</f>
        <v>2027/28</v>
      </c>
      <c r="CJ9" s="4" t="str">
        <f t="shared" ref="CJ9" si="30">CC9</f>
        <v>2028/29</v>
      </c>
      <c r="CK9" s="4" t="str">
        <f t="shared" ref="CK9" si="31">CD9</f>
        <v>2029/30</v>
      </c>
      <c r="CL9" s="4" t="str">
        <f t="shared" ref="CL9" si="32">CE9</f>
        <v>Total</v>
      </c>
      <c r="CM9" s="4" t="str">
        <f t="shared" ref="CM9:CS9" si="33">BY9</f>
        <v>Project</v>
      </c>
      <c r="CN9" s="4" t="str">
        <f t="shared" si="33"/>
        <v>2025/26</v>
      </c>
      <c r="CO9" s="4" t="str">
        <f t="shared" si="33"/>
        <v>2026/27</v>
      </c>
      <c r="CP9" s="4" t="str">
        <f t="shared" si="33"/>
        <v>2027/28</v>
      </c>
      <c r="CQ9" s="4" t="str">
        <f t="shared" si="33"/>
        <v>2028/29</v>
      </c>
      <c r="CR9" s="4" t="str">
        <f t="shared" si="33"/>
        <v>2029/30</v>
      </c>
      <c r="CS9" s="4" t="str">
        <f t="shared" si="33"/>
        <v>Total</v>
      </c>
      <c r="CT9" s="4" t="str">
        <f t="shared" si="25"/>
        <v>Project</v>
      </c>
      <c r="CU9" s="4" t="str">
        <f>B9</f>
        <v>Real $</v>
      </c>
      <c r="CV9" s="4" t="str">
        <f t="shared" ref="CV9:DA9" si="34">CN9</f>
        <v>2025/26</v>
      </c>
      <c r="CW9" s="4" t="str">
        <f t="shared" si="34"/>
        <v>2026/27</v>
      </c>
      <c r="CX9" s="4" t="str">
        <f t="shared" si="34"/>
        <v>2027/28</v>
      </c>
      <c r="CY9" s="4" t="str">
        <f t="shared" si="34"/>
        <v>2028/29</v>
      </c>
      <c r="CZ9" s="4" t="str">
        <f t="shared" si="34"/>
        <v>2029/30</v>
      </c>
      <c r="DA9" s="4" t="str">
        <f t="shared" si="34"/>
        <v>Total</v>
      </c>
    </row>
    <row r="10" spans="1:105" ht="16.5" thickTop="1" thickBot="1">
      <c r="A10" s="22" t="str">
        <f>'1.0 Data'!A9</f>
        <v>Reactor DC Refurbishment</v>
      </c>
      <c r="B10" s="22" t="str">
        <f>'1.0 Data'!B9</f>
        <v>2022/23</v>
      </c>
      <c r="C10" s="22" cm="1">
        <f t="array" ref="C10">_xlfn.IFNA(INDEX('1.0 Data'!G$9:G$36,MATCH($A10,'1.0 Data'!$A$9:$A$36,0),0),0)</f>
        <v>0</v>
      </c>
      <c r="D10" s="22" cm="1">
        <f t="array" ref="D10">_xlfn.IFNA(INDEX('1.0 Data'!H$9:H$36,MATCH($A10,'1.0 Data'!$A$9:$A$36,0),0),0)</f>
        <v>0.70499999999999996</v>
      </c>
      <c r="E10" s="22" cm="1">
        <f t="array" ref="E10">_xlfn.IFNA(INDEX('1.0 Data'!I$9:I$36,MATCH($A10,'1.0 Data'!$A$9:$A$36,0),0),0)</f>
        <v>0</v>
      </c>
      <c r="F10" s="22" cm="1">
        <f t="array" ref="F10">_xlfn.IFNA(INDEX('1.0 Data'!J$9:J$36,MATCH($A10,'1.0 Data'!$A$9:$A$36,0),0),0)</f>
        <v>0</v>
      </c>
      <c r="G10" s="22" cm="1">
        <f t="array" ref="G10">_xlfn.IFNA(INDEX('1.0 Data'!K$9:K$36,MATCH($A10,'1.0 Data'!$A$9:$A$36,0),0),0)</f>
        <v>0</v>
      </c>
      <c r="H10" s="6">
        <f>SUM(C10:G10)</f>
        <v>0.70499999999999996</v>
      </c>
      <c r="J10" s="22" t="str">
        <f>A10</f>
        <v>Reactor DC Refurbishment</v>
      </c>
      <c r="K10" s="5" t="str">
        <f>IF(J10="","","2024/25")</f>
        <v>2024/25</v>
      </c>
      <c r="L10" s="6">
        <f>_xlfn.IFNA(HLOOKUP($B10,'1.1 Input'!$A$8:$N$15,6,FALSE)*C10,"")</f>
        <v>0</v>
      </c>
      <c r="M10" s="6">
        <f>_xlfn.IFNA(HLOOKUP($B10,'1.1 Input'!$A$8:$N$15,6,FALSE)*D10,"")</f>
        <v>0.76248287999999997</v>
      </c>
      <c r="N10" s="6">
        <f>_xlfn.IFNA(HLOOKUP($B10,'1.1 Input'!$A$8:$N$15,6,FALSE)*E10,"")</f>
        <v>0</v>
      </c>
      <c r="O10" s="6">
        <f>_xlfn.IFNA(HLOOKUP($B10,'1.1 Input'!$A$8:$N$15,6,FALSE)*F10,"")</f>
        <v>0</v>
      </c>
      <c r="P10" s="6">
        <f>_xlfn.IFNA(HLOOKUP($B10,'1.1 Input'!$A$8:$N$15,6,FALSE)*G10,"")</f>
        <v>0</v>
      </c>
      <c r="Q10" s="34">
        <f t="shared" ref="Q10:Q32" si="35">SUM(L10:P10)</f>
        <v>0.76248287999999997</v>
      </c>
      <c r="S10" s="22" t="str">
        <f t="shared" si="3"/>
        <v>Reactor DC Refurbishment</v>
      </c>
      <c r="T10" s="6">
        <f>(IF(S10="","",L10*'1.0 Data'!$M9))</f>
        <v>0</v>
      </c>
      <c r="U10" s="6">
        <f>(IF(T10="","",M10*'1.0 Data'!$M9))</f>
        <v>0.7624828800000002</v>
      </c>
      <c r="V10" s="6">
        <f>(IF(U10="","",N10*'1.0 Data'!$M9))</f>
        <v>0</v>
      </c>
      <c r="W10" s="6">
        <f>(IF(V10="","",O10*'1.0 Data'!$M9))</f>
        <v>0</v>
      </c>
      <c r="X10" s="6">
        <f>(IF(W10="","",P10*'1.0 Data'!$M9))</f>
        <v>0</v>
      </c>
      <c r="Y10" s="6">
        <f>SUM(T10:X10)</f>
        <v>0.7624828800000002</v>
      </c>
      <c r="AA10" s="22" t="str">
        <f>S10</f>
        <v>Reactor DC Refurbishment</v>
      </c>
      <c r="AB10" s="6">
        <f>IF(AA10="","",L10*'1.0 Data'!$N9)</f>
        <v>0</v>
      </c>
      <c r="AC10" s="6">
        <f>IF(AB10="","",M10*'1.0 Data'!$N9)</f>
        <v>0</v>
      </c>
      <c r="AD10" s="6">
        <f>IF(AC10="","",N10*'1.0 Data'!$N9)</f>
        <v>0</v>
      </c>
      <c r="AE10" s="6">
        <f>IF(AD10="","",O10*'1.0 Data'!$N9)</f>
        <v>0</v>
      </c>
      <c r="AF10" s="6">
        <f>IF(AE10="","",P10*'1.0 Data'!$N9)</f>
        <v>0</v>
      </c>
      <c r="AG10" s="6">
        <f>SUM(AB10:AF10)</f>
        <v>0</v>
      </c>
      <c r="AI10" s="22" t="str">
        <f>AA10</f>
        <v>Reactor DC Refurbishment</v>
      </c>
      <c r="AJ10" s="6">
        <f>IF(AI10="","",L10*'1.0 Data'!$O9)</f>
        <v>0</v>
      </c>
      <c r="AK10" s="6">
        <f>IF(AJ10="","",M10*'1.0 Data'!$O9)</f>
        <v>0</v>
      </c>
      <c r="AL10" s="6">
        <f>IF(AK10="","",N10*'1.0 Data'!$O9)</f>
        <v>0</v>
      </c>
      <c r="AM10" s="6">
        <f>IF(AL10="","",O10*'1.0 Data'!$O9)</f>
        <v>0</v>
      </c>
      <c r="AN10" s="6">
        <f>IF(AM10="","",P10*'1.0 Data'!$O9)</f>
        <v>0</v>
      </c>
      <c r="AO10" s="6">
        <f>SUM(AJ10:AN10)</f>
        <v>0</v>
      </c>
      <c r="AQ10" s="22" t="str">
        <f>AI10</f>
        <v>Reactor DC Refurbishment</v>
      </c>
      <c r="AR10" s="6">
        <f>IF(AQ10="","",L10*'1.0 Data'!$P9)</f>
        <v>0</v>
      </c>
      <c r="AS10" s="6">
        <f>IF(AR10="","",M10*'1.0 Data'!$P9)</f>
        <v>0</v>
      </c>
      <c r="AT10" s="6">
        <f>IF(AS10="","",N10*'1.0 Data'!$P9)</f>
        <v>0</v>
      </c>
      <c r="AU10" s="6">
        <f>IF(AT10="","",O10*'1.0 Data'!$P9)</f>
        <v>0</v>
      </c>
      <c r="AV10" s="6">
        <f>IF(AU10="","",P10*'1.0 Data'!$P9)</f>
        <v>0</v>
      </c>
      <c r="AW10" s="6">
        <f>SUM(AR10:AV10)</f>
        <v>0</v>
      </c>
      <c r="AY10" s="22" t="str">
        <f t="shared" ref="AY10:AY30" si="36">AI10</f>
        <v>Reactor DC Refurbishment</v>
      </c>
      <c r="AZ10" s="6">
        <f>IF(AY10="","",L10*'1.0 Data'!$Q9)</f>
        <v>0</v>
      </c>
      <c r="BA10" s="6">
        <f>IF(AZ10="","",M10*'1.0 Data'!$Q9)</f>
        <v>0</v>
      </c>
      <c r="BB10" s="6">
        <f>IF(BA10="","",N10*'1.0 Data'!$Q9)</f>
        <v>0</v>
      </c>
      <c r="BC10" s="6">
        <f>IF(BB10="","",O10*'1.0 Data'!$Q9)</f>
        <v>0</v>
      </c>
      <c r="BD10" s="6">
        <f>IF(BC10="","",P10*'1.0 Data'!$Q9)</f>
        <v>0</v>
      </c>
      <c r="BE10" s="6">
        <f>SUM(AZ10:BD10)</f>
        <v>0</v>
      </c>
      <c r="BG10" s="6">
        <f>SUM(BE10,AO10,AG10,Y10)</f>
        <v>0.7624828800000002</v>
      </c>
      <c r="BH10" s="22">
        <f>H10*HLOOKUP($B10,'1.1 Input'!$A$8:$N$15,6,FALSE)</f>
        <v>0.76248287999999997</v>
      </c>
      <c r="BI10" s="23">
        <f>BG10-BH10</f>
        <v>0</v>
      </c>
      <c r="BK10" s="22" t="str">
        <f>AY10</f>
        <v>Reactor DC Refurbishment</v>
      </c>
      <c r="BL10" s="6">
        <f>IF(BK10="","",T10*'1.1 Input'!D$58)</f>
        <v>0</v>
      </c>
      <c r="BM10" s="6">
        <f>IF(BL10="","",U10*'1.1 Input'!E$58)</f>
        <v>0.78440437620177073</v>
      </c>
      <c r="BN10" s="6">
        <f>IF(BM10="","",V10*'1.1 Input'!F$58)</f>
        <v>0</v>
      </c>
      <c r="BO10" s="6">
        <f>IF(BN10="","",W10*'1.1 Input'!G$58)</f>
        <v>0</v>
      </c>
      <c r="BP10" s="6">
        <f>IF(BO10="","",X10*'1.1 Input'!H$58)</f>
        <v>0</v>
      </c>
      <c r="BQ10" s="6">
        <f>SUM(BL10:BP10)</f>
        <v>0.78440437620177073</v>
      </c>
      <c r="BR10" s="22" t="str">
        <f>BK10</f>
        <v>Reactor DC Refurbishment</v>
      </c>
      <c r="BS10" s="6">
        <f>IF(BR10="","",AB10*'1.1 Input'!D$59)</f>
        <v>0</v>
      </c>
      <c r="BT10" s="6">
        <f>IF(BS10="","",AC10*'1.1 Input'!E$59)</f>
        <v>0</v>
      </c>
      <c r="BU10" s="6">
        <f>IF(BT10="","",AD10*'1.1 Input'!F$59)</f>
        <v>0</v>
      </c>
      <c r="BV10" s="6">
        <f>IF(BU10="","",AE10*'1.1 Input'!G$59)</f>
        <v>0</v>
      </c>
      <c r="BW10" s="6">
        <f>IF(BV10="","",AF10*'1.1 Input'!H$59)</f>
        <v>0</v>
      </c>
      <c r="BX10" s="6">
        <f>SUM(BS10:BW10)</f>
        <v>0</v>
      </c>
      <c r="BY10" s="22" t="str">
        <f>BR10</f>
        <v>Reactor DC Refurbishment</v>
      </c>
      <c r="BZ10" s="6">
        <f>IF(BY10="","",AJ10*'1.1 Input'!D$60)</f>
        <v>0</v>
      </c>
      <c r="CA10" s="6">
        <f>IF(BZ10="","",AK10*'1.1 Input'!E$60)</f>
        <v>0</v>
      </c>
      <c r="CB10" s="6">
        <f>IF(CA10="","",AL10*'1.1 Input'!F$60)</f>
        <v>0</v>
      </c>
      <c r="CC10" s="6">
        <f>IF(CB10="","",AM10*'1.1 Input'!G$60)</f>
        <v>0</v>
      </c>
      <c r="CD10" s="6">
        <f>IF(CC10="","",AN10*'1.1 Input'!H$60)</f>
        <v>0</v>
      </c>
      <c r="CE10" s="6">
        <f>SUM(BZ10:CD10)</f>
        <v>0</v>
      </c>
      <c r="CF10" s="22" t="str">
        <f>BY10</f>
        <v>Reactor DC Refurbishment</v>
      </c>
      <c r="CG10" s="6">
        <f>IF(CF10="","",AR10*'1.1 Input'!D$61)</f>
        <v>0</v>
      </c>
      <c r="CH10" s="6">
        <f>IF(CG10="","",AS10*'1.1 Input'!E$61)</f>
        <v>0</v>
      </c>
      <c r="CI10" s="6">
        <f>IF(CH10="","",AT10*'1.1 Input'!F$61)</f>
        <v>0</v>
      </c>
      <c r="CJ10" s="6">
        <f>IF(CI10="","",AU10*'1.1 Input'!G$61)</f>
        <v>0</v>
      </c>
      <c r="CK10" s="6">
        <f>IF(CJ10="","",AV10*'1.1 Input'!H$61)</f>
        <v>0</v>
      </c>
      <c r="CL10" s="6">
        <f>SUM(CG10:CK10)</f>
        <v>0</v>
      </c>
      <c r="CM10" s="22" t="str">
        <f t="shared" ref="CM10:CM30" si="37">BY10</f>
        <v>Reactor DC Refurbishment</v>
      </c>
      <c r="CN10" s="22">
        <f t="shared" ref="CN10:CN30" si="38">AZ10</f>
        <v>0</v>
      </c>
      <c r="CO10" s="22">
        <f t="shared" ref="CO10:CO30" si="39">BA10</f>
        <v>0</v>
      </c>
      <c r="CP10" s="22">
        <f t="shared" ref="CP10:CP30" si="40">BB10</f>
        <v>0</v>
      </c>
      <c r="CQ10" s="22">
        <f t="shared" ref="CQ10:CQ30" si="41">BC10</f>
        <v>0</v>
      </c>
      <c r="CR10" s="22">
        <f t="shared" ref="CR10:CR30" si="42">BD10</f>
        <v>0</v>
      </c>
      <c r="CS10" s="6">
        <f>SUM(CN10:CR10)</f>
        <v>0</v>
      </c>
      <c r="CT10" s="22" t="str">
        <f>CM10</f>
        <v>Reactor DC Refurbishment</v>
      </c>
      <c r="CU10" s="22" t="str">
        <f>K10</f>
        <v>2024/25</v>
      </c>
      <c r="CV10" s="6">
        <f t="shared" ref="CV10:CV30" si="43">SUM(CN10,BZ10,BS10,BL10)</f>
        <v>0</v>
      </c>
      <c r="CW10" s="6">
        <f t="shared" ref="CW10:CW30" si="44">SUM(CO10,CA10,BT10,BM10)</f>
        <v>0.78440437620177073</v>
      </c>
      <c r="CX10" s="6">
        <f t="shared" ref="CX10:CX30" si="45">SUM(CP10,CB10,BU10,BN10)</f>
        <v>0</v>
      </c>
      <c r="CY10" s="6">
        <f t="shared" ref="CY10:CY30" si="46">SUM(CQ10,CC10,BV10,BO10)</f>
        <v>0</v>
      </c>
      <c r="CZ10" s="6">
        <f t="shared" ref="CZ10:CZ30" si="47">SUM(CR10,CD10,BW10,BP10)</f>
        <v>0</v>
      </c>
      <c r="DA10" s="6">
        <f>SUM(CV10:CZ10)</f>
        <v>0.78440437620177073</v>
      </c>
    </row>
    <row r="11" spans="1:105" ht="16.5" thickTop="1" thickBot="1">
      <c r="A11" s="22" t="str">
        <f>'1.0 Data'!A10</f>
        <v>Control &amp; Protection - System Renewal</v>
      </c>
      <c r="B11" s="22" t="str">
        <f>'1.0 Data'!B10</f>
        <v>2022/23</v>
      </c>
      <c r="C11" s="22" cm="1">
        <f t="array" ref="C11">_xlfn.IFNA(INDEX('1.0 Data'!G$9:G$36,MATCH($A11,'1.0 Data'!$A$9:$A$36,0),0),0)</f>
        <v>7.2</v>
      </c>
      <c r="D11" s="22" cm="1">
        <f t="array" ref="D11">_xlfn.IFNA(INDEX('1.0 Data'!H$9:H$36,MATCH($A11,'1.0 Data'!$A$9:$A$36,0),0),0)</f>
        <v>5.76</v>
      </c>
      <c r="E11" s="22" cm="1">
        <f t="array" ref="E11">_xlfn.IFNA(INDEX('1.0 Data'!I$9:I$36,MATCH($A11,'1.0 Data'!$A$9:$A$36,0),0),0)</f>
        <v>2.76</v>
      </c>
      <c r="F11" s="22" cm="1">
        <f t="array" ref="F11">_xlfn.IFNA(INDEX('1.0 Data'!J$9:J$36,MATCH($A11,'1.0 Data'!$A$9:$A$36,0),0),0)</f>
        <v>7.56</v>
      </c>
      <c r="G11" s="22" cm="1">
        <f t="array" ref="G11">_xlfn.IFNA(INDEX('1.0 Data'!K$9:K$36,MATCH($A11,'1.0 Data'!$A$9:$A$36,0),0),0)</f>
        <v>16.32</v>
      </c>
      <c r="H11" s="6">
        <f t="shared" ref="H11:H30" si="48">SUM(C11:G11)</f>
        <v>39.6</v>
      </c>
      <c r="J11" s="22" t="str">
        <f t="shared" ref="J11:J32" si="49">A11</f>
        <v>Control &amp; Protection - System Renewal</v>
      </c>
      <c r="K11" s="5" t="str">
        <f t="shared" ref="K11:K32" si="50">IF(J11="","","2024/25")</f>
        <v>2024/25</v>
      </c>
      <c r="L11" s="6">
        <f>_xlfn.IFNA(HLOOKUP($B11,'1.1 Input'!$A$8:$N$15,6,FALSE)*C11,"")</f>
        <v>7.7870592000000007</v>
      </c>
      <c r="M11" s="6">
        <f>_xlfn.IFNA(HLOOKUP($B11,'1.1 Input'!$A$8:$N$15,6,FALSE)*D11,"")</f>
        <v>6.2296473600000004</v>
      </c>
      <c r="N11" s="6">
        <f>_xlfn.IFNA(HLOOKUP($B11,'1.1 Input'!$A$8:$N$15,6,FALSE)*E11,"")</f>
        <v>2.98503936</v>
      </c>
      <c r="O11" s="6">
        <f>_xlfn.IFNA(HLOOKUP($B11,'1.1 Input'!$A$8:$N$15,6,FALSE)*F11,"")</f>
        <v>8.1764121599999999</v>
      </c>
      <c r="P11" s="6">
        <f>_xlfn.IFNA(HLOOKUP($B11,'1.1 Input'!$A$8:$N$15,6,FALSE)*G11,"")</f>
        <v>17.650667520000002</v>
      </c>
      <c r="Q11" s="34">
        <f t="shared" si="35"/>
        <v>42.828825600000002</v>
      </c>
      <c r="S11" s="22" t="str">
        <f t="shared" si="3"/>
        <v>Control &amp; Protection - System Renewal</v>
      </c>
      <c r="T11" s="6">
        <f>(IF(S11="","",L11*'1.0 Data'!$M10))</f>
        <v>5.2857613963636361</v>
      </c>
      <c r="U11" s="6">
        <f>(IF(T11="","",M11*'1.0 Data'!$M10))</f>
        <v>4.228609117090909</v>
      </c>
      <c r="V11" s="6">
        <f>(IF(U11="","",N11*'1.0 Data'!$M10))</f>
        <v>2.026208535272727</v>
      </c>
      <c r="W11" s="6">
        <f>(IF(V11="","",O11*'1.0 Data'!$M10))</f>
        <v>5.5500494661818172</v>
      </c>
      <c r="X11" s="6">
        <f>(IF(W11="","",P11*'1.0 Data'!$M10))</f>
        <v>11.98105916509091</v>
      </c>
      <c r="Y11" s="6">
        <f t="shared" ref="Y11:Y30" si="51">SUM(T11:X11)</f>
        <v>29.071687679999997</v>
      </c>
      <c r="AA11" s="22" t="str">
        <f t="shared" ref="AA11:AA30" si="52">S11</f>
        <v>Control &amp; Protection - System Renewal</v>
      </c>
      <c r="AB11" s="6">
        <f>IF(AA11="","",L11*'1.0 Data'!$N10)</f>
        <v>0</v>
      </c>
      <c r="AC11" s="6">
        <f>IF(AB11="","",M11*'1.0 Data'!$N10)</f>
        <v>0</v>
      </c>
      <c r="AD11" s="6">
        <f>IF(AC11="","",N11*'1.0 Data'!$N10)</f>
        <v>0</v>
      </c>
      <c r="AE11" s="6">
        <f>IF(AD11="","",O11*'1.0 Data'!$N10)</f>
        <v>0</v>
      </c>
      <c r="AF11" s="6">
        <f>IF(AE11="","",P11*'1.0 Data'!$N10)</f>
        <v>0</v>
      </c>
      <c r="AG11" s="6">
        <f t="shared" ref="AG11:AG30" si="53">SUM(AB11:AF11)</f>
        <v>0</v>
      </c>
      <c r="AI11" s="22" t="str">
        <f t="shared" ref="AI11:AI30" si="54">AA11</f>
        <v>Control &amp; Protection - System Renewal</v>
      </c>
      <c r="AJ11" s="6">
        <f>IF(AI11="","",L11*'1.0 Data'!$O10)</f>
        <v>0</v>
      </c>
      <c r="AK11" s="6">
        <f>IF(AJ11="","",M11*'1.0 Data'!$O10)</f>
        <v>0</v>
      </c>
      <c r="AL11" s="6">
        <f>IF(AK11="","",N11*'1.0 Data'!$O10)</f>
        <v>0</v>
      </c>
      <c r="AM11" s="6">
        <f>IF(AL11="","",O11*'1.0 Data'!$O10)</f>
        <v>0</v>
      </c>
      <c r="AN11" s="6">
        <f>IF(AM11="","",P11*'1.0 Data'!$O10)</f>
        <v>0</v>
      </c>
      <c r="AO11" s="6">
        <f t="shared" ref="AO11:AO30" si="55">SUM(AJ11:AN11)</f>
        <v>0</v>
      </c>
      <c r="AQ11" s="22" t="str">
        <f t="shared" ref="AQ11:AQ30" si="56">AI11</f>
        <v>Control &amp; Protection - System Renewal</v>
      </c>
      <c r="AR11" s="6">
        <f>IF(AQ11="","",L11*'1.0 Data'!$P10)</f>
        <v>0</v>
      </c>
      <c r="AS11" s="6">
        <f>IF(AR11="","",M11*'1.0 Data'!$P10)</f>
        <v>0</v>
      </c>
      <c r="AT11" s="6">
        <f>IF(AS11="","",N11*'1.0 Data'!$P10)</f>
        <v>0</v>
      </c>
      <c r="AU11" s="6">
        <f>IF(AT11="","",O11*'1.0 Data'!$P10)</f>
        <v>0</v>
      </c>
      <c r="AV11" s="6">
        <f>IF(AU11="","",P11*'1.0 Data'!$P10)</f>
        <v>0</v>
      </c>
      <c r="AW11" s="6">
        <f t="shared" ref="AW11:AW30" si="57">SUM(AR11:AV11)</f>
        <v>0</v>
      </c>
      <c r="AY11" s="22" t="str">
        <f t="shared" si="36"/>
        <v>Control &amp; Protection - System Renewal</v>
      </c>
      <c r="AZ11" s="6">
        <f>IF(AY11="","",L11*'1.0 Data'!$Q10)</f>
        <v>2.5012978036363642</v>
      </c>
      <c r="BA11" s="6">
        <f>IF(AZ11="","",M11*'1.0 Data'!$Q10)</f>
        <v>2.0010382429090914</v>
      </c>
      <c r="BB11" s="6">
        <f>IF(BA11="","",N11*'1.0 Data'!$Q10)</f>
        <v>0.95883082472727299</v>
      </c>
      <c r="BC11" s="6">
        <f>IF(BB11="","",O11*'1.0 Data'!$Q10)</f>
        <v>2.6263626938181823</v>
      </c>
      <c r="BD11" s="6">
        <f>IF(BC11="","",P11*'1.0 Data'!$Q10)</f>
        <v>5.6696083549090925</v>
      </c>
      <c r="BE11" s="6">
        <f t="shared" ref="BE11:BE30" si="58">SUM(AZ11:BD11)</f>
        <v>13.757137920000003</v>
      </c>
      <c r="BG11" s="6">
        <f t="shared" ref="BG11:BG30" si="59">BE11+AO11+AG11+Y11</f>
        <v>42.828825600000002</v>
      </c>
      <c r="BH11" s="22">
        <f>H11*HLOOKUP($B11,'1.1 Input'!$A$8:$N$15,6,FALSE)</f>
        <v>42.828825600000002</v>
      </c>
      <c r="BI11" s="23">
        <f t="shared" ref="BI11:BI30" si="60">BG11-BH11</f>
        <v>0</v>
      </c>
      <c r="BK11" s="22" t="str">
        <f t="shared" ref="BK11:BK30" si="61">AY11</f>
        <v>Control &amp; Protection - System Renewal</v>
      </c>
      <c r="BL11" s="6">
        <f>IF(BK11="","",T11*'1.1 Input'!D$58)</f>
        <v>5.3782069149071123</v>
      </c>
      <c r="BM11" s="6">
        <f>IF(BL11="","",U11*'1.1 Input'!E$58)</f>
        <v>4.3501822581155061</v>
      </c>
      <c r="BN11" s="6">
        <f>IF(BM11="","",V11*'1.1 Input'!F$58)</f>
        <v>2.1038962901812961</v>
      </c>
      <c r="BO11" s="6">
        <f>IF(BN11="","",W11*'1.1 Input'!G$58)</f>
        <v>5.8311020652584036</v>
      </c>
      <c r="BP11" s="6">
        <f>IF(BO11="","",X11*'1.1 Input'!H$58)</f>
        <v>12.756053552505429</v>
      </c>
      <c r="BQ11" s="6">
        <f t="shared" ref="BQ11:BQ30" si="62">SUM(BL11:BP11)</f>
        <v>30.419441080967751</v>
      </c>
      <c r="BR11" s="22" t="str">
        <f t="shared" ref="BR11:BR30" si="63">BK11</f>
        <v>Control &amp; Protection - System Renewal</v>
      </c>
      <c r="BS11" s="6">
        <f>IF(BR11="","",AB11*'1.1 Input'!D$59)</f>
        <v>0</v>
      </c>
      <c r="BT11" s="6">
        <f>IF(BS11="","",AC11*'1.1 Input'!E$59)</f>
        <v>0</v>
      </c>
      <c r="BU11" s="6">
        <f>IF(BT11="","",AD11*'1.1 Input'!F$59)</f>
        <v>0</v>
      </c>
      <c r="BV11" s="6">
        <f>IF(BU11="","",AE11*'1.1 Input'!G$59)</f>
        <v>0</v>
      </c>
      <c r="BW11" s="6">
        <f>IF(BV11="","",AF11*'1.1 Input'!H$59)</f>
        <v>0</v>
      </c>
      <c r="BX11" s="6">
        <f t="shared" ref="BX11:BX30" si="64">SUM(BS11:BW11)</f>
        <v>0</v>
      </c>
      <c r="BY11" s="22" t="str">
        <f t="shared" ref="BY11:BY30" si="65">BR11</f>
        <v>Control &amp; Protection - System Renewal</v>
      </c>
      <c r="BZ11" s="6">
        <f>IF(BY11="","",AJ11*'1.1 Input'!D$60)</f>
        <v>0</v>
      </c>
      <c r="CA11" s="6">
        <f>IF(BZ11="","",AK11*'1.1 Input'!E$60)</f>
        <v>0</v>
      </c>
      <c r="CB11" s="6">
        <f>IF(CA11="","",AL11*'1.1 Input'!F$60)</f>
        <v>0</v>
      </c>
      <c r="CC11" s="6">
        <f>IF(CB11="","",AM11*'1.1 Input'!G$60)</f>
        <v>0</v>
      </c>
      <c r="CD11" s="6">
        <f>IF(CC11="","",AN11*'1.1 Input'!H$60)</f>
        <v>0</v>
      </c>
      <c r="CE11" s="6">
        <f t="shared" ref="CE11:CE30" si="66">SUM(BZ11:CD11)</f>
        <v>0</v>
      </c>
      <c r="CF11" s="22" t="str">
        <f t="shared" ref="CF11:CF30" si="67">BY11</f>
        <v>Control &amp; Protection - System Renewal</v>
      </c>
      <c r="CG11" s="6">
        <f>IF(CF11="","",AR11*'1.1 Input'!D$61)</f>
        <v>0</v>
      </c>
      <c r="CH11" s="6">
        <f>IF(CG11="","",AS11*'1.1 Input'!E$61)</f>
        <v>0</v>
      </c>
      <c r="CI11" s="6">
        <f>IF(CH11="","",AT11*'1.1 Input'!F$61)</f>
        <v>0</v>
      </c>
      <c r="CJ11" s="6">
        <f>IF(CI11="","",AU11*'1.1 Input'!G$61)</f>
        <v>0</v>
      </c>
      <c r="CK11" s="6">
        <f>IF(CJ11="","",AV11*'1.1 Input'!H$61)</f>
        <v>0</v>
      </c>
      <c r="CL11" s="6">
        <f t="shared" ref="CL11:CL30" si="68">SUM(CG11:CK11)</f>
        <v>0</v>
      </c>
      <c r="CM11" s="22" t="str">
        <f t="shared" si="37"/>
        <v>Control &amp; Protection - System Renewal</v>
      </c>
      <c r="CN11" s="22">
        <f t="shared" si="38"/>
        <v>2.5012978036363642</v>
      </c>
      <c r="CO11" s="22">
        <f t="shared" si="39"/>
        <v>2.0010382429090914</v>
      </c>
      <c r="CP11" s="22">
        <f t="shared" si="40"/>
        <v>0.95883082472727299</v>
      </c>
      <c r="CQ11" s="22">
        <f t="shared" si="41"/>
        <v>2.6263626938181823</v>
      </c>
      <c r="CR11" s="22">
        <f t="shared" si="42"/>
        <v>5.6696083549090925</v>
      </c>
      <c r="CS11" s="6">
        <f t="shared" ref="CS11:CS30" si="69">SUM(CN11:CR11)</f>
        <v>13.757137920000003</v>
      </c>
      <c r="CT11" s="22" t="str">
        <f t="shared" ref="CT11:CT30" si="70">CM11</f>
        <v>Control &amp; Protection - System Renewal</v>
      </c>
      <c r="CU11" s="22" t="str">
        <f t="shared" ref="CU11:CU32" si="71">K11</f>
        <v>2024/25</v>
      </c>
      <c r="CV11" s="6">
        <f t="shared" si="43"/>
        <v>7.8795047185434761</v>
      </c>
      <c r="CW11" s="6">
        <f t="shared" si="44"/>
        <v>6.3512205010245975</v>
      </c>
      <c r="CX11" s="6">
        <f t="shared" si="45"/>
        <v>3.0627271149085691</v>
      </c>
      <c r="CY11" s="6">
        <f t="shared" si="46"/>
        <v>8.4574647590765863</v>
      </c>
      <c r="CZ11" s="6">
        <f t="shared" si="47"/>
        <v>18.425661907414522</v>
      </c>
      <c r="DA11" s="6">
        <f t="shared" ref="DA11:DA30" si="72">SUM(CV11:CZ11)</f>
        <v>44.176579000967749</v>
      </c>
    </row>
    <row r="12" spans="1:105" ht="16.5" thickTop="1" thickBot="1">
      <c r="A12" s="22" t="str">
        <f>'1.0 Data'!A11</f>
        <v>Spares</v>
      </c>
      <c r="B12" s="22" t="str">
        <f>'1.0 Data'!B11</f>
        <v>2020/21</v>
      </c>
      <c r="C12" s="22" cm="1">
        <f t="array" ref="C12">_xlfn.IFNA(INDEX('1.0 Data'!G$9:G$36,MATCH($A12,'1.0 Data'!$A$9:$A$36,0),0),0)</f>
        <v>0.05</v>
      </c>
      <c r="D12" s="22" cm="1">
        <f t="array" ref="D12">_xlfn.IFNA(INDEX('1.0 Data'!H$9:H$36,MATCH($A12,'1.0 Data'!$A$9:$A$36,0),0),0)</f>
        <v>0.2</v>
      </c>
      <c r="E12" s="22" cm="1">
        <f t="array" ref="E12">_xlfn.IFNA(INDEX('1.0 Data'!I$9:I$36,MATCH($A12,'1.0 Data'!$A$9:$A$36,0),0),0)</f>
        <v>0.1</v>
      </c>
      <c r="F12" s="22" cm="1">
        <f t="array" ref="F12">_xlfn.IFNA(INDEX('1.0 Data'!J$9:J$36,MATCH($A12,'1.0 Data'!$A$9:$A$36,0),0),0)</f>
        <v>0.21</v>
      </c>
      <c r="G12" s="22" cm="1">
        <f t="array" ref="G12">_xlfn.IFNA(INDEX('1.0 Data'!K$9:K$36,MATCH($A12,'1.0 Data'!$A$9:$A$36,0),0),0)</f>
        <v>0</v>
      </c>
      <c r="H12" s="6">
        <f t="shared" si="48"/>
        <v>0.55999999999999994</v>
      </c>
      <c r="J12" s="22" t="str">
        <f t="shared" si="49"/>
        <v>Spares</v>
      </c>
      <c r="K12" s="5" t="str">
        <f t="shared" si="50"/>
        <v>2024/25</v>
      </c>
      <c r="L12" s="6">
        <f>_xlfn.IFNA(HLOOKUP($B12,'1.1 Input'!$A$8:$N$15,6,FALSE)*C12,"")</f>
        <v>6.0351923549488054E-2</v>
      </c>
      <c r="M12" s="6">
        <f>_xlfn.IFNA(HLOOKUP($B12,'1.1 Input'!$A$8:$N$15,6,FALSE)*D12,"")</f>
        <v>0.24140769419795222</v>
      </c>
      <c r="N12" s="6">
        <f>_xlfn.IFNA(HLOOKUP($B12,'1.1 Input'!$A$8:$N$15,6,FALSE)*E12,"")</f>
        <v>0.12070384709897611</v>
      </c>
      <c r="O12" s="6">
        <f>_xlfn.IFNA(HLOOKUP($B12,'1.1 Input'!$A$8:$N$15,6,FALSE)*F12,"")</f>
        <v>0.25347807890784979</v>
      </c>
      <c r="P12" s="6">
        <f>_xlfn.IFNA(HLOOKUP($B12,'1.1 Input'!$A$8:$N$15,6,FALSE)*G12,"")</f>
        <v>0</v>
      </c>
      <c r="Q12" s="34">
        <f t="shared" si="35"/>
        <v>0.67594154375426618</v>
      </c>
      <c r="S12" s="22" t="str">
        <f t="shared" si="3"/>
        <v>Spares</v>
      </c>
      <c r="T12" s="6">
        <f>(IF(S12="","",L12*'1.0 Data'!$M11))</f>
        <v>0</v>
      </c>
      <c r="U12" s="6">
        <f>(IF(T12="","",M12*'1.0 Data'!$M11))</f>
        <v>0</v>
      </c>
      <c r="V12" s="6">
        <f>(IF(U12="","",N12*'1.0 Data'!$M11))</f>
        <v>0</v>
      </c>
      <c r="W12" s="6">
        <f>(IF(V12="","",O12*'1.0 Data'!$M11))</f>
        <v>0</v>
      </c>
      <c r="X12" s="6">
        <f>(IF(W12="","",P12*'1.0 Data'!$M11))</f>
        <v>0</v>
      </c>
      <c r="Y12" s="6">
        <f t="shared" si="51"/>
        <v>0</v>
      </c>
      <c r="AA12" s="22" t="str">
        <f t="shared" si="52"/>
        <v>Spares</v>
      </c>
      <c r="AB12" s="6">
        <f>IF(AA12="","",L12*'1.0 Data'!$N11)</f>
        <v>0</v>
      </c>
      <c r="AC12" s="6">
        <f>IF(AB12="","",M12*'1.0 Data'!$N11)</f>
        <v>0</v>
      </c>
      <c r="AD12" s="6">
        <f>IF(AC12="","",N12*'1.0 Data'!$N11)</f>
        <v>0</v>
      </c>
      <c r="AE12" s="6">
        <f>IF(AD12="","",O12*'1.0 Data'!$N11)</f>
        <v>0</v>
      </c>
      <c r="AF12" s="6">
        <f>IF(AE12="","",P12*'1.0 Data'!$N11)</f>
        <v>0</v>
      </c>
      <c r="AG12" s="6">
        <f t="shared" si="53"/>
        <v>0</v>
      </c>
      <c r="AI12" s="22" t="str">
        <f t="shared" si="54"/>
        <v>Spares</v>
      </c>
      <c r="AJ12" s="6">
        <f>IF(AI12="","",L12*'1.0 Data'!$O11)</f>
        <v>0</v>
      </c>
      <c r="AK12" s="6">
        <f>IF(AJ12="","",M12*'1.0 Data'!$O11)</f>
        <v>0</v>
      </c>
      <c r="AL12" s="6">
        <f>IF(AK12="","",N12*'1.0 Data'!$O11)</f>
        <v>0</v>
      </c>
      <c r="AM12" s="6">
        <f>IF(AL12="","",O12*'1.0 Data'!$O11)</f>
        <v>0</v>
      </c>
      <c r="AN12" s="6">
        <f>IF(AM12="","",P12*'1.0 Data'!$O11)</f>
        <v>0</v>
      </c>
      <c r="AO12" s="6">
        <f t="shared" si="55"/>
        <v>0</v>
      </c>
      <c r="AQ12" s="22" t="str">
        <f t="shared" si="56"/>
        <v>Spares</v>
      </c>
      <c r="AR12" s="6">
        <f>IF(AQ12="","",L12*'1.0 Data'!$P11)</f>
        <v>0</v>
      </c>
      <c r="AS12" s="6">
        <f>IF(AR12="","",M12*'1.0 Data'!$P11)</f>
        <v>0</v>
      </c>
      <c r="AT12" s="6">
        <f>IF(AS12="","",N12*'1.0 Data'!$P11)</f>
        <v>0</v>
      </c>
      <c r="AU12" s="6">
        <f>IF(AT12="","",O12*'1.0 Data'!$P11)</f>
        <v>0</v>
      </c>
      <c r="AV12" s="6">
        <f>IF(AU12="","",P12*'1.0 Data'!$P11)</f>
        <v>0</v>
      </c>
      <c r="AW12" s="6">
        <f t="shared" si="57"/>
        <v>0</v>
      </c>
      <c r="AY12" s="22" t="str">
        <f t="shared" si="36"/>
        <v>Spares</v>
      </c>
      <c r="AZ12" s="6">
        <f>IF(AY12="","",L12*'1.0 Data'!$Q11)</f>
        <v>6.0351923549488054E-2</v>
      </c>
      <c r="BA12" s="6">
        <f>IF(AZ12="","",M12*'1.0 Data'!$Q11)</f>
        <v>0.24140769419795222</v>
      </c>
      <c r="BB12" s="6">
        <f>IF(BA12="","",N12*'1.0 Data'!$Q11)</f>
        <v>0.12070384709897611</v>
      </c>
      <c r="BC12" s="6">
        <f>IF(BB12="","",O12*'1.0 Data'!$Q11)</f>
        <v>0.25347807890784979</v>
      </c>
      <c r="BD12" s="6">
        <f>IF(BC12="","",P12*'1.0 Data'!$Q11)</f>
        <v>0</v>
      </c>
      <c r="BE12" s="6">
        <f t="shared" si="58"/>
        <v>0.67594154375426618</v>
      </c>
      <c r="BG12" s="6">
        <f t="shared" si="59"/>
        <v>0.67594154375426618</v>
      </c>
      <c r="BH12" s="22">
        <f>H12*HLOOKUP($B12,'1.1 Input'!$A$8:$N$15,6,FALSE)</f>
        <v>0.67594154375426607</v>
      </c>
      <c r="BI12" s="23">
        <f t="shared" si="60"/>
        <v>0</v>
      </c>
      <c r="BK12" s="22" t="str">
        <f t="shared" si="61"/>
        <v>Spares</v>
      </c>
      <c r="BL12" s="6">
        <f>IF(BK12="","",T12*'1.1 Input'!D$58)</f>
        <v>0</v>
      </c>
      <c r="BM12" s="6">
        <f>IF(BL12="","",U12*'1.1 Input'!E$58)</f>
        <v>0</v>
      </c>
      <c r="BN12" s="6">
        <f>IF(BM12="","",V12*'1.1 Input'!F$58)</f>
        <v>0</v>
      </c>
      <c r="BO12" s="6">
        <f>IF(BN12="","",W12*'1.1 Input'!G$58)</f>
        <v>0</v>
      </c>
      <c r="BP12" s="6">
        <f>IF(BO12="","",X12*'1.1 Input'!H$58)</f>
        <v>0</v>
      </c>
      <c r="BQ12" s="6">
        <f t="shared" si="62"/>
        <v>0</v>
      </c>
      <c r="BR12" s="22" t="str">
        <f t="shared" si="63"/>
        <v>Spares</v>
      </c>
      <c r="BS12" s="6">
        <f>IF(BR12="","",AB12*'1.1 Input'!D$59)</f>
        <v>0</v>
      </c>
      <c r="BT12" s="6">
        <f>IF(BS12="","",AC12*'1.1 Input'!E$59)</f>
        <v>0</v>
      </c>
      <c r="BU12" s="6">
        <f>IF(BT12="","",AD12*'1.1 Input'!F$59)</f>
        <v>0</v>
      </c>
      <c r="BV12" s="6">
        <f>IF(BU12="","",AE12*'1.1 Input'!G$59)</f>
        <v>0</v>
      </c>
      <c r="BW12" s="6">
        <f>IF(BV12="","",AF12*'1.1 Input'!H$59)</f>
        <v>0</v>
      </c>
      <c r="BX12" s="6">
        <f t="shared" si="64"/>
        <v>0</v>
      </c>
      <c r="BY12" s="22" t="str">
        <f t="shared" si="65"/>
        <v>Spares</v>
      </c>
      <c r="BZ12" s="6">
        <f>IF(BY12="","",AJ12*'1.1 Input'!D$60)</f>
        <v>0</v>
      </c>
      <c r="CA12" s="6">
        <f>IF(BZ12="","",AK12*'1.1 Input'!E$60)</f>
        <v>0</v>
      </c>
      <c r="CB12" s="6">
        <f>IF(CA12="","",AL12*'1.1 Input'!F$60)</f>
        <v>0</v>
      </c>
      <c r="CC12" s="6">
        <f>IF(CB12="","",AM12*'1.1 Input'!G$60)</f>
        <v>0</v>
      </c>
      <c r="CD12" s="6">
        <f>IF(CC12="","",AN12*'1.1 Input'!H$60)</f>
        <v>0</v>
      </c>
      <c r="CE12" s="6">
        <f t="shared" si="66"/>
        <v>0</v>
      </c>
      <c r="CF12" s="22" t="str">
        <f t="shared" si="67"/>
        <v>Spares</v>
      </c>
      <c r="CG12" s="6">
        <f>IF(CF12="","",AR12*'1.1 Input'!D$61)</f>
        <v>0</v>
      </c>
      <c r="CH12" s="6">
        <f>IF(CG12="","",AS12*'1.1 Input'!E$61)</f>
        <v>0</v>
      </c>
      <c r="CI12" s="6">
        <f>IF(CH12="","",AT12*'1.1 Input'!F$61)</f>
        <v>0</v>
      </c>
      <c r="CJ12" s="6">
        <f>IF(CI12="","",AU12*'1.1 Input'!G$61)</f>
        <v>0</v>
      </c>
      <c r="CK12" s="6">
        <f>IF(CJ12="","",AV12*'1.1 Input'!H$61)</f>
        <v>0</v>
      </c>
      <c r="CL12" s="6">
        <f t="shared" si="68"/>
        <v>0</v>
      </c>
      <c r="CM12" s="22" t="str">
        <f t="shared" si="37"/>
        <v>Spares</v>
      </c>
      <c r="CN12" s="22">
        <f t="shared" si="38"/>
        <v>6.0351923549488054E-2</v>
      </c>
      <c r="CO12" s="22">
        <f t="shared" si="39"/>
        <v>0.24140769419795222</v>
      </c>
      <c r="CP12" s="22">
        <f t="shared" si="40"/>
        <v>0.12070384709897611</v>
      </c>
      <c r="CQ12" s="22">
        <f t="shared" si="41"/>
        <v>0.25347807890784979</v>
      </c>
      <c r="CR12" s="22">
        <f t="shared" si="42"/>
        <v>0</v>
      </c>
      <c r="CS12" s="6">
        <f t="shared" si="69"/>
        <v>0.67594154375426618</v>
      </c>
      <c r="CT12" s="22" t="str">
        <f t="shared" si="70"/>
        <v>Spares</v>
      </c>
      <c r="CU12" s="22" t="str">
        <f t="shared" si="71"/>
        <v>2024/25</v>
      </c>
      <c r="CV12" s="6">
        <f t="shared" si="43"/>
        <v>6.0351923549488054E-2</v>
      </c>
      <c r="CW12" s="6">
        <f t="shared" si="44"/>
        <v>0.24140769419795222</v>
      </c>
      <c r="CX12" s="6">
        <f t="shared" si="45"/>
        <v>0.12070384709897611</v>
      </c>
      <c r="CY12" s="6">
        <f t="shared" si="46"/>
        <v>0.25347807890784979</v>
      </c>
      <c r="CZ12" s="6">
        <f t="shared" si="47"/>
        <v>0</v>
      </c>
      <c r="DA12" s="6">
        <f t="shared" si="72"/>
        <v>0.67594154375426618</v>
      </c>
    </row>
    <row r="13" spans="1:105" ht="16.5" thickTop="1" thickBot="1">
      <c r="A13" s="22" t="str">
        <f>'1.0 Data'!A12</f>
        <v>Subsea Cable Repair Strategy</v>
      </c>
      <c r="B13" s="22" t="str">
        <f>'1.0 Data'!B12</f>
        <v>2020/21</v>
      </c>
      <c r="C13" s="22" cm="1">
        <f t="array" ref="C13">_xlfn.IFNA(INDEX('1.0 Data'!G$9:G$36,MATCH($A13,'1.0 Data'!$A$9:$A$36,0),0),0)</f>
        <v>0</v>
      </c>
      <c r="D13" s="22" cm="1">
        <f t="array" ref="D13">_xlfn.IFNA(INDEX('1.0 Data'!H$9:H$36,MATCH($A13,'1.0 Data'!$A$9:$A$36,0),0),0)</f>
        <v>0</v>
      </c>
      <c r="E13" s="22" cm="1">
        <f t="array" ref="E13">_xlfn.IFNA(INDEX('1.0 Data'!I$9:I$36,MATCH($A13,'1.0 Data'!$A$9:$A$36,0),0),0)</f>
        <v>0</v>
      </c>
      <c r="F13" s="22" cm="1">
        <f t="array" ref="F13">_xlfn.IFNA(INDEX('1.0 Data'!J$9:J$36,MATCH($A13,'1.0 Data'!$A$9:$A$36,0),0),0)</f>
        <v>0.8</v>
      </c>
      <c r="G13" s="22" cm="1">
        <f t="array" ref="G13">_xlfn.IFNA(INDEX('1.0 Data'!K$9:K$36,MATCH($A13,'1.0 Data'!$A$9:$A$36,0),0),0)</f>
        <v>8.6999999999999993</v>
      </c>
      <c r="H13" s="6">
        <f t="shared" si="48"/>
        <v>9.5</v>
      </c>
      <c r="J13" s="22" t="str">
        <f t="shared" si="49"/>
        <v>Subsea Cable Repair Strategy</v>
      </c>
      <c r="K13" s="5" t="str">
        <f t="shared" si="50"/>
        <v>2024/25</v>
      </c>
      <c r="L13" s="6">
        <f>_xlfn.IFNA(HLOOKUP($B13,'1.1 Input'!$A$8:$N$15,6,FALSE)*C13,"")</f>
        <v>0</v>
      </c>
      <c r="M13" s="6">
        <f>_xlfn.IFNA(HLOOKUP($B13,'1.1 Input'!$A$8:$N$15,6,FALSE)*D13,"")</f>
        <v>0</v>
      </c>
      <c r="N13" s="6">
        <f>_xlfn.IFNA(HLOOKUP($B13,'1.1 Input'!$A$8:$N$15,6,FALSE)*E13,"")</f>
        <v>0</v>
      </c>
      <c r="O13" s="6">
        <f>_xlfn.IFNA(HLOOKUP($B13,'1.1 Input'!$A$8:$N$15,6,FALSE)*F13,"")</f>
        <v>0.96563077679180886</v>
      </c>
      <c r="P13" s="6">
        <f>_xlfn.IFNA(HLOOKUP($B13,'1.1 Input'!$A$8:$N$15,6,FALSE)*G13,"")</f>
        <v>10.50123469761092</v>
      </c>
      <c r="Q13" s="34">
        <f t="shared" si="35"/>
        <v>11.466865474402729</v>
      </c>
      <c r="S13" s="22" t="str">
        <f t="shared" si="3"/>
        <v>Subsea Cable Repair Strategy</v>
      </c>
      <c r="T13" s="6">
        <f>(IF(S13="","",L13*'1.0 Data'!$M12))</f>
        <v>0</v>
      </c>
      <c r="U13" s="6">
        <f>(IF(T13="","",M13*'1.0 Data'!$M12))</f>
        <v>0</v>
      </c>
      <c r="V13" s="6">
        <f>(IF(U13="","",N13*'1.0 Data'!$M12))</f>
        <v>0</v>
      </c>
      <c r="W13" s="6">
        <f>(IF(V13="","",O13*'1.0 Data'!$M12))</f>
        <v>0.457404052164541</v>
      </c>
      <c r="X13" s="6">
        <f>(IF(W13="","",P13*'1.0 Data'!$M12))</f>
        <v>4.9742690672893835</v>
      </c>
      <c r="Y13" s="6">
        <f t="shared" si="51"/>
        <v>5.4316731194539241</v>
      </c>
      <c r="AA13" s="22" t="str">
        <f t="shared" si="52"/>
        <v>Subsea Cable Repair Strategy</v>
      </c>
      <c r="AB13" s="6">
        <f>IF(AA13="","",L13*'1.0 Data'!$N12)</f>
        <v>0</v>
      </c>
      <c r="AC13" s="6">
        <f>IF(AB13="","",M13*'1.0 Data'!$N12)</f>
        <v>0</v>
      </c>
      <c r="AD13" s="6">
        <f>IF(AC13="","",N13*'1.0 Data'!$N12)</f>
        <v>0</v>
      </c>
      <c r="AE13" s="6">
        <f>IF(AD13="","",O13*'1.0 Data'!$N12)</f>
        <v>0</v>
      </c>
      <c r="AF13" s="6">
        <f>IF(AE13="","",P13*'1.0 Data'!$N12)</f>
        <v>0</v>
      </c>
      <c r="AG13" s="6">
        <f t="shared" si="53"/>
        <v>0</v>
      </c>
      <c r="AI13" s="22" t="str">
        <f t="shared" si="54"/>
        <v>Subsea Cable Repair Strategy</v>
      </c>
      <c r="AJ13" s="6">
        <f>IF(AI13="","",L13*'1.0 Data'!$O12)</f>
        <v>0</v>
      </c>
      <c r="AK13" s="6">
        <f>IF(AJ13="","",M13*'1.0 Data'!$O12)</f>
        <v>0</v>
      </c>
      <c r="AL13" s="6">
        <f>IF(AK13="","",N13*'1.0 Data'!$O12)</f>
        <v>0</v>
      </c>
      <c r="AM13" s="6">
        <f>IF(AL13="","",O13*'1.0 Data'!$O12)</f>
        <v>0</v>
      </c>
      <c r="AN13" s="6">
        <f>IF(AM13="","",P13*'1.0 Data'!$O12)</f>
        <v>0</v>
      </c>
      <c r="AO13" s="6">
        <f t="shared" si="55"/>
        <v>0</v>
      </c>
      <c r="AQ13" s="22" t="str">
        <f t="shared" si="56"/>
        <v>Subsea Cable Repair Strategy</v>
      </c>
      <c r="AR13" s="6">
        <f>IF(AQ13="","",L13*'1.0 Data'!$P12)</f>
        <v>0</v>
      </c>
      <c r="AS13" s="6">
        <f>IF(AR13="","",M13*'1.0 Data'!$P12)</f>
        <v>0</v>
      </c>
      <c r="AT13" s="6">
        <f>IF(AS13="","",N13*'1.0 Data'!$P12)</f>
        <v>0</v>
      </c>
      <c r="AU13" s="6">
        <f>IF(AT13="","",O13*'1.0 Data'!$P12)</f>
        <v>0</v>
      </c>
      <c r="AV13" s="6">
        <f>IF(AU13="","",P13*'1.0 Data'!$P12)</f>
        <v>0</v>
      </c>
      <c r="AW13" s="6">
        <f t="shared" si="57"/>
        <v>0</v>
      </c>
      <c r="AY13" s="22" t="str">
        <f t="shared" si="36"/>
        <v>Subsea Cable Repair Strategy</v>
      </c>
      <c r="AZ13" s="6">
        <f>IF(AY13="","",L13*'1.0 Data'!$Q12)</f>
        <v>0</v>
      </c>
      <c r="BA13" s="6">
        <f>IF(AZ13="","",M13*'1.0 Data'!$Q12)</f>
        <v>0</v>
      </c>
      <c r="BB13" s="6">
        <f>IF(BA13="","",N13*'1.0 Data'!$Q12)</f>
        <v>0</v>
      </c>
      <c r="BC13" s="6">
        <f>IF(BB13="","",O13*'1.0 Data'!$Q12)</f>
        <v>0.50822672462726792</v>
      </c>
      <c r="BD13" s="6">
        <f>IF(BC13="","",P13*'1.0 Data'!$Q12)</f>
        <v>5.5269656303215378</v>
      </c>
      <c r="BE13" s="6">
        <f t="shared" si="58"/>
        <v>6.0351923549488058</v>
      </c>
      <c r="BG13" s="6">
        <f t="shared" si="59"/>
        <v>11.466865474402731</v>
      </c>
      <c r="BH13" s="22">
        <f>H13*HLOOKUP($B13,'1.1 Input'!$A$8:$N$15,6,FALSE)</f>
        <v>11.466865474402729</v>
      </c>
      <c r="BI13" s="23">
        <f t="shared" si="60"/>
        <v>0</v>
      </c>
      <c r="BK13" s="22" t="str">
        <f t="shared" si="61"/>
        <v>Subsea Cable Repair Strategy</v>
      </c>
      <c r="BL13" s="6">
        <f>IF(BK13="","",T13*'1.1 Input'!D$58)</f>
        <v>0</v>
      </c>
      <c r="BM13" s="6">
        <f>IF(BL13="","",U13*'1.1 Input'!E$58)</f>
        <v>0</v>
      </c>
      <c r="BN13" s="6">
        <f>IF(BM13="","",V13*'1.1 Input'!F$58)</f>
        <v>0</v>
      </c>
      <c r="BO13" s="6">
        <f>IF(BN13="","",W13*'1.1 Input'!G$58)</f>
        <v>0.48056683629328256</v>
      </c>
      <c r="BP13" s="6">
        <f>IF(BO13="","",X13*'1.1 Input'!H$58)</f>
        <v>5.2960294855895693</v>
      </c>
      <c r="BQ13" s="6">
        <f t="shared" si="62"/>
        <v>5.7765963218828515</v>
      </c>
      <c r="BR13" s="22" t="str">
        <f t="shared" si="63"/>
        <v>Subsea Cable Repair Strategy</v>
      </c>
      <c r="BS13" s="6">
        <f>IF(BR13="","",AB13*'1.1 Input'!D$59)</f>
        <v>0</v>
      </c>
      <c r="BT13" s="6">
        <f>IF(BS13="","",AC13*'1.1 Input'!E$59)</f>
        <v>0</v>
      </c>
      <c r="BU13" s="6">
        <f>IF(BT13="","",AD13*'1.1 Input'!F$59)</f>
        <v>0</v>
      </c>
      <c r="BV13" s="6">
        <f>IF(BU13="","",AE13*'1.1 Input'!G$59)</f>
        <v>0</v>
      </c>
      <c r="BW13" s="6">
        <f>IF(BV13="","",AF13*'1.1 Input'!H$59)</f>
        <v>0</v>
      </c>
      <c r="BX13" s="6">
        <f t="shared" si="64"/>
        <v>0</v>
      </c>
      <c r="BY13" s="22" t="str">
        <f t="shared" si="65"/>
        <v>Subsea Cable Repair Strategy</v>
      </c>
      <c r="BZ13" s="6">
        <f>IF(BY13="","",AJ13*'1.1 Input'!D$60)</f>
        <v>0</v>
      </c>
      <c r="CA13" s="6">
        <f>IF(BZ13="","",AK13*'1.1 Input'!E$60)</f>
        <v>0</v>
      </c>
      <c r="CB13" s="6">
        <f>IF(CA13="","",AL13*'1.1 Input'!F$60)</f>
        <v>0</v>
      </c>
      <c r="CC13" s="6">
        <f>IF(CB13="","",AM13*'1.1 Input'!G$60)</f>
        <v>0</v>
      </c>
      <c r="CD13" s="6">
        <f>IF(CC13="","",AN13*'1.1 Input'!H$60)</f>
        <v>0</v>
      </c>
      <c r="CE13" s="6">
        <f t="shared" si="66"/>
        <v>0</v>
      </c>
      <c r="CF13" s="22" t="str">
        <f t="shared" si="67"/>
        <v>Subsea Cable Repair Strategy</v>
      </c>
      <c r="CG13" s="6">
        <f>IF(CF13="","",AR13*'1.1 Input'!D$61)</f>
        <v>0</v>
      </c>
      <c r="CH13" s="6">
        <f>IF(CG13="","",AS13*'1.1 Input'!E$61)</f>
        <v>0</v>
      </c>
      <c r="CI13" s="6">
        <f>IF(CH13="","",AT13*'1.1 Input'!F$61)</f>
        <v>0</v>
      </c>
      <c r="CJ13" s="6">
        <f>IF(CI13="","",AU13*'1.1 Input'!G$61)</f>
        <v>0</v>
      </c>
      <c r="CK13" s="6">
        <f>IF(CJ13="","",AV13*'1.1 Input'!H$61)</f>
        <v>0</v>
      </c>
      <c r="CL13" s="6">
        <f t="shared" si="68"/>
        <v>0</v>
      </c>
      <c r="CM13" s="22" t="str">
        <f t="shared" si="37"/>
        <v>Subsea Cable Repair Strategy</v>
      </c>
      <c r="CN13" s="22">
        <f t="shared" si="38"/>
        <v>0</v>
      </c>
      <c r="CO13" s="22">
        <f t="shared" si="39"/>
        <v>0</v>
      </c>
      <c r="CP13" s="22">
        <f t="shared" si="40"/>
        <v>0</v>
      </c>
      <c r="CQ13" s="22">
        <f t="shared" si="41"/>
        <v>0.50822672462726792</v>
      </c>
      <c r="CR13" s="22">
        <f t="shared" si="42"/>
        <v>5.5269656303215378</v>
      </c>
      <c r="CS13" s="6">
        <f t="shared" si="69"/>
        <v>6.0351923549488058</v>
      </c>
      <c r="CT13" s="22" t="str">
        <f t="shared" si="70"/>
        <v>Subsea Cable Repair Strategy</v>
      </c>
      <c r="CU13" s="22" t="str">
        <f t="shared" si="71"/>
        <v>2024/25</v>
      </c>
      <c r="CV13" s="6">
        <f t="shared" si="43"/>
        <v>0</v>
      </c>
      <c r="CW13" s="6">
        <f t="shared" si="44"/>
        <v>0</v>
      </c>
      <c r="CX13" s="6">
        <f t="shared" si="45"/>
        <v>0</v>
      </c>
      <c r="CY13" s="6">
        <f t="shared" si="46"/>
        <v>0.98879356092055048</v>
      </c>
      <c r="CZ13" s="6">
        <f t="shared" si="47"/>
        <v>10.822995115911107</v>
      </c>
      <c r="DA13" s="6">
        <f t="shared" si="72"/>
        <v>11.811788676831657</v>
      </c>
    </row>
    <row r="14" spans="1:105" ht="16.5" thickTop="1" thickBot="1">
      <c r="A14" s="22" t="str">
        <f>'1.0 Data'!A13</f>
        <v>Minor Plant and Equipment</v>
      </c>
      <c r="B14" s="22" t="str">
        <f>'1.0 Data'!B13</f>
        <v>2022/23</v>
      </c>
      <c r="C14" s="22" cm="1">
        <f t="array" ref="C14">_xlfn.IFNA(INDEX('1.0 Data'!G$9:G$36,MATCH($A14,'1.0 Data'!$A$9:$A$36,0),0),0)</f>
        <v>4.6608999999999998E-2</v>
      </c>
      <c r="D14" s="22" cm="1">
        <f t="array" ref="D14">_xlfn.IFNA(INDEX('1.0 Data'!H$9:H$36,MATCH($A14,'1.0 Data'!$A$9:$A$36,0),0),0)</f>
        <v>4.6608999999999998E-2</v>
      </c>
      <c r="E14" s="22" cm="1">
        <f t="array" ref="E14">_xlfn.IFNA(INDEX('1.0 Data'!I$9:I$36,MATCH($A14,'1.0 Data'!$A$9:$A$36,0),0),0)</f>
        <v>4.6608999999999998E-2</v>
      </c>
      <c r="F14" s="22" cm="1">
        <f t="array" ref="F14">_xlfn.IFNA(INDEX('1.0 Data'!J$9:J$36,MATCH($A14,'1.0 Data'!$A$9:$A$36,0),0),0)</f>
        <v>4.6608999999999998E-2</v>
      </c>
      <c r="G14" s="22" cm="1">
        <f t="array" ref="G14">_xlfn.IFNA(INDEX('1.0 Data'!K$9:K$36,MATCH($A14,'1.0 Data'!$A$9:$A$36,0),0),0)</f>
        <v>4.6608999999999998E-2</v>
      </c>
      <c r="H14" s="6">
        <f t="shared" si="48"/>
        <v>0.233045</v>
      </c>
      <c r="J14" s="22" t="str">
        <f t="shared" si="49"/>
        <v>Minor Plant and Equipment</v>
      </c>
      <c r="K14" s="5" t="str">
        <f t="shared" si="50"/>
        <v>2024/25</v>
      </c>
      <c r="L14" s="6">
        <f>_xlfn.IFNA(HLOOKUP($B14,'1.1 Input'!$A$8:$N$15,6,FALSE)*C14,"")</f>
        <v>5.0409311424E-2</v>
      </c>
      <c r="M14" s="6">
        <f>_xlfn.IFNA(HLOOKUP($B14,'1.1 Input'!$A$8:$N$15,6,FALSE)*D14,"")</f>
        <v>5.0409311424E-2</v>
      </c>
      <c r="N14" s="6">
        <f>_xlfn.IFNA(HLOOKUP($B14,'1.1 Input'!$A$8:$N$15,6,FALSE)*E14,"")</f>
        <v>5.0409311424E-2</v>
      </c>
      <c r="O14" s="6">
        <f>_xlfn.IFNA(HLOOKUP($B14,'1.1 Input'!$A$8:$N$15,6,FALSE)*F14,"")</f>
        <v>5.0409311424E-2</v>
      </c>
      <c r="P14" s="6">
        <f>_xlfn.IFNA(HLOOKUP($B14,'1.1 Input'!$A$8:$N$15,6,FALSE)*G14,"")</f>
        <v>5.0409311424E-2</v>
      </c>
      <c r="Q14" s="34">
        <f t="shared" si="35"/>
        <v>0.25204655712000001</v>
      </c>
      <c r="S14" s="22" t="str">
        <f t="shared" si="3"/>
        <v>Minor Plant and Equipment</v>
      </c>
      <c r="T14" s="6">
        <f>(IF(S14="","",L14*'1.0 Data'!$M13))</f>
        <v>0</v>
      </c>
      <c r="U14" s="6">
        <f>(IF(T14="","",M14*'1.0 Data'!$M13))</f>
        <v>0</v>
      </c>
      <c r="V14" s="6">
        <f>(IF(U14="","",N14*'1.0 Data'!$M13))</f>
        <v>0</v>
      </c>
      <c r="W14" s="6">
        <f>(IF(V14="","",O14*'1.0 Data'!$M13))</f>
        <v>0</v>
      </c>
      <c r="X14" s="6">
        <f>(IF(W14="","",P14*'1.0 Data'!$M13))</f>
        <v>0</v>
      </c>
      <c r="Y14" s="6">
        <f t="shared" si="51"/>
        <v>0</v>
      </c>
      <c r="AA14" s="22" t="str">
        <f t="shared" si="52"/>
        <v>Minor Plant and Equipment</v>
      </c>
      <c r="AB14" s="6">
        <f>IF(AA14="","",L14*'1.0 Data'!$N13)</f>
        <v>0</v>
      </c>
      <c r="AC14" s="6">
        <f>IF(AB14="","",M14*'1.0 Data'!$N13)</f>
        <v>0</v>
      </c>
      <c r="AD14" s="6">
        <f>IF(AC14="","",N14*'1.0 Data'!$N13)</f>
        <v>0</v>
      </c>
      <c r="AE14" s="6">
        <f>IF(AD14="","",O14*'1.0 Data'!$N13)</f>
        <v>0</v>
      </c>
      <c r="AF14" s="6">
        <f>IF(AE14="","",P14*'1.0 Data'!$N13)</f>
        <v>0</v>
      </c>
      <c r="AG14" s="6">
        <f t="shared" si="53"/>
        <v>0</v>
      </c>
      <c r="AI14" s="22" t="str">
        <f t="shared" si="54"/>
        <v>Minor Plant and Equipment</v>
      </c>
      <c r="AJ14" s="6">
        <f>IF(AI14="","",L14*'1.0 Data'!$O13)</f>
        <v>0</v>
      </c>
      <c r="AK14" s="6">
        <f>IF(AJ14="","",M14*'1.0 Data'!$O13)</f>
        <v>0</v>
      </c>
      <c r="AL14" s="6">
        <f>IF(AK14="","",N14*'1.0 Data'!$O13)</f>
        <v>0</v>
      </c>
      <c r="AM14" s="6">
        <f>IF(AL14="","",O14*'1.0 Data'!$O13)</f>
        <v>0</v>
      </c>
      <c r="AN14" s="6">
        <f>IF(AM14="","",P14*'1.0 Data'!$O13)</f>
        <v>0</v>
      </c>
      <c r="AO14" s="6">
        <f t="shared" si="55"/>
        <v>0</v>
      </c>
      <c r="AQ14" s="22" t="str">
        <f t="shared" si="56"/>
        <v>Minor Plant and Equipment</v>
      </c>
      <c r="AR14" s="6">
        <f>IF(AQ14="","",L14*'1.0 Data'!$P13)</f>
        <v>0</v>
      </c>
      <c r="AS14" s="6">
        <f>IF(AR14="","",M14*'1.0 Data'!$P13)</f>
        <v>0</v>
      </c>
      <c r="AT14" s="6">
        <f>IF(AS14="","",N14*'1.0 Data'!$P13)</f>
        <v>0</v>
      </c>
      <c r="AU14" s="6">
        <f>IF(AT14="","",O14*'1.0 Data'!$P13)</f>
        <v>0</v>
      </c>
      <c r="AV14" s="6">
        <f>IF(AU14="","",P14*'1.0 Data'!$P13)</f>
        <v>0</v>
      </c>
      <c r="AW14" s="6">
        <f t="shared" si="57"/>
        <v>0</v>
      </c>
      <c r="AY14" s="22" t="str">
        <f t="shared" si="36"/>
        <v>Minor Plant and Equipment</v>
      </c>
      <c r="AZ14" s="6">
        <f>IF(AY14="","",L14*'1.0 Data'!$Q13)</f>
        <v>5.0409311424E-2</v>
      </c>
      <c r="BA14" s="6">
        <f>IF(AZ14="","",M14*'1.0 Data'!$Q13)</f>
        <v>5.0409311424E-2</v>
      </c>
      <c r="BB14" s="6">
        <f>IF(BA14="","",N14*'1.0 Data'!$Q13)</f>
        <v>5.0409311424E-2</v>
      </c>
      <c r="BC14" s="6">
        <f>IF(BB14="","",O14*'1.0 Data'!$Q13)</f>
        <v>5.0409311424E-2</v>
      </c>
      <c r="BD14" s="6">
        <f>IF(BC14="","",P14*'1.0 Data'!$Q13)</f>
        <v>5.0409311424E-2</v>
      </c>
      <c r="BE14" s="6">
        <f t="shared" si="58"/>
        <v>0.25204655712000001</v>
      </c>
      <c r="BG14" s="6">
        <f t="shared" si="59"/>
        <v>0.25204655712000001</v>
      </c>
      <c r="BH14" s="22">
        <f>H14*HLOOKUP($B14,'1.1 Input'!$A$8:$N$15,6,FALSE)</f>
        <v>0.25204655712000001</v>
      </c>
      <c r="BI14" s="23">
        <f t="shared" si="60"/>
        <v>0</v>
      </c>
      <c r="BK14" s="22" t="str">
        <f t="shared" si="61"/>
        <v>Minor Plant and Equipment</v>
      </c>
      <c r="BL14" s="6">
        <f>IF(BK14="","",T14*'1.1 Input'!D$58)</f>
        <v>0</v>
      </c>
      <c r="BM14" s="6">
        <f>IF(BL14="","",U14*'1.1 Input'!E$58)</f>
        <v>0</v>
      </c>
      <c r="BN14" s="6">
        <f>IF(BM14="","",V14*'1.1 Input'!F$58)</f>
        <v>0</v>
      </c>
      <c r="BO14" s="6">
        <f>IF(BN14="","",W14*'1.1 Input'!G$58)</f>
        <v>0</v>
      </c>
      <c r="BP14" s="6">
        <f>IF(BO14="","",X14*'1.1 Input'!H$58)</f>
        <v>0</v>
      </c>
      <c r="BQ14" s="6">
        <f t="shared" si="62"/>
        <v>0</v>
      </c>
      <c r="BR14" s="22" t="str">
        <f t="shared" si="63"/>
        <v>Minor Plant and Equipment</v>
      </c>
      <c r="BS14" s="6">
        <f>IF(BR14="","",AB14*'1.1 Input'!D$59)</f>
        <v>0</v>
      </c>
      <c r="BT14" s="6">
        <f>IF(BS14="","",AC14*'1.1 Input'!E$59)</f>
        <v>0</v>
      </c>
      <c r="BU14" s="6">
        <f>IF(BT14="","",AD14*'1.1 Input'!F$59)</f>
        <v>0</v>
      </c>
      <c r="BV14" s="6">
        <f>IF(BU14="","",AE14*'1.1 Input'!G$59)</f>
        <v>0</v>
      </c>
      <c r="BW14" s="6">
        <f>IF(BV14="","",AF14*'1.1 Input'!H$59)</f>
        <v>0</v>
      </c>
      <c r="BX14" s="6">
        <f t="shared" si="64"/>
        <v>0</v>
      </c>
      <c r="BY14" s="22" t="str">
        <f t="shared" si="65"/>
        <v>Minor Plant and Equipment</v>
      </c>
      <c r="BZ14" s="6">
        <f>IF(BY14="","",AJ14*'1.1 Input'!D$60)</f>
        <v>0</v>
      </c>
      <c r="CA14" s="6">
        <f>IF(BZ14="","",AK14*'1.1 Input'!E$60)</f>
        <v>0</v>
      </c>
      <c r="CB14" s="6">
        <f>IF(CA14="","",AL14*'1.1 Input'!F$60)</f>
        <v>0</v>
      </c>
      <c r="CC14" s="6">
        <f>IF(CB14="","",AM14*'1.1 Input'!G$60)</f>
        <v>0</v>
      </c>
      <c r="CD14" s="6">
        <f>IF(CC14="","",AN14*'1.1 Input'!H$60)</f>
        <v>0</v>
      </c>
      <c r="CE14" s="6">
        <f t="shared" si="66"/>
        <v>0</v>
      </c>
      <c r="CF14" s="22" t="str">
        <f t="shared" si="67"/>
        <v>Minor Plant and Equipment</v>
      </c>
      <c r="CG14" s="6">
        <f>IF(CF14="","",AR14*'1.1 Input'!D$61)</f>
        <v>0</v>
      </c>
      <c r="CH14" s="6">
        <f>IF(CG14="","",AS14*'1.1 Input'!E$61)</f>
        <v>0</v>
      </c>
      <c r="CI14" s="6">
        <f>IF(CH14="","",AT14*'1.1 Input'!F$61)</f>
        <v>0</v>
      </c>
      <c r="CJ14" s="6">
        <f>IF(CI14="","",AU14*'1.1 Input'!G$61)</f>
        <v>0</v>
      </c>
      <c r="CK14" s="6">
        <f>IF(CJ14="","",AV14*'1.1 Input'!H$61)</f>
        <v>0</v>
      </c>
      <c r="CL14" s="6">
        <f t="shared" si="68"/>
        <v>0</v>
      </c>
      <c r="CM14" s="22" t="str">
        <f t="shared" si="37"/>
        <v>Minor Plant and Equipment</v>
      </c>
      <c r="CN14" s="22">
        <f t="shared" si="38"/>
        <v>5.0409311424E-2</v>
      </c>
      <c r="CO14" s="22">
        <f t="shared" si="39"/>
        <v>5.0409311424E-2</v>
      </c>
      <c r="CP14" s="22">
        <f t="shared" si="40"/>
        <v>5.0409311424E-2</v>
      </c>
      <c r="CQ14" s="22">
        <f t="shared" si="41"/>
        <v>5.0409311424E-2</v>
      </c>
      <c r="CR14" s="22">
        <f t="shared" si="42"/>
        <v>5.0409311424E-2</v>
      </c>
      <c r="CS14" s="6">
        <f t="shared" si="69"/>
        <v>0.25204655712000001</v>
      </c>
      <c r="CT14" s="22" t="str">
        <f t="shared" si="70"/>
        <v>Minor Plant and Equipment</v>
      </c>
      <c r="CU14" s="22" t="str">
        <f t="shared" si="71"/>
        <v>2024/25</v>
      </c>
      <c r="CV14" s="6">
        <f t="shared" si="43"/>
        <v>5.0409311424E-2</v>
      </c>
      <c r="CW14" s="6">
        <f t="shared" si="44"/>
        <v>5.0409311424E-2</v>
      </c>
      <c r="CX14" s="6">
        <f t="shared" si="45"/>
        <v>5.0409311424E-2</v>
      </c>
      <c r="CY14" s="6">
        <f t="shared" si="46"/>
        <v>5.0409311424E-2</v>
      </c>
      <c r="CZ14" s="6">
        <f t="shared" si="47"/>
        <v>5.0409311424E-2</v>
      </c>
      <c r="DA14" s="6">
        <f t="shared" si="72"/>
        <v>0.25204655712000001</v>
      </c>
    </row>
    <row r="15" spans="1:105" ht="16.5" thickTop="1" thickBot="1">
      <c r="A15" s="22" t="str">
        <f>'1.0 Data'!A14</f>
        <v>Ambient Temperature Project</v>
      </c>
      <c r="B15" s="22" t="str">
        <f>'1.0 Data'!B14</f>
        <v>2021/22</v>
      </c>
      <c r="C15" s="22" cm="1">
        <f t="array" ref="C15">_xlfn.IFNA(INDEX('1.0 Data'!G$9:G$36,MATCH($A15,'1.0 Data'!$A$9:$A$36,0),0),0)</f>
        <v>6</v>
      </c>
      <c r="D15" s="22" cm="1">
        <f t="array" ref="D15">_xlfn.IFNA(INDEX('1.0 Data'!H$9:H$36,MATCH($A15,'1.0 Data'!$A$9:$A$36,0),0),0)</f>
        <v>0</v>
      </c>
      <c r="E15" s="22" cm="1">
        <f t="array" ref="E15">_xlfn.IFNA(INDEX('1.0 Data'!I$9:I$36,MATCH($A15,'1.0 Data'!$A$9:$A$36,0),0),0)</f>
        <v>0</v>
      </c>
      <c r="F15" s="22" cm="1">
        <f t="array" ref="F15">_xlfn.IFNA(INDEX('1.0 Data'!J$9:J$36,MATCH($A15,'1.0 Data'!$A$9:$A$36,0),0),0)</f>
        <v>0</v>
      </c>
      <c r="G15" s="22" cm="1">
        <f t="array" ref="G15">_xlfn.IFNA(INDEX('1.0 Data'!K$9:K$36,MATCH($A15,'1.0 Data'!$A$9:$A$36,0),0),0)</f>
        <v>0</v>
      </c>
      <c r="H15" s="6">
        <f t="shared" si="48"/>
        <v>6</v>
      </c>
      <c r="J15" s="22" t="str">
        <f t="shared" si="49"/>
        <v>Ambient Temperature Project</v>
      </c>
      <c r="K15" s="5" t="str">
        <f t="shared" si="50"/>
        <v>2024/25</v>
      </c>
      <c r="L15" s="6">
        <f>_xlfn.IFNA(HLOOKUP($B15,'1.1 Input'!$A$8:$N$15,6,FALSE)*C15,"")</f>
        <v>6.9974398417147574</v>
      </c>
      <c r="M15" s="6">
        <f>_xlfn.IFNA(HLOOKUP($B15,'1.1 Input'!$A$8:$N$15,6,FALSE)*D15,"")</f>
        <v>0</v>
      </c>
      <c r="N15" s="6">
        <f>_xlfn.IFNA(HLOOKUP($B15,'1.1 Input'!$A$8:$N$15,6,FALSE)*E15,"")</f>
        <v>0</v>
      </c>
      <c r="O15" s="6">
        <f>_xlfn.IFNA(HLOOKUP($B15,'1.1 Input'!$A$8:$N$15,6,FALSE)*F15,"")</f>
        <v>0</v>
      </c>
      <c r="P15" s="6">
        <f>_xlfn.IFNA(HLOOKUP($B15,'1.1 Input'!$A$8:$N$15,6,FALSE)*G15,"")</f>
        <v>0</v>
      </c>
      <c r="Q15" s="34">
        <f t="shared" si="35"/>
        <v>6.9974398417147574</v>
      </c>
      <c r="S15" s="22" t="str">
        <f t="shared" si="3"/>
        <v>Ambient Temperature Project</v>
      </c>
      <c r="T15" s="6">
        <f>(IF(S15="","",L15*'1.0 Data'!$M14))</f>
        <v>0</v>
      </c>
      <c r="U15" s="6">
        <f>(IF(T15="","",M15*'1.0 Data'!$M14))</f>
        <v>0</v>
      </c>
      <c r="V15" s="6">
        <f>(IF(U15="","",N15*'1.0 Data'!$M14))</f>
        <v>0</v>
      </c>
      <c r="W15" s="6">
        <f>(IF(V15="","",O15*'1.0 Data'!$M14))</f>
        <v>0</v>
      </c>
      <c r="X15" s="6">
        <f>(IF(W15="","",P15*'1.0 Data'!$M14))</f>
        <v>0</v>
      </c>
      <c r="Y15" s="6">
        <f t="shared" si="51"/>
        <v>0</v>
      </c>
      <c r="AA15" s="22" t="str">
        <f t="shared" si="52"/>
        <v>Ambient Temperature Project</v>
      </c>
      <c r="AB15" s="6">
        <f>IF(AA15="","",L15*'1.0 Data'!$N14)</f>
        <v>0</v>
      </c>
      <c r="AC15" s="6">
        <f>IF(AB15="","",M15*'1.0 Data'!$N14)</f>
        <v>0</v>
      </c>
      <c r="AD15" s="6">
        <f>IF(AC15="","",N15*'1.0 Data'!$N14)</f>
        <v>0</v>
      </c>
      <c r="AE15" s="6">
        <f>IF(AD15="","",O15*'1.0 Data'!$N14)</f>
        <v>0</v>
      </c>
      <c r="AF15" s="6">
        <f>IF(AE15="","",P15*'1.0 Data'!$N14)</f>
        <v>0</v>
      </c>
      <c r="AG15" s="6">
        <f t="shared" si="53"/>
        <v>0</v>
      </c>
      <c r="AI15" s="22" t="str">
        <f t="shared" si="54"/>
        <v>Ambient Temperature Project</v>
      </c>
      <c r="AJ15" s="6">
        <f>IF(AI15="","",L15*'1.0 Data'!$O14)</f>
        <v>0</v>
      </c>
      <c r="AK15" s="6">
        <f>IF(AJ15="","",M15*'1.0 Data'!$O14)</f>
        <v>0</v>
      </c>
      <c r="AL15" s="6">
        <f>IF(AK15="","",N15*'1.0 Data'!$O14)</f>
        <v>0</v>
      </c>
      <c r="AM15" s="6">
        <f>IF(AL15="","",O15*'1.0 Data'!$O14)</f>
        <v>0</v>
      </c>
      <c r="AN15" s="6">
        <f>IF(AM15="","",P15*'1.0 Data'!$O14)</f>
        <v>0</v>
      </c>
      <c r="AO15" s="6">
        <f t="shared" si="55"/>
        <v>0</v>
      </c>
      <c r="AQ15" s="22" t="str">
        <f t="shared" si="56"/>
        <v>Ambient Temperature Project</v>
      </c>
      <c r="AR15" s="6">
        <f>IF(AQ15="","",L15*'1.0 Data'!$P14)</f>
        <v>0</v>
      </c>
      <c r="AS15" s="6">
        <f>IF(AR15="","",M15*'1.0 Data'!$P14)</f>
        <v>0</v>
      </c>
      <c r="AT15" s="6">
        <f>IF(AS15="","",N15*'1.0 Data'!$P14)</f>
        <v>0</v>
      </c>
      <c r="AU15" s="6">
        <f>IF(AT15="","",O15*'1.0 Data'!$P14)</f>
        <v>0</v>
      </c>
      <c r="AV15" s="6">
        <f>IF(AU15="","",P15*'1.0 Data'!$P14)</f>
        <v>0</v>
      </c>
      <c r="AW15" s="6">
        <f t="shared" si="57"/>
        <v>0</v>
      </c>
      <c r="AY15" s="22" t="str">
        <f t="shared" si="36"/>
        <v>Ambient Temperature Project</v>
      </c>
      <c r="AZ15" s="6">
        <f>IF(AY15="","",L15*'1.0 Data'!$Q14)</f>
        <v>6.9974398417147574</v>
      </c>
      <c r="BA15" s="6">
        <f>IF(AZ15="","",M15*'1.0 Data'!$Q14)</f>
        <v>0</v>
      </c>
      <c r="BB15" s="6">
        <f>IF(BA15="","",N15*'1.0 Data'!$Q14)</f>
        <v>0</v>
      </c>
      <c r="BC15" s="6">
        <f>IF(BB15="","",O15*'1.0 Data'!$Q14)</f>
        <v>0</v>
      </c>
      <c r="BD15" s="6">
        <f>IF(BC15="","",P15*'1.0 Data'!$Q14)</f>
        <v>0</v>
      </c>
      <c r="BE15" s="6">
        <f t="shared" si="58"/>
        <v>6.9974398417147574</v>
      </c>
      <c r="BG15" s="6">
        <f t="shared" si="59"/>
        <v>6.9974398417147574</v>
      </c>
      <c r="BH15" s="22">
        <f>H15*HLOOKUP($B15,'1.1 Input'!$A$8:$N$15,6,FALSE)</f>
        <v>6.9974398417147574</v>
      </c>
      <c r="BI15" s="23">
        <f t="shared" si="60"/>
        <v>0</v>
      </c>
      <c r="BK15" s="22" t="str">
        <f t="shared" si="61"/>
        <v>Ambient Temperature Project</v>
      </c>
      <c r="BL15" s="6">
        <f>IF(BK15="","",T15*'1.1 Input'!D$58)</f>
        <v>0</v>
      </c>
      <c r="BM15" s="6">
        <f>IF(BL15="","",U15*'1.1 Input'!E$58)</f>
        <v>0</v>
      </c>
      <c r="BN15" s="6">
        <f>IF(BM15="","",V15*'1.1 Input'!F$58)</f>
        <v>0</v>
      </c>
      <c r="BO15" s="6">
        <f>IF(BN15="","",W15*'1.1 Input'!G$58)</f>
        <v>0</v>
      </c>
      <c r="BP15" s="6">
        <f>IF(BO15="","",X15*'1.1 Input'!H$58)</f>
        <v>0</v>
      </c>
      <c r="BQ15" s="6">
        <f t="shared" si="62"/>
        <v>0</v>
      </c>
      <c r="BR15" s="22" t="str">
        <f t="shared" si="63"/>
        <v>Ambient Temperature Project</v>
      </c>
      <c r="BS15" s="6">
        <f>IF(BR15="","",AB15*'1.1 Input'!D$59)</f>
        <v>0</v>
      </c>
      <c r="BT15" s="6">
        <f>IF(BS15="","",AC15*'1.1 Input'!E$59)</f>
        <v>0</v>
      </c>
      <c r="BU15" s="6">
        <f>IF(BT15="","",AD15*'1.1 Input'!F$59)</f>
        <v>0</v>
      </c>
      <c r="BV15" s="6">
        <f>IF(BU15="","",AE15*'1.1 Input'!G$59)</f>
        <v>0</v>
      </c>
      <c r="BW15" s="6">
        <f>IF(BV15="","",AF15*'1.1 Input'!H$59)</f>
        <v>0</v>
      </c>
      <c r="BX15" s="6">
        <f t="shared" si="64"/>
        <v>0</v>
      </c>
      <c r="BY15" s="22" t="str">
        <f t="shared" si="65"/>
        <v>Ambient Temperature Project</v>
      </c>
      <c r="BZ15" s="6">
        <f>IF(BY15="","",AJ15*'1.1 Input'!D$60)</f>
        <v>0</v>
      </c>
      <c r="CA15" s="6">
        <f>IF(BZ15="","",AK15*'1.1 Input'!E$60)</f>
        <v>0</v>
      </c>
      <c r="CB15" s="6">
        <f>IF(CA15="","",AL15*'1.1 Input'!F$60)</f>
        <v>0</v>
      </c>
      <c r="CC15" s="6">
        <f>IF(CB15="","",AM15*'1.1 Input'!G$60)</f>
        <v>0</v>
      </c>
      <c r="CD15" s="6">
        <f>IF(CC15="","",AN15*'1.1 Input'!H$60)</f>
        <v>0</v>
      </c>
      <c r="CE15" s="6">
        <f t="shared" si="66"/>
        <v>0</v>
      </c>
      <c r="CF15" s="22" t="str">
        <f t="shared" si="67"/>
        <v>Ambient Temperature Project</v>
      </c>
      <c r="CG15" s="6">
        <f>IF(CF15="","",AR15*'1.1 Input'!D$61)</f>
        <v>0</v>
      </c>
      <c r="CH15" s="6">
        <f>IF(CG15="","",AS15*'1.1 Input'!E$61)</f>
        <v>0</v>
      </c>
      <c r="CI15" s="6">
        <f>IF(CH15="","",AT15*'1.1 Input'!F$61)</f>
        <v>0</v>
      </c>
      <c r="CJ15" s="6">
        <f>IF(CI15="","",AU15*'1.1 Input'!G$61)</f>
        <v>0</v>
      </c>
      <c r="CK15" s="6">
        <f>IF(CJ15="","",AV15*'1.1 Input'!H$61)</f>
        <v>0</v>
      </c>
      <c r="CL15" s="6">
        <f t="shared" si="68"/>
        <v>0</v>
      </c>
      <c r="CM15" s="22" t="str">
        <f t="shared" si="37"/>
        <v>Ambient Temperature Project</v>
      </c>
      <c r="CN15" s="22">
        <f t="shared" si="38"/>
        <v>6.9974398417147574</v>
      </c>
      <c r="CO15" s="22">
        <f t="shared" si="39"/>
        <v>0</v>
      </c>
      <c r="CP15" s="22">
        <f t="shared" si="40"/>
        <v>0</v>
      </c>
      <c r="CQ15" s="22">
        <f t="shared" si="41"/>
        <v>0</v>
      </c>
      <c r="CR15" s="22">
        <f t="shared" si="42"/>
        <v>0</v>
      </c>
      <c r="CS15" s="6">
        <f t="shared" si="69"/>
        <v>6.9974398417147574</v>
      </c>
      <c r="CT15" s="22" t="str">
        <f t="shared" si="70"/>
        <v>Ambient Temperature Project</v>
      </c>
      <c r="CU15" s="22" t="str">
        <f t="shared" si="71"/>
        <v>2024/25</v>
      </c>
      <c r="CV15" s="6">
        <f t="shared" si="43"/>
        <v>6.9974398417147574</v>
      </c>
      <c r="CW15" s="6">
        <f t="shared" si="44"/>
        <v>0</v>
      </c>
      <c r="CX15" s="6">
        <f t="shared" si="45"/>
        <v>0</v>
      </c>
      <c r="CY15" s="6">
        <f t="shared" si="46"/>
        <v>0</v>
      </c>
      <c r="CZ15" s="6">
        <f t="shared" si="47"/>
        <v>0</v>
      </c>
      <c r="DA15" s="6">
        <f t="shared" si="72"/>
        <v>6.9974398417147574</v>
      </c>
    </row>
    <row r="16" spans="1:105" ht="16.5" thickTop="1" thickBot="1">
      <c r="A16" s="22" t="str">
        <f>'1.0 Data'!A15</f>
        <v>Laptop</v>
      </c>
      <c r="B16" s="22" t="str">
        <f>'1.0 Data'!B15</f>
        <v>2021/22</v>
      </c>
      <c r="C16" s="22" cm="1">
        <f t="array" ref="C16">_xlfn.IFNA(INDEX('1.0 Data'!G$9:G$36,MATCH($A16,'1.0 Data'!$A$9:$A$36,0),0),0)</f>
        <v>2.8899999999999999E-2</v>
      </c>
      <c r="D16" s="22" cm="1">
        <f t="array" ref="D16">_xlfn.IFNA(INDEX('1.0 Data'!H$9:H$36,MATCH($A16,'1.0 Data'!$A$9:$A$36,0),0),0)</f>
        <v>0</v>
      </c>
      <c r="E16" s="22" cm="1">
        <f t="array" ref="E16">_xlfn.IFNA(INDEX('1.0 Data'!I$9:I$36,MATCH($A16,'1.0 Data'!$A$9:$A$36,0),0),0)</f>
        <v>0</v>
      </c>
      <c r="F16" s="22" cm="1">
        <f t="array" ref="F16">_xlfn.IFNA(INDEX('1.0 Data'!J$9:J$36,MATCH($A16,'1.0 Data'!$A$9:$A$36,0),0),0)</f>
        <v>2.8899999999999999E-2</v>
      </c>
      <c r="G16" s="22" cm="1">
        <f t="array" ref="G16">_xlfn.IFNA(INDEX('1.0 Data'!K$9:K$36,MATCH($A16,'1.0 Data'!$A$9:$A$36,0),0),0)</f>
        <v>0</v>
      </c>
      <c r="H16" s="6">
        <f t="shared" si="48"/>
        <v>5.7799999999999997E-2</v>
      </c>
      <c r="J16" s="22" t="str">
        <f t="shared" si="49"/>
        <v>Laptop</v>
      </c>
      <c r="K16" s="5" t="str">
        <f t="shared" si="50"/>
        <v>2024/25</v>
      </c>
      <c r="L16" s="6">
        <f>_xlfn.IFNA(HLOOKUP($B16,'1.1 Input'!$A$8:$N$15,6,FALSE)*C16,"")</f>
        <v>3.3704335237592746E-2</v>
      </c>
      <c r="M16" s="6">
        <f>_xlfn.IFNA(HLOOKUP($B16,'1.1 Input'!$A$8:$N$15,6,FALSE)*D16,"")</f>
        <v>0</v>
      </c>
      <c r="N16" s="6">
        <f>_xlfn.IFNA(HLOOKUP($B16,'1.1 Input'!$A$8:$N$15,6,FALSE)*E16,"")</f>
        <v>0</v>
      </c>
      <c r="O16" s="6">
        <f>_xlfn.IFNA(HLOOKUP($B16,'1.1 Input'!$A$8:$N$15,6,FALSE)*F16,"")</f>
        <v>3.3704335237592746E-2</v>
      </c>
      <c r="P16" s="6">
        <f>_xlfn.IFNA(HLOOKUP($B16,'1.1 Input'!$A$8:$N$15,6,FALSE)*G16,"")</f>
        <v>0</v>
      </c>
      <c r="Q16" s="34">
        <f t="shared" si="35"/>
        <v>6.7408670475185492E-2</v>
      </c>
      <c r="S16" s="22" t="str">
        <f t="shared" si="3"/>
        <v>Laptop</v>
      </c>
      <c r="T16" s="6">
        <f>(IF(S16="","",L16*'1.0 Data'!$M15))</f>
        <v>0</v>
      </c>
      <c r="U16" s="6">
        <f>(IF(T16="","",M16*'1.0 Data'!$M15))</f>
        <v>0</v>
      </c>
      <c r="V16" s="6">
        <f>(IF(U16="","",N16*'1.0 Data'!$M15))</f>
        <v>0</v>
      </c>
      <c r="W16" s="6">
        <f>(IF(V16="","",O16*'1.0 Data'!$M15))</f>
        <v>0</v>
      </c>
      <c r="X16" s="6">
        <f>(IF(W16="","",P16*'1.0 Data'!$M15))</f>
        <v>0</v>
      </c>
      <c r="Y16" s="6">
        <f t="shared" si="51"/>
        <v>0</v>
      </c>
      <c r="AA16" s="22" t="str">
        <f t="shared" si="52"/>
        <v>Laptop</v>
      </c>
      <c r="AB16" s="6">
        <f>IF(AA16="","",L16*'1.0 Data'!$N15)</f>
        <v>0</v>
      </c>
      <c r="AC16" s="6">
        <f>IF(AB16="","",M16*'1.0 Data'!$N15)</f>
        <v>0</v>
      </c>
      <c r="AD16" s="6">
        <f>IF(AC16="","",N16*'1.0 Data'!$N15)</f>
        <v>0</v>
      </c>
      <c r="AE16" s="6">
        <f>IF(AD16="","",O16*'1.0 Data'!$N15)</f>
        <v>0</v>
      </c>
      <c r="AF16" s="6">
        <f>IF(AE16="","",P16*'1.0 Data'!$N15)</f>
        <v>0</v>
      </c>
      <c r="AG16" s="6">
        <f t="shared" si="53"/>
        <v>0</v>
      </c>
      <c r="AI16" s="22" t="str">
        <f t="shared" si="54"/>
        <v>Laptop</v>
      </c>
      <c r="AJ16" s="6">
        <f>IF(AI16="","",L16*'1.0 Data'!$O15)</f>
        <v>0</v>
      </c>
      <c r="AK16" s="6">
        <f>IF(AJ16="","",M16*'1.0 Data'!$O15)</f>
        <v>0</v>
      </c>
      <c r="AL16" s="6">
        <f>IF(AK16="","",N16*'1.0 Data'!$O15)</f>
        <v>0</v>
      </c>
      <c r="AM16" s="6">
        <f>IF(AL16="","",O16*'1.0 Data'!$O15)</f>
        <v>0</v>
      </c>
      <c r="AN16" s="6">
        <f>IF(AM16="","",P16*'1.0 Data'!$O15)</f>
        <v>0</v>
      </c>
      <c r="AO16" s="6">
        <f t="shared" si="55"/>
        <v>0</v>
      </c>
      <c r="AQ16" s="22" t="str">
        <f t="shared" si="56"/>
        <v>Laptop</v>
      </c>
      <c r="AR16" s="6">
        <f>IF(AQ16="","",L16*'1.0 Data'!$P15)</f>
        <v>0</v>
      </c>
      <c r="AS16" s="6">
        <f>IF(AR16="","",M16*'1.0 Data'!$P15)</f>
        <v>0</v>
      </c>
      <c r="AT16" s="6">
        <f>IF(AS16="","",N16*'1.0 Data'!$P15)</f>
        <v>0</v>
      </c>
      <c r="AU16" s="6">
        <f>IF(AT16="","",O16*'1.0 Data'!$P15)</f>
        <v>0</v>
      </c>
      <c r="AV16" s="6">
        <f>IF(AU16="","",P16*'1.0 Data'!$P15)</f>
        <v>0</v>
      </c>
      <c r="AW16" s="6">
        <f t="shared" si="57"/>
        <v>0</v>
      </c>
      <c r="AY16" s="22" t="str">
        <f t="shared" si="36"/>
        <v>Laptop</v>
      </c>
      <c r="AZ16" s="6">
        <f>IF(AY16="","",L16*'1.0 Data'!$Q15)</f>
        <v>3.3704335237592746E-2</v>
      </c>
      <c r="BA16" s="6">
        <f>IF(AZ16="","",M16*'1.0 Data'!$Q15)</f>
        <v>0</v>
      </c>
      <c r="BB16" s="6">
        <f>IF(BA16="","",N16*'1.0 Data'!$Q15)</f>
        <v>0</v>
      </c>
      <c r="BC16" s="6">
        <f>IF(BB16="","",O16*'1.0 Data'!$Q15)</f>
        <v>3.3704335237592746E-2</v>
      </c>
      <c r="BD16" s="6">
        <f>IF(BC16="","",P16*'1.0 Data'!$Q15)</f>
        <v>0</v>
      </c>
      <c r="BE16" s="6">
        <f t="shared" si="58"/>
        <v>6.7408670475185492E-2</v>
      </c>
      <c r="BG16" s="6">
        <f t="shared" si="59"/>
        <v>6.7408670475185492E-2</v>
      </c>
      <c r="BH16" s="22">
        <f>H16*HLOOKUP($B16,'1.1 Input'!$A$8:$N$15,6,FALSE)</f>
        <v>6.7408670475185492E-2</v>
      </c>
      <c r="BI16" s="23">
        <f t="shared" si="60"/>
        <v>0</v>
      </c>
      <c r="BK16" s="22" t="str">
        <f t="shared" si="61"/>
        <v>Laptop</v>
      </c>
      <c r="BL16" s="6">
        <f>IF(BK16="","",T16*'1.1 Input'!D$58)</f>
        <v>0</v>
      </c>
      <c r="BM16" s="6">
        <f>IF(BL16="","",U16*'1.1 Input'!E$58)</f>
        <v>0</v>
      </c>
      <c r="BN16" s="6">
        <f>IF(BM16="","",V16*'1.1 Input'!F$58)</f>
        <v>0</v>
      </c>
      <c r="BO16" s="6">
        <f>IF(BN16="","",W16*'1.1 Input'!G$58)</f>
        <v>0</v>
      </c>
      <c r="BP16" s="6">
        <f>IF(BO16="","",X16*'1.1 Input'!H$58)</f>
        <v>0</v>
      </c>
      <c r="BQ16" s="6">
        <f t="shared" si="62"/>
        <v>0</v>
      </c>
      <c r="BR16" s="22" t="str">
        <f t="shared" si="63"/>
        <v>Laptop</v>
      </c>
      <c r="BS16" s="6">
        <f>IF(BR16="","",AB16*'1.1 Input'!D$59)</f>
        <v>0</v>
      </c>
      <c r="BT16" s="6">
        <f>IF(BS16="","",AC16*'1.1 Input'!E$59)</f>
        <v>0</v>
      </c>
      <c r="BU16" s="6">
        <f>IF(BT16="","",AD16*'1.1 Input'!F$59)</f>
        <v>0</v>
      </c>
      <c r="BV16" s="6">
        <f>IF(BU16="","",AE16*'1.1 Input'!G$59)</f>
        <v>0</v>
      </c>
      <c r="BW16" s="6">
        <f>IF(BV16="","",AF16*'1.1 Input'!H$59)</f>
        <v>0</v>
      </c>
      <c r="BX16" s="6">
        <f t="shared" si="64"/>
        <v>0</v>
      </c>
      <c r="BY16" s="22" t="str">
        <f t="shared" si="65"/>
        <v>Laptop</v>
      </c>
      <c r="BZ16" s="6">
        <f>IF(BY16="","",AJ16*'1.1 Input'!D$60)</f>
        <v>0</v>
      </c>
      <c r="CA16" s="6">
        <f>IF(BZ16="","",AK16*'1.1 Input'!E$60)</f>
        <v>0</v>
      </c>
      <c r="CB16" s="6">
        <f>IF(CA16="","",AL16*'1.1 Input'!F$60)</f>
        <v>0</v>
      </c>
      <c r="CC16" s="6">
        <f>IF(CB16="","",AM16*'1.1 Input'!G$60)</f>
        <v>0</v>
      </c>
      <c r="CD16" s="6">
        <f>IF(CC16="","",AN16*'1.1 Input'!H$60)</f>
        <v>0</v>
      </c>
      <c r="CE16" s="6">
        <f t="shared" si="66"/>
        <v>0</v>
      </c>
      <c r="CF16" s="22" t="str">
        <f t="shared" si="67"/>
        <v>Laptop</v>
      </c>
      <c r="CG16" s="6">
        <f>IF(CF16="","",AR16*'1.1 Input'!D$61)</f>
        <v>0</v>
      </c>
      <c r="CH16" s="6">
        <f>IF(CG16="","",AS16*'1.1 Input'!E$61)</f>
        <v>0</v>
      </c>
      <c r="CI16" s="6">
        <f>IF(CH16="","",AT16*'1.1 Input'!F$61)</f>
        <v>0</v>
      </c>
      <c r="CJ16" s="6">
        <f>IF(CI16="","",AU16*'1.1 Input'!G$61)</f>
        <v>0</v>
      </c>
      <c r="CK16" s="6">
        <f>IF(CJ16="","",AV16*'1.1 Input'!H$61)</f>
        <v>0</v>
      </c>
      <c r="CL16" s="6">
        <f t="shared" si="68"/>
        <v>0</v>
      </c>
      <c r="CM16" s="22" t="str">
        <f t="shared" si="37"/>
        <v>Laptop</v>
      </c>
      <c r="CN16" s="22">
        <f t="shared" si="38"/>
        <v>3.3704335237592746E-2</v>
      </c>
      <c r="CO16" s="22">
        <f t="shared" si="39"/>
        <v>0</v>
      </c>
      <c r="CP16" s="22">
        <f t="shared" si="40"/>
        <v>0</v>
      </c>
      <c r="CQ16" s="22">
        <f t="shared" si="41"/>
        <v>3.3704335237592746E-2</v>
      </c>
      <c r="CR16" s="22">
        <f t="shared" si="42"/>
        <v>0</v>
      </c>
      <c r="CS16" s="6">
        <f t="shared" si="69"/>
        <v>6.7408670475185492E-2</v>
      </c>
      <c r="CT16" s="22" t="str">
        <f t="shared" si="70"/>
        <v>Laptop</v>
      </c>
      <c r="CU16" s="22" t="str">
        <f t="shared" si="71"/>
        <v>2024/25</v>
      </c>
      <c r="CV16" s="6">
        <f t="shared" si="43"/>
        <v>3.3704335237592746E-2</v>
      </c>
      <c r="CW16" s="6">
        <f t="shared" si="44"/>
        <v>0</v>
      </c>
      <c r="CX16" s="6">
        <f t="shared" si="45"/>
        <v>0</v>
      </c>
      <c r="CY16" s="6">
        <f t="shared" si="46"/>
        <v>3.3704335237592746E-2</v>
      </c>
      <c r="CZ16" s="6">
        <f t="shared" si="47"/>
        <v>0</v>
      </c>
      <c r="DA16" s="6">
        <f t="shared" si="72"/>
        <v>6.7408670475185492E-2</v>
      </c>
    </row>
    <row r="17" spans="1:105" ht="16.5" thickTop="1" thickBot="1">
      <c r="A17" s="22" t="str">
        <f>'1.0 Data'!A16</f>
        <v>Phones</v>
      </c>
      <c r="B17" s="22" t="str">
        <f>'1.0 Data'!B16</f>
        <v>2021/22</v>
      </c>
      <c r="C17" s="22" cm="1">
        <f t="array" ref="C17">_xlfn.IFNA(INDEX('1.0 Data'!G$9:G$36,MATCH($A17,'1.0 Data'!$A$9:$A$36,0),0),0)</f>
        <v>7.0000000000000001E-3</v>
      </c>
      <c r="D17" s="22" cm="1">
        <f t="array" ref="D17">_xlfn.IFNA(INDEX('1.0 Data'!H$9:H$36,MATCH($A17,'1.0 Data'!$A$9:$A$36,0),0),0)</f>
        <v>0</v>
      </c>
      <c r="E17" s="22" cm="1">
        <f t="array" ref="E17">_xlfn.IFNA(INDEX('1.0 Data'!I$9:I$36,MATCH($A17,'1.0 Data'!$A$9:$A$36,0),0),0)</f>
        <v>0</v>
      </c>
      <c r="F17" s="22" cm="1">
        <f t="array" ref="F17">_xlfn.IFNA(INDEX('1.0 Data'!J$9:J$36,MATCH($A17,'1.0 Data'!$A$9:$A$36,0),0),0)</f>
        <v>7.0000000000000001E-3</v>
      </c>
      <c r="G17" s="22" cm="1">
        <f t="array" ref="G17">_xlfn.IFNA(INDEX('1.0 Data'!K$9:K$36,MATCH($A17,'1.0 Data'!$A$9:$A$36,0),0),0)</f>
        <v>0</v>
      </c>
      <c r="H17" s="6">
        <f t="shared" si="48"/>
        <v>1.4E-2</v>
      </c>
      <c r="J17" s="22" t="str">
        <f t="shared" si="49"/>
        <v>Phones</v>
      </c>
      <c r="K17" s="5" t="str">
        <f t="shared" si="50"/>
        <v>2024/25</v>
      </c>
      <c r="L17" s="6">
        <f>_xlfn.IFNA(HLOOKUP($B17,'1.1 Input'!$A$8:$N$15,6,FALSE)*C17,"")</f>
        <v>8.1636798153338838E-3</v>
      </c>
      <c r="M17" s="6">
        <f>_xlfn.IFNA(HLOOKUP($B17,'1.1 Input'!$A$8:$N$15,6,FALSE)*D17,"")</f>
        <v>0</v>
      </c>
      <c r="N17" s="6">
        <f>_xlfn.IFNA(HLOOKUP($B17,'1.1 Input'!$A$8:$N$15,6,FALSE)*E17,"")</f>
        <v>0</v>
      </c>
      <c r="O17" s="6">
        <f>_xlfn.IFNA(HLOOKUP($B17,'1.1 Input'!$A$8:$N$15,6,FALSE)*F17,"")</f>
        <v>8.1636798153338838E-3</v>
      </c>
      <c r="P17" s="6">
        <f>_xlfn.IFNA(HLOOKUP($B17,'1.1 Input'!$A$8:$N$15,6,FALSE)*G17,"")</f>
        <v>0</v>
      </c>
      <c r="Q17" s="34">
        <f t="shared" si="35"/>
        <v>1.6327359630667768E-2</v>
      </c>
      <c r="S17" s="22" t="str">
        <f t="shared" si="3"/>
        <v>Phones</v>
      </c>
      <c r="T17" s="6">
        <f>(IF(S17="","",L17*'1.0 Data'!$M16))</f>
        <v>0</v>
      </c>
      <c r="U17" s="6">
        <f>(IF(T17="","",M17*'1.0 Data'!$M16))</f>
        <v>0</v>
      </c>
      <c r="V17" s="6">
        <f>(IF(U17="","",N17*'1.0 Data'!$M16))</f>
        <v>0</v>
      </c>
      <c r="W17" s="6">
        <f>(IF(V17="","",O17*'1.0 Data'!$M16))</f>
        <v>0</v>
      </c>
      <c r="X17" s="6">
        <f>(IF(W17="","",P17*'1.0 Data'!$M16))</f>
        <v>0</v>
      </c>
      <c r="Y17" s="6">
        <f t="shared" si="51"/>
        <v>0</v>
      </c>
      <c r="AA17" s="22" t="str">
        <f t="shared" si="52"/>
        <v>Phones</v>
      </c>
      <c r="AB17" s="6">
        <f>IF(AA17="","",L17*'1.0 Data'!$N16)</f>
        <v>0</v>
      </c>
      <c r="AC17" s="6">
        <f>IF(AB17="","",M17*'1.0 Data'!$N16)</f>
        <v>0</v>
      </c>
      <c r="AD17" s="6">
        <f>IF(AC17="","",N17*'1.0 Data'!$N16)</f>
        <v>0</v>
      </c>
      <c r="AE17" s="6">
        <f>IF(AD17="","",O17*'1.0 Data'!$N16)</f>
        <v>0</v>
      </c>
      <c r="AF17" s="6">
        <f>IF(AE17="","",P17*'1.0 Data'!$N16)</f>
        <v>0</v>
      </c>
      <c r="AG17" s="6">
        <f t="shared" si="53"/>
        <v>0</v>
      </c>
      <c r="AI17" s="22" t="str">
        <f t="shared" si="54"/>
        <v>Phones</v>
      </c>
      <c r="AJ17" s="6">
        <f>IF(AI17="","",L17*'1.0 Data'!$O16)</f>
        <v>0</v>
      </c>
      <c r="AK17" s="6">
        <f>IF(AJ17="","",M17*'1.0 Data'!$O16)</f>
        <v>0</v>
      </c>
      <c r="AL17" s="6">
        <f>IF(AK17="","",N17*'1.0 Data'!$O16)</f>
        <v>0</v>
      </c>
      <c r="AM17" s="6">
        <f>IF(AL17="","",O17*'1.0 Data'!$O16)</f>
        <v>0</v>
      </c>
      <c r="AN17" s="6">
        <f>IF(AM17="","",P17*'1.0 Data'!$O16)</f>
        <v>0</v>
      </c>
      <c r="AO17" s="6">
        <f t="shared" si="55"/>
        <v>0</v>
      </c>
      <c r="AQ17" s="22" t="str">
        <f t="shared" si="56"/>
        <v>Phones</v>
      </c>
      <c r="AR17" s="6">
        <f>IF(AQ17="","",L17*'1.0 Data'!$P16)</f>
        <v>0</v>
      </c>
      <c r="AS17" s="6">
        <f>IF(AR17="","",M17*'1.0 Data'!$P16)</f>
        <v>0</v>
      </c>
      <c r="AT17" s="6">
        <f>IF(AS17="","",N17*'1.0 Data'!$P16)</f>
        <v>0</v>
      </c>
      <c r="AU17" s="6">
        <f>IF(AT17="","",O17*'1.0 Data'!$P16)</f>
        <v>0</v>
      </c>
      <c r="AV17" s="6">
        <f>IF(AU17="","",P17*'1.0 Data'!$P16)</f>
        <v>0</v>
      </c>
      <c r="AW17" s="6">
        <f t="shared" si="57"/>
        <v>0</v>
      </c>
      <c r="AY17" s="22" t="str">
        <f t="shared" si="36"/>
        <v>Phones</v>
      </c>
      <c r="AZ17" s="6">
        <f>IF(AY17="","",L17*'1.0 Data'!$Q16)</f>
        <v>8.1636798153338838E-3</v>
      </c>
      <c r="BA17" s="6">
        <f>IF(AZ17="","",M17*'1.0 Data'!$Q16)</f>
        <v>0</v>
      </c>
      <c r="BB17" s="6">
        <f>IF(BA17="","",N17*'1.0 Data'!$Q16)</f>
        <v>0</v>
      </c>
      <c r="BC17" s="6">
        <f>IF(BB17="","",O17*'1.0 Data'!$Q16)</f>
        <v>8.1636798153338838E-3</v>
      </c>
      <c r="BD17" s="6">
        <f>IF(BC17="","",P17*'1.0 Data'!$Q16)</f>
        <v>0</v>
      </c>
      <c r="BE17" s="6">
        <f t="shared" si="58"/>
        <v>1.6327359630667768E-2</v>
      </c>
      <c r="BG17" s="6">
        <f t="shared" si="59"/>
        <v>1.6327359630667768E-2</v>
      </c>
      <c r="BH17" s="22">
        <f>H17*HLOOKUP($B17,'1.1 Input'!$A$8:$N$15,6,FALSE)</f>
        <v>1.6327359630667768E-2</v>
      </c>
      <c r="BI17" s="23">
        <f t="shared" si="60"/>
        <v>0</v>
      </c>
      <c r="BK17" s="22" t="str">
        <f t="shared" si="61"/>
        <v>Phones</v>
      </c>
      <c r="BL17" s="6">
        <f>IF(BK17="","",T17*'1.1 Input'!D$58)</f>
        <v>0</v>
      </c>
      <c r="BM17" s="6">
        <f>IF(BL17="","",U17*'1.1 Input'!E$58)</f>
        <v>0</v>
      </c>
      <c r="BN17" s="6">
        <f>IF(BM17="","",V17*'1.1 Input'!F$58)</f>
        <v>0</v>
      </c>
      <c r="BO17" s="6">
        <f>IF(BN17="","",W17*'1.1 Input'!G$58)</f>
        <v>0</v>
      </c>
      <c r="BP17" s="6">
        <f>IF(BO17="","",X17*'1.1 Input'!H$58)</f>
        <v>0</v>
      </c>
      <c r="BQ17" s="6">
        <f t="shared" si="62"/>
        <v>0</v>
      </c>
      <c r="BR17" s="22" t="str">
        <f t="shared" si="63"/>
        <v>Phones</v>
      </c>
      <c r="BS17" s="6">
        <f>IF(BR17="","",AB17*'1.1 Input'!D$59)</f>
        <v>0</v>
      </c>
      <c r="BT17" s="6">
        <f>IF(BS17="","",AC17*'1.1 Input'!E$59)</f>
        <v>0</v>
      </c>
      <c r="BU17" s="6">
        <f>IF(BT17="","",AD17*'1.1 Input'!F$59)</f>
        <v>0</v>
      </c>
      <c r="BV17" s="6">
        <f>IF(BU17="","",AE17*'1.1 Input'!G$59)</f>
        <v>0</v>
      </c>
      <c r="BW17" s="6">
        <f>IF(BV17="","",AF17*'1.1 Input'!H$59)</f>
        <v>0</v>
      </c>
      <c r="BX17" s="6">
        <f t="shared" si="64"/>
        <v>0</v>
      </c>
      <c r="BY17" s="22" t="str">
        <f t="shared" si="65"/>
        <v>Phones</v>
      </c>
      <c r="BZ17" s="6">
        <f>IF(BY17="","",AJ17*'1.1 Input'!D$60)</f>
        <v>0</v>
      </c>
      <c r="CA17" s="6">
        <f>IF(BZ17="","",AK17*'1.1 Input'!E$60)</f>
        <v>0</v>
      </c>
      <c r="CB17" s="6">
        <f>IF(CA17="","",AL17*'1.1 Input'!F$60)</f>
        <v>0</v>
      </c>
      <c r="CC17" s="6">
        <f>IF(CB17="","",AM17*'1.1 Input'!G$60)</f>
        <v>0</v>
      </c>
      <c r="CD17" s="6">
        <f>IF(CC17="","",AN17*'1.1 Input'!H$60)</f>
        <v>0</v>
      </c>
      <c r="CE17" s="6">
        <f t="shared" si="66"/>
        <v>0</v>
      </c>
      <c r="CF17" s="22" t="str">
        <f t="shared" si="67"/>
        <v>Phones</v>
      </c>
      <c r="CG17" s="6">
        <f>IF(CF17="","",AR17*'1.1 Input'!D$61)</f>
        <v>0</v>
      </c>
      <c r="CH17" s="6">
        <f>IF(CG17="","",AS17*'1.1 Input'!E$61)</f>
        <v>0</v>
      </c>
      <c r="CI17" s="6">
        <f>IF(CH17="","",AT17*'1.1 Input'!F$61)</f>
        <v>0</v>
      </c>
      <c r="CJ17" s="6">
        <f>IF(CI17="","",AU17*'1.1 Input'!G$61)</f>
        <v>0</v>
      </c>
      <c r="CK17" s="6">
        <f>IF(CJ17="","",AV17*'1.1 Input'!H$61)</f>
        <v>0</v>
      </c>
      <c r="CL17" s="6">
        <f t="shared" si="68"/>
        <v>0</v>
      </c>
      <c r="CM17" s="22" t="str">
        <f t="shared" si="37"/>
        <v>Phones</v>
      </c>
      <c r="CN17" s="22">
        <f t="shared" si="38"/>
        <v>8.1636798153338838E-3</v>
      </c>
      <c r="CO17" s="22">
        <f t="shared" si="39"/>
        <v>0</v>
      </c>
      <c r="CP17" s="22">
        <f t="shared" si="40"/>
        <v>0</v>
      </c>
      <c r="CQ17" s="22">
        <f t="shared" si="41"/>
        <v>8.1636798153338838E-3</v>
      </c>
      <c r="CR17" s="22">
        <f t="shared" si="42"/>
        <v>0</v>
      </c>
      <c r="CS17" s="6">
        <f t="shared" si="69"/>
        <v>1.6327359630667768E-2</v>
      </c>
      <c r="CT17" s="22" t="str">
        <f t="shared" si="70"/>
        <v>Phones</v>
      </c>
      <c r="CU17" s="22" t="str">
        <f t="shared" si="71"/>
        <v>2024/25</v>
      </c>
      <c r="CV17" s="6">
        <f t="shared" si="43"/>
        <v>8.1636798153338838E-3</v>
      </c>
      <c r="CW17" s="6">
        <f t="shared" si="44"/>
        <v>0</v>
      </c>
      <c r="CX17" s="6">
        <f t="shared" si="45"/>
        <v>0</v>
      </c>
      <c r="CY17" s="6">
        <f t="shared" si="46"/>
        <v>8.1636798153338838E-3</v>
      </c>
      <c r="CZ17" s="6">
        <f t="shared" si="47"/>
        <v>0</v>
      </c>
      <c r="DA17" s="6">
        <f t="shared" si="72"/>
        <v>1.6327359630667768E-2</v>
      </c>
    </row>
    <row r="18" spans="1:105" ht="16.5" thickTop="1" thickBot="1">
      <c r="A18" s="22" t="str">
        <f>'1.0 Data'!A17</f>
        <v>Video Conferencing Rooms</v>
      </c>
      <c r="B18" s="22" t="str">
        <f>'1.0 Data'!B17</f>
        <v>2021/22</v>
      </c>
      <c r="C18" s="22" cm="1">
        <f t="array" ref="C18">_xlfn.IFNA(INDEX('1.0 Data'!G$9:G$36,MATCH($A18,'1.0 Data'!$A$9:$A$36,0),0),0)</f>
        <v>0</v>
      </c>
      <c r="D18" s="22" cm="1">
        <f t="array" ref="D18">_xlfn.IFNA(INDEX('1.0 Data'!H$9:H$36,MATCH($A18,'1.0 Data'!$A$9:$A$36,0),0),0)</f>
        <v>0</v>
      </c>
      <c r="E18" s="22" cm="1">
        <f t="array" ref="E18">_xlfn.IFNA(INDEX('1.0 Data'!I$9:I$36,MATCH($A18,'1.0 Data'!$A$9:$A$36,0),0),0)</f>
        <v>0</v>
      </c>
      <c r="F18" s="22" cm="1">
        <f t="array" ref="F18">_xlfn.IFNA(INDEX('1.0 Data'!J$9:J$36,MATCH($A18,'1.0 Data'!$A$9:$A$36,0),0),0)</f>
        <v>7.0000000000000007E-2</v>
      </c>
      <c r="G18" s="22" cm="1">
        <f t="array" ref="G18">_xlfn.IFNA(INDEX('1.0 Data'!K$9:K$36,MATCH($A18,'1.0 Data'!$A$9:$A$36,0),0),0)</f>
        <v>0</v>
      </c>
      <c r="H18" s="6">
        <f t="shared" si="48"/>
        <v>7.0000000000000007E-2</v>
      </c>
      <c r="J18" s="22" t="str">
        <f t="shared" si="49"/>
        <v>Video Conferencing Rooms</v>
      </c>
      <c r="K18" s="5" t="str">
        <f t="shared" si="50"/>
        <v>2024/25</v>
      </c>
      <c r="L18" s="6">
        <f>_xlfn.IFNA(HLOOKUP($B18,'1.1 Input'!$A$8:$N$15,6,FALSE)*C18,"")</f>
        <v>0</v>
      </c>
      <c r="M18" s="6">
        <f>_xlfn.IFNA(HLOOKUP($B18,'1.1 Input'!$A$8:$N$15,6,FALSE)*D18,"")</f>
        <v>0</v>
      </c>
      <c r="N18" s="6">
        <f>_xlfn.IFNA(HLOOKUP($B18,'1.1 Input'!$A$8:$N$15,6,FALSE)*E18,"")</f>
        <v>0</v>
      </c>
      <c r="O18" s="6">
        <f>_xlfn.IFNA(HLOOKUP($B18,'1.1 Input'!$A$8:$N$15,6,FALSE)*F18,"")</f>
        <v>8.1636798153338838E-2</v>
      </c>
      <c r="P18" s="6">
        <f>_xlfn.IFNA(HLOOKUP($B18,'1.1 Input'!$A$8:$N$15,6,FALSE)*G18,"")</f>
        <v>0</v>
      </c>
      <c r="Q18" s="34">
        <f t="shared" si="35"/>
        <v>8.1636798153338838E-2</v>
      </c>
      <c r="S18" s="22" t="str">
        <f t="shared" si="3"/>
        <v>Video Conferencing Rooms</v>
      </c>
      <c r="T18" s="6">
        <f>(IF(S18="","",L18*'1.0 Data'!$M17))</f>
        <v>0</v>
      </c>
      <c r="U18" s="6">
        <f>(IF(T18="","",M18*'1.0 Data'!$M17))</f>
        <v>0</v>
      </c>
      <c r="V18" s="6">
        <f>(IF(U18="","",N18*'1.0 Data'!$M17))</f>
        <v>0</v>
      </c>
      <c r="W18" s="6">
        <f>(IF(V18="","",O18*'1.0 Data'!$M17))</f>
        <v>0</v>
      </c>
      <c r="X18" s="6">
        <f>(IF(W18="","",P18*'1.0 Data'!$M17))</f>
        <v>0</v>
      </c>
      <c r="Y18" s="6">
        <f t="shared" si="51"/>
        <v>0</v>
      </c>
      <c r="AA18" s="22" t="str">
        <f t="shared" si="52"/>
        <v>Video Conferencing Rooms</v>
      </c>
      <c r="AB18" s="6">
        <f>IF(AA18="","",L18*'1.0 Data'!$N17)</f>
        <v>0</v>
      </c>
      <c r="AC18" s="6">
        <f>IF(AB18="","",M18*'1.0 Data'!$N17)</f>
        <v>0</v>
      </c>
      <c r="AD18" s="6">
        <f>IF(AC18="","",N18*'1.0 Data'!$N17)</f>
        <v>0</v>
      </c>
      <c r="AE18" s="6">
        <f>IF(AD18="","",O18*'1.0 Data'!$N17)</f>
        <v>0</v>
      </c>
      <c r="AF18" s="6">
        <f>IF(AE18="","",P18*'1.0 Data'!$N17)</f>
        <v>0</v>
      </c>
      <c r="AG18" s="6">
        <f t="shared" si="53"/>
        <v>0</v>
      </c>
      <c r="AI18" s="22" t="str">
        <f t="shared" si="54"/>
        <v>Video Conferencing Rooms</v>
      </c>
      <c r="AJ18" s="6">
        <f>IF(AI18="","",L18*'1.0 Data'!$O17)</f>
        <v>0</v>
      </c>
      <c r="AK18" s="6">
        <f>IF(AJ18="","",M18*'1.0 Data'!$O17)</f>
        <v>0</v>
      </c>
      <c r="AL18" s="6">
        <f>IF(AK18="","",N18*'1.0 Data'!$O17)</f>
        <v>0</v>
      </c>
      <c r="AM18" s="6">
        <f>IF(AL18="","",O18*'1.0 Data'!$O17)</f>
        <v>0</v>
      </c>
      <c r="AN18" s="6">
        <f>IF(AM18="","",P18*'1.0 Data'!$O17)</f>
        <v>0</v>
      </c>
      <c r="AO18" s="6">
        <f t="shared" si="55"/>
        <v>0</v>
      </c>
      <c r="AQ18" s="22" t="str">
        <f t="shared" si="56"/>
        <v>Video Conferencing Rooms</v>
      </c>
      <c r="AR18" s="6">
        <f>IF(AQ18="","",L18*'1.0 Data'!$P17)</f>
        <v>0</v>
      </c>
      <c r="AS18" s="6">
        <f>IF(AR18="","",M18*'1.0 Data'!$P17)</f>
        <v>0</v>
      </c>
      <c r="AT18" s="6">
        <f>IF(AS18="","",N18*'1.0 Data'!$P17)</f>
        <v>0</v>
      </c>
      <c r="AU18" s="6">
        <f>IF(AT18="","",O18*'1.0 Data'!$P17)</f>
        <v>0</v>
      </c>
      <c r="AV18" s="6">
        <f>IF(AU18="","",P18*'1.0 Data'!$P17)</f>
        <v>0</v>
      </c>
      <c r="AW18" s="6">
        <f t="shared" si="57"/>
        <v>0</v>
      </c>
      <c r="AY18" s="22" t="str">
        <f t="shared" si="36"/>
        <v>Video Conferencing Rooms</v>
      </c>
      <c r="AZ18" s="6">
        <f>IF(AY18="","",L18*'1.0 Data'!$Q17)</f>
        <v>0</v>
      </c>
      <c r="BA18" s="6">
        <f>IF(AZ18="","",M18*'1.0 Data'!$Q17)</f>
        <v>0</v>
      </c>
      <c r="BB18" s="6">
        <f>IF(BA18="","",N18*'1.0 Data'!$Q17)</f>
        <v>0</v>
      </c>
      <c r="BC18" s="6">
        <f>IF(BB18="","",O18*'1.0 Data'!$Q17)</f>
        <v>8.1636798153338838E-2</v>
      </c>
      <c r="BD18" s="6">
        <f>IF(BC18="","",P18*'1.0 Data'!$Q17)</f>
        <v>0</v>
      </c>
      <c r="BE18" s="6">
        <f t="shared" si="58"/>
        <v>8.1636798153338838E-2</v>
      </c>
      <c r="BG18" s="6">
        <f t="shared" si="59"/>
        <v>8.1636798153338838E-2</v>
      </c>
      <c r="BH18" s="22">
        <f>H18*HLOOKUP($B18,'1.1 Input'!$A$8:$N$15,6,FALSE)</f>
        <v>8.1636798153338838E-2</v>
      </c>
      <c r="BI18" s="23">
        <f t="shared" si="60"/>
        <v>0</v>
      </c>
      <c r="BK18" s="22" t="str">
        <f t="shared" si="61"/>
        <v>Video Conferencing Rooms</v>
      </c>
      <c r="BL18" s="6">
        <f>IF(BK18="","",T18*'1.1 Input'!D$58)</f>
        <v>0</v>
      </c>
      <c r="BM18" s="6">
        <f>IF(BL18="","",U18*'1.1 Input'!E$58)</f>
        <v>0</v>
      </c>
      <c r="BN18" s="6">
        <f>IF(BM18="","",V18*'1.1 Input'!F$58)</f>
        <v>0</v>
      </c>
      <c r="BO18" s="6">
        <f>IF(BN18="","",W18*'1.1 Input'!G$58)</f>
        <v>0</v>
      </c>
      <c r="BP18" s="6">
        <f>IF(BO18="","",X18*'1.1 Input'!H$58)</f>
        <v>0</v>
      </c>
      <c r="BQ18" s="6">
        <f t="shared" si="62"/>
        <v>0</v>
      </c>
      <c r="BR18" s="22" t="str">
        <f t="shared" si="63"/>
        <v>Video Conferencing Rooms</v>
      </c>
      <c r="BS18" s="6">
        <f>IF(BR18="","",AB18*'1.1 Input'!D$59)</f>
        <v>0</v>
      </c>
      <c r="BT18" s="6">
        <f>IF(BS18="","",AC18*'1.1 Input'!E$59)</f>
        <v>0</v>
      </c>
      <c r="BU18" s="6">
        <f>IF(BT18="","",AD18*'1.1 Input'!F$59)</f>
        <v>0</v>
      </c>
      <c r="BV18" s="6">
        <f>IF(BU18="","",AE18*'1.1 Input'!G$59)</f>
        <v>0</v>
      </c>
      <c r="BW18" s="6">
        <f>IF(BV18="","",AF18*'1.1 Input'!H$59)</f>
        <v>0</v>
      </c>
      <c r="BX18" s="6">
        <f t="shared" si="64"/>
        <v>0</v>
      </c>
      <c r="BY18" s="22" t="str">
        <f t="shared" si="65"/>
        <v>Video Conferencing Rooms</v>
      </c>
      <c r="BZ18" s="6">
        <f>IF(BY18="","",AJ18*'1.1 Input'!D$60)</f>
        <v>0</v>
      </c>
      <c r="CA18" s="6">
        <f>IF(BZ18="","",AK18*'1.1 Input'!E$60)</f>
        <v>0</v>
      </c>
      <c r="CB18" s="6">
        <f>IF(CA18="","",AL18*'1.1 Input'!F$60)</f>
        <v>0</v>
      </c>
      <c r="CC18" s="6">
        <f>IF(CB18="","",AM18*'1.1 Input'!G$60)</f>
        <v>0</v>
      </c>
      <c r="CD18" s="6">
        <f>IF(CC18="","",AN18*'1.1 Input'!H$60)</f>
        <v>0</v>
      </c>
      <c r="CE18" s="6">
        <f t="shared" si="66"/>
        <v>0</v>
      </c>
      <c r="CF18" s="22" t="str">
        <f t="shared" si="67"/>
        <v>Video Conferencing Rooms</v>
      </c>
      <c r="CG18" s="6">
        <f>IF(CF18="","",AR18*'1.1 Input'!D$61)</f>
        <v>0</v>
      </c>
      <c r="CH18" s="6">
        <f>IF(CG18="","",AS18*'1.1 Input'!E$61)</f>
        <v>0</v>
      </c>
      <c r="CI18" s="6">
        <f>IF(CH18="","",AT18*'1.1 Input'!F$61)</f>
        <v>0</v>
      </c>
      <c r="CJ18" s="6">
        <f>IF(CI18="","",AU18*'1.1 Input'!G$61)</f>
        <v>0</v>
      </c>
      <c r="CK18" s="6">
        <f>IF(CJ18="","",AV18*'1.1 Input'!H$61)</f>
        <v>0</v>
      </c>
      <c r="CL18" s="6">
        <f t="shared" si="68"/>
        <v>0</v>
      </c>
      <c r="CM18" s="22" t="str">
        <f t="shared" si="37"/>
        <v>Video Conferencing Rooms</v>
      </c>
      <c r="CN18" s="22">
        <f t="shared" si="38"/>
        <v>0</v>
      </c>
      <c r="CO18" s="22">
        <f t="shared" si="39"/>
        <v>0</v>
      </c>
      <c r="CP18" s="22">
        <f t="shared" si="40"/>
        <v>0</v>
      </c>
      <c r="CQ18" s="22">
        <f t="shared" si="41"/>
        <v>8.1636798153338838E-2</v>
      </c>
      <c r="CR18" s="22">
        <f t="shared" si="42"/>
        <v>0</v>
      </c>
      <c r="CS18" s="6">
        <f t="shared" si="69"/>
        <v>8.1636798153338838E-2</v>
      </c>
      <c r="CT18" s="22" t="str">
        <f t="shared" si="70"/>
        <v>Video Conferencing Rooms</v>
      </c>
      <c r="CU18" s="22" t="str">
        <f t="shared" si="71"/>
        <v>2024/25</v>
      </c>
      <c r="CV18" s="6">
        <f t="shared" si="43"/>
        <v>0</v>
      </c>
      <c r="CW18" s="6">
        <f t="shared" si="44"/>
        <v>0</v>
      </c>
      <c r="CX18" s="6">
        <f t="shared" si="45"/>
        <v>0</v>
      </c>
      <c r="CY18" s="6">
        <f t="shared" si="46"/>
        <v>8.1636798153338838E-2</v>
      </c>
      <c r="CZ18" s="6">
        <f t="shared" si="47"/>
        <v>0</v>
      </c>
      <c r="DA18" s="6">
        <f t="shared" si="72"/>
        <v>8.1636798153338838E-2</v>
      </c>
    </row>
    <row r="19" spans="1:105" ht="16.5" thickTop="1" thickBot="1">
      <c r="A19" s="22" t="str">
        <f>'1.0 Data'!A18</f>
        <v>Printer</v>
      </c>
      <c r="B19" s="22" t="str">
        <f>'1.0 Data'!B18</f>
        <v>2021/22</v>
      </c>
      <c r="C19" s="22" cm="1">
        <f t="array" ref="C19">_xlfn.IFNA(INDEX('1.0 Data'!G$9:G$36,MATCH($A19,'1.0 Data'!$A$9:$A$36,0),0),0)</f>
        <v>0</v>
      </c>
      <c r="D19" s="22" cm="1">
        <f t="array" ref="D19">_xlfn.IFNA(INDEX('1.0 Data'!H$9:H$36,MATCH($A19,'1.0 Data'!$A$9:$A$36,0),0),0)</f>
        <v>0</v>
      </c>
      <c r="E19" s="22" cm="1">
        <f t="array" ref="E19">_xlfn.IFNA(INDEX('1.0 Data'!I$9:I$36,MATCH($A19,'1.0 Data'!$A$9:$A$36,0),0),0)</f>
        <v>0</v>
      </c>
      <c r="F19" s="22" cm="1">
        <f t="array" ref="F19">_xlfn.IFNA(INDEX('1.0 Data'!J$9:J$36,MATCH($A19,'1.0 Data'!$A$9:$A$36,0),0),0)</f>
        <v>0.01</v>
      </c>
      <c r="G19" s="22" cm="1">
        <f t="array" ref="G19">_xlfn.IFNA(INDEX('1.0 Data'!K$9:K$36,MATCH($A19,'1.0 Data'!$A$9:$A$36,0),0),0)</f>
        <v>0</v>
      </c>
      <c r="H19" s="6">
        <f t="shared" si="48"/>
        <v>0.01</v>
      </c>
      <c r="J19" s="22" t="str">
        <f t="shared" si="49"/>
        <v>Printer</v>
      </c>
      <c r="K19" s="5" t="str">
        <f t="shared" si="50"/>
        <v>2024/25</v>
      </c>
      <c r="L19" s="6">
        <f>_xlfn.IFNA(HLOOKUP($B19,'1.1 Input'!$A$8:$N$15,6,FALSE)*C19,"")</f>
        <v>0</v>
      </c>
      <c r="M19" s="6">
        <f>_xlfn.IFNA(HLOOKUP($B19,'1.1 Input'!$A$8:$N$15,6,FALSE)*D19,"")</f>
        <v>0</v>
      </c>
      <c r="N19" s="6">
        <f>_xlfn.IFNA(HLOOKUP($B19,'1.1 Input'!$A$8:$N$15,6,FALSE)*E19,"")</f>
        <v>0</v>
      </c>
      <c r="O19" s="6">
        <f>_xlfn.IFNA(HLOOKUP($B19,'1.1 Input'!$A$8:$N$15,6,FALSE)*F19,"")</f>
        <v>1.1662399736191263E-2</v>
      </c>
      <c r="P19" s="6">
        <f>_xlfn.IFNA(HLOOKUP($B19,'1.1 Input'!$A$8:$N$15,6,FALSE)*G19,"")</f>
        <v>0</v>
      </c>
      <c r="Q19" s="34">
        <f t="shared" si="35"/>
        <v>1.1662399736191263E-2</v>
      </c>
      <c r="S19" s="22" t="str">
        <f t="shared" si="3"/>
        <v>Printer</v>
      </c>
      <c r="T19" s="6">
        <f>(IF(S19="","",L19*'1.0 Data'!$M18))</f>
        <v>0</v>
      </c>
      <c r="U19" s="6">
        <f>(IF(T19="","",M19*'1.0 Data'!$M18))</f>
        <v>0</v>
      </c>
      <c r="V19" s="6">
        <f>(IF(U19="","",N19*'1.0 Data'!$M18))</f>
        <v>0</v>
      </c>
      <c r="W19" s="6">
        <f>(IF(V19="","",O19*'1.0 Data'!$M18))</f>
        <v>0</v>
      </c>
      <c r="X19" s="6">
        <f>(IF(W19="","",P19*'1.0 Data'!$M18))</f>
        <v>0</v>
      </c>
      <c r="Y19" s="6">
        <f t="shared" si="51"/>
        <v>0</v>
      </c>
      <c r="AA19" s="22" t="str">
        <f t="shared" si="52"/>
        <v>Printer</v>
      </c>
      <c r="AB19" s="6">
        <f>IF(AA19="","",L19*'1.0 Data'!$N18)</f>
        <v>0</v>
      </c>
      <c r="AC19" s="6">
        <f>IF(AB19="","",M19*'1.0 Data'!$N18)</f>
        <v>0</v>
      </c>
      <c r="AD19" s="6">
        <f>IF(AC19="","",N19*'1.0 Data'!$N18)</f>
        <v>0</v>
      </c>
      <c r="AE19" s="6">
        <f>IF(AD19="","",O19*'1.0 Data'!$N18)</f>
        <v>0</v>
      </c>
      <c r="AF19" s="6">
        <f>IF(AE19="","",P19*'1.0 Data'!$N18)</f>
        <v>0</v>
      </c>
      <c r="AG19" s="6">
        <f t="shared" si="53"/>
        <v>0</v>
      </c>
      <c r="AI19" s="22" t="str">
        <f t="shared" si="54"/>
        <v>Printer</v>
      </c>
      <c r="AJ19" s="6">
        <f>IF(AI19="","",L19*'1.0 Data'!$O18)</f>
        <v>0</v>
      </c>
      <c r="AK19" s="6">
        <f>IF(AJ19="","",M19*'1.0 Data'!$O18)</f>
        <v>0</v>
      </c>
      <c r="AL19" s="6">
        <f>IF(AK19="","",N19*'1.0 Data'!$O18)</f>
        <v>0</v>
      </c>
      <c r="AM19" s="6">
        <f>IF(AL19="","",O19*'1.0 Data'!$O18)</f>
        <v>0</v>
      </c>
      <c r="AN19" s="6">
        <f>IF(AM19="","",P19*'1.0 Data'!$O18)</f>
        <v>0</v>
      </c>
      <c r="AO19" s="6">
        <f t="shared" si="55"/>
        <v>0</v>
      </c>
      <c r="AQ19" s="22" t="str">
        <f t="shared" si="56"/>
        <v>Printer</v>
      </c>
      <c r="AR19" s="6">
        <f>IF(AQ19="","",L19*'1.0 Data'!$P18)</f>
        <v>0</v>
      </c>
      <c r="AS19" s="6">
        <f>IF(AR19="","",M19*'1.0 Data'!$P18)</f>
        <v>0</v>
      </c>
      <c r="AT19" s="6">
        <f>IF(AS19="","",N19*'1.0 Data'!$P18)</f>
        <v>0</v>
      </c>
      <c r="AU19" s="6">
        <f>IF(AT19="","",O19*'1.0 Data'!$P18)</f>
        <v>0</v>
      </c>
      <c r="AV19" s="6">
        <f>IF(AU19="","",P19*'1.0 Data'!$P18)</f>
        <v>0</v>
      </c>
      <c r="AW19" s="6">
        <f t="shared" si="57"/>
        <v>0</v>
      </c>
      <c r="AY19" s="22" t="str">
        <f t="shared" si="36"/>
        <v>Printer</v>
      </c>
      <c r="AZ19" s="6">
        <f>IF(AY19="","",L19*'1.0 Data'!$Q18)</f>
        <v>0</v>
      </c>
      <c r="BA19" s="6">
        <f>IF(AZ19="","",M19*'1.0 Data'!$Q18)</f>
        <v>0</v>
      </c>
      <c r="BB19" s="6">
        <f>IF(BA19="","",N19*'1.0 Data'!$Q18)</f>
        <v>0</v>
      </c>
      <c r="BC19" s="6">
        <f>IF(BB19="","",O19*'1.0 Data'!$Q18)</f>
        <v>1.1662399736191263E-2</v>
      </c>
      <c r="BD19" s="6">
        <f>IF(BC19="","",P19*'1.0 Data'!$Q18)</f>
        <v>0</v>
      </c>
      <c r="BE19" s="6">
        <f t="shared" si="58"/>
        <v>1.1662399736191263E-2</v>
      </c>
      <c r="BG19" s="6">
        <f t="shared" si="59"/>
        <v>1.1662399736191263E-2</v>
      </c>
      <c r="BH19" s="22">
        <f>H19*HLOOKUP($B19,'1.1 Input'!$A$8:$N$15,6,FALSE)</f>
        <v>1.1662399736191263E-2</v>
      </c>
      <c r="BI19" s="23">
        <f t="shared" si="60"/>
        <v>0</v>
      </c>
      <c r="BK19" s="22" t="str">
        <f t="shared" si="61"/>
        <v>Printer</v>
      </c>
      <c r="BL19" s="6">
        <f>IF(BK19="","",T19*'1.1 Input'!D$58)</f>
        <v>0</v>
      </c>
      <c r="BM19" s="6">
        <f>IF(BL19="","",U19*'1.1 Input'!E$58)</f>
        <v>0</v>
      </c>
      <c r="BN19" s="6">
        <f>IF(BM19="","",V19*'1.1 Input'!F$58)</f>
        <v>0</v>
      </c>
      <c r="BO19" s="6">
        <f>IF(BN19="","",W19*'1.1 Input'!G$58)</f>
        <v>0</v>
      </c>
      <c r="BP19" s="6">
        <f>IF(BO19="","",X19*'1.1 Input'!H$58)</f>
        <v>0</v>
      </c>
      <c r="BQ19" s="6">
        <f t="shared" si="62"/>
        <v>0</v>
      </c>
      <c r="BR19" s="22" t="str">
        <f t="shared" si="63"/>
        <v>Printer</v>
      </c>
      <c r="BS19" s="6">
        <f>IF(BR19="","",AB19*'1.1 Input'!D$59)</f>
        <v>0</v>
      </c>
      <c r="BT19" s="6">
        <f>IF(BS19="","",AC19*'1.1 Input'!E$59)</f>
        <v>0</v>
      </c>
      <c r="BU19" s="6">
        <f>IF(BT19="","",AD19*'1.1 Input'!F$59)</f>
        <v>0</v>
      </c>
      <c r="BV19" s="6">
        <f>IF(BU19="","",AE19*'1.1 Input'!G$59)</f>
        <v>0</v>
      </c>
      <c r="BW19" s="6">
        <f>IF(BV19="","",AF19*'1.1 Input'!H$59)</f>
        <v>0</v>
      </c>
      <c r="BX19" s="6">
        <f t="shared" si="64"/>
        <v>0</v>
      </c>
      <c r="BY19" s="22" t="str">
        <f t="shared" si="65"/>
        <v>Printer</v>
      </c>
      <c r="BZ19" s="6">
        <f>IF(BY19="","",AJ19*'1.1 Input'!D$60)</f>
        <v>0</v>
      </c>
      <c r="CA19" s="6">
        <f>IF(BZ19="","",AK19*'1.1 Input'!E$60)</f>
        <v>0</v>
      </c>
      <c r="CB19" s="6">
        <f>IF(CA19="","",AL19*'1.1 Input'!F$60)</f>
        <v>0</v>
      </c>
      <c r="CC19" s="6">
        <f>IF(CB19="","",AM19*'1.1 Input'!G$60)</f>
        <v>0</v>
      </c>
      <c r="CD19" s="6">
        <f>IF(CC19="","",AN19*'1.1 Input'!H$60)</f>
        <v>0</v>
      </c>
      <c r="CE19" s="6">
        <f t="shared" si="66"/>
        <v>0</v>
      </c>
      <c r="CF19" s="22" t="str">
        <f t="shared" si="67"/>
        <v>Printer</v>
      </c>
      <c r="CG19" s="6">
        <f>IF(CF19="","",AR19*'1.1 Input'!D$61)</f>
        <v>0</v>
      </c>
      <c r="CH19" s="6">
        <f>IF(CG19="","",AS19*'1.1 Input'!E$61)</f>
        <v>0</v>
      </c>
      <c r="CI19" s="6">
        <f>IF(CH19="","",AT19*'1.1 Input'!F$61)</f>
        <v>0</v>
      </c>
      <c r="CJ19" s="6">
        <f>IF(CI19="","",AU19*'1.1 Input'!G$61)</f>
        <v>0</v>
      </c>
      <c r="CK19" s="6">
        <f>IF(CJ19="","",AV19*'1.1 Input'!H$61)</f>
        <v>0</v>
      </c>
      <c r="CL19" s="6">
        <f t="shared" si="68"/>
        <v>0</v>
      </c>
      <c r="CM19" s="22" t="str">
        <f t="shared" si="37"/>
        <v>Printer</v>
      </c>
      <c r="CN19" s="22">
        <f t="shared" si="38"/>
        <v>0</v>
      </c>
      <c r="CO19" s="22">
        <f t="shared" si="39"/>
        <v>0</v>
      </c>
      <c r="CP19" s="22">
        <f t="shared" si="40"/>
        <v>0</v>
      </c>
      <c r="CQ19" s="22">
        <f t="shared" si="41"/>
        <v>1.1662399736191263E-2</v>
      </c>
      <c r="CR19" s="22">
        <f t="shared" si="42"/>
        <v>0</v>
      </c>
      <c r="CS19" s="6">
        <f t="shared" si="69"/>
        <v>1.1662399736191263E-2</v>
      </c>
      <c r="CT19" s="22" t="str">
        <f t="shared" si="70"/>
        <v>Printer</v>
      </c>
      <c r="CU19" s="22" t="str">
        <f t="shared" si="71"/>
        <v>2024/25</v>
      </c>
      <c r="CV19" s="6">
        <f t="shared" si="43"/>
        <v>0</v>
      </c>
      <c r="CW19" s="6">
        <f t="shared" si="44"/>
        <v>0</v>
      </c>
      <c r="CX19" s="6">
        <f t="shared" si="45"/>
        <v>0</v>
      </c>
      <c r="CY19" s="6">
        <f t="shared" si="46"/>
        <v>1.1662399736191263E-2</v>
      </c>
      <c r="CZ19" s="6">
        <f t="shared" si="47"/>
        <v>0</v>
      </c>
      <c r="DA19" s="6">
        <f t="shared" si="72"/>
        <v>1.1662399736191263E-2</v>
      </c>
    </row>
    <row r="20" spans="1:105" ht="16.5" thickTop="1" thickBot="1">
      <c r="A20" s="22" t="str">
        <f>'1.0 Data'!A19</f>
        <v>Enterprise Asset Management System Upgrade</v>
      </c>
      <c r="B20" s="22" t="str">
        <f>'1.0 Data'!B19</f>
        <v>2021/22</v>
      </c>
      <c r="C20" s="22" cm="1">
        <f t="array" ref="C20">_xlfn.IFNA(INDEX('1.0 Data'!G$9:G$36,MATCH($A20,'1.0 Data'!$A$9:$A$36,0),0),0)</f>
        <v>0.15698640406864814</v>
      </c>
      <c r="D20" s="22" cm="1">
        <f t="array" ref="D20">_xlfn.IFNA(INDEX('1.0 Data'!H$9:H$36,MATCH($A20,'1.0 Data'!$A$9:$A$36,0),0),0)</f>
        <v>0</v>
      </c>
      <c r="E20" s="22" cm="1">
        <f t="array" ref="E20">_xlfn.IFNA(INDEX('1.0 Data'!I$9:I$36,MATCH($A20,'1.0 Data'!$A$9:$A$36,0),0),0)</f>
        <v>0</v>
      </c>
      <c r="F20" s="22" cm="1">
        <f t="array" ref="F20">_xlfn.IFNA(INDEX('1.0 Data'!J$9:J$36,MATCH($A20,'1.0 Data'!$A$9:$A$36,0),0),0)</f>
        <v>0</v>
      </c>
      <c r="G20" s="22" cm="1">
        <f t="array" ref="G20">_xlfn.IFNA(INDEX('1.0 Data'!K$9:K$36,MATCH($A20,'1.0 Data'!$A$9:$A$36,0),0),0)</f>
        <v>0</v>
      </c>
      <c r="H20" s="6">
        <f t="shared" si="48"/>
        <v>0.15698640406864814</v>
      </c>
      <c r="J20" s="22" t="str">
        <f t="shared" si="49"/>
        <v>Enterprise Asset Management System Upgrade</v>
      </c>
      <c r="K20" s="5" t="str">
        <f t="shared" si="50"/>
        <v>2024/25</v>
      </c>
      <c r="L20" s="6">
        <f>_xlfn.IFNA(HLOOKUP($B20,'1.1 Input'!$A$8:$N$15,6,FALSE)*C20,"")</f>
        <v>0.18308381973958171</v>
      </c>
      <c r="M20" s="6">
        <f>_xlfn.IFNA(HLOOKUP($B20,'1.1 Input'!$A$8:$N$15,6,FALSE)*D20,"")</f>
        <v>0</v>
      </c>
      <c r="N20" s="6">
        <f>_xlfn.IFNA(HLOOKUP($B20,'1.1 Input'!$A$8:$N$15,6,FALSE)*E20,"")</f>
        <v>0</v>
      </c>
      <c r="O20" s="6">
        <f>_xlfn.IFNA(HLOOKUP($B20,'1.1 Input'!$A$8:$N$15,6,FALSE)*F20,"")</f>
        <v>0</v>
      </c>
      <c r="P20" s="6">
        <f>_xlfn.IFNA(HLOOKUP($B20,'1.1 Input'!$A$8:$N$15,6,FALSE)*G20,"")</f>
        <v>0</v>
      </c>
      <c r="Q20" s="34">
        <f t="shared" si="35"/>
        <v>0.18308381973958171</v>
      </c>
      <c r="S20" s="22" t="str">
        <f t="shared" si="3"/>
        <v>Enterprise Asset Management System Upgrade</v>
      </c>
      <c r="T20" s="6">
        <f>(IF(S20="","",L20*'1.0 Data'!$M19))</f>
        <v>0</v>
      </c>
      <c r="U20" s="6">
        <f>(IF(T20="","",M20*'1.0 Data'!$M19))</f>
        <v>0</v>
      </c>
      <c r="V20" s="6">
        <f>(IF(U20="","",N20*'1.0 Data'!$M19))</f>
        <v>0</v>
      </c>
      <c r="W20" s="6">
        <f>(IF(V20="","",O20*'1.0 Data'!$M19))</f>
        <v>0</v>
      </c>
      <c r="X20" s="6">
        <f>(IF(W20="","",P20*'1.0 Data'!$M19))</f>
        <v>0</v>
      </c>
      <c r="Y20" s="6">
        <f t="shared" si="51"/>
        <v>0</v>
      </c>
      <c r="AA20" s="22" t="str">
        <f t="shared" si="52"/>
        <v>Enterprise Asset Management System Upgrade</v>
      </c>
      <c r="AB20" s="6">
        <f>IF(AA20="","",L20*'1.0 Data'!$N19)</f>
        <v>0</v>
      </c>
      <c r="AC20" s="6">
        <f>IF(AB20="","",M20*'1.0 Data'!$N19)</f>
        <v>0</v>
      </c>
      <c r="AD20" s="6">
        <f>IF(AC20="","",N20*'1.0 Data'!$N19)</f>
        <v>0</v>
      </c>
      <c r="AE20" s="6">
        <f>IF(AD20="","",O20*'1.0 Data'!$N19)</f>
        <v>0</v>
      </c>
      <c r="AF20" s="6">
        <f>IF(AE20="","",P20*'1.0 Data'!$N19)</f>
        <v>0</v>
      </c>
      <c r="AG20" s="6">
        <f t="shared" si="53"/>
        <v>0</v>
      </c>
      <c r="AI20" s="22" t="str">
        <f t="shared" si="54"/>
        <v>Enterprise Asset Management System Upgrade</v>
      </c>
      <c r="AJ20" s="6">
        <f>IF(AI20="","",L20*'1.0 Data'!$O19)</f>
        <v>0</v>
      </c>
      <c r="AK20" s="6">
        <f>IF(AJ20="","",M20*'1.0 Data'!$O19)</f>
        <v>0</v>
      </c>
      <c r="AL20" s="6">
        <f>IF(AK20="","",N20*'1.0 Data'!$O19)</f>
        <v>0</v>
      </c>
      <c r="AM20" s="6">
        <f>IF(AL20="","",O20*'1.0 Data'!$O19)</f>
        <v>0</v>
      </c>
      <c r="AN20" s="6">
        <f>IF(AM20="","",P20*'1.0 Data'!$O19)</f>
        <v>0</v>
      </c>
      <c r="AO20" s="6">
        <f t="shared" si="55"/>
        <v>0</v>
      </c>
      <c r="AQ20" s="22" t="str">
        <f t="shared" si="56"/>
        <v>Enterprise Asset Management System Upgrade</v>
      </c>
      <c r="AR20" s="6">
        <f>IF(AQ20="","",L20*'1.0 Data'!$P19)</f>
        <v>0</v>
      </c>
      <c r="AS20" s="6">
        <f>IF(AR20="","",M20*'1.0 Data'!$P19)</f>
        <v>0</v>
      </c>
      <c r="AT20" s="6">
        <f>IF(AS20="","",N20*'1.0 Data'!$P19)</f>
        <v>0</v>
      </c>
      <c r="AU20" s="6">
        <f>IF(AT20="","",O20*'1.0 Data'!$P19)</f>
        <v>0</v>
      </c>
      <c r="AV20" s="6">
        <f>IF(AU20="","",P20*'1.0 Data'!$P19)</f>
        <v>0</v>
      </c>
      <c r="AW20" s="6">
        <f t="shared" si="57"/>
        <v>0</v>
      </c>
      <c r="AY20" s="22" t="str">
        <f t="shared" si="36"/>
        <v>Enterprise Asset Management System Upgrade</v>
      </c>
      <c r="AZ20" s="6">
        <f>IF(AY20="","",L20*'1.0 Data'!$Q19)</f>
        <v>0.18308381973958171</v>
      </c>
      <c r="BA20" s="6">
        <f>IF(AZ20="","",M20*'1.0 Data'!$Q19)</f>
        <v>0</v>
      </c>
      <c r="BB20" s="6">
        <f>IF(BA20="","",N20*'1.0 Data'!$Q19)</f>
        <v>0</v>
      </c>
      <c r="BC20" s="6">
        <f>IF(BB20="","",O20*'1.0 Data'!$Q19)</f>
        <v>0</v>
      </c>
      <c r="BD20" s="6">
        <f>IF(BC20="","",P20*'1.0 Data'!$Q19)</f>
        <v>0</v>
      </c>
      <c r="BE20" s="6">
        <f t="shared" si="58"/>
        <v>0.18308381973958171</v>
      </c>
      <c r="BG20" s="6">
        <f t="shared" si="59"/>
        <v>0.18308381973958171</v>
      </c>
      <c r="BH20" s="22">
        <f>H20*HLOOKUP($B20,'1.1 Input'!$A$8:$N$15,6,FALSE)</f>
        <v>0.18308381973958171</v>
      </c>
      <c r="BI20" s="23">
        <f t="shared" si="60"/>
        <v>0</v>
      </c>
      <c r="BK20" s="22" t="str">
        <f t="shared" si="61"/>
        <v>Enterprise Asset Management System Upgrade</v>
      </c>
      <c r="BL20" s="6">
        <f>IF(BK20="","",T20*'1.1 Input'!D$58)</f>
        <v>0</v>
      </c>
      <c r="BM20" s="6">
        <f>IF(BL20="","",U20*'1.1 Input'!E$58)</f>
        <v>0</v>
      </c>
      <c r="BN20" s="6">
        <f>IF(BM20="","",V20*'1.1 Input'!F$58)</f>
        <v>0</v>
      </c>
      <c r="BO20" s="6">
        <f>IF(BN20="","",W20*'1.1 Input'!G$58)</f>
        <v>0</v>
      </c>
      <c r="BP20" s="6">
        <f>IF(BO20="","",X20*'1.1 Input'!H$58)</f>
        <v>0</v>
      </c>
      <c r="BQ20" s="6">
        <f t="shared" si="62"/>
        <v>0</v>
      </c>
      <c r="BR20" s="22" t="str">
        <f t="shared" si="63"/>
        <v>Enterprise Asset Management System Upgrade</v>
      </c>
      <c r="BS20" s="6">
        <f>IF(BR20="","",AB20*'1.1 Input'!D$59)</f>
        <v>0</v>
      </c>
      <c r="BT20" s="6">
        <f>IF(BS20="","",AC20*'1.1 Input'!E$59)</f>
        <v>0</v>
      </c>
      <c r="BU20" s="6">
        <f>IF(BT20="","",AD20*'1.1 Input'!F$59)</f>
        <v>0</v>
      </c>
      <c r="BV20" s="6">
        <f>IF(BU20="","",AE20*'1.1 Input'!G$59)</f>
        <v>0</v>
      </c>
      <c r="BW20" s="6">
        <f>IF(BV20="","",AF20*'1.1 Input'!H$59)</f>
        <v>0</v>
      </c>
      <c r="BX20" s="6">
        <f t="shared" si="64"/>
        <v>0</v>
      </c>
      <c r="BY20" s="22" t="str">
        <f t="shared" si="65"/>
        <v>Enterprise Asset Management System Upgrade</v>
      </c>
      <c r="BZ20" s="6">
        <f>IF(BY20="","",AJ20*'1.1 Input'!D$60)</f>
        <v>0</v>
      </c>
      <c r="CA20" s="6">
        <f>IF(BZ20="","",AK20*'1.1 Input'!E$60)</f>
        <v>0</v>
      </c>
      <c r="CB20" s="6">
        <f>IF(CA20="","",AL20*'1.1 Input'!F$60)</f>
        <v>0</v>
      </c>
      <c r="CC20" s="6">
        <f>IF(CB20="","",AM20*'1.1 Input'!G$60)</f>
        <v>0</v>
      </c>
      <c r="CD20" s="6">
        <f>IF(CC20="","",AN20*'1.1 Input'!H$60)</f>
        <v>0</v>
      </c>
      <c r="CE20" s="6">
        <f t="shared" si="66"/>
        <v>0</v>
      </c>
      <c r="CF20" s="22" t="str">
        <f t="shared" si="67"/>
        <v>Enterprise Asset Management System Upgrade</v>
      </c>
      <c r="CG20" s="6">
        <f>IF(CF20="","",AR20*'1.1 Input'!D$61)</f>
        <v>0</v>
      </c>
      <c r="CH20" s="6">
        <f>IF(CG20="","",AS20*'1.1 Input'!E$61)</f>
        <v>0</v>
      </c>
      <c r="CI20" s="6">
        <f>IF(CH20="","",AT20*'1.1 Input'!F$61)</f>
        <v>0</v>
      </c>
      <c r="CJ20" s="6">
        <f>IF(CI20="","",AU20*'1.1 Input'!G$61)</f>
        <v>0</v>
      </c>
      <c r="CK20" s="6">
        <f>IF(CJ20="","",AV20*'1.1 Input'!H$61)</f>
        <v>0</v>
      </c>
      <c r="CL20" s="6">
        <f t="shared" si="68"/>
        <v>0</v>
      </c>
      <c r="CM20" s="22" t="str">
        <f t="shared" si="37"/>
        <v>Enterprise Asset Management System Upgrade</v>
      </c>
      <c r="CN20" s="22">
        <f t="shared" si="38"/>
        <v>0.18308381973958171</v>
      </c>
      <c r="CO20" s="22">
        <f t="shared" si="39"/>
        <v>0</v>
      </c>
      <c r="CP20" s="22">
        <f t="shared" si="40"/>
        <v>0</v>
      </c>
      <c r="CQ20" s="22">
        <f t="shared" si="41"/>
        <v>0</v>
      </c>
      <c r="CR20" s="22">
        <f t="shared" si="42"/>
        <v>0</v>
      </c>
      <c r="CS20" s="6">
        <f t="shared" si="69"/>
        <v>0.18308381973958171</v>
      </c>
      <c r="CT20" s="22" t="str">
        <f t="shared" si="70"/>
        <v>Enterprise Asset Management System Upgrade</v>
      </c>
      <c r="CU20" s="22" t="str">
        <f t="shared" si="71"/>
        <v>2024/25</v>
      </c>
      <c r="CV20" s="6">
        <f t="shared" si="43"/>
        <v>0.18308381973958171</v>
      </c>
      <c r="CW20" s="6">
        <f t="shared" si="44"/>
        <v>0</v>
      </c>
      <c r="CX20" s="6">
        <f t="shared" si="45"/>
        <v>0</v>
      </c>
      <c r="CY20" s="6">
        <f t="shared" si="46"/>
        <v>0</v>
      </c>
      <c r="CZ20" s="6">
        <f t="shared" si="47"/>
        <v>0</v>
      </c>
      <c r="DA20" s="6">
        <f t="shared" si="72"/>
        <v>0.18308381973958171</v>
      </c>
    </row>
    <row r="21" spans="1:105" ht="16.5" thickTop="1" thickBot="1">
      <c r="A21" s="22" t="str">
        <f>'1.0 Data'!A20</f>
        <v>OT initial integration and standard asset integration</v>
      </c>
      <c r="B21" s="22" t="str">
        <f>'1.0 Data'!B20</f>
        <v>2021/22</v>
      </c>
      <c r="C21" s="22" cm="1">
        <f t="array" ref="C21">_xlfn.IFNA(INDEX('1.0 Data'!G$9:G$36,MATCH($A21,'1.0 Data'!$A$9:$A$36,0),0),0)</f>
        <v>0</v>
      </c>
      <c r="D21" s="22" cm="1">
        <f t="array" ref="D21">_xlfn.IFNA(INDEX('1.0 Data'!H$9:H$36,MATCH($A21,'1.0 Data'!$A$9:$A$36,0),0),0)</f>
        <v>0</v>
      </c>
      <c r="E21" s="22" cm="1">
        <f t="array" ref="E21">_xlfn.IFNA(INDEX('1.0 Data'!I$9:I$36,MATCH($A21,'1.0 Data'!$A$9:$A$36,0),0),0)</f>
        <v>0</v>
      </c>
      <c r="F21" s="22" cm="1">
        <f t="array" ref="F21">_xlfn.IFNA(INDEX('1.0 Data'!J$9:J$36,MATCH($A21,'1.0 Data'!$A$9:$A$36,0),0),0)</f>
        <v>0</v>
      </c>
      <c r="G21" s="22" cm="1">
        <f t="array" ref="G21">_xlfn.IFNA(INDEX('1.0 Data'!K$9:K$36,MATCH($A21,'1.0 Data'!$A$9:$A$36,0),0),0)</f>
        <v>0.1</v>
      </c>
      <c r="H21" s="6">
        <f t="shared" si="48"/>
        <v>0.1</v>
      </c>
      <c r="J21" s="22" t="str">
        <f t="shared" si="49"/>
        <v>OT initial integration and standard asset integration</v>
      </c>
      <c r="K21" s="5" t="str">
        <f t="shared" si="50"/>
        <v>2024/25</v>
      </c>
      <c r="L21" s="6">
        <f>_xlfn.IFNA(HLOOKUP($B21,'1.1 Input'!$A$8:$N$15,6,FALSE)*C21,"")</f>
        <v>0</v>
      </c>
      <c r="M21" s="6">
        <f>_xlfn.IFNA(HLOOKUP($B21,'1.1 Input'!$A$8:$N$15,6,FALSE)*D21,"")</f>
        <v>0</v>
      </c>
      <c r="N21" s="6">
        <f>_xlfn.IFNA(HLOOKUP($B21,'1.1 Input'!$A$8:$N$15,6,FALSE)*E21,"")</f>
        <v>0</v>
      </c>
      <c r="O21" s="6">
        <f>_xlfn.IFNA(HLOOKUP($B21,'1.1 Input'!$A$8:$N$15,6,FALSE)*F21,"")</f>
        <v>0</v>
      </c>
      <c r="P21" s="6">
        <f>_xlfn.IFNA(HLOOKUP($B21,'1.1 Input'!$A$8:$N$15,6,FALSE)*G21,"")</f>
        <v>0.11662399736191263</v>
      </c>
      <c r="Q21" s="34">
        <f t="shared" si="35"/>
        <v>0.11662399736191263</v>
      </c>
      <c r="S21" s="22" t="str">
        <f t="shared" si="3"/>
        <v>OT initial integration and standard asset integration</v>
      </c>
      <c r="T21" s="6">
        <f>(IF(S21="","",L21*'1.0 Data'!$M20))</f>
        <v>0</v>
      </c>
      <c r="U21" s="6">
        <f>(IF(T21="","",M21*'1.0 Data'!$M20))</f>
        <v>0</v>
      </c>
      <c r="V21" s="6">
        <f>(IF(U21="","",N21*'1.0 Data'!$M20))</f>
        <v>0</v>
      </c>
      <c r="W21" s="6">
        <f>(IF(V21="","",O21*'1.0 Data'!$M20))</f>
        <v>0</v>
      </c>
      <c r="X21" s="6">
        <f>(IF(W21="","",P21*'1.0 Data'!$M20))</f>
        <v>0</v>
      </c>
      <c r="Y21" s="6">
        <f t="shared" si="51"/>
        <v>0</v>
      </c>
      <c r="AA21" s="22" t="str">
        <f t="shared" si="52"/>
        <v>OT initial integration and standard asset integration</v>
      </c>
      <c r="AB21" s="6">
        <f>IF(AA21="","",L21*'1.0 Data'!$N20)</f>
        <v>0</v>
      </c>
      <c r="AC21" s="6">
        <f>IF(AB21="","",M21*'1.0 Data'!$N20)</f>
        <v>0</v>
      </c>
      <c r="AD21" s="6">
        <f>IF(AC21="","",N21*'1.0 Data'!$N20)</f>
        <v>0</v>
      </c>
      <c r="AE21" s="6">
        <f>IF(AD21="","",O21*'1.0 Data'!$N20)</f>
        <v>0</v>
      </c>
      <c r="AF21" s="6">
        <f>IF(AE21="","",P21*'1.0 Data'!$N20)</f>
        <v>0</v>
      </c>
      <c r="AG21" s="6">
        <f t="shared" si="53"/>
        <v>0</v>
      </c>
      <c r="AI21" s="22" t="str">
        <f t="shared" si="54"/>
        <v>OT initial integration and standard asset integration</v>
      </c>
      <c r="AJ21" s="6">
        <f>IF(AI21="","",L21*'1.0 Data'!$O20)</f>
        <v>0</v>
      </c>
      <c r="AK21" s="6">
        <f>IF(AJ21="","",M21*'1.0 Data'!$O20)</f>
        <v>0</v>
      </c>
      <c r="AL21" s="6">
        <f>IF(AK21="","",N21*'1.0 Data'!$O20)</f>
        <v>0</v>
      </c>
      <c r="AM21" s="6">
        <f>IF(AL21="","",O21*'1.0 Data'!$O20)</f>
        <v>0</v>
      </c>
      <c r="AN21" s="6">
        <f>IF(AM21="","",P21*'1.0 Data'!$O20)</f>
        <v>0</v>
      </c>
      <c r="AO21" s="6">
        <f t="shared" si="55"/>
        <v>0</v>
      </c>
      <c r="AQ21" s="22" t="str">
        <f t="shared" si="56"/>
        <v>OT initial integration and standard asset integration</v>
      </c>
      <c r="AR21" s="6">
        <f>IF(AQ21="","",L21*'1.0 Data'!$P20)</f>
        <v>0</v>
      </c>
      <c r="AS21" s="6">
        <f>IF(AR21="","",M21*'1.0 Data'!$P20)</f>
        <v>0</v>
      </c>
      <c r="AT21" s="6">
        <f>IF(AS21="","",N21*'1.0 Data'!$P20)</f>
        <v>0</v>
      </c>
      <c r="AU21" s="6">
        <f>IF(AT21="","",O21*'1.0 Data'!$P20)</f>
        <v>0</v>
      </c>
      <c r="AV21" s="6">
        <f>IF(AU21="","",P21*'1.0 Data'!$P20)</f>
        <v>0</v>
      </c>
      <c r="AW21" s="6">
        <f t="shared" si="57"/>
        <v>0</v>
      </c>
      <c r="AY21" s="22" t="str">
        <f t="shared" si="36"/>
        <v>OT initial integration and standard asset integration</v>
      </c>
      <c r="AZ21" s="6">
        <f>IF(AY21="","",L21*'1.0 Data'!$Q20)</f>
        <v>0</v>
      </c>
      <c r="BA21" s="6">
        <f>IF(AZ21="","",M21*'1.0 Data'!$Q20)</f>
        <v>0</v>
      </c>
      <c r="BB21" s="6">
        <f>IF(BA21="","",N21*'1.0 Data'!$Q20)</f>
        <v>0</v>
      </c>
      <c r="BC21" s="6">
        <f>IF(BB21="","",O21*'1.0 Data'!$Q20)</f>
        <v>0</v>
      </c>
      <c r="BD21" s="6">
        <f>IF(BC21="","",P21*'1.0 Data'!$Q20)</f>
        <v>0.11662399736191263</v>
      </c>
      <c r="BE21" s="6">
        <f t="shared" si="58"/>
        <v>0.11662399736191263</v>
      </c>
      <c r="BG21" s="6">
        <f t="shared" si="59"/>
        <v>0.11662399736191263</v>
      </c>
      <c r="BH21" s="22">
        <f>H21*HLOOKUP($B21,'1.1 Input'!$A$8:$N$15,6,FALSE)</f>
        <v>0.11662399736191263</v>
      </c>
      <c r="BI21" s="23">
        <f t="shared" si="60"/>
        <v>0</v>
      </c>
      <c r="BK21" s="22" t="str">
        <f t="shared" si="61"/>
        <v>OT initial integration and standard asset integration</v>
      </c>
      <c r="BL21" s="6">
        <f>IF(BK21="","",T21*'1.1 Input'!D$58)</f>
        <v>0</v>
      </c>
      <c r="BM21" s="6">
        <f>IF(BL21="","",U21*'1.1 Input'!E$58)</f>
        <v>0</v>
      </c>
      <c r="BN21" s="6">
        <f>IF(BM21="","",V21*'1.1 Input'!F$58)</f>
        <v>0</v>
      </c>
      <c r="BO21" s="6">
        <f>IF(BN21="","",W21*'1.1 Input'!G$58)</f>
        <v>0</v>
      </c>
      <c r="BP21" s="6">
        <f>IF(BO21="","",X21*'1.1 Input'!H$58)</f>
        <v>0</v>
      </c>
      <c r="BQ21" s="6">
        <f t="shared" si="62"/>
        <v>0</v>
      </c>
      <c r="BR21" s="22" t="str">
        <f t="shared" si="63"/>
        <v>OT initial integration and standard asset integration</v>
      </c>
      <c r="BS21" s="6">
        <f>IF(BR21="","",AB21*'1.1 Input'!D$59)</f>
        <v>0</v>
      </c>
      <c r="BT21" s="6">
        <f>IF(BS21="","",AC21*'1.1 Input'!E$59)</f>
        <v>0</v>
      </c>
      <c r="BU21" s="6">
        <f>IF(BT21="","",AD21*'1.1 Input'!F$59)</f>
        <v>0</v>
      </c>
      <c r="BV21" s="6">
        <f>IF(BU21="","",AE21*'1.1 Input'!G$59)</f>
        <v>0</v>
      </c>
      <c r="BW21" s="6">
        <f>IF(BV21="","",AF21*'1.1 Input'!H$59)</f>
        <v>0</v>
      </c>
      <c r="BX21" s="6">
        <f t="shared" si="64"/>
        <v>0</v>
      </c>
      <c r="BY21" s="22" t="str">
        <f t="shared" si="65"/>
        <v>OT initial integration and standard asset integration</v>
      </c>
      <c r="BZ21" s="6">
        <f>IF(BY21="","",AJ21*'1.1 Input'!D$60)</f>
        <v>0</v>
      </c>
      <c r="CA21" s="6">
        <f>IF(BZ21="","",AK21*'1.1 Input'!E$60)</f>
        <v>0</v>
      </c>
      <c r="CB21" s="6">
        <f>IF(CA21="","",AL21*'1.1 Input'!F$60)</f>
        <v>0</v>
      </c>
      <c r="CC21" s="6">
        <f>IF(CB21="","",AM21*'1.1 Input'!G$60)</f>
        <v>0</v>
      </c>
      <c r="CD21" s="6">
        <f>IF(CC21="","",AN21*'1.1 Input'!H$60)</f>
        <v>0</v>
      </c>
      <c r="CE21" s="6">
        <f t="shared" si="66"/>
        <v>0</v>
      </c>
      <c r="CF21" s="22" t="str">
        <f t="shared" si="67"/>
        <v>OT initial integration and standard asset integration</v>
      </c>
      <c r="CG21" s="6">
        <f>IF(CF21="","",AR21*'1.1 Input'!D$61)</f>
        <v>0</v>
      </c>
      <c r="CH21" s="6">
        <f>IF(CG21="","",AS21*'1.1 Input'!E$61)</f>
        <v>0</v>
      </c>
      <c r="CI21" s="6">
        <f>IF(CH21="","",AT21*'1.1 Input'!F$61)</f>
        <v>0</v>
      </c>
      <c r="CJ21" s="6">
        <f>IF(CI21="","",AU21*'1.1 Input'!G$61)</f>
        <v>0</v>
      </c>
      <c r="CK21" s="6">
        <f>IF(CJ21="","",AV21*'1.1 Input'!H$61)</f>
        <v>0</v>
      </c>
      <c r="CL21" s="6">
        <f t="shared" si="68"/>
        <v>0</v>
      </c>
      <c r="CM21" s="22" t="str">
        <f t="shared" si="37"/>
        <v>OT initial integration and standard asset integration</v>
      </c>
      <c r="CN21" s="22">
        <f t="shared" si="38"/>
        <v>0</v>
      </c>
      <c r="CO21" s="22">
        <f t="shared" si="39"/>
        <v>0</v>
      </c>
      <c r="CP21" s="22">
        <f t="shared" si="40"/>
        <v>0</v>
      </c>
      <c r="CQ21" s="22">
        <f t="shared" si="41"/>
        <v>0</v>
      </c>
      <c r="CR21" s="22">
        <f t="shared" si="42"/>
        <v>0.11662399736191263</v>
      </c>
      <c r="CS21" s="6">
        <f t="shared" si="69"/>
        <v>0.11662399736191263</v>
      </c>
      <c r="CT21" s="22" t="str">
        <f t="shared" si="70"/>
        <v>OT initial integration and standard asset integration</v>
      </c>
      <c r="CU21" s="22" t="str">
        <f t="shared" si="71"/>
        <v>2024/25</v>
      </c>
      <c r="CV21" s="6">
        <f t="shared" si="43"/>
        <v>0</v>
      </c>
      <c r="CW21" s="6">
        <f t="shared" si="44"/>
        <v>0</v>
      </c>
      <c r="CX21" s="6">
        <f t="shared" si="45"/>
        <v>0</v>
      </c>
      <c r="CY21" s="6">
        <f t="shared" si="46"/>
        <v>0</v>
      </c>
      <c r="CZ21" s="6">
        <f t="shared" si="47"/>
        <v>0.11662399736191263</v>
      </c>
      <c r="DA21" s="6">
        <f t="shared" si="72"/>
        <v>0.11662399736191263</v>
      </c>
    </row>
    <row r="22" spans="1:105" ht="16.5" thickTop="1" thickBot="1">
      <c r="A22" s="22" t="str">
        <f>'1.0 Data'!A21</f>
        <v>EMS basslink integration, Reliability / predictive monitoring</v>
      </c>
      <c r="B22" s="22" t="str">
        <f>'1.0 Data'!B21</f>
        <v>2021/22</v>
      </c>
      <c r="C22" s="22" cm="1">
        <f t="array" ref="C22">_xlfn.IFNA(INDEX('1.0 Data'!G$9:G$36,MATCH($A22,'1.0 Data'!$A$9:$A$36,0),0),0)</f>
        <v>0.4</v>
      </c>
      <c r="D22" s="22" cm="1">
        <f t="array" ref="D22">_xlfn.IFNA(INDEX('1.0 Data'!H$9:H$36,MATCH($A22,'1.0 Data'!$A$9:$A$36,0),0),0)</f>
        <v>0.2</v>
      </c>
      <c r="E22" s="22" cm="1">
        <f t="array" ref="E22">_xlfn.IFNA(INDEX('1.0 Data'!I$9:I$36,MATCH($A22,'1.0 Data'!$A$9:$A$36,0),0),0)</f>
        <v>0</v>
      </c>
      <c r="F22" s="22" cm="1">
        <f t="array" ref="F22">_xlfn.IFNA(INDEX('1.0 Data'!J$9:J$36,MATCH($A22,'1.0 Data'!$A$9:$A$36,0),0),0)</f>
        <v>0</v>
      </c>
      <c r="G22" s="22" cm="1">
        <f t="array" ref="G22">_xlfn.IFNA(INDEX('1.0 Data'!K$9:K$36,MATCH($A22,'1.0 Data'!$A$9:$A$36,0),0),0)</f>
        <v>0</v>
      </c>
      <c r="H22" s="6">
        <f t="shared" si="48"/>
        <v>0.60000000000000009</v>
      </c>
      <c r="J22" s="22" t="str">
        <f t="shared" si="49"/>
        <v>EMS basslink integration, Reliability / predictive monitoring</v>
      </c>
      <c r="K22" s="5" t="str">
        <f t="shared" si="50"/>
        <v>2024/25</v>
      </c>
      <c r="L22" s="6">
        <f>_xlfn.IFNA(HLOOKUP($B22,'1.1 Input'!$A$8:$N$15,6,FALSE)*C22,"")</f>
        <v>0.46649598944765053</v>
      </c>
      <c r="M22" s="6">
        <f>_xlfn.IFNA(HLOOKUP($B22,'1.1 Input'!$A$8:$N$15,6,FALSE)*D22,"")</f>
        <v>0.23324799472382526</v>
      </c>
      <c r="N22" s="6">
        <f>_xlfn.IFNA(HLOOKUP($B22,'1.1 Input'!$A$8:$N$15,6,FALSE)*E22,"")</f>
        <v>0</v>
      </c>
      <c r="O22" s="6">
        <f>_xlfn.IFNA(HLOOKUP($B22,'1.1 Input'!$A$8:$N$15,6,FALSE)*F22,"")</f>
        <v>0</v>
      </c>
      <c r="P22" s="6">
        <f>_xlfn.IFNA(HLOOKUP($B22,'1.1 Input'!$A$8:$N$15,6,FALSE)*G22,"")</f>
        <v>0</v>
      </c>
      <c r="Q22" s="34">
        <f t="shared" si="35"/>
        <v>0.69974398417147576</v>
      </c>
      <c r="S22" s="22" t="str">
        <f t="shared" si="3"/>
        <v>EMS basslink integration, Reliability / predictive monitoring</v>
      </c>
      <c r="T22" s="6">
        <f>(IF(S22="","",L22*'1.0 Data'!$M21))</f>
        <v>0</v>
      </c>
      <c r="U22" s="6">
        <f>(IF(T22="","",M22*'1.0 Data'!$M21))</f>
        <v>0</v>
      </c>
      <c r="V22" s="6">
        <f>(IF(U22="","",N22*'1.0 Data'!$M21))</f>
        <v>0</v>
      </c>
      <c r="W22" s="6">
        <f>(IF(V22="","",O22*'1.0 Data'!$M21))</f>
        <v>0</v>
      </c>
      <c r="X22" s="6">
        <f>(IF(W22="","",P22*'1.0 Data'!$M21))</f>
        <v>0</v>
      </c>
      <c r="Y22" s="6">
        <f t="shared" si="51"/>
        <v>0</v>
      </c>
      <c r="AA22" s="22" t="str">
        <f t="shared" si="52"/>
        <v>EMS basslink integration, Reliability / predictive monitoring</v>
      </c>
      <c r="AB22" s="6">
        <f>IF(AA22="","",L22*'1.0 Data'!$N21)</f>
        <v>0</v>
      </c>
      <c r="AC22" s="6">
        <f>IF(AB22="","",M22*'1.0 Data'!$N21)</f>
        <v>0</v>
      </c>
      <c r="AD22" s="6">
        <f>IF(AC22="","",N22*'1.0 Data'!$N21)</f>
        <v>0</v>
      </c>
      <c r="AE22" s="6">
        <f>IF(AD22="","",O22*'1.0 Data'!$N21)</f>
        <v>0</v>
      </c>
      <c r="AF22" s="6">
        <f>IF(AE22="","",P22*'1.0 Data'!$N21)</f>
        <v>0</v>
      </c>
      <c r="AG22" s="6">
        <f t="shared" si="53"/>
        <v>0</v>
      </c>
      <c r="AI22" s="22" t="str">
        <f t="shared" si="54"/>
        <v>EMS basslink integration, Reliability / predictive monitoring</v>
      </c>
      <c r="AJ22" s="6">
        <f>IF(AI22="","",L22*'1.0 Data'!$O21)</f>
        <v>0</v>
      </c>
      <c r="AK22" s="6">
        <f>IF(AJ22="","",M22*'1.0 Data'!$O21)</f>
        <v>0</v>
      </c>
      <c r="AL22" s="6">
        <f>IF(AK22="","",N22*'1.0 Data'!$O21)</f>
        <v>0</v>
      </c>
      <c r="AM22" s="6">
        <f>IF(AL22="","",O22*'1.0 Data'!$O21)</f>
        <v>0</v>
      </c>
      <c r="AN22" s="6">
        <f>IF(AM22="","",P22*'1.0 Data'!$O21)</f>
        <v>0</v>
      </c>
      <c r="AO22" s="6">
        <f t="shared" si="55"/>
        <v>0</v>
      </c>
      <c r="AQ22" s="22" t="str">
        <f t="shared" si="56"/>
        <v>EMS basslink integration, Reliability / predictive monitoring</v>
      </c>
      <c r="AR22" s="6">
        <f>IF(AQ22="","",L22*'1.0 Data'!$P21)</f>
        <v>0</v>
      </c>
      <c r="AS22" s="6">
        <f>IF(AR22="","",M22*'1.0 Data'!$P21)</f>
        <v>0</v>
      </c>
      <c r="AT22" s="6">
        <f>IF(AS22="","",N22*'1.0 Data'!$P21)</f>
        <v>0</v>
      </c>
      <c r="AU22" s="6">
        <f>IF(AT22="","",O22*'1.0 Data'!$P21)</f>
        <v>0</v>
      </c>
      <c r="AV22" s="6">
        <f>IF(AU22="","",P22*'1.0 Data'!$P21)</f>
        <v>0</v>
      </c>
      <c r="AW22" s="6">
        <f t="shared" si="57"/>
        <v>0</v>
      </c>
      <c r="AY22" s="22" t="str">
        <f t="shared" si="36"/>
        <v>EMS basslink integration, Reliability / predictive monitoring</v>
      </c>
      <c r="AZ22" s="6">
        <f>IF(AY22="","",L22*'1.0 Data'!$Q21)</f>
        <v>0.46649598944765053</v>
      </c>
      <c r="BA22" s="6">
        <f>IF(AZ22="","",M22*'1.0 Data'!$Q21)</f>
        <v>0.23324799472382526</v>
      </c>
      <c r="BB22" s="6">
        <f>IF(BA22="","",N22*'1.0 Data'!$Q21)</f>
        <v>0</v>
      </c>
      <c r="BC22" s="6">
        <f>IF(BB22="","",O22*'1.0 Data'!$Q21)</f>
        <v>0</v>
      </c>
      <c r="BD22" s="6">
        <f>IF(BC22="","",P22*'1.0 Data'!$Q21)</f>
        <v>0</v>
      </c>
      <c r="BE22" s="6">
        <f t="shared" si="58"/>
        <v>0.69974398417147576</v>
      </c>
      <c r="BG22" s="6">
        <f t="shared" si="59"/>
        <v>0.69974398417147576</v>
      </c>
      <c r="BH22" s="22">
        <f>H22*HLOOKUP($B22,'1.1 Input'!$A$8:$N$15,6,FALSE)</f>
        <v>0.69974398417147587</v>
      </c>
      <c r="BI22" s="23">
        <f t="shared" si="60"/>
        <v>0</v>
      </c>
      <c r="BK22" s="22" t="str">
        <f t="shared" si="61"/>
        <v>EMS basslink integration, Reliability / predictive monitoring</v>
      </c>
      <c r="BL22" s="6">
        <f>IF(BK22="","",T22*'1.1 Input'!D$58)</f>
        <v>0</v>
      </c>
      <c r="BM22" s="6">
        <f>IF(BL22="","",U22*'1.1 Input'!E$58)</f>
        <v>0</v>
      </c>
      <c r="BN22" s="6">
        <f>IF(BM22="","",V22*'1.1 Input'!F$58)</f>
        <v>0</v>
      </c>
      <c r="BO22" s="6">
        <f>IF(BN22="","",W22*'1.1 Input'!G$58)</f>
        <v>0</v>
      </c>
      <c r="BP22" s="6">
        <f>IF(BO22="","",X22*'1.1 Input'!H$58)</f>
        <v>0</v>
      </c>
      <c r="BQ22" s="6">
        <f t="shared" si="62"/>
        <v>0</v>
      </c>
      <c r="BR22" s="22" t="str">
        <f t="shared" si="63"/>
        <v>EMS basslink integration, Reliability / predictive monitoring</v>
      </c>
      <c r="BS22" s="6">
        <f>IF(BR22="","",AB22*'1.1 Input'!D$59)</f>
        <v>0</v>
      </c>
      <c r="BT22" s="6">
        <f>IF(BS22="","",AC22*'1.1 Input'!E$59)</f>
        <v>0</v>
      </c>
      <c r="BU22" s="6">
        <f>IF(BT22="","",AD22*'1.1 Input'!F$59)</f>
        <v>0</v>
      </c>
      <c r="BV22" s="6">
        <f>IF(BU22="","",AE22*'1.1 Input'!G$59)</f>
        <v>0</v>
      </c>
      <c r="BW22" s="6">
        <f>IF(BV22="","",AF22*'1.1 Input'!H$59)</f>
        <v>0</v>
      </c>
      <c r="BX22" s="6">
        <f t="shared" si="64"/>
        <v>0</v>
      </c>
      <c r="BY22" s="22" t="str">
        <f t="shared" si="65"/>
        <v>EMS basslink integration, Reliability / predictive monitoring</v>
      </c>
      <c r="BZ22" s="6">
        <f>IF(BY22="","",AJ22*'1.1 Input'!D$60)</f>
        <v>0</v>
      </c>
      <c r="CA22" s="6">
        <f>IF(BZ22="","",AK22*'1.1 Input'!E$60)</f>
        <v>0</v>
      </c>
      <c r="CB22" s="6">
        <f>IF(CA22="","",AL22*'1.1 Input'!F$60)</f>
        <v>0</v>
      </c>
      <c r="CC22" s="6">
        <f>IF(CB22="","",AM22*'1.1 Input'!G$60)</f>
        <v>0</v>
      </c>
      <c r="CD22" s="6">
        <f>IF(CC22="","",AN22*'1.1 Input'!H$60)</f>
        <v>0</v>
      </c>
      <c r="CE22" s="6">
        <f t="shared" si="66"/>
        <v>0</v>
      </c>
      <c r="CF22" s="22" t="str">
        <f t="shared" si="67"/>
        <v>EMS basslink integration, Reliability / predictive monitoring</v>
      </c>
      <c r="CG22" s="6">
        <f>IF(CF22="","",AR22*'1.1 Input'!D$61)</f>
        <v>0</v>
      </c>
      <c r="CH22" s="6">
        <f>IF(CG22="","",AS22*'1.1 Input'!E$61)</f>
        <v>0</v>
      </c>
      <c r="CI22" s="6">
        <f>IF(CH22="","",AT22*'1.1 Input'!F$61)</f>
        <v>0</v>
      </c>
      <c r="CJ22" s="6">
        <f>IF(CI22="","",AU22*'1.1 Input'!G$61)</f>
        <v>0</v>
      </c>
      <c r="CK22" s="6">
        <f>IF(CJ22="","",AV22*'1.1 Input'!H$61)</f>
        <v>0</v>
      </c>
      <c r="CL22" s="6">
        <f t="shared" si="68"/>
        <v>0</v>
      </c>
      <c r="CM22" s="22" t="str">
        <f t="shared" si="37"/>
        <v>EMS basslink integration, Reliability / predictive monitoring</v>
      </c>
      <c r="CN22" s="22">
        <f t="shared" si="38"/>
        <v>0.46649598944765053</v>
      </c>
      <c r="CO22" s="22">
        <f t="shared" si="39"/>
        <v>0.23324799472382526</v>
      </c>
      <c r="CP22" s="22">
        <f t="shared" si="40"/>
        <v>0</v>
      </c>
      <c r="CQ22" s="22">
        <f t="shared" si="41"/>
        <v>0</v>
      </c>
      <c r="CR22" s="22">
        <f t="shared" si="42"/>
        <v>0</v>
      </c>
      <c r="CS22" s="6">
        <f t="shared" si="69"/>
        <v>0.69974398417147576</v>
      </c>
      <c r="CT22" s="22" t="str">
        <f t="shared" si="70"/>
        <v>EMS basslink integration, Reliability / predictive monitoring</v>
      </c>
      <c r="CU22" s="22" t="str">
        <f t="shared" si="71"/>
        <v>2024/25</v>
      </c>
      <c r="CV22" s="6">
        <f t="shared" si="43"/>
        <v>0.46649598944765053</v>
      </c>
      <c r="CW22" s="6">
        <f t="shared" si="44"/>
        <v>0.23324799472382526</v>
      </c>
      <c r="CX22" s="6">
        <f t="shared" si="45"/>
        <v>0</v>
      </c>
      <c r="CY22" s="6">
        <f t="shared" si="46"/>
        <v>0</v>
      </c>
      <c r="CZ22" s="6">
        <f t="shared" si="47"/>
        <v>0</v>
      </c>
      <c r="DA22" s="6">
        <f t="shared" si="72"/>
        <v>0.69974398417147576</v>
      </c>
    </row>
    <row r="23" spans="1:105" ht="16.5" thickTop="1" thickBot="1">
      <c r="A23" s="22" t="str">
        <f>'1.0 Data'!A22</f>
        <v>OT Technology Capability uplift</v>
      </c>
      <c r="B23" s="22" t="str">
        <f>'1.0 Data'!B22</f>
        <v>2021/22</v>
      </c>
      <c r="C23" s="22" cm="1">
        <f t="array" ref="C23">_xlfn.IFNA(INDEX('1.0 Data'!G$9:G$36,MATCH($A23,'1.0 Data'!$A$9:$A$36,0),0),0)</f>
        <v>3.7676736976475556E-2</v>
      </c>
      <c r="D23" s="22" cm="1">
        <f t="array" ref="D23">_xlfn.IFNA(INDEX('1.0 Data'!H$9:H$36,MATCH($A23,'1.0 Data'!$A$9:$A$36,0),0),0)</f>
        <v>3.7676736976475556E-2</v>
      </c>
      <c r="E23" s="22" cm="1">
        <f t="array" ref="E23">_xlfn.IFNA(INDEX('1.0 Data'!I$9:I$36,MATCH($A23,'1.0 Data'!$A$9:$A$36,0),0),0)</f>
        <v>3.7676736976475556E-2</v>
      </c>
      <c r="F23" s="22" cm="1">
        <f t="array" ref="F23">_xlfn.IFNA(INDEX('1.0 Data'!J$9:J$36,MATCH($A23,'1.0 Data'!$A$9:$A$36,0),0),0)</f>
        <v>3.7676736976475556E-2</v>
      </c>
      <c r="G23" s="22" cm="1">
        <f t="array" ref="G23">_xlfn.IFNA(INDEX('1.0 Data'!K$9:K$36,MATCH($A23,'1.0 Data'!$A$9:$A$36,0),0),0)</f>
        <v>3.7676736976475556E-2</v>
      </c>
      <c r="H23" s="6">
        <f t="shared" si="48"/>
        <v>0.18838368488237778</v>
      </c>
      <c r="J23" s="22" t="str">
        <f t="shared" si="49"/>
        <v>OT Technology Capability uplift</v>
      </c>
      <c r="K23" s="5" t="str">
        <f t="shared" si="50"/>
        <v>2024/25</v>
      </c>
      <c r="L23" s="6">
        <f>_xlfn.IFNA(HLOOKUP($B23,'1.1 Input'!$A$8:$N$15,6,FALSE)*C23,"")</f>
        <v>4.3940116737499611E-2</v>
      </c>
      <c r="M23" s="6">
        <f>_xlfn.IFNA(HLOOKUP($B23,'1.1 Input'!$A$8:$N$15,6,FALSE)*D23,"")</f>
        <v>4.3940116737499611E-2</v>
      </c>
      <c r="N23" s="6">
        <f>_xlfn.IFNA(HLOOKUP($B23,'1.1 Input'!$A$8:$N$15,6,FALSE)*E23,"")</f>
        <v>4.3940116737499611E-2</v>
      </c>
      <c r="O23" s="6">
        <f>_xlfn.IFNA(HLOOKUP($B23,'1.1 Input'!$A$8:$N$15,6,FALSE)*F23,"")</f>
        <v>4.3940116737499611E-2</v>
      </c>
      <c r="P23" s="6">
        <f>_xlfn.IFNA(HLOOKUP($B23,'1.1 Input'!$A$8:$N$15,6,FALSE)*G23,"")</f>
        <v>4.3940116737499611E-2</v>
      </c>
      <c r="Q23" s="34">
        <f t="shared" si="35"/>
        <v>0.21970058368749806</v>
      </c>
      <c r="S23" s="22" t="str">
        <f t="shared" si="3"/>
        <v>OT Technology Capability uplift</v>
      </c>
      <c r="T23" s="6">
        <f>(IF(S23="","",L23*'1.0 Data'!$M22))</f>
        <v>0</v>
      </c>
      <c r="U23" s="6">
        <f>(IF(T23="","",M23*'1.0 Data'!$M22))</f>
        <v>0</v>
      </c>
      <c r="V23" s="6">
        <f>(IF(U23="","",N23*'1.0 Data'!$M22))</f>
        <v>0</v>
      </c>
      <c r="W23" s="6">
        <f>(IF(V23="","",O23*'1.0 Data'!$M22))</f>
        <v>0</v>
      </c>
      <c r="X23" s="6">
        <f>(IF(W23="","",P23*'1.0 Data'!$M22))</f>
        <v>0</v>
      </c>
      <c r="Y23" s="6">
        <f t="shared" si="51"/>
        <v>0</v>
      </c>
      <c r="AA23" s="22" t="str">
        <f t="shared" si="52"/>
        <v>OT Technology Capability uplift</v>
      </c>
      <c r="AB23" s="6">
        <f>IF(AA23="","",L23*'1.0 Data'!$N22)</f>
        <v>0</v>
      </c>
      <c r="AC23" s="6">
        <f>IF(AB23="","",M23*'1.0 Data'!$N22)</f>
        <v>0</v>
      </c>
      <c r="AD23" s="6">
        <f>IF(AC23="","",N23*'1.0 Data'!$N22)</f>
        <v>0</v>
      </c>
      <c r="AE23" s="6">
        <f>IF(AD23="","",O23*'1.0 Data'!$N22)</f>
        <v>0</v>
      </c>
      <c r="AF23" s="6">
        <f>IF(AE23="","",P23*'1.0 Data'!$N22)</f>
        <v>0</v>
      </c>
      <c r="AG23" s="6">
        <f t="shared" si="53"/>
        <v>0</v>
      </c>
      <c r="AI23" s="22" t="str">
        <f t="shared" si="54"/>
        <v>OT Technology Capability uplift</v>
      </c>
      <c r="AJ23" s="6">
        <f>IF(AI23="","",L23*'1.0 Data'!$O22)</f>
        <v>0</v>
      </c>
      <c r="AK23" s="6">
        <f>IF(AJ23="","",M23*'1.0 Data'!$O22)</f>
        <v>0</v>
      </c>
      <c r="AL23" s="6">
        <f>IF(AK23="","",N23*'1.0 Data'!$O22)</f>
        <v>0</v>
      </c>
      <c r="AM23" s="6">
        <f>IF(AL23="","",O23*'1.0 Data'!$O22)</f>
        <v>0</v>
      </c>
      <c r="AN23" s="6">
        <f>IF(AM23="","",P23*'1.0 Data'!$O22)</f>
        <v>0</v>
      </c>
      <c r="AO23" s="6">
        <f t="shared" si="55"/>
        <v>0</v>
      </c>
      <c r="AQ23" s="22" t="str">
        <f t="shared" si="56"/>
        <v>OT Technology Capability uplift</v>
      </c>
      <c r="AR23" s="6">
        <f>IF(AQ23="","",L23*'1.0 Data'!$P22)</f>
        <v>0</v>
      </c>
      <c r="AS23" s="6">
        <f>IF(AR23="","",M23*'1.0 Data'!$P22)</f>
        <v>0</v>
      </c>
      <c r="AT23" s="6">
        <f>IF(AS23="","",N23*'1.0 Data'!$P22)</f>
        <v>0</v>
      </c>
      <c r="AU23" s="6">
        <f>IF(AT23="","",O23*'1.0 Data'!$P22)</f>
        <v>0</v>
      </c>
      <c r="AV23" s="6">
        <f>IF(AU23="","",P23*'1.0 Data'!$P22)</f>
        <v>0</v>
      </c>
      <c r="AW23" s="6">
        <f t="shared" si="57"/>
        <v>0</v>
      </c>
      <c r="AY23" s="22" t="str">
        <f t="shared" si="36"/>
        <v>OT Technology Capability uplift</v>
      </c>
      <c r="AZ23" s="6">
        <f>IF(AY23="","",L23*'1.0 Data'!$Q22)</f>
        <v>4.3940116737499611E-2</v>
      </c>
      <c r="BA23" s="6">
        <f>IF(AZ23="","",M23*'1.0 Data'!$Q22)</f>
        <v>4.3940116737499611E-2</v>
      </c>
      <c r="BB23" s="6">
        <f>IF(BA23="","",N23*'1.0 Data'!$Q22)</f>
        <v>4.3940116737499611E-2</v>
      </c>
      <c r="BC23" s="6">
        <f>IF(BB23="","",O23*'1.0 Data'!$Q22)</f>
        <v>4.3940116737499611E-2</v>
      </c>
      <c r="BD23" s="6">
        <f>IF(BC23="","",P23*'1.0 Data'!$Q22)</f>
        <v>4.3940116737499611E-2</v>
      </c>
      <c r="BE23" s="6">
        <f t="shared" si="58"/>
        <v>0.21970058368749806</v>
      </c>
      <c r="BG23" s="6">
        <f t="shared" si="59"/>
        <v>0.21970058368749806</v>
      </c>
      <c r="BH23" s="22">
        <f>H23*HLOOKUP($B23,'1.1 Input'!$A$8:$N$15,6,FALSE)</f>
        <v>0.21970058368749804</v>
      </c>
      <c r="BI23" s="23">
        <f t="shared" si="60"/>
        <v>0</v>
      </c>
      <c r="BK23" s="22" t="str">
        <f t="shared" si="61"/>
        <v>OT Technology Capability uplift</v>
      </c>
      <c r="BL23" s="6">
        <f>IF(BK23="","",T23*'1.1 Input'!D$58)</f>
        <v>0</v>
      </c>
      <c r="BM23" s="6">
        <f>IF(BL23="","",U23*'1.1 Input'!E$58)</f>
        <v>0</v>
      </c>
      <c r="BN23" s="6">
        <f>IF(BM23="","",V23*'1.1 Input'!F$58)</f>
        <v>0</v>
      </c>
      <c r="BO23" s="6">
        <f>IF(BN23="","",W23*'1.1 Input'!G$58)</f>
        <v>0</v>
      </c>
      <c r="BP23" s="6">
        <f>IF(BO23="","",X23*'1.1 Input'!H$58)</f>
        <v>0</v>
      </c>
      <c r="BQ23" s="6">
        <f t="shared" si="62"/>
        <v>0</v>
      </c>
      <c r="BR23" s="22" t="str">
        <f t="shared" si="63"/>
        <v>OT Technology Capability uplift</v>
      </c>
      <c r="BS23" s="6">
        <f>IF(BR23="","",AB23*'1.1 Input'!D$59)</f>
        <v>0</v>
      </c>
      <c r="BT23" s="6">
        <f>IF(BS23="","",AC23*'1.1 Input'!E$59)</f>
        <v>0</v>
      </c>
      <c r="BU23" s="6">
        <f>IF(BT23="","",AD23*'1.1 Input'!F$59)</f>
        <v>0</v>
      </c>
      <c r="BV23" s="6">
        <f>IF(BU23="","",AE23*'1.1 Input'!G$59)</f>
        <v>0</v>
      </c>
      <c r="BW23" s="6">
        <f>IF(BV23="","",AF23*'1.1 Input'!H$59)</f>
        <v>0</v>
      </c>
      <c r="BX23" s="6">
        <f t="shared" si="64"/>
        <v>0</v>
      </c>
      <c r="BY23" s="22" t="str">
        <f t="shared" si="65"/>
        <v>OT Technology Capability uplift</v>
      </c>
      <c r="BZ23" s="6">
        <f>IF(BY23="","",AJ23*'1.1 Input'!D$60)</f>
        <v>0</v>
      </c>
      <c r="CA23" s="6">
        <f>IF(BZ23="","",AK23*'1.1 Input'!E$60)</f>
        <v>0</v>
      </c>
      <c r="CB23" s="6">
        <f>IF(CA23="","",AL23*'1.1 Input'!F$60)</f>
        <v>0</v>
      </c>
      <c r="CC23" s="6">
        <f>IF(CB23="","",AM23*'1.1 Input'!G$60)</f>
        <v>0</v>
      </c>
      <c r="CD23" s="6">
        <f>IF(CC23="","",AN23*'1.1 Input'!H$60)</f>
        <v>0</v>
      </c>
      <c r="CE23" s="6">
        <f t="shared" si="66"/>
        <v>0</v>
      </c>
      <c r="CF23" s="22" t="str">
        <f t="shared" si="67"/>
        <v>OT Technology Capability uplift</v>
      </c>
      <c r="CG23" s="6">
        <f>IF(CF23="","",AR23*'1.1 Input'!D$61)</f>
        <v>0</v>
      </c>
      <c r="CH23" s="6">
        <f>IF(CG23="","",AS23*'1.1 Input'!E$61)</f>
        <v>0</v>
      </c>
      <c r="CI23" s="6">
        <f>IF(CH23="","",AT23*'1.1 Input'!F$61)</f>
        <v>0</v>
      </c>
      <c r="CJ23" s="6">
        <f>IF(CI23="","",AU23*'1.1 Input'!G$61)</f>
        <v>0</v>
      </c>
      <c r="CK23" s="6">
        <f>IF(CJ23="","",AV23*'1.1 Input'!H$61)</f>
        <v>0</v>
      </c>
      <c r="CL23" s="6">
        <f t="shared" si="68"/>
        <v>0</v>
      </c>
      <c r="CM23" s="22" t="str">
        <f t="shared" si="37"/>
        <v>OT Technology Capability uplift</v>
      </c>
      <c r="CN23" s="22">
        <f t="shared" si="38"/>
        <v>4.3940116737499611E-2</v>
      </c>
      <c r="CO23" s="22">
        <f t="shared" si="39"/>
        <v>4.3940116737499611E-2</v>
      </c>
      <c r="CP23" s="22">
        <f t="shared" si="40"/>
        <v>4.3940116737499611E-2</v>
      </c>
      <c r="CQ23" s="22">
        <f t="shared" si="41"/>
        <v>4.3940116737499611E-2</v>
      </c>
      <c r="CR23" s="22">
        <f t="shared" si="42"/>
        <v>4.3940116737499611E-2</v>
      </c>
      <c r="CS23" s="6">
        <f t="shared" si="69"/>
        <v>0.21970058368749806</v>
      </c>
      <c r="CT23" s="22" t="str">
        <f t="shared" si="70"/>
        <v>OT Technology Capability uplift</v>
      </c>
      <c r="CU23" s="22" t="str">
        <f t="shared" si="71"/>
        <v>2024/25</v>
      </c>
      <c r="CV23" s="6">
        <f t="shared" si="43"/>
        <v>4.3940116737499611E-2</v>
      </c>
      <c r="CW23" s="6">
        <f t="shared" si="44"/>
        <v>4.3940116737499611E-2</v>
      </c>
      <c r="CX23" s="6">
        <f t="shared" si="45"/>
        <v>4.3940116737499611E-2</v>
      </c>
      <c r="CY23" s="6">
        <f t="shared" si="46"/>
        <v>4.3940116737499611E-2</v>
      </c>
      <c r="CZ23" s="6">
        <f t="shared" si="47"/>
        <v>4.3940116737499611E-2</v>
      </c>
      <c r="DA23" s="6">
        <f t="shared" si="72"/>
        <v>0.21970058368749806</v>
      </c>
    </row>
    <row r="24" spans="1:105" ht="16.5" thickTop="1" thickBot="1">
      <c r="A24" s="22" t="str">
        <f>'1.0 Data'!A23</f>
        <v>Asset Integration</v>
      </c>
      <c r="B24" s="22" t="str">
        <f>'1.0 Data'!B23</f>
        <v>2021/22</v>
      </c>
      <c r="C24" s="22" cm="1">
        <f t="array" ref="C24">_xlfn.IFNA(INDEX('1.0 Data'!G$9:G$36,MATCH($A24,'1.0 Data'!$A$9:$A$36,0),0),0)</f>
        <v>0</v>
      </c>
      <c r="D24" s="22" cm="1">
        <f t="array" ref="D24">_xlfn.IFNA(INDEX('1.0 Data'!H$9:H$36,MATCH($A24,'1.0 Data'!$A$9:$A$36,0),0),0)</f>
        <v>0</v>
      </c>
      <c r="E24" s="22" cm="1">
        <f t="array" ref="E24">_xlfn.IFNA(INDEX('1.0 Data'!I$9:I$36,MATCH($A24,'1.0 Data'!$A$9:$A$36,0),0),0)</f>
        <v>0</v>
      </c>
      <c r="F24" s="22" cm="1">
        <f t="array" ref="F24">_xlfn.IFNA(INDEX('1.0 Data'!J$9:J$36,MATCH($A24,'1.0 Data'!$A$9:$A$36,0),0),0)</f>
        <v>0</v>
      </c>
      <c r="G24" s="22" cm="1">
        <f t="array" ref="G24">_xlfn.IFNA(INDEX('1.0 Data'!K$9:K$36,MATCH($A24,'1.0 Data'!$A$9:$A$36,0),0),0)</f>
        <v>0.03</v>
      </c>
      <c r="H24" s="6">
        <f t="shared" si="48"/>
        <v>0.03</v>
      </c>
      <c r="J24" s="22" t="str">
        <f t="shared" si="49"/>
        <v>Asset Integration</v>
      </c>
      <c r="K24" s="5" t="str">
        <f t="shared" si="50"/>
        <v>2024/25</v>
      </c>
      <c r="L24" s="6">
        <f>_xlfn.IFNA(HLOOKUP($B24,'1.1 Input'!$A$8:$N$15,6,FALSE)*C24,"")</f>
        <v>0</v>
      </c>
      <c r="M24" s="6">
        <f>_xlfn.IFNA(HLOOKUP($B24,'1.1 Input'!$A$8:$N$15,6,FALSE)*D24,"")</f>
        <v>0</v>
      </c>
      <c r="N24" s="6">
        <f>_xlfn.IFNA(HLOOKUP($B24,'1.1 Input'!$A$8:$N$15,6,FALSE)*E24,"")</f>
        <v>0</v>
      </c>
      <c r="O24" s="6">
        <f>_xlfn.IFNA(HLOOKUP($B24,'1.1 Input'!$A$8:$N$15,6,FALSE)*F24,"")</f>
        <v>0</v>
      </c>
      <c r="P24" s="6">
        <f>_xlfn.IFNA(HLOOKUP($B24,'1.1 Input'!$A$8:$N$15,6,FALSE)*G24,"")</f>
        <v>3.4987199208573787E-2</v>
      </c>
      <c r="Q24" s="34">
        <f t="shared" si="35"/>
        <v>3.4987199208573787E-2</v>
      </c>
      <c r="S24" s="22" t="str">
        <f t="shared" si="3"/>
        <v>Asset Integration</v>
      </c>
      <c r="T24" s="6">
        <f>(IF(S24="","",L24*'1.0 Data'!$M23))</f>
        <v>0</v>
      </c>
      <c r="U24" s="6">
        <f>(IF(T24="","",M24*'1.0 Data'!$M23))</f>
        <v>0</v>
      </c>
      <c r="V24" s="6">
        <f>(IF(U24="","",N24*'1.0 Data'!$M23))</f>
        <v>0</v>
      </c>
      <c r="W24" s="6">
        <f>(IF(V24="","",O24*'1.0 Data'!$M23))</f>
        <v>0</v>
      </c>
      <c r="X24" s="6">
        <f>(IF(W24="","",P24*'1.0 Data'!$M23))</f>
        <v>0</v>
      </c>
      <c r="Y24" s="6">
        <f t="shared" si="51"/>
        <v>0</v>
      </c>
      <c r="AA24" s="22" t="str">
        <f t="shared" si="52"/>
        <v>Asset Integration</v>
      </c>
      <c r="AB24" s="6">
        <f>IF(AA24="","",L24*'1.0 Data'!$N23)</f>
        <v>0</v>
      </c>
      <c r="AC24" s="6">
        <f>IF(AB24="","",M24*'1.0 Data'!$N23)</f>
        <v>0</v>
      </c>
      <c r="AD24" s="6">
        <f>IF(AC24="","",N24*'1.0 Data'!$N23)</f>
        <v>0</v>
      </c>
      <c r="AE24" s="6">
        <f>IF(AD24="","",O24*'1.0 Data'!$N23)</f>
        <v>0</v>
      </c>
      <c r="AF24" s="6">
        <f>IF(AE24="","",P24*'1.0 Data'!$N23)</f>
        <v>0</v>
      </c>
      <c r="AG24" s="6">
        <f t="shared" si="53"/>
        <v>0</v>
      </c>
      <c r="AI24" s="22" t="str">
        <f t="shared" si="54"/>
        <v>Asset Integration</v>
      </c>
      <c r="AJ24" s="6">
        <f>IF(AI24="","",L24*'1.0 Data'!$O23)</f>
        <v>0</v>
      </c>
      <c r="AK24" s="6">
        <f>IF(AJ24="","",M24*'1.0 Data'!$O23)</f>
        <v>0</v>
      </c>
      <c r="AL24" s="6">
        <f>IF(AK24="","",N24*'1.0 Data'!$O23)</f>
        <v>0</v>
      </c>
      <c r="AM24" s="6">
        <f>IF(AL24="","",O24*'1.0 Data'!$O23)</f>
        <v>0</v>
      </c>
      <c r="AN24" s="6">
        <f>IF(AM24="","",P24*'1.0 Data'!$O23)</f>
        <v>0</v>
      </c>
      <c r="AO24" s="6">
        <f t="shared" si="55"/>
        <v>0</v>
      </c>
      <c r="AQ24" s="22" t="str">
        <f t="shared" si="56"/>
        <v>Asset Integration</v>
      </c>
      <c r="AR24" s="6">
        <f>IF(AQ24="","",L24*'1.0 Data'!$P23)</f>
        <v>0</v>
      </c>
      <c r="AS24" s="6">
        <f>IF(AR24="","",M24*'1.0 Data'!$P23)</f>
        <v>0</v>
      </c>
      <c r="AT24" s="6">
        <f>IF(AS24="","",N24*'1.0 Data'!$P23)</f>
        <v>0</v>
      </c>
      <c r="AU24" s="6">
        <f>IF(AT24="","",O24*'1.0 Data'!$P23)</f>
        <v>0</v>
      </c>
      <c r="AV24" s="6">
        <f>IF(AU24="","",P24*'1.0 Data'!$P23)</f>
        <v>0</v>
      </c>
      <c r="AW24" s="6">
        <f t="shared" si="57"/>
        <v>0</v>
      </c>
      <c r="AY24" s="22" t="str">
        <f t="shared" si="36"/>
        <v>Asset Integration</v>
      </c>
      <c r="AZ24" s="6">
        <f>IF(AY24="","",L24*'1.0 Data'!$Q23)</f>
        <v>0</v>
      </c>
      <c r="BA24" s="6">
        <f>IF(AZ24="","",M24*'1.0 Data'!$Q23)</f>
        <v>0</v>
      </c>
      <c r="BB24" s="6">
        <f>IF(BA24="","",N24*'1.0 Data'!$Q23)</f>
        <v>0</v>
      </c>
      <c r="BC24" s="6">
        <f>IF(BB24="","",O24*'1.0 Data'!$Q23)</f>
        <v>0</v>
      </c>
      <c r="BD24" s="6">
        <f>IF(BC24="","",P24*'1.0 Data'!$Q23)</f>
        <v>3.4987199208573787E-2</v>
      </c>
      <c r="BE24" s="6">
        <f t="shared" si="58"/>
        <v>3.4987199208573787E-2</v>
      </c>
      <c r="BG24" s="6">
        <f t="shared" si="59"/>
        <v>3.4987199208573787E-2</v>
      </c>
      <c r="BH24" s="22">
        <f>H24*HLOOKUP($B24,'1.1 Input'!$A$8:$N$15,6,FALSE)</f>
        <v>3.4987199208573787E-2</v>
      </c>
      <c r="BI24" s="23">
        <f t="shared" si="60"/>
        <v>0</v>
      </c>
      <c r="BK24" s="22" t="str">
        <f t="shared" si="61"/>
        <v>Asset Integration</v>
      </c>
      <c r="BL24" s="6">
        <f>IF(BK24="","",T24*'1.1 Input'!D$58)</f>
        <v>0</v>
      </c>
      <c r="BM24" s="6">
        <f>IF(BL24="","",U24*'1.1 Input'!E$58)</f>
        <v>0</v>
      </c>
      <c r="BN24" s="6">
        <f>IF(BM24="","",V24*'1.1 Input'!F$58)</f>
        <v>0</v>
      </c>
      <c r="BO24" s="6">
        <f>IF(BN24="","",W24*'1.1 Input'!G$58)</f>
        <v>0</v>
      </c>
      <c r="BP24" s="6">
        <f>IF(BO24="","",X24*'1.1 Input'!H$58)</f>
        <v>0</v>
      </c>
      <c r="BQ24" s="6">
        <f t="shared" si="62"/>
        <v>0</v>
      </c>
      <c r="BR24" s="22" t="str">
        <f t="shared" si="63"/>
        <v>Asset Integration</v>
      </c>
      <c r="BS24" s="6">
        <f>IF(BR24="","",AB24*'1.1 Input'!D$59)</f>
        <v>0</v>
      </c>
      <c r="BT24" s="6">
        <f>IF(BS24="","",AC24*'1.1 Input'!E$59)</f>
        <v>0</v>
      </c>
      <c r="BU24" s="6">
        <f>IF(BT24="","",AD24*'1.1 Input'!F$59)</f>
        <v>0</v>
      </c>
      <c r="BV24" s="6">
        <f>IF(BU24="","",AE24*'1.1 Input'!G$59)</f>
        <v>0</v>
      </c>
      <c r="BW24" s="6">
        <f>IF(BV24="","",AF24*'1.1 Input'!H$59)</f>
        <v>0</v>
      </c>
      <c r="BX24" s="6">
        <f t="shared" si="64"/>
        <v>0</v>
      </c>
      <c r="BY24" s="22" t="str">
        <f t="shared" si="65"/>
        <v>Asset Integration</v>
      </c>
      <c r="BZ24" s="6">
        <f>IF(BY24="","",AJ24*'1.1 Input'!D$60)</f>
        <v>0</v>
      </c>
      <c r="CA24" s="6">
        <f>IF(BZ24="","",AK24*'1.1 Input'!E$60)</f>
        <v>0</v>
      </c>
      <c r="CB24" s="6">
        <f>IF(CA24="","",AL24*'1.1 Input'!F$60)</f>
        <v>0</v>
      </c>
      <c r="CC24" s="6">
        <f>IF(CB24="","",AM24*'1.1 Input'!G$60)</f>
        <v>0</v>
      </c>
      <c r="CD24" s="6">
        <f>IF(CC24="","",AN24*'1.1 Input'!H$60)</f>
        <v>0</v>
      </c>
      <c r="CE24" s="6">
        <f t="shared" si="66"/>
        <v>0</v>
      </c>
      <c r="CF24" s="22" t="str">
        <f t="shared" si="67"/>
        <v>Asset Integration</v>
      </c>
      <c r="CG24" s="6">
        <f>IF(CF24="","",AR24*'1.1 Input'!D$61)</f>
        <v>0</v>
      </c>
      <c r="CH24" s="6">
        <f>IF(CG24="","",AS24*'1.1 Input'!E$61)</f>
        <v>0</v>
      </c>
      <c r="CI24" s="6">
        <f>IF(CH24="","",AT24*'1.1 Input'!F$61)</f>
        <v>0</v>
      </c>
      <c r="CJ24" s="6">
        <f>IF(CI24="","",AU24*'1.1 Input'!G$61)</f>
        <v>0</v>
      </c>
      <c r="CK24" s="6">
        <f>IF(CJ24="","",AV24*'1.1 Input'!H$61)</f>
        <v>0</v>
      </c>
      <c r="CL24" s="6">
        <f t="shared" si="68"/>
        <v>0</v>
      </c>
      <c r="CM24" s="22" t="str">
        <f t="shared" si="37"/>
        <v>Asset Integration</v>
      </c>
      <c r="CN24" s="22">
        <f t="shared" si="38"/>
        <v>0</v>
      </c>
      <c r="CO24" s="22">
        <f t="shared" si="39"/>
        <v>0</v>
      </c>
      <c r="CP24" s="22">
        <f t="shared" si="40"/>
        <v>0</v>
      </c>
      <c r="CQ24" s="22">
        <f t="shared" si="41"/>
        <v>0</v>
      </c>
      <c r="CR24" s="22">
        <f t="shared" si="42"/>
        <v>3.4987199208573787E-2</v>
      </c>
      <c r="CS24" s="6">
        <f t="shared" si="69"/>
        <v>3.4987199208573787E-2</v>
      </c>
      <c r="CT24" s="22" t="str">
        <f t="shared" si="70"/>
        <v>Asset Integration</v>
      </c>
      <c r="CU24" s="22" t="str">
        <f t="shared" si="71"/>
        <v>2024/25</v>
      </c>
      <c r="CV24" s="6">
        <f t="shared" si="43"/>
        <v>0</v>
      </c>
      <c r="CW24" s="6">
        <f t="shared" si="44"/>
        <v>0</v>
      </c>
      <c r="CX24" s="6">
        <f t="shared" si="45"/>
        <v>0</v>
      </c>
      <c r="CY24" s="6">
        <f t="shared" si="46"/>
        <v>0</v>
      </c>
      <c r="CZ24" s="6">
        <f t="shared" si="47"/>
        <v>3.4987199208573787E-2</v>
      </c>
      <c r="DA24" s="6">
        <f t="shared" si="72"/>
        <v>3.4987199208573787E-2</v>
      </c>
    </row>
    <row r="25" spans="1:105" ht="16.5" thickTop="1" thickBot="1">
      <c r="A25" s="22" t="str">
        <f>'1.0 Data'!A24</f>
        <v>Program Management and Consultation</v>
      </c>
      <c r="B25" s="22" t="str">
        <f>'1.0 Data'!B24</f>
        <v>2021/22</v>
      </c>
      <c r="C25" s="22" cm="1">
        <f t="array" ref="C25">_xlfn.IFNA(INDEX('1.0 Data'!G$9:G$36,MATCH($A25,'1.0 Data'!$A$9:$A$36,0),0),0)</f>
        <v>0</v>
      </c>
      <c r="D25" s="22" cm="1">
        <f t="array" ref="D25">_xlfn.IFNA(INDEX('1.0 Data'!H$9:H$36,MATCH($A25,'1.0 Data'!$A$9:$A$36,0),0),0)</f>
        <v>0</v>
      </c>
      <c r="E25" s="22" cm="1">
        <f t="array" ref="E25">_xlfn.IFNA(INDEX('1.0 Data'!I$9:I$36,MATCH($A25,'1.0 Data'!$A$9:$A$36,0),0),0)</f>
        <v>0.15000001000000002</v>
      </c>
      <c r="F25" s="22" cm="1">
        <f t="array" ref="F25">_xlfn.IFNA(INDEX('1.0 Data'!J$9:J$36,MATCH($A25,'1.0 Data'!$A$9:$A$36,0),0),0)</f>
        <v>0.3</v>
      </c>
      <c r="G25" s="22" cm="1">
        <f t="array" ref="G25">_xlfn.IFNA(INDEX('1.0 Data'!K$9:K$36,MATCH($A25,'1.0 Data'!$A$9:$A$36,0),0),0)</f>
        <v>0.15</v>
      </c>
      <c r="H25" s="6">
        <f t="shared" si="48"/>
        <v>0.60000001000000003</v>
      </c>
      <c r="J25" s="22" t="str">
        <f t="shared" si="49"/>
        <v>Program Management and Consultation</v>
      </c>
      <c r="K25" s="5" t="str">
        <f t="shared" si="50"/>
        <v>2024/25</v>
      </c>
      <c r="L25" s="6">
        <f>_xlfn.IFNA(HLOOKUP($B25,'1.1 Input'!$A$8:$N$15,6,FALSE)*C25,"")</f>
        <v>0</v>
      </c>
      <c r="M25" s="6">
        <f>_xlfn.IFNA(HLOOKUP($B25,'1.1 Input'!$A$8:$N$15,6,FALSE)*D25,"")</f>
        <v>0</v>
      </c>
      <c r="N25" s="6">
        <f>_xlfn.IFNA(HLOOKUP($B25,'1.1 Input'!$A$8:$N$15,6,FALSE)*E25,"")</f>
        <v>0.17493600770526868</v>
      </c>
      <c r="O25" s="6">
        <f>_xlfn.IFNA(HLOOKUP($B25,'1.1 Input'!$A$8:$N$15,6,FALSE)*F25,"")</f>
        <v>0.34987199208573788</v>
      </c>
      <c r="P25" s="6">
        <f>_xlfn.IFNA(HLOOKUP($B25,'1.1 Input'!$A$8:$N$15,6,FALSE)*G25,"")</f>
        <v>0.17493599604286894</v>
      </c>
      <c r="Q25" s="34">
        <f t="shared" si="35"/>
        <v>0.69974399583387548</v>
      </c>
      <c r="S25" s="22" t="str">
        <f t="shared" si="3"/>
        <v>Program Management and Consultation</v>
      </c>
      <c r="T25" s="6">
        <f>(IF(S25="","",L25*'1.0 Data'!$M24))</f>
        <v>0</v>
      </c>
      <c r="U25" s="6">
        <f>(IF(T25="","",M25*'1.0 Data'!$M24))</f>
        <v>0</v>
      </c>
      <c r="V25" s="6">
        <f>(IF(U25="","",N25*'1.0 Data'!$M24))</f>
        <v>0</v>
      </c>
      <c r="W25" s="6">
        <f>(IF(V25="","",O25*'1.0 Data'!$M24))</f>
        <v>0</v>
      </c>
      <c r="X25" s="6">
        <f>(IF(W25="","",P25*'1.0 Data'!$M24))</f>
        <v>0</v>
      </c>
      <c r="Y25" s="6">
        <f t="shared" si="51"/>
        <v>0</v>
      </c>
      <c r="AA25" s="22" t="str">
        <f t="shared" si="52"/>
        <v>Program Management and Consultation</v>
      </c>
      <c r="AB25" s="6">
        <f>IF(AA25="","",L25*'1.0 Data'!$N24)</f>
        <v>0</v>
      </c>
      <c r="AC25" s="6">
        <f>IF(AB25="","",M25*'1.0 Data'!$N24)</f>
        <v>0</v>
      </c>
      <c r="AD25" s="6">
        <f>IF(AC25="","",N25*'1.0 Data'!$N24)</f>
        <v>0</v>
      </c>
      <c r="AE25" s="6">
        <f>IF(AD25="","",O25*'1.0 Data'!$N24)</f>
        <v>0</v>
      </c>
      <c r="AF25" s="6">
        <f>IF(AE25="","",P25*'1.0 Data'!$N24)</f>
        <v>0</v>
      </c>
      <c r="AG25" s="6">
        <f t="shared" si="53"/>
        <v>0</v>
      </c>
      <c r="AI25" s="22" t="str">
        <f t="shared" si="54"/>
        <v>Program Management and Consultation</v>
      </c>
      <c r="AJ25" s="6">
        <f>IF(AI25="","",L25*'1.0 Data'!$O24)</f>
        <v>0</v>
      </c>
      <c r="AK25" s="6">
        <f>IF(AJ25="","",M25*'1.0 Data'!$O24)</f>
        <v>0</v>
      </c>
      <c r="AL25" s="6">
        <f>IF(AK25="","",N25*'1.0 Data'!$O24)</f>
        <v>0</v>
      </c>
      <c r="AM25" s="6">
        <f>IF(AL25="","",O25*'1.0 Data'!$O24)</f>
        <v>0</v>
      </c>
      <c r="AN25" s="6">
        <f>IF(AM25="","",P25*'1.0 Data'!$O24)</f>
        <v>0</v>
      </c>
      <c r="AO25" s="6">
        <f t="shared" si="55"/>
        <v>0</v>
      </c>
      <c r="AQ25" s="22" t="str">
        <f t="shared" si="56"/>
        <v>Program Management and Consultation</v>
      </c>
      <c r="AR25" s="6">
        <f>IF(AQ25="","",L25*'1.0 Data'!$P24)</f>
        <v>0</v>
      </c>
      <c r="AS25" s="6">
        <f>IF(AR25="","",M25*'1.0 Data'!$P24)</f>
        <v>0</v>
      </c>
      <c r="AT25" s="6">
        <f>IF(AS25="","",N25*'1.0 Data'!$P24)</f>
        <v>0</v>
      </c>
      <c r="AU25" s="6">
        <f>IF(AT25="","",O25*'1.0 Data'!$P24)</f>
        <v>0</v>
      </c>
      <c r="AV25" s="6">
        <f>IF(AU25="","",P25*'1.0 Data'!$P24)</f>
        <v>0</v>
      </c>
      <c r="AW25" s="6">
        <f t="shared" si="57"/>
        <v>0</v>
      </c>
      <c r="AY25" s="22" t="str">
        <f t="shared" si="36"/>
        <v>Program Management and Consultation</v>
      </c>
      <c r="AZ25" s="6">
        <f>IF(AY25="","",L25*'1.0 Data'!$Q24)</f>
        <v>0</v>
      </c>
      <c r="BA25" s="6">
        <f>IF(AZ25="","",M25*'1.0 Data'!$Q24)</f>
        <v>0</v>
      </c>
      <c r="BB25" s="6">
        <f>IF(BA25="","",N25*'1.0 Data'!$Q24)</f>
        <v>0.17493600770526868</v>
      </c>
      <c r="BC25" s="6">
        <f>IF(BB25="","",O25*'1.0 Data'!$Q24)</f>
        <v>0.34987199208573788</v>
      </c>
      <c r="BD25" s="6">
        <f>IF(BC25="","",P25*'1.0 Data'!$Q24)</f>
        <v>0.17493599604286894</v>
      </c>
      <c r="BE25" s="6">
        <f t="shared" si="58"/>
        <v>0.69974399583387548</v>
      </c>
      <c r="BG25" s="6">
        <f t="shared" si="59"/>
        <v>0.69974399583387548</v>
      </c>
      <c r="BH25" s="22">
        <f>H25*HLOOKUP($B25,'1.1 Input'!$A$8:$N$15,6,FALSE)</f>
        <v>0.69974399583387548</v>
      </c>
      <c r="BI25" s="23">
        <f t="shared" si="60"/>
        <v>0</v>
      </c>
      <c r="BK25" s="22" t="str">
        <f t="shared" si="61"/>
        <v>Program Management and Consultation</v>
      </c>
      <c r="BL25" s="6">
        <f>IF(BK25="","",T25*'1.1 Input'!D$58)</f>
        <v>0</v>
      </c>
      <c r="BM25" s="6">
        <f>IF(BL25="","",U25*'1.1 Input'!E$58)</f>
        <v>0</v>
      </c>
      <c r="BN25" s="6">
        <f>IF(BM25="","",V25*'1.1 Input'!F$58)</f>
        <v>0</v>
      </c>
      <c r="BO25" s="6">
        <f>IF(BN25="","",W25*'1.1 Input'!G$58)</f>
        <v>0</v>
      </c>
      <c r="BP25" s="6">
        <f>IF(BO25="","",X25*'1.1 Input'!H$58)</f>
        <v>0</v>
      </c>
      <c r="BQ25" s="6">
        <f t="shared" si="62"/>
        <v>0</v>
      </c>
      <c r="BR25" s="22" t="str">
        <f t="shared" si="63"/>
        <v>Program Management and Consultation</v>
      </c>
      <c r="BS25" s="6">
        <f>IF(BR25="","",AB25*'1.1 Input'!D$59)</f>
        <v>0</v>
      </c>
      <c r="BT25" s="6">
        <f>IF(BS25="","",AC25*'1.1 Input'!E$59)</f>
        <v>0</v>
      </c>
      <c r="BU25" s="6">
        <f>IF(BT25="","",AD25*'1.1 Input'!F$59)</f>
        <v>0</v>
      </c>
      <c r="BV25" s="6">
        <f>IF(BU25="","",AE25*'1.1 Input'!G$59)</f>
        <v>0</v>
      </c>
      <c r="BW25" s="6">
        <f>IF(BV25="","",AF25*'1.1 Input'!H$59)</f>
        <v>0</v>
      </c>
      <c r="BX25" s="6">
        <f t="shared" si="64"/>
        <v>0</v>
      </c>
      <c r="BY25" s="22" t="str">
        <f t="shared" si="65"/>
        <v>Program Management and Consultation</v>
      </c>
      <c r="BZ25" s="6">
        <f>IF(BY25="","",AJ25*'1.1 Input'!D$60)</f>
        <v>0</v>
      </c>
      <c r="CA25" s="6">
        <f>IF(BZ25="","",AK25*'1.1 Input'!E$60)</f>
        <v>0</v>
      </c>
      <c r="CB25" s="6">
        <f>IF(CA25="","",AL25*'1.1 Input'!F$60)</f>
        <v>0</v>
      </c>
      <c r="CC25" s="6">
        <f>IF(CB25="","",AM25*'1.1 Input'!G$60)</f>
        <v>0</v>
      </c>
      <c r="CD25" s="6">
        <f>IF(CC25="","",AN25*'1.1 Input'!H$60)</f>
        <v>0</v>
      </c>
      <c r="CE25" s="6">
        <f t="shared" si="66"/>
        <v>0</v>
      </c>
      <c r="CF25" s="22" t="str">
        <f t="shared" si="67"/>
        <v>Program Management and Consultation</v>
      </c>
      <c r="CG25" s="6">
        <f>IF(CF25="","",AR25*'1.1 Input'!D$61)</f>
        <v>0</v>
      </c>
      <c r="CH25" s="6">
        <f>IF(CG25="","",AS25*'1.1 Input'!E$61)</f>
        <v>0</v>
      </c>
      <c r="CI25" s="6">
        <f>IF(CH25="","",AT25*'1.1 Input'!F$61)</f>
        <v>0</v>
      </c>
      <c r="CJ25" s="6">
        <f>IF(CI25="","",AU25*'1.1 Input'!G$61)</f>
        <v>0</v>
      </c>
      <c r="CK25" s="6">
        <f>IF(CJ25="","",AV25*'1.1 Input'!H$61)</f>
        <v>0</v>
      </c>
      <c r="CL25" s="6">
        <f t="shared" si="68"/>
        <v>0</v>
      </c>
      <c r="CM25" s="22" t="str">
        <f t="shared" si="37"/>
        <v>Program Management and Consultation</v>
      </c>
      <c r="CN25" s="22">
        <f t="shared" si="38"/>
        <v>0</v>
      </c>
      <c r="CO25" s="22">
        <f t="shared" si="39"/>
        <v>0</v>
      </c>
      <c r="CP25" s="22">
        <f t="shared" si="40"/>
        <v>0.17493600770526868</v>
      </c>
      <c r="CQ25" s="22">
        <f t="shared" si="41"/>
        <v>0.34987199208573788</v>
      </c>
      <c r="CR25" s="22">
        <f t="shared" si="42"/>
        <v>0.17493599604286894</v>
      </c>
      <c r="CS25" s="6">
        <f t="shared" si="69"/>
        <v>0.69974399583387548</v>
      </c>
      <c r="CT25" s="22" t="str">
        <f t="shared" si="70"/>
        <v>Program Management and Consultation</v>
      </c>
      <c r="CU25" s="22" t="str">
        <f t="shared" si="71"/>
        <v>2024/25</v>
      </c>
      <c r="CV25" s="6">
        <f t="shared" si="43"/>
        <v>0</v>
      </c>
      <c r="CW25" s="6">
        <f t="shared" si="44"/>
        <v>0</v>
      </c>
      <c r="CX25" s="6">
        <f t="shared" si="45"/>
        <v>0.17493600770526868</v>
      </c>
      <c r="CY25" s="6">
        <f t="shared" si="46"/>
        <v>0.34987199208573788</v>
      </c>
      <c r="CZ25" s="6">
        <f t="shared" si="47"/>
        <v>0.17493599604286894</v>
      </c>
      <c r="DA25" s="6">
        <f t="shared" si="72"/>
        <v>0.69974399583387548</v>
      </c>
    </row>
    <row r="26" spans="1:105" ht="16.5" thickTop="1" thickBot="1">
      <c r="A26" s="22" t="str">
        <f>'1.0 Data'!A25</f>
        <v>Cyber Security</v>
      </c>
      <c r="B26" s="22" t="str">
        <f>'1.0 Data'!B25</f>
        <v>2021/22</v>
      </c>
      <c r="C26" s="22" cm="1">
        <f t="array" ref="C26">_xlfn.IFNA(INDEX('1.0 Data'!G$9:G$36,MATCH($A26,'1.0 Data'!$A$9:$A$36,0),0),0)</f>
        <v>0.77920682502875827</v>
      </c>
      <c r="D26" s="22" cm="1">
        <f t="array" ref="D26">_xlfn.IFNA(INDEX('1.0 Data'!H$9:H$36,MATCH($A26,'1.0 Data'!$A$9:$A$36,0),0),0)</f>
        <v>0.74865357096884511</v>
      </c>
      <c r="E26" s="22" cm="1">
        <f t="array" ref="E26">_xlfn.IFNA(INDEX('1.0 Data'!I$9:I$36,MATCH($A26,'1.0 Data'!$A$9:$A$36,0),0),0)</f>
        <v>0.4709592122059445</v>
      </c>
      <c r="F26" s="22" cm="1">
        <f t="array" ref="F26">_xlfn.IFNA(INDEX('1.0 Data'!J$9:J$36,MATCH($A26,'1.0 Data'!$A$9:$A$36,0),0),0)</f>
        <v>0.4709592122059445</v>
      </c>
      <c r="G26" s="22" cm="1">
        <f t="array" ref="G26">_xlfn.IFNA(INDEX('1.0 Data'!K$9:K$36,MATCH($A26,'1.0 Data'!$A$9:$A$36,0),0),0)</f>
        <v>0.4709592122059445</v>
      </c>
      <c r="H26" s="6">
        <f t="shared" si="48"/>
        <v>2.9407380326154366</v>
      </c>
      <c r="J26" s="22" t="str">
        <f t="shared" si="49"/>
        <v>Cyber Security</v>
      </c>
      <c r="K26" s="5" t="str">
        <f t="shared" si="50"/>
        <v>2024/25</v>
      </c>
      <c r="L26" s="6">
        <f>_xlfn.IFNA(HLOOKUP($B26,'1.1 Input'!$A$8:$N$15,6,FALSE)*C26,"")</f>
        <v>0.90874214706538214</v>
      </c>
      <c r="M26" s="6">
        <f>_xlfn.IFNA(HLOOKUP($B26,'1.1 Input'!$A$8:$N$15,6,FALSE)*D26,"")</f>
        <v>0.87310972085657057</v>
      </c>
      <c r="N26" s="6">
        <f>_xlfn.IFNA(HLOOKUP($B26,'1.1 Input'!$A$8:$N$15,6,FALSE)*E26,"")</f>
        <v>0.54925145921874519</v>
      </c>
      <c r="O26" s="6">
        <f>_xlfn.IFNA(HLOOKUP($B26,'1.1 Input'!$A$8:$N$15,6,FALSE)*F26,"")</f>
        <v>0.54925145921874519</v>
      </c>
      <c r="P26" s="6">
        <f>_xlfn.IFNA(HLOOKUP($B26,'1.1 Input'!$A$8:$N$15,6,FALSE)*G26,"")</f>
        <v>0.54925145921874519</v>
      </c>
      <c r="Q26" s="34">
        <f t="shared" si="35"/>
        <v>3.4296062455781882</v>
      </c>
      <c r="S26" s="22" t="str">
        <f t="shared" si="3"/>
        <v>Cyber Security</v>
      </c>
      <c r="T26" s="6">
        <f>(IF(S26="","",L26*'1.0 Data'!$M25))</f>
        <v>0</v>
      </c>
      <c r="U26" s="6">
        <f>(IF(T26="","",M26*'1.0 Data'!$M25))</f>
        <v>0</v>
      </c>
      <c r="V26" s="6">
        <f>(IF(U26="","",N26*'1.0 Data'!$M25))</f>
        <v>0</v>
      </c>
      <c r="W26" s="6">
        <f>(IF(V26="","",O26*'1.0 Data'!$M25))</f>
        <v>0</v>
      </c>
      <c r="X26" s="6">
        <f>(IF(W26="","",P26*'1.0 Data'!$M25))</f>
        <v>0</v>
      </c>
      <c r="Y26" s="6">
        <f t="shared" si="51"/>
        <v>0</v>
      </c>
      <c r="AA26" s="22" t="str">
        <f t="shared" si="52"/>
        <v>Cyber Security</v>
      </c>
      <c r="AB26" s="6">
        <f>IF(AA26="","",L26*'1.0 Data'!$N25)</f>
        <v>0</v>
      </c>
      <c r="AC26" s="6">
        <f>IF(AB26="","",M26*'1.0 Data'!$N25)</f>
        <v>0</v>
      </c>
      <c r="AD26" s="6">
        <f>IF(AC26="","",N26*'1.0 Data'!$N25)</f>
        <v>0</v>
      </c>
      <c r="AE26" s="6">
        <f>IF(AD26="","",O26*'1.0 Data'!$N25)</f>
        <v>0</v>
      </c>
      <c r="AF26" s="6">
        <f>IF(AE26="","",P26*'1.0 Data'!$N25)</f>
        <v>0</v>
      </c>
      <c r="AG26" s="6">
        <f t="shared" si="53"/>
        <v>0</v>
      </c>
      <c r="AI26" s="22" t="str">
        <f t="shared" si="54"/>
        <v>Cyber Security</v>
      </c>
      <c r="AJ26" s="6">
        <f>IF(AI26="","",L26*'1.0 Data'!$O25)</f>
        <v>0</v>
      </c>
      <c r="AK26" s="6">
        <f>IF(AJ26="","",M26*'1.0 Data'!$O25)</f>
        <v>0</v>
      </c>
      <c r="AL26" s="6">
        <f>IF(AK26="","",N26*'1.0 Data'!$O25)</f>
        <v>0</v>
      </c>
      <c r="AM26" s="6">
        <f>IF(AL26="","",O26*'1.0 Data'!$O25)</f>
        <v>0</v>
      </c>
      <c r="AN26" s="6">
        <f>IF(AM26="","",P26*'1.0 Data'!$O25)</f>
        <v>0</v>
      </c>
      <c r="AO26" s="6">
        <f t="shared" si="55"/>
        <v>0</v>
      </c>
      <c r="AQ26" s="22" t="str">
        <f t="shared" si="56"/>
        <v>Cyber Security</v>
      </c>
      <c r="AR26" s="6">
        <f>IF(AQ26="","",L26*'1.0 Data'!$P25)</f>
        <v>0</v>
      </c>
      <c r="AS26" s="6">
        <f>IF(AR26="","",M26*'1.0 Data'!$P25)</f>
        <v>0</v>
      </c>
      <c r="AT26" s="6">
        <f>IF(AS26="","",N26*'1.0 Data'!$P25)</f>
        <v>0</v>
      </c>
      <c r="AU26" s="6">
        <f>IF(AT26="","",O26*'1.0 Data'!$P25)</f>
        <v>0</v>
      </c>
      <c r="AV26" s="6">
        <f>IF(AU26="","",P26*'1.0 Data'!$P25)</f>
        <v>0</v>
      </c>
      <c r="AW26" s="6">
        <f t="shared" si="57"/>
        <v>0</v>
      </c>
      <c r="AY26" s="22" t="str">
        <f t="shared" si="36"/>
        <v>Cyber Security</v>
      </c>
      <c r="AZ26" s="6">
        <f>IF(AY26="","",L26*'1.0 Data'!$Q25)</f>
        <v>0.90874214706538214</v>
      </c>
      <c r="BA26" s="6">
        <f>IF(AZ26="","",M26*'1.0 Data'!$Q25)</f>
        <v>0.87310972085657057</v>
      </c>
      <c r="BB26" s="6">
        <f>IF(BA26="","",N26*'1.0 Data'!$Q25)</f>
        <v>0.54925145921874519</v>
      </c>
      <c r="BC26" s="6">
        <f>IF(BB26="","",O26*'1.0 Data'!$Q25)</f>
        <v>0.54925145921874519</v>
      </c>
      <c r="BD26" s="6">
        <f>IF(BC26="","",P26*'1.0 Data'!$Q25)</f>
        <v>0.54925145921874519</v>
      </c>
      <c r="BE26" s="6">
        <f t="shared" si="58"/>
        <v>3.4296062455781882</v>
      </c>
      <c r="BG26" s="6">
        <f t="shared" si="59"/>
        <v>3.4296062455781882</v>
      </c>
      <c r="BH26" s="22">
        <f>H26*HLOOKUP($B26,'1.1 Input'!$A$8:$N$15,6,FALSE)</f>
        <v>3.4296062455781882</v>
      </c>
      <c r="BI26" s="23">
        <f t="shared" si="60"/>
        <v>0</v>
      </c>
      <c r="BK26" s="22" t="str">
        <f t="shared" si="61"/>
        <v>Cyber Security</v>
      </c>
      <c r="BL26" s="6">
        <f>IF(BK26="","",T26*'1.1 Input'!D$58)</f>
        <v>0</v>
      </c>
      <c r="BM26" s="6">
        <f>IF(BL26="","",U26*'1.1 Input'!E$58)</f>
        <v>0</v>
      </c>
      <c r="BN26" s="6">
        <f>IF(BM26="","",V26*'1.1 Input'!F$58)</f>
        <v>0</v>
      </c>
      <c r="BO26" s="6">
        <f>IF(BN26="","",W26*'1.1 Input'!G$58)</f>
        <v>0</v>
      </c>
      <c r="BP26" s="6">
        <f>IF(BO26="","",X26*'1.1 Input'!H$58)</f>
        <v>0</v>
      </c>
      <c r="BQ26" s="6">
        <f t="shared" si="62"/>
        <v>0</v>
      </c>
      <c r="BR26" s="22" t="str">
        <f t="shared" si="63"/>
        <v>Cyber Security</v>
      </c>
      <c r="BS26" s="6">
        <f>IF(BR26="","",AB26*'1.1 Input'!D$59)</f>
        <v>0</v>
      </c>
      <c r="BT26" s="6">
        <f>IF(BS26="","",AC26*'1.1 Input'!E$59)</f>
        <v>0</v>
      </c>
      <c r="BU26" s="6">
        <f>IF(BT26="","",AD26*'1.1 Input'!F$59)</f>
        <v>0</v>
      </c>
      <c r="BV26" s="6">
        <f>IF(BU26="","",AE26*'1.1 Input'!G$59)</f>
        <v>0</v>
      </c>
      <c r="BW26" s="6">
        <f>IF(BV26="","",AF26*'1.1 Input'!H$59)</f>
        <v>0</v>
      </c>
      <c r="BX26" s="6">
        <f t="shared" si="64"/>
        <v>0</v>
      </c>
      <c r="BY26" s="22" t="str">
        <f t="shared" si="65"/>
        <v>Cyber Security</v>
      </c>
      <c r="BZ26" s="6">
        <f>IF(BY26="","",AJ26*'1.1 Input'!D$60)</f>
        <v>0</v>
      </c>
      <c r="CA26" s="6">
        <f>IF(BZ26="","",AK26*'1.1 Input'!E$60)</f>
        <v>0</v>
      </c>
      <c r="CB26" s="6">
        <f>IF(CA26="","",AL26*'1.1 Input'!F$60)</f>
        <v>0</v>
      </c>
      <c r="CC26" s="6">
        <f>IF(CB26="","",AM26*'1.1 Input'!G$60)</f>
        <v>0</v>
      </c>
      <c r="CD26" s="6">
        <f>IF(CC26="","",AN26*'1.1 Input'!H$60)</f>
        <v>0</v>
      </c>
      <c r="CE26" s="6">
        <f t="shared" si="66"/>
        <v>0</v>
      </c>
      <c r="CF26" s="22" t="str">
        <f t="shared" si="67"/>
        <v>Cyber Security</v>
      </c>
      <c r="CG26" s="6">
        <f>IF(CF26="","",AR26*'1.1 Input'!D$61)</f>
        <v>0</v>
      </c>
      <c r="CH26" s="6">
        <f>IF(CG26="","",AS26*'1.1 Input'!E$61)</f>
        <v>0</v>
      </c>
      <c r="CI26" s="6">
        <f>IF(CH26="","",AT26*'1.1 Input'!F$61)</f>
        <v>0</v>
      </c>
      <c r="CJ26" s="6">
        <f>IF(CI26="","",AU26*'1.1 Input'!G$61)</f>
        <v>0</v>
      </c>
      <c r="CK26" s="6">
        <f>IF(CJ26="","",AV26*'1.1 Input'!H$61)</f>
        <v>0</v>
      </c>
      <c r="CL26" s="6">
        <f t="shared" si="68"/>
        <v>0</v>
      </c>
      <c r="CM26" s="22" t="str">
        <f t="shared" si="37"/>
        <v>Cyber Security</v>
      </c>
      <c r="CN26" s="22">
        <f t="shared" si="38"/>
        <v>0.90874214706538214</v>
      </c>
      <c r="CO26" s="22">
        <f t="shared" si="39"/>
        <v>0.87310972085657057</v>
      </c>
      <c r="CP26" s="22">
        <f t="shared" si="40"/>
        <v>0.54925145921874519</v>
      </c>
      <c r="CQ26" s="22">
        <f t="shared" si="41"/>
        <v>0.54925145921874519</v>
      </c>
      <c r="CR26" s="22">
        <f t="shared" si="42"/>
        <v>0.54925145921874519</v>
      </c>
      <c r="CS26" s="6">
        <f t="shared" si="69"/>
        <v>3.4296062455781882</v>
      </c>
      <c r="CT26" s="22" t="str">
        <f t="shared" si="70"/>
        <v>Cyber Security</v>
      </c>
      <c r="CU26" s="22" t="str">
        <f t="shared" si="71"/>
        <v>2024/25</v>
      </c>
      <c r="CV26" s="6">
        <f t="shared" si="43"/>
        <v>0.90874214706538214</v>
      </c>
      <c r="CW26" s="6">
        <f t="shared" si="44"/>
        <v>0.87310972085657057</v>
      </c>
      <c r="CX26" s="6">
        <f t="shared" si="45"/>
        <v>0.54925145921874519</v>
      </c>
      <c r="CY26" s="6">
        <f t="shared" si="46"/>
        <v>0.54925145921874519</v>
      </c>
      <c r="CZ26" s="6">
        <f t="shared" si="47"/>
        <v>0.54925145921874519</v>
      </c>
      <c r="DA26" s="6">
        <f t="shared" si="72"/>
        <v>3.4296062455781882</v>
      </c>
    </row>
    <row r="27" spans="1:105" ht="16.5" thickTop="1" thickBot="1">
      <c r="A27" s="22" t="str">
        <f>'1.0 Data'!A26</f>
        <v>Program Management and Material Risk</v>
      </c>
      <c r="B27" s="22" t="str">
        <f>'1.0 Data'!B26</f>
        <v>2021/22</v>
      </c>
      <c r="C27" s="22" cm="1">
        <f t="array" ref="C27">_xlfn.IFNA(INDEX('1.0 Data'!G$9:G$36,MATCH($A27,'1.0 Data'!$A$9:$A$36,0),0),0)</f>
        <v>3.7964803508067003E-2</v>
      </c>
      <c r="D27" s="22" cm="1">
        <f t="array" ref="D27">_xlfn.IFNA(INDEX('1.0 Data'!H$9:H$36,MATCH($A27,'1.0 Data'!$A$9:$A$36,0),0),0)</f>
        <v>0</v>
      </c>
      <c r="E27" s="22" cm="1">
        <f t="array" ref="E27">_xlfn.IFNA(INDEX('1.0 Data'!I$9:I$36,MATCH($A27,'1.0 Data'!$A$9:$A$36,0),0),0)</f>
        <v>0</v>
      </c>
      <c r="F27" s="22" cm="1">
        <f t="array" ref="F27">_xlfn.IFNA(INDEX('1.0 Data'!J$9:J$36,MATCH($A27,'1.0 Data'!$A$9:$A$36,0),0),0)</f>
        <v>0</v>
      </c>
      <c r="G27" s="22" cm="1">
        <f t="array" ref="G27">_xlfn.IFNA(INDEX('1.0 Data'!K$9:K$36,MATCH($A27,'1.0 Data'!$A$9:$A$36,0),0),0)</f>
        <v>0</v>
      </c>
      <c r="H27" s="6">
        <f t="shared" si="48"/>
        <v>3.7964803508067003E-2</v>
      </c>
      <c r="J27" s="22" t="str">
        <f t="shared" si="49"/>
        <v>Program Management and Material Risk</v>
      </c>
      <c r="K27" s="5" t="str">
        <f t="shared" si="50"/>
        <v>2024/25</v>
      </c>
      <c r="L27" s="6">
        <f>_xlfn.IFNA(HLOOKUP($B27,'1.1 Input'!$A$8:$N$15,6,FALSE)*C27,"")</f>
        <v>4.4276071441703375E-2</v>
      </c>
      <c r="M27" s="6">
        <f>_xlfn.IFNA(HLOOKUP($B27,'1.1 Input'!$A$8:$N$15,6,FALSE)*D27,"")</f>
        <v>0</v>
      </c>
      <c r="N27" s="6">
        <f>_xlfn.IFNA(HLOOKUP($B27,'1.1 Input'!$A$8:$N$15,6,FALSE)*E27,"")</f>
        <v>0</v>
      </c>
      <c r="O27" s="6">
        <f>_xlfn.IFNA(HLOOKUP($B27,'1.1 Input'!$A$8:$N$15,6,FALSE)*F27,"")</f>
        <v>0</v>
      </c>
      <c r="P27" s="6">
        <f>_xlfn.IFNA(HLOOKUP($B27,'1.1 Input'!$A$8:$N$15,6,FALSE)*G27,"")</f>
        <v>0</v>
      </c>
      <c r="Q27" s="34">
        <f t="shared" si="35"/>
        <v>4.4276071441703375E-2</v>
      </c>
      <c r="S27" s="22" t="str">
        <f t="shared" si="3"/>
        <v>Program Management and Material Risk</v>
      </c>
      <c r="T27" s="6">
        <f>(IF(S27="","",L27*'1.0 Data'!$M26))</f>
        <v>0</v>
      </c>
      <c r="U27" s="6">
        <f>(IF(T27="","",M27*'1.0 Data'!$M26))</f>
        <v>0</v>
      </c>
      <c r="V27" s="6">
        <f>(IF(U27="","",N27*'1.0 Data'!$M26))</f>
        <v>0</v>
      </c>
      <c r="W27" s="6">
        <f>(IF(V27="","",O27*'1.0 Data'!$M26))</f>
        <v>0</v>
      </c>
      <c r="X27" s="6">
        <f>(IF(W27="","",P27*'1.0 Data'!$M26))</f>
        <v>0</v>
      </c>
      <c r="Y27" s="6">
        <f t="shared" si="51"/>
        <v>0</v>
      </c>
      <c r="AA27" s="22" t="str">
        <f t="shared" si="52"/>
        <v>Program Management and Material Risk</v>
      </c>
      <c r="AB27" s="6">
        <f>IF(AA27="","",L27*'1.0 Data'!$N26)</f>
        <v>0</v>
      </c>
      <c r="AC27" s="6">
        <f>IF(AB27="","",M27*'1.0 Data'!$N26)</f>
        <v>0</v>
      </c>
      <c r="AD27" s="6">
        <f>IF(AC27="","",N27*'1.0 Data'!$N26)</f>
        <v>0</v>
      </c>
      <c r="AE27" s="6">
        <f>IF(AD27="","",O27*'1.0 Data'!$N26)</f>
        <v>0</v>
      </c>
      <c r="AF27" s="6">
        <f>IF(AE27="","",P27*'1.0 Data'!$N26)</f>
        <v>0</v>
      </c>
      <c r="AG27" s="6">
        <f t="shared" si="53"/>
        <v>0</v>
      </c>
      <c r="AI27" s="22" t="str">
        <f t="shared" si="54"/>
        <v>Program Management and Material Risk</v>
      </c>
      <c r="AJ27" s="6">
        <f>IF(AI27="","",L27*'1.0 Data'!$O26)</f>
        <v>0</v>
      </c>
      <c r="AK27" s="6">
        <f>IF(AJ27="","",M27*'1.0 Data'!$O26)</f>
        <v>0</v>
      </c>
      <c r="AL27" s="6">
        <f>IF(AK27="","",N27*'1.0 Data'!$O26)</f>
        <v>0</v>
      </c>
      <c r="AM27" s="6">
        <f>IF(AL27="","",O27*'1.0 Data'!$O26)</f>
        <v>0</v>
      </c>
      <c r="AN27" s="6">
        <f>IF(AM27="","",P27*'1.0 Data'!$O26)</f>
        <v>0</v>
      </c>
      <c r="AO27" s="6">
        <f t="shared" si="55"/>
        <v>0</v>
      </c>
      <c r="AQ27" s="22" t="str">
        <f t="shared" si="56"/>
        <v>Program Management and Material Risk</v>
      </c>
      <c r="AR27" s="6">
        <f>IF(AQ27="","",L27*'1.0 Data'!$P26)</f>
        <v>0</v>
      </c>
      <c r="AS27" s="6">
        <f>IF(AR27="","",M27*'1.0 Data'!$P26)</f>
        <v>0</v>
      </c>
      <c r="AT27" s="6">
        <f>IF(AS27="","",N27*'1.0 Data'!$P26)</f>
        <v>0</v>
      </c>
      <c r="AU27" s="6">
        <f>IF(AT27="","",O27*'1.0 Data'!$P26)</f>
        <v>0</v>
      </c>
      <c r="AV27" s="6">
        <f>IF(AU27="","",P27*'1.0 Data'!$P26)</f>
        <v>0</v>
      </c>
      <c r="AW27" s="6">
        <f t="shared" si="57"/>
        <v>0</v>
      </c>
      <c r="AY27" s="22" t="str">
        <f t="shared" si="36"/>
        <v>Program Management and Material Risk</v>
      </c>
      <c r="AZ27" s="6">
        <f>IF(AY27="","",L27*'1.0 Data'!$Q26)</f>
        <v>4.4276071441703375E-2</v>
      </c>
      <c r="BA27" s="6">
        <f>IF(AZ27="","",M27*'1.0 Data'!$Q26)</f>
        <v>0</v>
      </c>
      <c r="BB27" s="6">
        <f>IF(BA27="","",N27*'1.0 Data'!$Q26)</f>
        <v>0</v>
      </c>
      <c r="BC27" s="6">
        <f>IF(BB27="","",O27*'1.0 Data'!$Q26)</f>
        <v>0</v>
      </c>
      <c r="BD27" s="6">
        <f>IF(BC27="","",P27*'1.0 Data'!$Q26)</f>
        <v>0</v>
      </c>
      <c r="BE27" s="6">
        <f t="shared" si="58"/>
        <v>4.4276071441703375E-2</v>
      </c>
      <c r="BG27" s="6">
        <f t="shared" si="59"/>
        <v>4.4276071441703375E-2</v>
      </c>
      <c r="BH27" s="22">
        <f>H27*HLOOKUP($B27,'1.1 Input'!$A$8:$N$15,6,FALSE)</f>
        <v>4.4276071441703375E-2</v>
      </c>
      <c r="BI27" s="23">
        <f t="shared" si="60"/>
        <v>0</v>
      </c>
      <c r="BK27" s="22" t="str">
        <f t="shared" si="61"/>
        <v>Program Management and Material Risk</v>
      </c>
      <c r="BL27" s="6">
        <f>IF(BK27="","",T27*'1.1 Input'!D$58)</f>
        <v>0</v>
      </c>
      <c r="BM27" s="6">
        <f>IF(BL27="","",U27*'1.1 Input'!E$58)</f>
        <v>0</v>
      </c>
      <c r="BN27" s="6">
        <f>IF(BM27="","",V27*'1.1 Input'!F$58)</f>
        <v>0</v>
      </c>
      <c r="BO27" s="6">
        <f>IF(BN27="","",W27*'1.1 Input'!G$58)</f>
        <v>0</v>
      </c>
      <c r="BP27" s="6">
        <f>IF(BO27="","",X27*'1.1 Input'!H$58)</f>
        <v>0</v>
      </c>
      <c r="BQ27" s="6">
        <f t="shared" si="62"/>
        <v>0</v>
      </c>
      <c r="BR27" s="22" t="str">
        <f t="shared" si="63"/>
        <v>Program Management and Material Risk</v>
      </c>
      <c r="BS27" s="6">
        <f>IF(BR27="","",AB27*'1.1 Input'!D$59)</f>
        <v>0</v>
      </c>
      <c r="BT27" s="6">
        <f>IF(BS27="","",AC27*'1.1 Input'!E$59)</f>
        <v>0</v>
      </c>
      <c r="BU27" s="6">
        <f>IF(BT27="","",AD27*'1.1 Input'!F$59)</f>
        <v>0</v>
      </c>
      <c r="BV27" s="6">
        <f>IF(BU27="","",AE27*'1.1 Input'!G$59)</f>
        <v>0</v>
      </c>
      <c r="BW27" s="6">
        <f>IF(BV27="","",AF27*'1.1 Input'!H$59)</f>
        <v>0</v>
      </c>
      <c r="BX27" s="6">
        <f t="shared" si="64"/>
        <v>0</v>
      </c>
      <c r="BY27" s="22" t="str">
        <f t="shared" si="65"/>
        <v>Program Management and Material Risk</v>
      </c>
      <c r="BZ27" s="6">
        <f>IF(BY27="","",AJ27*'1.1 Input'!D$60)</f>
        <v>0</v>
      </c>
      <c r="CA27" s="6">
        <f>IF(BZ27="","",AK27*'1.1 Input'!E$60)</f>
        <v>0</v>
      </c>
      <c r="CB27" s="6">
        <f>IF(CA27="","",AL27*'1.1 Input'!F$60)</f>
        <v>0</v>
      </c>
      <c r="CC27" s="6">
        <f>IF(CB27="","",AM27*'1.1 Input'!G$60)</f>
        <v>0</v>
      </c>
      <c r="CD27" s="6">
        <f>IF(CC27="","",AN27*'1.1 Input'!H$60)</f>
        <v>0</v>
      </c>
      <c r="CE27" s="6">
        <f t="shared" si="66"/>
        <v>0</v>
      </c>
      <c r="CF27" s="22" t="str">
        <f t="shared" si="67"/>
        <v>Program Management and Material Risk</v>
      </c>
      <c r="CG27" s="6">
        <f>IF(CF27="","",AR27*'1.1 Input'!D$61)</f>
        <v>0</v>
      </c>
      <c r="CH27" s="6">
        <f>IF(CG27="","",AS27*'1.1 Input'!E$61)</f>
        <v>0</v>
      </c>
      <c r="CI27" s="6">
        <f>IF(CH27="","",AT27*'1.1 Input'!F$61)</f>
        <v>0</v>
      </c>
      <c r="CJ27" s="6">
        <f>IF(CI27="","",AU27*'1.1 Input'!G$61)</f>
        <v>0</v>
      </c>
      <c r="CK27" s="6">
        <f>IF(CJ27="","",AV27*'1.1 Input'!H$61)</f>
        <v>0</v>
      </c>
      <c r="CL27" s="6">
        <f t="shared" si="68"/>
        <v>0</v>
      </c>
      <c r="CM27" s="22" t="str">
        <f t="shared" si="37"/>
        <v>Program Management and Material Risk</v>
      </c>
      <c r="CN27" s="22">
        <f t="shared" si="38"/>
        <v>4.4276071441703375E-2</v>
      </c>
      <c r="CO27" s="22">
        <f t="shared" si="39"/>
        <v>0</v>
      </c>
      <c r="CP27" s="22">
        <f t="shared" si="40"/>
        <v>0</v>
      </c>
      <c r="CQ27" s="22">
        <f t="shared" si="41"/>
        <v>0</v>
      </c>
      <c r="CR27" s="22">
        <f t="shared" si="42"/>
        <v>0</v>
      </c>
      <c r="CS27" s="6">
        <f t="shared" si="69"/>
        <v>4.4276071441703375E-2</v>
      </c>
      <c r="CT27" s="22" t="str">
        <f t="shared" si="70"/>
        <v>Program Management and Material Risk</v>
      </c>
      <c r="CU27" s="22" t="str">
        <f t="shared" si="71"/>
        <v>2024/25</v>
      </c>
      <c r="CV27" s="6">
        <f t="shared" si="43"/>
        <v>4.4276071441703375E-2</v>
      </c>
      <c r="CW27" s="6">
        <f t="shared" si="44"/>
        <v>0</v>
      </c>
      <c r="CX27" s="6">
        <f t="shared" si="45"/>
        <v>0</v>
      </c>
      <c r="CY27" s="6">
        <f t="shared" si="46"/>
        <v>0</v>
      </c>
      <c r="CZ27" s="6">
        <f t="shared" si="47"/>
        <v>0</v>
      </c>
      <c r="DA27" s="6">
        <f t="shared" si="72"/>
        <v>4.4276071441703375E-2</v>
      </c>
    </row>
    <row r="28" spans="1:105" ht="16.5" thickTop="1" thickBot="1">
      <c r="A28" s="22" t="str">
        <f>'1.0 Data'!A27</f>
        <v>Enterprise Security Governance</v>
      </c>
      <c r="B28" s="22" t="str">
        <f>'1.0 Data'!B27</f>
        <v>2021/22</v>
      </c>
      <c r="C28" s="22" cm="1">
        <f t="array" ref="C28">_xlfn.IFNA(INDEX('1.0 Data'!G$9:G$36,MATCH($A28,'1.0 Data'!$A$9:$A$36,0),0),0)</f>
        <v>2.7303367463347786E-2</v>
      </c>
      <c r="D28" s="22" cm="1">
        <f t="array" ref="D28">_xlfn.IFNA(INDEX('1.0 Data'!H$9:H$36,MATCH($A28,'1.0 Data'!$A$9:$A$36,0),0),0)</f>
        <v>0</v>
      </c>
      <c r="E28" s="22" cm="1">
        <f t="array" ref="E28">_xlfn.IFNA(INDEX('1.0 Data'!I$9:I$36,MATCH($A28,'1.0 Data'!$A$9:$A$36,0),0),0)</f>
        <v>6.2794561627459264E-2</v>
      </c>
      <c r="F28" s="22" cm="1">
        <f t="array" ref="F28">_xlfn.IFNA(INDEX('1.0 Data'!J$9:J$36,MATCH($A28,'1.0 Data'!$A$9:$A$36,0),0),0)</f>
        <v>6.2794561627459264E-2</v>
      </c>
      <c r="G28" s="22" cm="1">
        <f t="array" ref="G28">_xlfn.IFNA(INDEX('1.0 Data'!K$9:K$36,MATCH($A28,'1.0 Data'!$A$9:$A$36,0),0),0)</f>
        <v>6.2794561627459264E-2</v>
      </c>
      <c r="H28" s="6">
        <f t="shared" si="48"/>
        <v>0.21568705234572561</v>
      </c>
      <c r="J28" s="22" t="str">
        <f t="shared" si="49"/>
        <v>Enterprise Security Governance</v>
      </c>
      <c r="K28" s="5" t="str">
        <f t="shared" si="50"/>
        <v>2024/25</v>
      </c>
      <c r="L28" s="6">
        <f>_xlfn.IFNA(HLOOKUP($B28,'1.1 Input'!$A$8:$N$15,6,FALSE)*C28,"")</f>
        <v>3.1842278550168031E-2</v>
      </c>
      <c r="M28" s="6">
        <f>_xlfn.IFNA(HLOOKUP($B28,'1.1 Input'!$A$8:$N$15,6,FALSE)*D28,"")</f>
        <v>0</v>
      </c>
      <c r="N28" s="6">
        <f>_xlfn.IFNA(HLOOKUP($B28,'1.1 Input'!$A$8:$N$15,6,FALSE)*E28,"")</f>
        <v>7.3233527895832692E-2</v>
      </c>
      <c r="O28" s="6">
        <f>_xlfn.IFNA(HLOOKUP($B28,'1.1 Input'!$A$8:$N$15,6,FALSE)*F28,"")</f>
        <v>7.3233527895832692E-2</v>
      </c>
      <c r="P28" s="6">
        <f>_xlfn.IFNA(HLOOKUP($B28,'1.1 Input'!$A$8:$N$15,6,FALSE)*G28,"")</f>
        <v>7.3233527895832692E-2</v>
      </c>
      <c r="Q28" s="34">
        <f t="shared" si="35"/>
        <v>0.25154286223766614</v>
      </c>
      <c r="S28" s="22" t="str">
        <f t="shared" si="3"/>
        <v>Enterprise Security Governance</v>
      </c>
      <c r="T28" s="6">
        <f>(IF(S28="","",L28*'1.0 Data'!$M27))</f>
        <v>0</v>
      </c>
      <c r="U28" s="6">
        <f>(IF(T28="","",M28*'1.0 Data'!$M27))</f>
        <v>0</v>
      </c>
      <c r="V28" s="6">
        <f>(IF(U28="","",N28*'1.0 Data'!$M27))</f>
        <v>0</v>
      </c>
      <c r="W28" s="6">
        <f>(IF(V28="","",O28*'1.0 Data'!$M27))</f>
        <v>0</v>
      </c>
      <c r="X28" s="6">
        <f>(IF(W28="","",P28*'1.0 Data'!$M27))</f>
        <v>0</v>
      </c>
      <c r="Y28" s="6">
        <f t="shared" si="51"/>
        <v>0</v>
      </c>
      <c r="AA28" s="22" t="str">
        <f t="shared" si="52"/>
        <v>Enterprise Security Governance</v>
      </c>
      <c r="AB28" s="6">
        <f>IF(AA28="","",L28*'1.0 Data'!$N27)</f>
        <v>0</v>
      </c>
      <c r="AC28" s="6">
        <f>IF(AB28="","",M28*'1.0 Data'!$N27)</f>
        <v>0</v>
      </c>
      <c r="AD28" s="6">
        <f>IF(AC28="","",N28*'1.0 Data'!$N27)</f>
        <v>0</v>
      </c>
      <c r="AE28" s="6">
        <f>IF(AD28="","",O28*'1.0 Data'!$N27)</f>
        <v>0</v>
      </c>
      <c r="AF28" s="6">
        <f>IF(AE28="","",P28*'1.0 Data'!$N27)</f>
        <v>0</v>
      </c>
      <c r="AG28" s="6">
        <f t="shared" si="53"/>
        <v>0</v>
      </c>
      <c r="AI28" s="22" t="str">
        <f t="shared" si="54"/>
        <v>Enterprise Security Governance</v>
      </c>
      <c r="AJ28" s="6">
        <f>IF(AI28="","",L28*'1.0 Data'!$O27)</f>
        <v>0</v>
      </c>
      <c r="AK28" s="6">
        <f>IF(AJ28="","",M28*'1.0 Data'!$O27)</f>
        <v>0</v>
      </c>
      <c r="AL28" s="6">
        <f>IF(AK28="","",N28*'1.0 Data'!$O27)</f>
        <v>0</v>
      </c>
      <c r="AM28" s="6">
        <f>IF(AL28="","",O28*'1.0 Data'!$O27)</f>
        <v>0</v>
      </c>
      <c r="AN28" s="6">
        <f>IF(AM28="","",P28*'1.0 Data'!$O27)</f>
        <v>0</v>
      </c>
      <c r="AO28" s="6">
        <f t="shared" si="55"/>
        <v>0</v>
      </c>
      <c r="AQ28" s="22" t="str">
        <f t="shared" si="56"/>
        <v>Enterprise Security Governance</v>
      </c>
      <c r="AR28" s="6">
        <f>IF(AQ28="","",L28*'1.0 Data'!$P27)</f>
        <v>0</v>
      </c>
      <c r="AS28" s="6">
        <f>IF(AR28="","",M28*'1.0 Data'!$P27)</f>
        <v>0</v>
      </c>
      <c r="AT28" s="6">
        <f>IF(AS28="","",N28*'1.0 Data'!$P27)</f>
        <v>0</v>
      </c>
      <c r="AU28" s="6">
        <f>IF(AT28="","",O28*'1.0 Data'!$P27)</f>
        <v>0</v>
      </c>
      <c r="AV28" s="6">
        <f>IF(AU28="","",P28*'1.0 Data'!$P27)</f>
        <v>0</v>
      </c>
      <c r="AW28" s="6">
        <f t="shared" si="57"/>
        <v>0</v>
      </c>
      <c r="AY28" s="22" t="str">
        <f t="shared" si="36"/>
        <v>Enterprise Security Governance</v>
      </c>
      <c r="AZ28" s="6">
        <f>IF(AY28="","",L28*'1.0 Data'!$Q27)</f>
        <v>3.1842278550168031E-2</v>
      </c>
      <c r="BA28" s="6">
        <f>IF(AZ28="","",M28*'1.0 Data'!$Q27)</f>
        <v>0</v>
      </c>
      <c r="BB28" s="6">
        <f>IF(BA28="","",N28*'1.0 Data'!$Q27)</f>
        <v>7.3233527895832692E-2</v>
      </c>
      <c r="BC28" s="6">
        <f>IF(BB28="","",O28*'1.0 Data'!$Q27)</f>
        <v>7.3233527895832692E-2</v>
      </c>
      <c r="BD28" s="6">
        <f>IF(BC28="","",P28*'1.0 Data'!$Q27)</f>
        <v>7.3233527895832692E-2</v>
      </c>
      <c r="BE28" s="6">
        <f t="shared" si="58"/>
        <v>0.25154286223766614</v>
      </c>
      <c r="BG28" s="6">
        <f t="shared" si="59"/>
        <v>0.25154286223766614</v>
      </c>
      <c r="BH28" s="22">
        <f>H28*HLOOKUP($B28,'1.1 Input'!$A$8:$N$15,6,FALSE)</f>
        <v>0.25154286223766614</v>
      </c>
      <c r="BI28" s="23">
        <f t="shared" si="60"/>
        <v>0</v>
      </c>
      <c r="BK28" s="22" t="str">
        <f t="shared" si="61"/>
        <v>Enterprise Security Governance</v>
      </c>
      <c r="BL28" s="6">
        <f>IF(BK28="","",T28*'1.1 Input'!D$58)</f>
        <v>0</v>
      </c>
      <c r="BM28" s="6">
        <f>IF(BL28="","",U28*'1.1 Input'!E$58)</f>
        <v>0</v>
      </c>
      <c r="BN28" s="6">
        <f>IF(BM28="","",V28*'1.1 Input'!F$58)</f>
        <v>0</v>
      </c>
      <c r="BO28" s="6">
        <f>IF(BN28="","",W28*'1.1 Input'!G$58)</f>
        <v>0</v>
      </c>
      <c r="BP28" s="6">
        <f>IF(BO28="","",X28*'1.1 Input'!H$58)</f>
        <v>0</v>
      </c>
      <c r="BQ28" s="6">
        <f t="shared" si="62"/>
        <v>0</v>
      </c>
      <c r="BR28" s="22" t="str">
        <f t="shared" si="63"/>
        <v>Enterprise Security Governance</v>
      </c>
      <c r="BS28" s="6">
        <f>IF(BR28="","",AB28*'1.1 Input'!D$59)</f>
        <v>0</v>
      </c>
      <c r="BT28" s="6">
        <f>IF(BS28="","",AC28*'1.1 Input'!E$59)</f>
        <v>0</v>
      </c>
      <c r="BU28" s="6">
        <f>IF(BT28="","",AD28*'1.1 Input'!F$59)</f>
        <v>0</v>
      </c>
      <c r="BV28" s="6">
        <f>IF(BU28="","",AE28*'1.1 Input'!G$59)</f>
        <v>0</v>
      </c>
      <c r="BW28" s="6">
        <f>IF(BV28="","",AF28*'1.1 Input'!H$59)</f>
        <v>0</v>
      </c>
      <c r="BX28" s="6">
        <f t="shared" si="64"/>
        <v>0</v>
      </c>
      <c r="BY28" s="22" t="str">
        <f t="shared" si="65"/>
        <v>Enterprise Security Governance</v>
      </c>
      <c r="BZ28" s="6">
        <f>IF(BY28="","",AJ28*'1.1 Input'!D$60)</f>
        <v>0</v>
      </c>
      <c r="CA28" s="6">
        <f>IF(BZ28="","",AK28*'1.1 Input'!E$60)</f>
        <v>0</v>
      </c>
      <c r="CB28" s="6">
        <f>IF(CA28="","",AL28*'1.1 Input'!F$60)</f>
        <v>0</v>
      </c>
      <c r="CC28" s="6">
        <f>IF(CB28="","",AM28*'1.1 Input'!G$60)</f>
        <v>0</v>
      </c>
      <c r="CD28" s="6">
        <f>IF(CC28="","",AN28*'1.1 Input'!H$60)</f>
        <v>0</v>
      </c>
      <c r="CE28" s="6">
        <f t="shared" si="66"/>
        <v>0</v>
      </c>
      <c r="CF28" s="22" t="str">
        <f t="shared" si="67"/>
        <v>Enterprise Security Governance</v>
      </c>
      <c r="CG28" s="6">
        <f>IF(CF28="","",AR28*'1.1 Input'!D$61)</f>
        <v>0</v>
      </c>
      <c r="CH28" s="6">
        <f>IF(CG28="","",AS28*'1.1 Input'!E$61)</f>
        <v>0</v>
      </c>
      <c r="CI28" s="6">
        <f>IF(CH28="","",AT28*'1.1 Input'!F$61)</f>
        <v>0</v>
      </c>
      <c r="CJ28" s="6">
        <f>IF(CI28="","",AU28*'1.1 Input'!G$61)</f>
        <v>0</v>
      </c>
      <c r="CK28" s="6">
        <f>IF(CJ28="","",AV28*'1.1 Input'!H$61)</f>
        <v>0</v>
      </c>
      <c r="CL28" s="6">
        <f t="shared" si="68"/>
        <v>0</v>
      </c>
      <c r="CM28" s="22" t="str">
        <f t="shared" si="37"/>
        <v>Enterprise Security Governance</v>
      </c>
      <c r="CN28" s="22">
        <f t="shared" si="38"/>
        <v>3.1842278550168031E-2</v>
      </c>
      <c r="CO28" s="22">
        <f t="shared" si="39"/>
        <v>0</v>
      </c>
      <c r="CP28" s="22">
        <f t="shared" si="40"/>
        <v>7.3233527895832692E-2</v>
      </c>
      <c r="CQ28" s="22">
        <f t="shared" si="41"/>
        <v>7.3233527895832692E-2</v>
      </c>
      <c r="CR28" s="22">
        <f t="shared" si="42"/>
        <v>7.3233527895832692E-2</v>
      </c>
      <c r="CS28" s="6">
        <f t="shared" si="69"/>
        <v>0.25154286223766614</v>
      </c>
      <c r="CT28" s="22" t="str">
        <f t="shared" si="70"/>
        <v>Enterprise Security Governance</v>
      </c>
      <c r="CU28" s="22" t="str">
        <f t="shared" si="71"/>
        <v>2024/25</v>
      </c>
      <c r="CV28" s="6">
        <f t="shared" si="43"/>
        <v>3.1842278550168031E-2</v>
      </c>
      <c r="CW28" s="6">
        <f t="shared" si="44"/>
        <v>0</v>
      </c>
      <c r="CX28" s="6">
        <f t="shared" si="45"/>
        <v>7.3233527895832692E-2</v>
      </c>
      <c r="CY28" s="6">
        <f t="shared" si="46"/>
        <v>7.3233527895832692E-2</v>
      </c>
      <c r="CZ28" s="6">
        <f t="shared" si="47"/>
        <v>7.3233527895832692E-2</v>
      </c>
      <c r="DA28" s="6">
        <f t="shared" si="72"/>
        <v>0.25154286223766614</v>
      </c>
    </row>
    <row r="29" spans="1:105" ht="16.5" thickTop="1" thickBot="1">
      <c r="A29" s="22" t="str">
        <f>'1.0 Data'!A28</f>
        <v>Supply Chain Security</v>
      </c>
      <c r="B29" s="22" t="str">
        <f>'1.0 Data'!B28</f>
        <v>2021/22</v>
      </c>
      <c r="C29" s="22" cm="1">
        <f t="array" ref="C29">_xlfn.IFNA(INDEX('1.0 Data'!G$9:G$36,MATCH($A29,'1.0 Data'!$A$9:$A$36,0),0),0)</f>
        <v>2.7267870970240599E-2</v>
      </c>
      <c r="D29" s="22" cm="1">
        <f t="array" ref="D29">_xlfn.IFNA(INDEX('1.0 Data'!H$9:H$36,MATCH($A29,'1.0 Data'!$A$9:$A$36,0),0),0)</f>
        <v>0</v>
      </c>
      <c r="E29" s="22" cm="1">
        <f t="array" ref="E29">_xlfn.IFNA(INDEX('1.0 Data'!I$9:I$36,MATCH($A29,'1.0 Data'!$A$9:$A$36,0),0),0)</f>
        <v>0</v>
      </c>
      <c r="F29" s="22" cm="1">
        <f t="array" ref="F29">_xlfn.IFNA(INDEX('1.0 Data'!J$9:J$36,MATCH($A29,'1.0 Data'!$A$9:$A$36,0),0),0)</f>
        <v>0</v>
      </c>
      <c r="G29" s="22" cm="1">
        <f t="array" ref="G29">_xlfn.IFNA(INDEX('1.0 Data'!K$9:K$36,MATCH($A29,'1.0 Data'!$A$9:$A$36,0),0),0)</f>
        <v>0</v>
      </c>
      <c r="H29" s="6">
        <f t="shared" si="48"/>
        <v>2.7267870970240599E-2</v>
      </c>
      <c r="J29" s="22" t="str">
        <f t="shared" si="49"/>
        <v>Supply Chain Security</v>
      </c>
      <c r="K29" s="5" t="str">
        <f t="shared" si="50"/>
        <v>2024/25</v>
      </c>
      <c r="L29" s="6">
        <f>_xlfn.IFNA(HLOOKUP($B29,'1.1 Input'!$A$8:$N$15,6,FALSE)*C29,"")</f>
        <v>3.1800881120983136E-2</v>
      </c>
      <c r="M29" s="6">
        <f>_xlfn.IFNA(HLOOKUP($B29,'1.1 Input'!$A$8:$N$15,6,FALSE)*D29,"")</f>
        <v>0</v>
      </c>
      <c r="N29" s="6">
        <f>_xlfn.IFNA(HLOOKUP($B29,'1.1 Input'!$A$8:$N$15,6,FALSE)*E29,"")</f>
        <v>0</v>
      </c>
      <c r="O29" s="6">
        <f>_xlfn.IFNA(HLOOKUP($B29,'1.1 Input'!$A$8:$N$15,6,FALSE)*F29,"")</f>
        <v>0</v>
      </c>
      <c r="P29" s="6">
        <f>_xlfn.IFNA(HLOOKUP($B29,'1.1 Input'!$A$8:$N$15,6,FALSE)*G29,"")</f>
        <v>0</v>
      </c>
      <c r="Q29" s="34">
        <f t="shared" si="35"/>
        <v>3.1800881120983136E-2</v>
      </c>
      <c r="S29" s="22" t="str">
        <f t="shared" si="3"/>
        <v>Supply Chain Security</v>
      </c>
      <c r="T29" s="6">
        <f>(IF(S29="","",L29*'1.0 Data'!$M28))</f>
        <v>0</v>
      </c>
      <c r="U29" s="6">
        <f>(IF(T29="","",M29*'1.0 Data'!$M28))</f>
        <v>0</v>
      </c>
      <c r="V29" s="6">
        <f>(IF(U29="","",N29*'1.0 Data'!$M28))</f>
        <v>0</v>
      </c>
      <c r="W29" s="6">
        <f>(IF(V29="","",O29*'1.0 Data'!$M28))</f>
        <v>0</v>
      </c>
      <c r="X29" s="6">
        <f>(IF(W29="","",P29*'1.0 Data'!$M28))</f>
        <v>0</v>
      </c>
      <c r="Y29" s="6">
        <f t="shared" si="51"/>
        <v>0</v>
      </c>
      <c r="AA29" s="22" t="str">
        <f t="shared" si="52"/>
        <v>Supply Chain Security</v>
      </c>
      <c r="AB29" s="6">
        <f>IF(AA29="","",L29*'1.0 Data'!$N28)</f>
        <v>0</v>
      </c>
      <c r="AC29" s="6">
        <f>IF(AB29="","",M29*'1.0 Data'!$N28)</f>
        <v>0</v>
      </c>
      <c r="AD29" s="6">
        <f>IF(AC29="","",N29*'1.0 Data'!$N28)</f>
        <v>0</v>
      </c>
      <c r="AE29" s="6">
        <f>IF(AD29="","",O29*'1.0 Data'!$N28)</f>
        <v>0</v>
      </c>
      <c r="AF29" s="6">
        <f>IF(AE29="","",P29*'1.0 Data'!$N28)</f>
        <v>0</v>
      </c>
      <c r="AG29" s="6">
        <f t="shared" si="53"/>
        <v>0</v>
      </c>
      <c r="AI29" s="22" t="str">
        <f t="shared" si="54"/>
        <v>Supply Chain Security</v>
      </c>
      <c r="AJ29" s="6">
        <f>IF(AI29="","",L29*'1.0 Data'!$O28)</f>
        <v>0</v>
      </c>
      <c r="AK29" s="6">
        <f>IF(AJ29="","",M29*'1.0 Data'!$O28)</f>
        <v>0</v>
      </c>
      <c r="AL29" s="6">
        <f>IF(AK29="","",N29*'1.0 Data'!$O28)</f>
        <v>0</v>
      </c>
      <c r="AM29" s="6">
        <f>IF(AL29="","",O29*'1.0 Data'!$O28)</f>
        <v>0</v>
      </c>
      <c r="AN29" s="6">
        <f>IF(AM29="","",P29*'1.0 Data'!$O28)</f>
        <v>0</v>
      </c>
      <c r="AO29" s="6">
        <f t="shared" si="55"/>
        <v>0</v>
      </c>
      <c r="AQ29" s="22" t="str">
        <f t="shared" si="56"/>
        <v>Supply Chain Security</v>
      </c>
      <c r="AR29" s="6">
        <f>IF(AQ29="","",L29*'1.0 Data'!$P28)</f>
        <v>0</v>
      </c>
      <c r="AS29" s="6">
        <f>IF(AR29="","",M29*'1.0 Data'!$P28)</f>
        <v>0</v>
      </c>
      <c r="AT29" s="6">
        <f>IF(AS29="","",N29*'1.0 Data'!$P28)</f>
        <v>0</v>
      </c>
      <c r="AU29" s="6">
        <f>IF(AT29="","",O29*'1.0 Data'!$P28)</f>
        <v>0</v>
      </c>
      <c r="AV29" s="6">
        <f>IF(AU29="","",P29*'1.0 Data'!$P28)</f>
        <v>0</v>
      </c>
      <c r="AW29" s="6">
        <f t="shared" si="57"/>
        <v>0</v>
      </c>
      <c r="AY29" s="22" t="str">
        <f t="shared" si="36"/>
        <v>Supply Chain Security</v>
      </c>
      <c r="AZ29" s="6">
        <f>IF(AY29="","",L29*'1.0 Data'!$Q28)</f>
        <v>3.1800881120983136E-2</v>
      </c>
      <c r="BA29" s="6">
        <f>IF(AZ29="","",M29*'1.0 Data'!$Q28)</f>
        <v>0</v>
      </c>
      <c r="BB29" s="6">
        <f>IF(BA29="","",N29*'1.0 Data'!$Q28)</f>
        <v>0</v>
      </c>
      <c r="BC29" s="6">
        <f>IF(BB29="","",O29*'1.0 Data'!$Q28)</f>
        <v>0</v>
      </c>
      <c r="BD29" s="6">
        <f>IF(BC29="","",P29*'1.0 Data'!$Q28)</f>
        <v>0</v>
      </c>
      <c r="BE29" s="6">
        <f t="shared" si="58"/>
        <v>3.1800881120983136E-2</v>
      </c>
      <c r="BG29" s="6">
        <f t="shared" si="59"/>
        <v>3.1800881120983136E-2</v>
      </c>
      <c r="BH29" s="22">
        <f>H29*HLOOKUP($B29,'1.1 Input'!$A$8:$N$15,6,FALSE)</f>
        <v>3.1800881120983136E-2</v>
      </c>
      <c r="BI29" s="23">
        <f t="shared" si="60"/>
        <v>0</v>
      </c>
      <c r="BK29" s="22" t="str">
        <f t="shared" si="61"/>
        <v>Supply Chain Security</v>
      </c>
      <c r="BL29" s="6">
        <f>IF(BK29="","",T29*'1.1 Input'!D$58)</f>
        <v>0</v>
      </c>
      <c r="BM29" s="6">
        <f>IF(BL29="","",U29*'1.1 Input'!E$58)</f>
        <v>0</v>
      </c>
      <c r="BN29" s="6">
        <f>IF(BM29="","",V29*'1.1 Input'!F$58)</f>
        <v>0</v>
      </c>
      <c r="BO29" s="6">
        <f>IF(BN29="","",W29*'1.1 Input'!G$58)</f>
        <v>0</v>
      </c>
      <c r="BP29" s="6">
        <f>IF(BO29="","",X29*'1.1 Input'!H$58)</f>
        <v>0</v>
      </c>
      <c r="BQ29" s="6">
        <f t="shared" si="62"/>
        <v>0</v>
      </c>
      <c r="BR29" s="22" t="str">
        <f t="shared" si="63"/>
        <v>Supply Chain Security</v>
      </c>
      <c r="BS29" s="6">
        <f>IF(BR29="","",AB29*'1.1 Input'!D$59)</f>
        <v>0</v>
      </c>
      <c r="BT29" s="6">
        <f>IF(BS29="","",AC29*'1.1 Input'!E$59)</f>
        <v>0</v>
      </c>
      <c r="BU29" s="6">
        <f>IF(BT29="","",AD29*'1.1 Input'!F$59)</f>
        <v>0</v>
      </c>
      <c r="BV29" s="6">
        <f>IF(BU29="","",AE29*'1.1 Input'!G$59)</f>
        <v>0</v>
      </c>
      <c r="BW29" s="6">
        <f>IF(BV29="","",AF29*'1.1 Input'!H$59)</f>
        <v>0</v>
      </c>
      <c r="BX29" s="6">
        <f t="shared" si="64"/>
        <v>0</v>
      </c>
      <c r="BY29" s="22" t="str">
        <f t="shared" si="65"/>
        <v>Supply Chain Security</v>
      </c>
      <c r="BZ29" s="6">
        <f>IF(BY29="","",AJ29*'1.1 Input'!D$60)</f>
        <v>0</v>
      </c>
      <c r="CA29" s="6">
        <f>IF(BZ29="","",AK29*'1.1 Input'!E$60)</f>
        <v>0</v>
      </c>
      <c r="CB29" s="6">
        <f>IF(CA29="","",AL29*'1.1 Input'!F$60)</f>
        <v>0</v>
      </c>
      <c r="CC29" s="6">
        <f>IF(CB29="","",AM29*'1.1 Input'!G$60)</f>
        <v>0</v>
      </c>
      <c r="CD29" s="6">
        <f>IF(CC29="","",AN29*'1.1 Input'!H$60)</f>
        <v>0</v>
      </c>
      <c r="CE29" s="6">
        <f t="shared" si="66"/>
        <v>0</v>
      </c>
      <c r="CF29" s="22" t="str">
        <f t="shared" si="67"/>
        <v>Supply Chain Security</v>
      </c>
      <c r="CG29" s="6">
        <f>IF(CF29="","",AR29*'1.1 Input'!D$61)</f>
        <v>0</v>
      </c>
      <c r="CH29" s="6">
        <f>IF(CG29="","",AS29*'1.1 Input'!E$61)</f>
        <v>0</v>
      </c>
      <c r="CI29" s="6">
        <f>IF(CH29="","",AT29*'1.1 Input'!F$61)</f>
        <v>0</v>
      </c>
      <c r="CJ29" s="6">
        <f>IF(CI29="","",AU29*'1.1 Input'!G$61)</f>
        <v>0</v>
      </c>
      <c r="CK29" s="6">
        <f>IF(CJ29="","",AV29*'1.1 Input'!H$61)</f>
        <v>0</v>
      </c>
      <c r="CL29" s="6">
        <f t="shared" si="68"/>
        <v>0</v>
      </c>
      <c r="CM29" s="22" t="str">
        <f t="shared" si="37"/>
        <v>Supply Chain Security</v>
      </c>
      <c r="CN29" s="22">
        <f t="shared" si="38"/>
        <v>3.1800881120983136E-2</v>
      </c>
      <c r="CO29" s="22">
        <f t="shared" si="39"/>
        <v>0</v>
      </c>
      <c r="CP29" s="22">
        <f t="shared" si="40"/>
        <v>0</v>
      </c>
      <c r="CQ29" s="22">
        <f t="shared" si="41"/>
        <v>0</v>
      </c>
      <c r="CR29" s="22">
        <f t="shared" si="42"/>
        <v>0</v>
      </c>
      <c r="CS29" s="6">
        <f t="shared" si="69"/>
        <v>3.1800881120983136E-2</v>
      </c>
      <c r="CT29" s="22" t="str">
        <f t="shared" si="70"/>
        <v>Supply Chain Security</v>
      </c>
      <c r="CU29" s="22" t="str">
        <f t="shared" si="71"/>
        <v>2024/25</v>
      </c>
      <c r="CV29" s="6">
        <f t="shared" si="43"/>
        <v>3.1800881120983136E-2</v>
      </c>
      <c r="CW29" s="6">
        <f t="shared" si="44"/>
        <v>0</v>
      </c>
      <c r="CX29" s="6">
        <f t="shared" si="45"/>
        <v>0</v>
      </c>
      <c r="CY29" s="6">
        <f t="shared" si="46"/>
        <v>0</v>
      </c>
      <c r="CZ29" s="6">
        <f t="shared" si="47"/>
        <v>0</v>
      </c>
      <c r="DA29" s="6">
        <f t="shared" si="72"/>
        <v>3.1800881120983136E-2</v>
      </c>
    </row>
    <row r="30" spans="1:105" ht="16.5" thickTop="1" thickBot="1">
      <c r="A30" s="22" t="str">
        <f>'1.0 Data'!A29</f>
        <v>Physical Security and Natural Hazards</v>
      </c>
      <c r="B30" s="22" t="str">
        <f>'1.0 Data'!B29</f>
        <v>2021/22</v>
      </c>
      <c r="C30" s="22" cm="1">
        <f t="array" ref="C30">_xlfn.IFNA(INDEX('1.0 Data'!G$9:G$36,MATCH($A30,'1.0 Data'!$A$9:$A$36,0),0),0)</f>
        <v>1.5</v>
      </c>
      <c r="D30" s="22" cm="1">
        <f t="array" ref="D30">_xlfn.IFNA(INDEX('1.0 Data'!H$9:H$36,MATCH($A30,'1.0 Data'!$A$9:$A$36,0),0),0)</f>
        <v>1.5</v>
      </c>
      <c r="E30" s="22" cm="1">
        <f t="array" ref="E30">_xlfn.IFNA(INDEX('1.0 Data'!I$9:I$36,MATCH($A30,'1.0 Data'!$A$9:$A$36,0),0),0)</f>
        <v>0</v>
      </c>
      <c r="F30" s="22" cm="1">
        <f t="array" ref="F30">_xlfn.IFNA(INDEX('1.0 Data'!J$9:J$36,MATCH($A30,'1.0 Data'!$A$9:$A$36,0),0),0)</f>
        <v>0</v>
      </c>
      <c r="G30" s="22" cm="1">
        <f t="array" ref="G30">_xlfn.IFNA(INDEX('1.0 Data'!K$9:K$36,MATCH($A30,'1.0 Data'!$A$9:$A$36,0),0),0)</f>
        <v>0</v>
      </c>
      <c r="H30" s="6">
        <f t="shared" si="48"/>
        <v>3</v>
      </c>
      <c r="J30" s="22" t="str">
        <f t="shared" si="49"/>
        <v>Physical Security and Natural Hazards</v>
      </c>
      <c r="K30" s="5" t="str">
        <f t="shared" si="50"/>
        <v>2024/25</v>
      </c>
      <c r="L30" s="6">
        <f>_xlfn.IFNA(HLOOKUP($B30,'1.1 Input'!$A$8:$N$15,6,FALSE)*C30,"")</f>
        <v>1.7493599604286894</v>
      </c>
      <c r="M30" s="6">
        <f>_xlfn.IFNA(HLOOKUP($B30,'1.1 Input'!$A$8:$N$15,6,FALSE)*D30,"")</f>
        <v>1.7493599604286894</v>
      </c>
      <c r="N30" s="6">
        <f>_xlfn.IFNA(HLOOKUP($B30,'1.1 Input'!$A$8:$N$15,6,FALSE)*E30,"")</f>
        <v>0</v>
      </c>
      <c r="O30" s="6">
        <f>_xlfn.IFNA(HLOOKUP($B30,'1.1 Input'!$A$8:$N$15,6,FALSE)*F30,"")</f>
        <v>0</v>
      </c>
      <c r="P30" s="6">
        <f>_xlfn.IFNA(HLOOKUP($B30,'1.1 Input'!$A$8:$N$15,6,FALSE)*G30,"")</f>
        <v>0</v>
      </c>
      <c r="Q30" s="34">
        <f t="shared" si="35"/>
        <v>3.4987199208573787</v>
      </c>
      <c r="S30" s="22" t="str">
        <f t="shared" si="3"/>
        <v>Physical Security and Natural Hazards</v>
      </c>
      <c r="T30" s="6">
        <f>(IF(S30="","",L30*'1.0 Data'!$M29))</f>
        <v>0</v>
      </c>
      <c r="U30" s="6">
        <f>(IF(T30="","",M30*'1.0 Data'!$M29))</f>
        <v>0</v>
      </c>
      <c r="V30" s="6">
        <f>(IF(U30="","",N30*'1.0 Data'!$M29))</f>
        <v>0</v>
      </c>
      <c r="W30" s="6">
        <f>(IF(V30="","",O30*'1.0 Data'!$M29))</f>
        <v>0</v>
      </c>
      <c r="X30" s="6">
        <f>(IF(W30="","",P30*'1.0 Data'!$M29))</f>
        <v>0</v>
      </c>
      <c r="Y30" s="6">
        <f t="shared" si="51"/>
        <v>0</v>
      </c>
      <c r="AA30" s="22" t="str">
        <f t="shared" si="52"/>
        <v>Physical Security and Natural Hazards</v>
      </c>
      <c r="AB30" s="6">
        <f>IF(AA30="","",L30*'1.0 Data'!$N29)</f>
        <v>0</v>
      </c>
      <c r="AC30" s="6">
        <f>IF(AB30="","",M30*'1.0 Data'!$N29)</f>
        <v>0</v>
      </c>
      <c r="AD30" s="6">
        <f>IF(AC30="","",N30*'1.0 Data'!$N29)</f>
        <v>0</v>
      </c>
      <c r="AE30" s="6">
        <f>IF(AD30="","",O30*'1.0 Data'!$N29)</f>
        <v>0</v>
      </c>
      <c r="AF30" s="6">
        <f>IF(AE30="","",P30*'1.0 Data'!$N29)</f>
        <v>0</v>
      </c>
      <c r="AG30" s="6">
        <f t="shared" si="53"/>
        <v>0</v>
      </c>
      <c r="AI30" s="22" t="str">
        <f t="shared" si="54"/>
        <v>Physical Security and Natural Hazards</v>
      </c>
      <c r="AJ30" s="6">
        <f>IF(AI30="","",L30*'1.0 Data'!$O29)</f>
        <v>0</v>
      </c>
      <c r="AK30" s="6">
        <f>IF(AJ30="","",M30*'1.0 Data'!$O29)</f>
        <v>0</v>
      </c>
      <c r="AL30" s="6">
        <f>IF(AK30="","",N30*'1.0 Data'!$O29)</f>
        <v>0</v>
      </c>
      <c r="AM30" s="6">
        <f>IF(AL30="","",O30*'1.0 Data'!$O29)</f>
        <v>0</v>
      </c>
      <c r="AN30" s="6">
        <f>IF(AM30="","",P30*'1.0 Data'!$O29)</f>
        <v>0</v>
      </c>
      <c r="AO30" s="6">
        <f t="shared" si="55"/>
        <v>0</v>
      </c>
      <c r="AQ30" s="22" t="str">
        <f t="shared" si="56"/>
        <v>Physical Security and Natural Hazards</v>
      </c>
      <c r="AR30" s="6">
        <f>IF(AQ30="","",L30*'1.0 Data'!$P29)</f>
        <v>0</v>
      </c>
      <c r="AS30" s="6">
        <f>IF(AR30="","",M30*'1.0 Data'!$P29)</f>
        <v>0</v>
      </c>
      <c r="AT30" s="6">
        <f>IF(AS30="","",N30*'1.0 Data'!$P29)</f>
        <v>0</v>
      </c>
      <c r="AU30" s="6">
        <f>IF(AT30="","",O30*'1.0 Data'!$P29)</f>
        <v>0</v>
      </c>
      <c r="AV30" s="6">
        <f>IF(AU30="","",P30*'1.0 Data'!$P29)</f>
        <v>0</v>
      </c>
      <c r="AW30" s="6">
        <f t="shared" si="57"/>
        <v>0</v>
      </c>
      <c r="AY30" s="22" t="str">
        <f t="shared" si="36"/>
        <v>Physical Security and Natural Hazards</v>
      </c>
      <c r="AZ30" s="6">
        <f>IF(AY30="","",L30*'1.0 Data'!$Q29)</f>
        <v>1.7493599604286894</v>
      </c>
      <c r="BA30" s="6">
        <f>IF(AZ30="","",M30*'1.0 Data'!$Q29)</f>
        <v>1.7493599604286894</v>
      </c>
      <c r="BB30" s="6">
        <f>IF(BA30="","",N30*'1.0 Data'!$Q29)</f>
        <v>0</v>
      </c>
      <c r="BC30" s="6">
        <f>IF(BB30="","",O30*'1.0 Data'!$Q29)</f>
        <v>0</v>
      </c>
      <c r="BD30" s="6">
        <f>IF(BC30="","",P30*'1.0 Data'!$Q29)</f>
        <v>0</v>
      </c>
      <c r="BE30" s="6">
        <f t="shared" si="58"/>
        <v>3.4987199208573787</v>
      </c>
      <c r="BG30" s="6">
        <f t="shared" si="59"/>
        <v>3.4987199208573787</v>
      </c>
      <c r="BH30" s="22">
        <f>H30*HLOOKUP($B30,'1.1 Input'!$A$8:$N$15,6,FALSE)</f>
        <v>3.4987199208573787</v>
      </c>
      <c r="BI30" s="23">
        <f t="shared" si="60"/>
        <v>0</v>
      </c>
      <c r="BK30" s="22" t="str">
        <f t="shared" si="61"/>
        <v>Physical Security and Natural Hazards</v>
      </c>
      <c r="BL30" s="6">
        <f>IF(BK30="","",T30*'1.1 Input'!D$58)</f>
        <v>0</v>
      </c>
      <c r="BM30" s="6">
        <f>IF(BL30="","",U30*'1.1 Input'!E$58)</f>
        <v>0</v>
      </c>
      <c r="BN30" s="6">
        <f>IF(BM30="","",V30*'1.1 Input'!F$58)</f>
        <v>0</v>
      </c>
      <c r="BO30" s="6">
        <f>IF(BN30="","",W30*'1.1 Input'!G$58)</f>
        <v>0</v>
      </c>
      <c r="BP30" s="6">
        <f>IF(BO30="","",X30*'1.1 Input'!H$58)</f>
        <v>0</v>
      </c>
      <c r="BQ30" s="6">
        <f t="shared" si="62"/>
        <v>0</v>
      </c>
      <c r="BR30" s="22" t="str">
        <f t="shared" si="63"/>
        <v>Physical Security and Natural Hazards</v>
      </c>
      <c r="BS30" s="6">
        <f>IF(BR30="","",AB30*'1.1 Input'!D$59)</f>
        <v>0</v>
      </c>
      <c r="BT30" s="6">
        <f>IF(BS30="","",AC30*'1.1 Input'!E$59)</f>
        <v>0</v>
      </c>
      <c r="BU30" s="6">
        <f>IF(BT30="","",AD30*'1.1 Input'!F$59)</f>
        <v>0</v>
      </c>
      <c r="BV30" s="6">
        <f>IF(BU30="","",AE30*'1.1 Input'!G$59)</f>
        <v>0</v>
      </c>
      <c r="BW30" s="6">
        <f>IF(BV30="","",AF30*'1.1 Input'!H$59)</f>
        <v>0</v>
      </c>
      <c r="BX30" s="6">
        <f t="shared" si="64"/>
        <v>0</v>
      </c>
      <c r="BY30" s="22" t="str">
        <f t="shared" si="65"/>
        <v>Physical Security and Natural Hazards</v>
      </c>
      <c r="BZ30" s="6">
        <f>IF(BY30="","",AJ30*'1.1 Input'!D$60)</f>
        <v>0</v>
      </c>
      <c r="CA30" s="6">
        <f>IF(BZ30="","",AK30*'1.1 Input'!E$60)</f>
        <v>0</v>
      </c>
      <c r="CB30" s="6">
        <f>IF(CA30="","",AL30*'1.1 Input'!F$60)</f>
        <v>0</v>
      </c>
      <c r="CC30" s="6">
        <f>IF(CB30="","",AM30*'1.1 Input'!G$60)</f>
        <v>0</v>
      </c>
      <c r="CD30" s="6">
        <f>IF(CC30="","",AN30*'1.1 Input'!H$60)</f>
        <v>0</v>
      </c>
      <c r="CE30" s="6">
        <f t="shared" si="66"/>
        <v>0</v>
      </c>
      <c r="CF30" s="22" t="str">
        <f t="shared" si="67"/>
        <v>Physical Security and Natural Hazards</v>
      </c>
      <c r="CG30" s="6">
        <f>IF(CF30="","",AR30*'1.1 Input'!D$61)</f>
        <v>0</v>
      </c>
      <c r="CH30" s="6">
        <f>IF(CG30="","",AS30*'1.1 Input'!E$61)</f>
        <v>0</v>
      </c>
      <c r="CI30" s="6">
        <f>IF(CH30="","",AT30*'1.1 Input'!F$61)</f>
        <v>0</v>
      </c>
      <c r="CJ30" s="6">
        <f>IF(CI30="","",AU30*'1.1 Input'!G$61)</f>
        <v>0</v>
      </c>
      <c r="CK30" s="6">
        <f>IF(CJ30="","",AV30*'1.1 Input'!H$61)</f>
        <v>0</v>
      </c>
      <c r="CL30" s="6">
        <f t="shared" si="68"/>
        <v>0</v>
      </c>
      <c r="CM30" s="22" t="str">
        <f t="shared" si="37"/>
        <v>Physical Security and Natural Hazards</v>
      </c>
      <c r="CN30" s="22">
        <f t="shared" si="38"/>
        <v>1.7493599604286894</v>
      </c>
      <c r="CO30" s="22">
        <f t="shared" si="39"/>
        <v>1.7493599604286894</v>
      </c>
      <c r="CP30" s="22">
        <f t="shared" si="40"/>
        <v>0</v>
      </c>
      <c r="CQ30" s="22">
        <f t="shared" si="41"/>
        <v>0</v>
      </c>
      <c r="CR30" s="22">
        <f t="shared" si="42"/>
        <v>0</v>
      </c>
      <c r="CS30" s="6">
        <f t="shared" si="69"/>
        <v>3.4987199208573787</v>
      </c>
      <c r="CT30" s="22" t="str">
        <f t="shared" si="70"/>
        <v>Physical Security and Natural Hazards</v>
      </c>
      <c r="CU30" s="22" t="str">
        <f t="shared" si="71"/>
        <v>2024/25</v>
      </c>
      <c r="CV30" s="6">
        <f t="shared" si="43"/>
        <v>1.7493599604286894</v>
      </c>
      <c r="CW30" s="6">
        <f t="shared" si="44"/>
        <v>1.7493599604286894</v>
      </c>
      <c r="CX30" s="6">
        <f t="shared" si="45"/>
        <v>0</v>
      </c>
      <c r="CY30" s="6">
        <f t="shared" si="46"/>
        <v>0</v>
      </c>
      <c r="CZ30" s="6">
        <f t="shared" si="47"/>
        <v>0</v>
      </c>
      <c r="DA30" s="6">
        <f t="shared" si="72"/>
        <v>3.4987199208573787</v>
      </c>
    </row>
    <row r="31" spans="1:105" ht="16.5" thickTop="1" thickBot="1">
      <c r="A31" s="22" t="str">
        <f>'1.0 Data'!A30</f>
        <v/>
      </c>
      <c r="B31" s="22">
        <f>'1.0 Data'!B30</f>
        <v>0</v>
      </c>
      <c r="C31" s="22" cm="1">
        <f t="array" ref="C31">_xlfn.IFNA(INDEX('1.0 Data'!G$9:G$36,MATCH($A31,'1.0 Data'!$A$9:$A$36,0),0),0)</f>
        <v>0</v>
      </c>
      <c r="D31" s="22" cm="1">
        <f t="array" ref="D31">_xlfn.IFNA(INDEX('1.0 Data'!H$9:H$36,MATCH($A31,'1.0 Data'!$A$9:$A$36,0),0),0)</f>
        <v>0</v>
      </c>
      <c r="E31" s="22" cm="1">
        <f t="array" ref="E31">_xlfn.IFNA(INDEX('1.0 Data'!I$9:I$36,MATCH($A31,'1.0 Data'!$A$9:$A$36,0),0),0)</f>
        <v>0</v>
      </c>
      <c r="F31" s="22" cm="1">
        <f t="array" ref="F31">_xlfn.IFNA(INDEX('1.0 Data'!J$9:J$36,MATCH($A31,'1.0 Data'!$A$9:$A$36,0),0),0)</f>
        <v>0</v>
      </c>
      <c r="G31" s="22" cm="1">
        <f t="array" ref="G31">_xlfn.IFNA(INDEX('1.0 Data'!K$9:K$36,MATCH($A31,'1.0 Data'!$A$9:$A$36,0),0),0)</f>
        <v>0</v>
      </c>
      <c r="H31" s="6">
        <f t="shared" ref="H31:H32" si="73">SUM(C31:G31)</f>
        <v>0</v>
      </c>
      <c r="J31" s="22" t="str">
        <f t="shared" si="49"/>
        <v/>
      </c>
      <c r="K31" s="5" t="str">
        <f t="shared" si="50"/>
        <v/>
      </c>
      <c r="L31" s="6" t="str">
        <f>_xlfn.IFNA(HLOOKUP($B31,'1.1 Input'!$A$8:$N$15,6,FALSE)*C31,"")</f>
        <v/>
      </c>
      <c r="M31" s="6" t="str">
        <f>_xlfn.IFNA(HLOOKUP($B31,'1.1 Input'!$A$8:$N$15,6,FALSE)*D31,"")</f>
        <v/>
      </c>
      <c r="N31" s="6" t="str">
        <f>_xlfn.IFNA(HLOOKUP($B31,'1.1 Input'!$A$8:$N$15,6,FALSE)*E31,"")</f>
        <v/>
      </c>
      <c r="O31" s="6" t="str">
        <f>_xlfn.IFNA(HLOOKUP($B31,'1.1 Input'!$A$8:$N$15,6,FALSE)*F31,"")</f>
        <v/>
      </c>
      <c r="P31" s="6" t="str">
        <f>_xlfn.IFNA(HLOOKUP($B31,'1.1 Input'!$A$8:$N$15,6,FALSE)*G31,"")</f>
        <v/>
      </c>
      <c r="Q31" s="34">
        <f t="shared" si="35"/>
        <v>0</v>
      </c>
      <c r="S31" s="22" t="str">
        <f t="shared" si="3"/>
        <v/>
      </c>
      <c r="T31" s="6" t="str">
        <f>(IF(S31="","",L31*'1.0 Data'!$M30))</f>
        <v/>
      </c>
      <c r="U31" s="6" t="str">
        <f>(IF(T31="","",M31*'1.0 Data'!$M30))</f>
        <v/>
      </c>
      <c r="V31" s="6" t="str">
        <f>(IF(U31="","",N31*'1.0 Data'!$M30))</f>
        <v/>
      </c>
      <c r="W31" s="6" t="str">
        <f>(IF(V31="","",O31*'1.0 Data'!$M30))</f>
        <v/>
      </c>
      <c r="X31" s="6" t="str">
        <f>(IF(W31="","",P31*'1.0 Data'!$M30))</f>
        <v/>
      </c>
      <c r="Y31" s="6">
        <f t="shared" ref="Y31:Y32" si="74">SUM(T31:X31)</f>
        <v>0</v>
      </c>
      <c r="AA31" s="22" t="str">
        <f t="shared" ref="AA31:AA32" si="75">S31</f>
        <v/>
      </c>
      <c r="AB31" s="6" t="str">
        <f>IF(AA31="","",L31*'1.0 Data'!$N30)</f>
        <v/>
      </c>
      <c r="AC31" s="6" t="str">
        <f>IF(AB31="","",M31*'1.0 Data'!$N30)</f>
        <v/>
      </c>
      <c r="AD31" s="6" t="str">
        <f>IF(AC31="","",N31*'1.0 Data'!$N30)</f>
        <v/>
      </c>
      <c r="AE31" s="6" t="str">
        <f>IF(AD31="","",O31*'1.0 Data'!$N30)</f>
        <v/>
      </c>
      <c r="AF31" s="6" t="str">
        <f>IF(AE31="","",P31*'1.0 Data'!$N30)</f>
        <v/>
      </c>
      <c r="AG31" s="6">
        <f t="shared" ref="AG31:AG32" si="76">SUM(AB31:AF31)</f>
        <v>0</v>
      </c>
      <c r="AI31" s="22" t="str">
        <f t="shared" ref="AI31:AI32" si="77">AA31</f>
        <v/>
      </c>
      <c r="AJ31" s="6" t="str">
        <f>IF(AI31="","",L31*'1.0 Data'!$O30)</f>
        <v/>
      </c>
      <c r="AK31" s="6" t="str">
        <f>IF(AJ31="","",M31*'1.0 Data'!$O30)</f>
        <v/>
      </c>
      <c r="AL31" s="6" t="str">
        <f>IF(AK31="","",N31*'1.0 Data'!$O30)</f>
        <v/>
      </c>
      <c r="AM31" s="6" t="str">
        <f>IF(AL31="","",O31*'1.0 Data'!$O30)</f>
        <v/>
      </c>
      <c r="AN31" s="6" t="str">
        <f>IF(AM31="","",P31*'1.0 Data'!$O30)</f>
        <v/>
      </c>
      <c r="AO31" s="6">
        <f t="shared" ref="AO31:AO32" si="78">SUM(AJ31:AN31)</f>
        <v>0</v>
      </c>
      <c r="AQ31" s="22" t="str">
        <f t="shared" ref="AQ31:AQ32" si="79">AI31</f>
        <v/>
      </c>
      <c r="AR31" s="6" t="str">
        <f>IF(AQ31="","",L31*'1.0 Data'!$P30)</f>
        <v/>
      </c>
      <c r="AS31" s="6" t="str">
        <f>IF(AR31="","",M31*'1.0 Data'!$P30)</f>
        <v/>
      </c>
      <c r="AT31" s="6" t="str">
        <f>IF(AS31="","",N31*'1.0 Data'!$P30)</f>
        <v/>
      </c>
      <c r="AU31" s="6" t="str">
        <f>IF(AT31="","",O31*'1.0 Data'!$P30)</f>
        <v/>
      </c>
      <c r="AV31" s="6" t="str">
        <f>IF(AU31="","",P31*'1.0 Data'!$P30)</f>
        <v/>
      </c>
      <c r="AW31" s="6">
        <f t="shared" ref="AW31:AW32" si="80">SUM(AR31:AV31)</f>
        <v>0</v>
      </c>
      <c r="AY31" s="22" t="str">
        <f t="shared" ref="AY31:AY32" si="81">AI31</f>
        <v/>
      </c>
      <c r="AZ31" s="6" t="str">
        <f>IF(AY31="","",L31*'1.0 Data'!$Q30)</f>
        <v/>
      </c>
      <c r="BA31" s="6" t="str">
        <f>IF(AZ31="","",M31*'1.0 Data'!$Q30)</f>
        <v/>
      </c>
      <c r="BB31" s="6" t="str">
        <f>IF(BA31="","",N31*'1.0 Data'!$Q30)</f>
        <v/>
      </c>
      <c r="BC31" s="6" t="str">
        <f>IF(BB31="","",O31*'1.0 Data'!$Q30)</f>
        <v/>
      </c>
      <c r="BD31" s="6" t="str">
        <f>IF(BC31="","",P31*'1.0 Data'!$Q30)</f>
        <v/>
      </c>
      <c r="BE31" s="6">
        <f t="shared" ref="BE31:BE32" si="82">SUM(AZ31:BD31)</f>
        <v>0</v>
      </c>
      <c r="BG31" s="6">
        <f t="shared" ref="BG31:BG32" si="83">BE31+AO31+AG31+Y31</f>
        <v>0</v>
      </c>
      <c r="BH31" s="22" t="e">
        <f>H31*HLOOKUP($B31,'1.1 Input'!$A$8:$N$15,6,FALSE)</f>
        <v>#N/A</v>
      </c>
      <c r="BI31" s="23" t="e">
        <f t="shared" ref="BI31:BI32" si="84">BG31-BH31</f>
        <v>#N/A</v>
      </c>
      <c r="BK31" s="22" t="str">
        <f t="shared" ref="BK31:BK32" si="85">AY31</f>
        <v/>
      </c>
      <c r="BL31" s="6" t="str">
        <f>IF(BK31="","",T31*'1.1 Input'!D$58)</f>
        <v/>
      </c>
      <c r="BM31" s="6" t="str">
        <f>IF(BL31="","",U31*'1.1 Input'!E$58)</f>
        <v/>
      </c>
      <c r="BN31" s="6" t="str">
        <f>IF(BM31="","",V31*'1.1 Input'!F$58)</f>
        <v/>
      </c>
      <c r="BO31" s="6" t="str">
        <f>IF(BN31="","",W31*'1.1 Input'!G$58)</f>
        <v/>
      </c>
      <c r="BP31" s="6" t="str">
        <f>IF(BO31="","",X31*'1.1 Input'!H$58)</f>
        <v/>
      </c>
      <c r="BQ31" s="6">
        <f t="shared" ref="BQ31:BQ32" si="86">SUM(BL31:BP31)</f>
        <v>0</v>
      </c>
      <c r="BR31" s="22" t="str">
        <f t="shared" ref="BR31:BR32" si="87">BK31</f>
        <v/>
      </c>
      <c r="BS31" s="6" t="str">
        <f>IF(BR31="","",AB31*'1.1 Input'!D$59)</f>
        <v/>
      </c>
      <c r="BT31" s="6" t="str">
        <f>IF(BS31="","",AC31*'1.1 Input'!E$59)</f>
        <v/>
      </c>
      <c r="BU31" s="6" t="str">
        <f>IF(BT31="","",AD31*'1.1 Input'!F$59)</f>
        <v/>
      </c>
      <c r="BV31" s="6" t="str">
        <f>IF(BU31="","",AE31*'1.1 Input'!G$59)</f>
        <v/>
      </c>
      <c r="BW31" s="6" t="str">
        <f>IF(BV31="","",AF31*'1.1 Input'!H$59)</f>
        <v/>
      </c>
      <c r="BX31" s="6">
        <f t="shared" ref="BX31:BX32" si="88">SUM(BS31:BW31)</f>
        <v>0</v>
      </c>
      <c r="BY31" s="22" t="str">
        <f t="shared" ref="BY31:BY32" si="89">BR31</f>
        <v/>
      </c>
      <c r="BZ31" s="6" t="str">
        <f>IF(BY31="","",AJ31*'1.1 Input'!D$60)</f>
        <v/>
      </c>
      <c r="CA31" s="6" t="str">
        <f>IF(BZ31="","",AK31*'1.1 Input'!E$60)</f>
        <v/>
      </c>
      <c r="CB31" s="6" t="str">
        <f>IF(CA31="","",AL31*'1.1 Input'!F$60)</f>
        <v/>
      </c>
      <c r="CC31" s="6" t="str">
        <f>IF(CB31="","",AM31*'1.1 Input'!G$60)</f>
        <v/>
      </c>
      <c r="CD31" s="6" t="str">
        <f>IF(CC31="","",AN31*'1.1 Input'!H$60)</f>
        <v/>
      </c>
      <c r="CE31" s="6">
        <f t="shared" ref="CE31:CE32" si="90">SUM(BZ31:CD31)</f>
        <v>0</v>
      </c>
      <c r="CF31" s="22" t="str">
        <f t="shared" ref="CF31:CF32" si="91">BY31</f>
        <v/>
      </c>
      <c r="CG31" s="6" t="str">
        <f>IF(CF31="","",AR31*'1.1 Input'!D$61)</f>
        <v/>
      </c>
      <c r="CH31" s="6" t="str">
        <f>IF(CG31="","",AS31*'1.1 Input'!E$61)</f>
        <v/>
      </c>
      <c r="CI31" s="6" t="str">
        <f>IF(CH31="","",AT31*'1.1 Input'!F$61)</f>
        <v/>
      </c>
      <c r="CJ31" s="6" t="str">
        <f>IF(CI31="","",AU31*'1.1 Input'!G$61)</f>
        <v/>
      </c>
      <c r="CK31" s="6" t="str">
        <f>IF(CJ31="","",AV31*'1.1 Input'!H$61)</f>
        <v/>
      </c>
      <c r="CL31" s="6">
        <f t="shared" ref="CL31:CL32" si="92">SUM(CG31:CK31)</f>
        <v>0</v>
      </c>
      <c r="CM31" s="22" t="str">
        <f t="shared" ref="CM31:CM32" si="93">BY31</f>
        <v/>
      </c>
      <c r="CN31" s="22" t="str">
        <f t="shared" ref="CN31:CN32" si="94">AZ31</f>
        <v/>
      </c>
      <c r="CO31" s="22" t="str">
        <f t="shared" ref="CO31:CO32" si="95">BA31</f>
        <v/>
      </c>
      <c r="CP31" s="22" t="str">
        <f t="shared" ref="CP31:CP32" si="96">BB31</f>
        <v/>
      </c>
      <c r="CQ31" s="22" t="str">
        <f t="shared" ref="CQ31:CQ32" si="97">BC31</f>
        <v/>
      </c>
      <c r="CR31" s="22" t="str">
        <f t="shared" ref="CR31:CR32" si="98">BD31</f>
        <v/>
      </c>
      <c r="CS31" s="6">
        <f t="shared" ref="CS31:CS32" si="99">SUM(CN31:CR31)</f>
        <v>0</v>
      </c>
      <c r="CT31" s="22" t="str">
        <f t="shared" ref="CT31:CT32" si="100">CM31</f>
        <v/>
      </c>
      <c r="CU31" s="22" t="str">
        <f t="shared" si="71"/>
        <v/>
      </c>
      <c r="CV31" s="6">
        <f t="shared" ref="CV31:CV32" si="101">SUM(CN31,BZ31,BS31,BL31)</f>
        <v>0</v>
      </c>
      <c r="CW31" s="6">
        <f t="shared" ref="CW31:CW32" si="102">SUM(CO31,CA31,BT31,BM31)</f>
        <v>0</v>
      </c>
      <c r="CX31" s="6">
        <f t="shared" ref="CX31:CX32" si="103">SUM(CP31,CB31,BU31,BN31)</f>
        <v>0</v>
      </c>
      <c r="CY31" s="6">
        <f t="shared" ref="CY31:CY32" si="104">SUM(CQ31,CC31,BV31,BO31)</f>
        <v>0</v>
      </c>
      <c r="CZ31" s="6">
        <f t="shared" ref="CZ31:CZ32" si="105">SUM(CR31,CD31,BW31,BP31)</f>
        <v>0</v>
      </c>
      <c r="DA31" s="6">
        <f t="shared" ref="DA31:DA32" si="106">SUM(CV31:CZ31)</f>
        <v>0</v>
      </c>
    </row>
    <row r="32" spans="1:105" ht="16.5" thickTop="1" thickBot="1">
      <c r="A32" s="22" t="str">
        <f>'1.0 Data'!A31</f>
        <v/>
      </c>
      <c r="B32" s="22">
        <f>'1.0 Data'!B31</f>
        <v>0</v>
      </c>
      <c r="C32" s="22" cm="1">
        <f t="array" ref="C32">_xlfn.IFNA(INDEX('1.0 Data'!G$9:G$36,MATCH($A32,'1.0 Data'!$A$9:$A$36,0),0),0)</f>
        <v>0</v>
      </c>
      <c r="D32" s="22" cm="1">
        <f t="array" ref="D32">_xlfn.IFNA(INDEX('1.0 Data'!H$9:H$36,MATCH($A32,'1.0 Data'!$A$9:$A$36,0),0),0)</f>
        <v>0</v>
      </c>
      <c r="E32" s="22" cm="1">
        <f t="array" ref="E32">_xlfn.IFNA(INDEX('1.0 Data'!I$9:I$36,MATCH($A32,'1.0 Data'!$A$9:$A$36,0),0),0)</f>
        <v>0</v>
      </c>
      <c r="F32" s="22" cm="1">
        <f t="array" ref="F32">_xlfn.IFNA(INDEX('1.0 Data'!J$9:J$36,MATCH($A32,'1.0 Data'!$A$9:$A$36,0),0),0)</f>
        <v>0</v>
      </c>
      <c r="G32" s="22" cm="1">
        <f t="array" ref="G32">_xlfn.IFNA(INDEX('1.0 Data'!K$9:K$36,MATCH($A32,'1.0 Data'!$A$9:$A$36,0),0),0)</f>
        <v>0</v>
      </c>
      <c r="H32" s="6">
        <f t="shared" si="73"/>
        <v>0</v>
      </c>
      <c r="J32" s="22" t="str">
        <f t="shared" si="49"/>
        <v/>
      </c>
      <c r="K32" s="5" t="str">
        <f t="shared" si="50"/>
        <v/>
      </c>
      <c r="L32" s="6" t="str">
        <f>_xlfn.IFNA(HLOOKUP($B32,'1.1 Input'!$A$8:$N$15,6,FALSE)*C32,"")</f>
        <v/>
      </c>
      <c r="M32" s="6" t="str">
        <f>_xlfn.IFNA(HLOOKUP($B32,'1.1 Input'!$A$8:$N$15,6,FALSE)*D32,"")</f>
        <v/>
      </c>
      <c r="N32" s="6" t="str">
        <f>_xlfn.IFNA(HLOOKUP($B32,'1.1 Input'!$A$8:$N$15,6,FALSE)*E32,"")</f>
        <v/>
      </c>
      <c r="O32" s="6" t="str">
        <f>_xlfn.IFNA(HLOOKUP($B32,'1.1 Input'!$A$8:$N$15,6,FALSE)*F32,"")</f>
        <v/>
      </c>
      <c r="P32" s="6" t="str">
        <f>_xlfn.IFNA(HLOOKUP($B32,'1.1 Input'!$A$8:$N$15,6,FALSE)*G32,"")</f>
        <v/>
      </c>
      <c r="Q32" s="34">
        <f t="shared" si="35"/>
        <v>0</v>
      </c>
      <c r="S32" s="22" t="str">
        <f t="shared" si="3"/>
        <v/>
      </c>
      <c r="T32" s="6" t="str">
        <f>(IF(S32="","",L32*'1.0 Data'!$M31))</f>
        <v/>
      </c>
      <c r="U32" s="6" t="str">
        <f>(IF(T32="","",M32*'1.0 Data'!$M31))</f>
        <v/>
      </c>
      <c r="V32" s="6" t="str">
        <f>(IF(U32="","",N32*'1.0 Data'!$M31))</f>
        <v/>
      </c>
      <c r="W32" s="6" t="str">
        <f>(IF(V32="","",O32*'1.0 Data'!$M31))</f>
        <v/>
      </c>
      <c r="X32" s="6" t="str">
        <f>(IF(W32="","",P32*'1.0 Data'!$M31))</f>
        <v/>
      </c>
      <c r="Y32" s="6">
        <f t="shared" si="74"/>
        <v>0</v>
      </c>
      <c r="AA32" s="22" t="str">
        <f t="shared" si="75"/>
        <v/>
      </c>
      <c r="AB32" s="6" t="str">
        <f>IF(AA32="","",L32*'1.0 Data'!$N31)</f>
        <v/>
      </c>
      <c r="AC32" s="6" t="str">
        <f>IF(AB32="","",M32*'1.0 Data'!$N31)</f>
        <v/>
      </c>
      <c r="AD32" s="6" t="str">
        <f>IF(AC32="","",N32*'1.0 Data'!$N31)</f>
        <v/>
      </c>
      <c r="AE32" s="6" t="str">
        <f>IF(AD32="","",O32*'1.0 Data'!$N31)</f>
        <v/>
      </c>
      <c r="AF32" s="6" t="str">
        <f>IF(AE32="","",P32*'1.0 Data'!$N31)</f>
        <v/>
      </c>
      <c r="AG32" s="6">
        <f t="shared" si="76"/>
        <v>0</v>
      </c>
      <c r="AI32" s="22" t="str">
        <f t="shared" si="77"/>
        <v/>
      </c>
      <c r="AJ32" s="6" t="str">
        <f>IF(AI32="","",L32*'1.0 Data'!$O31)</f>
        <v/>
      </c>
      <c r="AK32" s="6" t="str">
        <f>IF(AJ32="","",M32*'1.0 Data'!$O31)</f>
        <v/>
      </c>
      <c r="AL32" s="6" t="str">
        <f>IF(AK32="","",N32*'1.0 Data'!$O31)</f>
        <v/>
      </c>
      <c r="AM32" s="6" t="str">
        <f>IF(AL32="","",O32*'1.0 Data'!$O31)</f>
        <v/>
      </c>
      <c r="AN32" s="6" t="str">
        <f>IF(AM32="","",P32*'1.0 Data'!$O31)</f>
        <v/>
      </c>
      <c r="AO32" s="6">
        <f t="shared" si="78"/>
        <v>0</v>
      </c>
      <c r="AQ32" s="22" t="str">
        <f t="shared" si="79"/>
        <v/>
      </c>
      <c r="AR32" s="6" t="str">
        <f>IF(AQ32="","",L32*'1.0 Data'!$P31)</f>
        <v/>
      </c>
      <c r="AS32" s="6" t="str">
        <f>IF(AR32="","",M32*'1.0 Data'!$P31)</f>
        <v/>
      </c>
      <c r="AT32" s="6" t="str">
        <f>IF(AS32="","",N32*'1.0 Data'!$P31)</f>
        <v/>
      </c>
      <c r="AU32" s="6" t="str">
        <f>IF(AT32="","",O32*'1.0 Data'!$P31)</f>
        <v/>
      </c>
      <c r="AV32" s="6" t="str">
        <f>IF(AU32="","",P32*'1.0 Data'!$P31)</f>
        <v/>
      </c>
      <c r="AW32" s="6">
        <f t="shared" si="80"/>
        <v>0</v>
      </c>
      <c r="AY32" s="22" t="str">
        <f t="shared" si="81"/>
        <v/>
      </c>
      <c r="AZ32" s="6" t="str">
        <f>IF(AY32="","",L32*'1.0 Data'!$Q31)</f>
        <v/>
      </c>
      <c r="BA32" s="6" t="str">
        <f>IF(AZ32="","",M32*'1.0 Data'!$Q31)</f>
        <v/>
      </c>
      <c r="BB32" s="6" t="str">
        <f>IF(BA32="","",N32*'1.0 Data'!$Q31)</f>
        <v/>
      </c>
      <c r="BC32" s="6" t="str">
        <f>IF(BB32="","",O32*'1.0 Data'!$Q31)</f>
        <v/>
      </c>
      <c r="BD32" s="6" t="str">
        <f>IF(BC32="","",P32*'1.0 Data'!$Q31)</f>
        <v/>
      </c>
      <c r="BE32" s="6">
        <f t="shared" si="82"/>
        <v>0</v>
      </c>
      <c r="BG32" s="6">
        <f t="shared" si="83"/>
        <v>0</v>
      </c>
      <c r="BH32" s="22" t="e">
        <f>H32*HLOOKUP($B32,'1.1 Input'!$A$8:$N$15,6,FALSE)</f>
        <v>#N/A</v>
      </c>
      <c r="BI32" s="23" t="e">
        <f t="shared" si="84"/>
        <v>#N/A</v>
      </c>
      <c r="BK32" s="22" t="str">
        <f t="shared" si="85"/>
        <v/>
      </c>
      <c r="BL32" s="6" t="str">
        <f>IF(BK32="","",T32*'1.1 Input'!D$58)</f>
        <v/>
      </c>
      <c r="BM32" s="6" t="str">
        <f>IF(BL32="","",U32*'1.1 Input'!E$58)</f>
        <v/>
      </c>
      <c r="BN32" s="6" t="str">
        <f>IF(BM32="","",V32*'1.1 Input'!F$58)</f>
        <v/>
      </c>
      <c r="BO32" s="6" t="str">
        <f>IF(BN32="","",W32*'1.1 Input'!G$58)</f>
        <v/>
      </c>
      <c r="BP32" s="6" t="str">
        <f>IF(BO32="","",X32*'1.1 Input'!H$58)</f>
        <v/>
      </c>
      <c r="BQ32" s="6">
        <f t="shared" si="86"/>
        <v>0</v>
      </c>
      <c r="BR32" s="22" t="str">
        <f t="shared" si="87"/>
        <v/>
      </c>
      <c r="BS32" s="6" t="str">
        <f>IF(BR32="","",AB32*'1.1 Input'!D$59)</f>
        <v/>
      </c>
      <c r="BT32" s="6" t="str">
        <f>IF(BS32="","",AC32*'1.1 Input'!E$59)</f>
        <v/>
      </c>
      <c r="BU32" s="6" t="str">
        <f>IF(BT32="","",AD32*'1.1 Input'!F$59)</f>
        <v/>
      </c>
      <c r="BV32" s="6" t="str">
        <f>IF(BU32="","",AE32*'1.1 Input'!G$59)</f>
        <v/>
      </c>
      <c r="BW32" s="6" t="str">
        <f>IF(BV32="","",AF32*'1.1 Input'!H$59)</f>
        <v/>
      </c>
      <c r="BX32" s="6">
        <f t="shared" si="88"/>
        <v>0</v>
      </c>
      <c r="BY32" s="22" t="str">
        <f t="shared" si="89"/>
        <v/>
      </c>
      <c r="BZ32" s="6" t="str">
        <f>IF(BY32="","",AJ32*'1.1 Input'!D$60)</f>
        <v/>
      </c>
      <c r="CA32" s="6" t="str">
        <f>IF(BZ32="","",AK32*'1.1 Input'!E$60)</f>
        <v/>
      </c>
      <c r="CB32" s="6" t="str">
        <f>IF(CA32="","",AL32*'1.1 Input'!F$60)</f>
        <v/>
      </c>
      <c r="CC32" s="6" t="str">
        <f>IF(CB32="","",AM32*'1.1 Input'!G$60)</f>
        <v/>
      </c>
      <c r="CD32" s="6" t="str">
        <f>IF(CC32="","",AN32*'1.1 Input'!H$60)</f>
        <v/>
      </c>
      <c r="CE32" s="6">
        <f t="shared" si="90"/>
        <v>0</v>
      </c>
      <c r="CF32" s="22" t="str">
        <f t="shared" si="91"/>
        <v/>
      </c>
      <c r="CG32" s="6" t="str">
        <f>IF(CF32="","",AR32*'1.1 Input'!D$61)</f>
        <v/>
      </c>
      <c r="CH32" s="6" t="str">
        <f>IF(CG32="","",AS32*'1.1 Input'!E$61)</f>
        <v/>
      </c>
      <c r="CI32" s="6" t="str">
        <f>IF(CH32="","",AT32*'1.1 Input'!F$61)</f>
        <v/>
      </c>
      <c r="CJ32" s="6" t="str">
        <f>IF(CI32="","",AU32*'1.1 Input'!G$61)</f>
        <v/>
      </c>
      <c r="CK32" s="6" t="str">
        <f>IF(CJ32="","",AV32*'1.1 Input'!H$61)</f>
        <v/>
      </c>
      <c r="CL32" s="6">
        <f t="shared" si="92"/>
        <v>0</v>
      </c>
      <c r="CM32" s="22" t="str">
        <f t="shared" si="93"/>
        <v/>
      </c>
      <c r="CN32" s="22" t="str">
        <f t="shared" si="94"/>
        <v/>
      </c>
      <c r="CO32" s="22" t="str">
        <f t="shared" si="95"/>
        <v/>
      </c>
      <c r="CP32" s="22" t="str">
        <f t="shared" si="96"/>
        <v/>
      </c>
      <c r="CQ32" s="22" t="str">
        <f t="shared" si="97"/>
        <v/>
      </c>
      <c r="CR32" s="22" t="str">
        <f t="shared" si="98"/>
        <v/>
      </c>
      <c r="CS32" s="6">
        <f t="shared" si="99"/>
        <v>0</v>
      </c>
      <c r="CT32" s="22" t="str">
        <f t="shared" si="100"/>
        <v/>
      </c>
      <c r="CU32" s="22" t="str">
        <f t="shared" si="71"/>
        <v/>
      </c>
      <c r="CV32" s="6">
        <f t="shared" si="101"/>
        <v>0</v>
      </c>
      <c r="CW32" s="6">
        <f t="shared" si="102"/>
        <v>0</v>
      </c>
      <c r="CX32" s="6">
        <f t="shared" si="103"/>
        <v>0</v>
      </c>
      <c r="CY32" s="6">
        <f t="shared" si="104"/>
        <v>0</v>
      </c>
      <c r="CZ32" s="6">
        <f t="shared" si="105"/>
        <v>0</v>
      </c>
      <c r="DA32" s="6">
        <f t="shared" si="106"/>
        <v>0</v>
      </c>
    </row>
    <row r="33" ht="15.75" thickTop="1"/>
  </sheetData>
  <phoneticPr fontId="27" type="noConversion"/>
  <conditionalFormatting sqref="BI10:BI32">
    <cfRule type="cellIs" dxfId="18" priority="4" operator="not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U234"/>
  <sheetViews>
    <sheetView zoomScale="130" zoomScaleNormal="130" workbookViewId="0">
      <selection activeCell="L4" sqref="L4"/>
    </sheetView>
  </sheetViews>
  <sheetFormatPr defaultRowHeight="15"/>
  <cols>
    <col min="1" max="1" width="33.42578125" customWidth="1"/>
    <col min="3" max="3" width="13.140625" customWidth="1"/>
    <col min="4" max="4" width="34.7109375" bestFit="1" customWidth="1"/>
    <col min="5" max="5" width="9.85546875" customWidth="1"/>
    <col min="11" max="11" width="7.42578125" customWidth="1"/>
    <col min="12" max="12" width="38.42578125" customWidth="1"/>
    <col min="13" max="13" width="11.5703125" bestFit="1" customWidth="1"/>
    <col min="14" max="16" width="9" customWidth="1"/>
    <col min="17" max="17" width="9.85546875" customWidth="1"/>
  </cols>
  <sheetData>
    <row r="1" spans="1:21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3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" thickTop="1" thickBot="1">
      <c r="A4" s="1"/>
      <c r="B4" s="1"/>
      <c r="C4" s="1"/>
      <c r="D4" s="1"/>
      <c r="E4" s="56">
        <f>E5-'1.1 Indexation'!CV5</f>
        <v>0</v>
      </c>
      <c r="F4" s="56">
        <f>F5-'1.1 Indexation'!CW5</f>
        <v>0</v>
      </c>
      <c r="G4" s="56">
        <f>G5-'1.1 Indexation'!CX5</f>
        <v>0</v>
      </c>
      <c r="H4" s="56">
        <f>H5-'1.1 Indexation'!CY5</f>
        <v>0</v>
      </c>
      <c r="I4" s="56">
        <f>I5-'1.1 Indexation'!CZ5</f>
        <v>0</v>
      </c>
      <c r="J4" s="56">
        <f>SUM(E4:I4)</f>
        <v>0</v>
      </c>
      <c r="K4" s="2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3.25" thickTop="1">
      <c r="A5" s="1" t="str">
        <f ca="1">RIGHT(CELL("filename"),LEN(CELL("filename"))-FIND("]",CELL("filename")))</f>
        <v>1.1 Input</v>
      </c>
      <c r="B5" s="1"/>
      <c r="C5" s="1"/>
      <c r="D5" s="1"/>
      <c r="E5" s="46">
        <f t="shared" ref="E5:J5" si="0">SUM(E10:E35)</f>
        <v>18.489115074816304</v>
      </c>
      <c r="F5" s="46">
        <f t="shared" si="0"/>
        <v>10.327099675594905</v>
      </c>
      <c r="G5" s="46">
        <f t="shared" si="0"/>
        <v>4.0752013849888913</v>
      </c>
      <c r="H5" s="46">
        <f t="shared" si="0"/>
        <v>10.901610019209258</v>
      </c>
      <c r="I5" s="46">
        <f t="shared" si="0"/>
        <v>30.29203863121506</v>
      </c>
      <c r="J5" s="46">
        <f t="shared" si="0"/>
        <v>74.085064785824429</v>
      </c>
      <c r="K5" s="2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9.5">
      <c r="A6" s="2" t="s">
        <v>115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16.5">
      <c r="A7" s="4" t="s">
        <v>116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21">
      <c r="A8" s="3" t="str">
        <f>'1.0 Data'!A8</f>
        <v>Project</v>
      </c>
      <c r="B8" s="3" t="str">
        <f>'1.0 Data'!B8</f>
        <v>Real $</v>
      </c>
      <c r="C8" s="3" t="str">
        <f>'1.0 Data'!E8</f>
        <v>Asset Classes (Fore)</v>
      </c>
      <c r="D8" s="3" t="str">
        <f>'1.0 Data'!F8</f>
        <v>Driver</v>
      </c>
      <c r="E8" s="3" t="str">
        <f>'1.0 Data'!G8</f>
        <v>2025/26</v>
      </c>
      <c r="F8" s="3" t="str">
        <f>'1.0 Data'!H8</f>
        <v>2026/27</v>
      </c>
      <c r="G8" s="3" t="str">
        <f>'1.0 Data'!I8</f>
        <v>2027/28</v>
      </c>
      <c r="H8" s="3" t="str">
        <f>'1.0 Data'!J8</f>
        <v>2028/29</v>
      </c>
      <c r="I8" s="3" t="str">
        <f>'1.0 Data'!K8</f>
        <v>2029/30</v>
      </c>
      <c r="J8" s="3" t="str">
        <f>'1.0 Data'!L8</f>
        <v>Total</v>
      </c>
      <c r="K8" s="3"/>
      <c r="L8" s="3" t="s">
        <v>3</v>
      </c>
    </row>
    <row r="9" spans="1:21">
      <c r="L9" s="37"/>
    </row>
    <row r="10" spans="1:21">
      <c r="A10" s="22" t="str">
        <f>'1.0 Data'!A9</f>
        <v>Reactor DC Refurbishment</v>
      </c>
      <c r="B10" s="22" t="str">
        <f>'1.1 Indexation'!CU10</f>
        <v>2024/25</v>
      </c>
      <c r="C10" s="22" t="str">
        <f>'1.0 Data'!E9</f>
        <v>SMOOTHING REACTOR</v>
      </c>
      <c r="D10" s="22" t="str">
        <f>'1.0 Data'!F9</f>
        <v>Replacement expenditure</v>
      </c>
      <c r="E10" s="64" cm="1">
        <f t="array" ref="E10">_xlfn.IFNA(INDEX('1.1 Indexation'!CV$10:CV$40,MATCH($A10,'1.1 Indexation'!$CT$10:$CT$40,0),0),0)</f>
        <v>0</v>
      </c>
      <c r="F10" s="64" cm="1">
        <f t="array" ref="F10">_xlfn.IFNA(INDEX('1.1 Indexation'!CW$10:CW$40,MATCH($A10,'1.1 Indexation'!$CT$10:$CT$40,0),0),0)</f>
        <v>0.78440437620177073</v>
      </c>
      <c r="G10" s="64" cm="1">
        <f t="array" ref="G10">_xlfn.IFNA(INDEX('1.1 Indexation'!CX$10:CX$40,MATCH($A10,'1.1 Indexation'!$CT$10:$CT$40,0),0),0)</f>
        <v>0</v>
      </c>
      <c r="H10" s="64" cm="1">
        <f t="array" ref="H10">_xlfn.IFNA(INDEX('1.1 Indexation'!CY$10:CY$40,MATCH($A10,'1.1 Indexation'!$CT$10:$CT$40,0),0),0)</f>
        <v>0</v>
      </c>
      <c r="I10" s="64" cm="1">
        <f t="array" ref="I10">_xlfn.IFNA(INDEX('1.1 Indexation'!CZ$10:CZ$40,MATCH($A10,'1.1 Indexation'!$CT$10:$CT$40,0),0),0)</f>
        <v>0</v>
      </c>
      <c r="J10" s="64" cm="1">
        <f t="array" ref="J10">_xlfn.IFNA(INDEX('1.1 Indexation'!DA$10:DA$40,MATCH($A10,'1.1 Indexation'!$CT$10:$CT$40,0),0),0)</f>
        <v>0.78440437620177073</v>
      </c>
      <c r="L10" s="27" t="str" cm="1">
        <f t="array" ref="L10">_xlfn.IFNA(INDEX('1.0 Data'!$D$9:$D$36,MATCH($A10,'1.0 Data'!$A$9:$A$36,0),0),"")</f>
        <v>End of Life Replacement</v>
      </c>
    </row>
    <row r="11" spans="1:21">
      <c r="A11" s="22" t="str">
        <f>'1.0 Data'!A10</f>
        <v>Control &amp; Protection - System Renewal</v>
      </c>
      <c r="B11" s="22" t="str">
        <f>'1.1 Indexation'!CU11</f>
        <v>2024/25</v>
      </c>
      <c r="C11" s="22" t="str">
        <f>'1.0 Data'!E10</f>
        <v>CONTROL SYSTEM</v>
      </c>
      <c r="D11" s="22" t="str">
        <f>'1.0 Data'!F10</f>
        <v>Replacement expenditure</v>
      </c>
      <c r="E11" s="64" cm="1">
        <f t="array" ref="E11">_xlfn.IFNA(INDEX('1.1 Indexation'!CV$10:CV$40,MATCH($A11,'1.1 Indexation'!$CT$10:$CT$40,0),0),0)</f>
        <v>7.8795047185434761</v>
      </c>
      <c r="F11" s="64" cm="1">
        <f t="array" ref="F11">_xlfn.IFNA(INDEX('1.1 Indexation'!CW$10:CW$40,MATCH($A11,'1.1 Indexation'!$CT$10:$CT$40,0),0),0)</f>
        <v>6.3512205010245975</v>
      </c>
      <c r="G11" s="64" cm="1">
        <f t="array" ref="G11">_xlfn.IFNA(INDEX('1.1 Indexation'!CX$10:CX$40,MATCH($A11,'1.1 Indexation'!$CT$10:$CT$40,0),0),0)</f>
        <v>3.0627271149085691</v>
      </c>
      <c r="H11" s="64" cm="1">
        <f t="array" ref="H11">_xlfn.IFNA(INDEX('1.1 Indexation'!CY$10:CY$40,MATCH($A11,'1.1 Indexation'!$CT$10:$CT$40,0),0),0)</f>
        <v>8.4574647590765863</v>
      </c>
      <c r="I11" s="64" cm="1">
        <f t="array" ref="I11">_xlfn.IFNA(INDEX('1.1 Indexation'!CZ$10:CZ$40,MATCH($A11,'1.1 Indexation'!$CT$10:$CT$40,0),0),0)</f>
        <v>18.425661907414522</v>
      </c>
      <c r="J11" s="64" cm="1">
        <f t="array" ref="J11">_xlfn.IFNA(INDEX('1.1 Indexation'!DA$10:DA$40,MATCH($A11,'1.1 Indexation'!$CT$10:$CT$40,0),0),0)</f>
        <v>44.176579000967749</v>
      </c>
      <c r="L11" s="27" t="str" cm="1">
        <f t="array" ref="L11">_xlfn.IFNA(INDEX('1.0 Data'!$D$9:$D$36,MATCH($A11,'1.0 Data'!$A$9:$A$36,0),0),"")</f>
        <v>End of Life Replacement</v>
      </c>
    </row>
    <row r="12" spans="1:21">
      <c r="A12" s="22" t="str">
        <f>'1.0 Data'!A11</f>
        <v>Spares</v>
      </c>
      <c r="B12" s="22" t="str">
        <f>'1.1 Indexation'!CU12</f>
        <v>2024/25</v>
      </c>
      <c r="C12" s="22" t="str">
        <f>'1.0 Data'!E11</f>
        <v>SWITCHYARD COMPONENTS</v>
      </c>
      <c r="D12" s="22" t="str">
        <f>'1.0 Data'!F11</f>
        <v>Replacement expenditure</v>
      </c>
      <c r="E12" s="64" cm="1">
        <f t="array" ref="E12">_xlfn.IFNA(INDEX('1.1 Indexation'!CV$10:CV$40,MATCH($A12,'1.1 Indexation'!$CT$10:$CT$40,0),0),0)</f>
        <v>6.0351923549488054E-2</v>
      </c>
      <c r="F12" s="64" cm="1">
        <f t="array" ref="F12">_xlfn.IFNA(INDEX('1.1 Indexation'!CW$10:CW$40,MATCH($A12,'1.1 Indexation'!$CT$10:$CT$40,0),0),0)</f>
        <v>0.24140769419795222</v>
      </c>
      <c r="G12" s="64" cm="1">
        <f t="array" ref="G12">_xlfn.IFNA(INDEX('1.1 Indexation'!CX$10:CX$40,MATCH($A12,'1.1 Indexation'!$CT$10:$CT$40,0),0),0)</f>
        <v>0.12070384709897611</v>
      </c>
      <c r="H12" s="64" cm="1">
        <f t="array" ref="H12">_xlfn.IFNA(INDEX('1.1 Indexation'!CY$10:CY$40,MATCH($A12,'1.1 Indexation'!$CT$10:$CT$40,0),0),0)</f>
        <v>0.25347807890784979</v>
      </c>
      <c r="I12" s="64" cm="1">
        <f t="array" ref="I12">_xlfn.IFNA(INDEX('1.1 Indexation'!CZ$10:CZ$40,MATCH($A12,'1.1 Indexation'!$CT$10:$CT$40,0),0),0)</f>
        <v>0</v>
      </c>
      <c r="J12" s="64" cm="1">
        <f t="array" ref="J12">_xlfn.IFNA(INDEX('1.1 Indexation'!DA$10:DA$40,MATCH($A12,'1.1 Indexation'!$CT$10:$CT$40,0),0),0)</f>
        <v>0.67594154375426618</v>
      </c>
      <c r="L12" s="27" t="str" cm="1">
        <f t="array" ref="L12">_xlfn.IFNA(INDEX('1.0 Data'!$D$9:$D$36,MATCH($A12,'1.0 Data'!$A$9:$A$36,0),0),"")</f>
        <v>Stay in Business</v>
      </c>
    </row>
    <row r="13" spans="1:21">
      <c r="A13" s="22" t="str">
        <f>'1.0 Data'!A12</f>
        <v>Subsea Cable Repair Strategy</v>
      </c>
      <c r="B13" s="22" t="str">
        <f>'1.1 Indexation'!CU13</f>
        <v>2024/25</v>
      </c>
      <c r="C13" s="22" t="str">
        <f>'1.0 Data'!E12</f>
        <v>CABLE</v>
      </c>
      <c r="D13" s="22" t="str">
        <f>'1.0 Data'!F12</f>
        <v>Replacement expenditure</v>
      </c>
      <c r="E13" s="64" cm="1">
        <f t="array" ref="E13">_xlfn.IFNA(INDEX('1.1 Indexation'!CV$10:CV$40,MATCH($A13,'1.1 Indexation'!$CT$10:$CT$40,0),0),0)</f>
        <v>0</v>
      </c>
      <c r="F13" s="64" cm="1">
        <f t="array" ref="F13">_xlfn.IFNA(INDEX('1.1 Indexation'!CW$10:CW$40,MATCH($A13,'1.1 Indexation'!$CT$10:$CT$40,0),0),0)</f>
        <v>0</v>
      </c>
      <c r="G13" s="64" cm="1">
        <f t="array" ref="G13">_xlfn.IFNA(INDEX('1.1 Indexation'!CX$10:CX$40,MATCH($A13,'1.1 Indexation'!$CT$10:$CT$40,0),0),0)</f>
        <v>0</v>
      </c>
      <c r="H13" s="64" cm="1">
        <f t="array" ref="H13">_xlfn.IFNA(INDEX('1.1 Indexation'!CY$10:CY$40,MATCH($A13,'1.1 Indexation'!$CT$10:$CT$40,0),0),0)</f>
        <v>0.98879356092055048</v>
      </c>
      <c r="I13" s="64" cm="1">
        <f t="array" ref="I13">_xlfn.IFNA(INDEX('1.1 Indexation'!CZ$10:CZ$40,MATCH($A13,'1.1 Indexation'!$CT$10:$CT$40,0),0),0)</f>
        <v>10.822995115911107</v>
      </c>
      <c r="J13" s="64" cm="1">
        <f t="array" ref="J13">_xlfn.IFNA(INDEX('1.1 Indexation'!DA$10:DA$40,MATCH($A13,'1.1 Indexation'!$CT$10:$CT$40,0),0),0)</f>
        <v>11.811788676831657</v>
      </c>
      <c r="L13" s="27" t="str" cm="1">
        <f t="array" ref="L13">_xlfn.IFNA(INDEX('1.0 Data'!$D$9:$D$36,MATCH($A13,'1.0 Data'!$A$9:$A$36,0),0),"")</f>
        <v>Subsea Cable Repair Strategy</v>
      </c>
    </row>
    <row r="14" spans="1:21">
      <c r="A14" s="22" t="str">
        <f>'1.0 Data'!A13</f>
        <v>Minor Plant and Equipment</v>
      </c>
      <c r="B14" s="22" t="str">
        <f>'1.1 Indexation'!CU14</f>
        <v>2024/25</v>
      </c>
      <c r="C14" s="22" t="str">
        <f>'1.0 Data'!E13</f>
        <v>OTHER</v>
      </c>
      <c r="D14" s="22" t="str">
        <f>'1.0 Data'!F13</f>
        <v>Replacement expenditure</v>
      </c>
      <c r="E14" s="64" cm="1">
        <f t="array" ref="E14">_xlfn.IFNA(INDEX('1.1 Indexation'!CV$10:CV$40,MATCH($A14,'1.1 Indexation'!$CT$10:$CT$40,0),0),0)</f>
        <v>5.0409311424E-2</v>
      </c>
      <c r="F14" s="64" cm="1">
        <f t="array" ref="F14">_xlfn.IFNA(INDEX('1.1 Indexation'!CW$10:CW$40,MATCH($A14,'1.1 Indexation'!$CT$10:$CT$40,0),0),0)</f>
        <v>5.0409311424E-2</v>
      </c>
      <c r="G14" s="64" cm="1">
        <f t="array" ref="G14">_xlfn.IFNA(INDEX('1.1 Indexation'!CX$10:CX$40,MATCH($A14,'1.1 Indexation'!$CT$10:$CT$40,0),0),0)</f>
        <v>5.0409311424E-2</v>
      </c>
      <c r="H14" s="64" cm="1">
        <f t="array" ref="H14">_xlfn.IFNA(INDEX('1.1 Indexation'!CY$10:CY$40,MATCH($A14,'1.1 Indexation'!$CT$10:$CT$40,0),0),0)</f>
        <v>5.0409311424E-2</v>
      </c>
      <c r="I14" s="64" cm="1">
        <f t="array" ref="I14">_xlfn.IFNA(INDEX('1.1 Indexation'!CZ$10:CZ$40,MATCH($A14,'1.1 Indexation'!$CT$10:$CT$40,0),0),0)</f>
        <v>5.0409311424E-2</v>
      </c>
      <c r="J14" s="64" cm="1">
        <f t="array" ref="J14">_xlfn.IFNA(INDEX('1.1 Indexation'!DA$10:DA$40,MATCH($A14,'1.1 Indexation'!$CT$10:$CT$40,0),0),0)</f>
        <v>0.25204655712000001</v>
      </c>
      <c r="L14" s="27" t="str" cm="1">
        <f t="array" ref="L14">_xlfn.IFNA(INDEX('1.0 Data'!$D$9:$D$36,MATCH($A14,'1.0 Data'!$A$9:$A$36,0),0),"")</f>
        <v>End of Life Replacement</v>
      </c>
    </row>
    <row r="15" spans="1:21">
      <c r="A15" s="22" t="str">
        <f>'1.0 Data'!A14</f>
        <v>Ambient Temperature Project</v>
      </c>
      <c r="B15" s="22" t="str">
        <f>'1.1 Indexation'!CU15</f>
        <v>2024/25</v>
      </c>
      <c r="C15" s="22" t="str">
        <f>'1.0 Data'!E14</f>
        <v>SWITCHYARD COMPONENTS</v>
      </c>
      <c r="D15" s="22" t="str">
        <f>'1.0 Data'!F14</f>
        <v>Replacement expenditure</v>
      </c>
      <c r="E15" s="64" cm="1">
        <f t="array" ref="E15">_xlfn.IFNA(INDEX('1.1 Indexation'!CV$10:CV$40,MATCH($A15,'1.1 Indexation'!$CT$10:$CT$40,0),0),0)</f>
        <v>6.9974398417147574</v>
      </c>
      <c r="F15" s="64" cm="1">
        <f t="array" ref="F15">_xlfn.IFNA(INDEX('1.1 Indexation'!CW$10:CW$40,MATCH($A15,'1.1 Indexation'!$CT$10:$CT$40,0),0),0)</f>
        <v>0</v>
      </c>
      <c r="G15" s="64" cm="1">
        <f t="array" ref="G15">_xlfn.IFNA(INDEX('1.1 Indexation'!CX$10:CX$40,MATCH($A15,'1.1 Indexation'!$CT$10:$CT$40,0),0),0)</f>
        <v>0</v>
      </c>
      <c r="H15" s="64" cm="1">
        <f t="array" ref="H15">_xlfn.IFNA(INDEX('1.1 Indexation'!CY$10:CY$40,MATCH($A15,'1.1 Indexation'!$CT$10:$CT$40,0),0),0)</f>
        <v>0</v>
      </c>
      <c r="I15" s="64" cm="1">
        <f t="array" ref="I15">_xlfn.IFNA(INDEX('1.1 Indexation'!CZ$10:CZ$40,MATCH($A15,'1.1 Indexation'!$CT$10:$CT$40,0),0),0)</f>
        <v>0</v>
      </c>
      <c r="J15" s="64" cm="1">
        <f t="array" ref="J15">_xlfn.IFNA(INDEX('1.1 Indexation'!DA$10:DA$40,MATCH($A15,'1.1 Indexation'!$CT$10:$CT$40,0),0),0)</f>
        <v>6.9974398417147574</v>
      </c>
      <c r="L15" s="27" t="str" cm="1">
        <f t="array" ref="L15">_xlfn.IFNA(INDEX('1.0 Data'!$D$9:$D$36,MATCH($A15,'1.0 Data'!$A$9:$A$36,0),0),"")</f>
        <v>Ambient Temperature Project</v>
      </c>
    </row>
    <row r="16" spans="1:21">
      <c r="A16" s="22" t="str">
        <f>'1.0 Data'!A15</f>
        <v>Laptop</v>
      </c>
      <c r="B16" s="22" t="str">
        <f>'1.1 Indexation'!CU16</f>
        <v>2024/25</v>
      </c>
      <c r="C16" s="22" t="str">
        <f>'1.0 Data'!E15</f>
        <v>OTHER</v>
      </c>
      <c r="D16" s="22" t="str">
        <f>'1.0 Data'!F15</f>
        <v>Non-network IT &amp; communications</v>
      </c>
      <c r="E16" s="64" cm="1">
        <f t="array" ref="E16">_xlfn.IFNA(INDEX('1.1 Indexation'!CV$10:CV$40,MATCH($A16,'1.1 Indexation'!$CT$10:$CT$40,0),0),0)</f>
        <v>3.3704335237592746E-2</v>
      </c>
      <c r="F16" s="64" cm="1">
        <f t="array" ref="F16">_xlfn.IFNA(INDEX('1.1 Indexation'!CW$10:CW$40,MATCH($A16,'1.1 Indexation'!$CT$10:$CT$40,0),0),0)</f>
        <v>0</v>
      </c>
      <c r="G16" s="64" cm="1">
        <f t="array" ref="G16">_xlfn.IFNA(INDEX('1.1 Indexation'!CX$10:CX$40,MATCH($A16,'1.1 Indexation'!$CT$10:$CT$40,0),0),0)</f>
        <v>0</v>
      </c>
      <c r="H16" s="64" cm="1">
        <f t="array" ref="H16">_xlfn.IFNA(INDEX('1.1 Indexation'!CY$10:CY$40,MATCH($A16,'1.1 Indexation'!$CT$10:$CT$40,0),0),0)</f>
        <v>3.3704335237592746E-2</v>
      </c>
      <c r="I16" s="64" cm="1">
        <f t="array" ref="I16">_xlfn.IFNA(INDEX('1.1 Indexation'!CZ$10:CZ$40,MATCH($A16,'1.1 Indexation'!$CT$10:$CT$40,0),0),0)</f>
        <v>0</v>
      </c>
      <c r="J16" s="64" cm="1">
        <f t="array" ref="J16">_xlfn.IFNA(INDEX('1.1 Indexation'!DA$10:DA$40,MATCH($A16,'1.1 Indexation'!$CT$10:$CT$40,0),0),0)</f>
        <v>6.7408670475185492E-2</v>
      </c>
      <c r="L16" s="27" t="str" cm="1">
        <f t="array" ref="L16">_xlfn.IFNA(INDEX('1.0 Data'!$D$9:$D$36,MATCH($A16,'1.0 Data'!$A$9:$A$36,0),0),"")</f>
        <v>Basslink IT/OT</v>
      </c>
    </row>
    <row r="17" spans="1:12">
      <c r="A17" s="22" t="str">
        <f>'1.0 Data'!A16</f>
        <v>Phones</v>
      </c>
      <c r="B17" s="22" t="str">
        <f>'1.1 Indexation'!CU17</f>
        <v>2024/25</v>
      </c>
      <c r="C17" s="22" t="str">
        <f>'1.0 Data'!E16</f>
        <v>OTHER</v>
      </c>
      <c r="D17" s="22" t="str">
        <f>'1.0 Data'!F16</f>
        <v>Non-network IT &amp; communications</v>
      </c>
      <c r="E17" s="64" cm="1">
        <f t="array" ref="E17">_xlfn.IFNA(INDEX('1.1 Indexation'!CV$10:CV$40,MATCH($A17,'1.1 Indexation'!$CT$10:$CT$40,0),0),0)</f>
        <v>8.1636798153338838E-3</v>
      </c>
      <c r="F17" s="64" cm="1">
        <f t="array" ref="F17">_xlfn.IFNA(INDEX('1.1 Indexation'!CW$10:CW$40,MATCH($A17,'1.1 Indexation'!$CT$10:$CT$40,0),0),0)</f>
        <v>0</v>
      </c>
      <c r="G17" s="64" cm="1">
        <f t="array" ref="G17">_xlfn.IFNA(INDEX('1.1 Indexation'!CX$10:CX$40,MATCH($A17,'1.1 Indexation'!$CT$10:$CT$40,0),0),0)</f>
        <v>0</v>
      </c>
      <c r="H17" s="64" cm="1">
        <f t="array" ref="H17">_xlfn.IFNA(INDEX('1.1 Indexation'!CY$10:CY$40,MATCH($A17,'1.1 Indexation'!$CT$10:$CT$40,0),0),0)</f>
        <v>8.1636798153338838E-3</v>
      </c>
      <c r="I17" s="64" cm="1">
        <f t="array" ref="I17">_xlfn.IFNA(INDEX('1.1 Indexation'!CZ$10:CZ$40,MATCH($A17,'1.1 Indexation'!$CT$10:$CT$40,0),0),0)</f>
        <v>0</v>
      </c>
      <c r="J17" s="64" cm="1">
        <f t="array" ref="J17">_xlfn.IFNA(INDEX('1.1 Indexation'!DA$10:DA$40,MATCH($A17,'1.1 Indexation'!$CT$10:$CT$40,0),0),0)</f>
        <v>1.6327359630667768E-2</v>
      </c>
      <c r="L17" s="27" t="str" cm="1">
        <f t="array" ref="L17">_xlfn.IFNA(INDEX('1.0 Data'!$D$9:$D$36,MATCH($A17,'1.0 Data'!$A$9:$A$36,0),0),"")</f>
        <v>Basslink IT/OT</v>
      </c>
    </row>
    <row r="18" spans="1:12">
      <c r="A18" s="22" t="str">
        <f>'1.0 Data'!A17</f>
        <v>Video Conferencing Rooms</v>
      </c>
      <c r="B18" s="22" t="str">
        <f>'1.1 Indexation'!CU18</f>
        <v>2024/25</v>
      </c>
      <c r="C18" s="22" t="str">
        <f>'1.0 Data'!E17</f>
        <v>OTHER</v>
      </c>
      <c r="D18" s="22" t="str">
        <f>'1.0 Data'!F17</f>
        <v>Non-network IT &amp; communications</v>
      </c>
      <c r="E18" s="64" cm="1">
        <f t="array" ref="E18">_xlfn.IFNA(INDEX('1.1 Indexation'!CV$10:CV$40,MATCH($A18,'1.1 Indexation'!$CT$10:$CT$40,0),0),0)</f>
        <v>0</v>
      </c>
      <c r="F18" s="64" cm="1">
        <f t="array" ref="F18">_xlfn.IFNA(INDEX('1.1 Indexation'!CW$10:CW$40,MATCH($A18,'1.1 Indexation'!$CT$10:$CT$40,0),0),0)</f>
        <v>0</v>
      </c>
      <c r="G18" s="64" cm="1">
        <f t="array" ref="G18">_xlfn.IFNA(INDEX('1.1 Indexation'!CX$10:CX$40,MATCH($A18,'1.1 Indexation'!$CT$10:$CT$40,0),0),0)</f>
        <v>0</v>
      </c>
      <c r="H18" s="64" cm="1">
        <f t="array" ref="H18">_xlfn.IFNA(INDEX('1.1 Indexation'!CY$10:CY$40,MATCH($A18,'1.1 Indexation'!$CT$10:$CT$40,0),0),0)</f>
        <v>8.1636798153338838E-2</v>
      </c>
      <c r="I18" s="64" cm="1">
        <f t="array" ref="I18">_xlfn.IFNA(INDEX('1.1 Indexation'!CZ$10:CZ$40,MATCH($A18,'1.1 Indexation'!$CT$10:$CT$40,0),0),0)</f>
        <v>0</v>
      </c>
      <c r="J18" s="64" cm="1">
        <f t="array" ref="J18">_xlfn.IFNA(INDEX('1.1 Indexation'!DA$10:DA$40,MATCH($A18,'1.1 Indexation'!$CT$10:$CT$40,0),0),0)</f>
        <v>8.1636798153338838E-2</v>
      </c>
      <c r="L18" s="27" t="str" cm="1">
        <f t="array" ref="L18">_xlfn.IFNA(INDEX('1.0 Data'!$D$9:$D$36,MATCH($A18,'1.0 Data'!$A$9:$A$36,0),0),"")</f>
        <v>Basslink IT/OT</v>
      </c>
    </row>
    <row r="19" spans="1:12">
      <c r="A19" s="22" t="str">
        <f>'1.0 Data'!A18</f>
        <v>Printer</v>
      </c>
      <c r="B19" s="22" t="str">
        <f>'1.1 Indexation'!CU19</f>
        <v>2024/25</v>
      </c>
      <c r="C19" s="22" t="str">
        <f>'1.0 Data'!E18</f>
        <v>OTHER</v>
      </c>
      <c r="D19" s="22" t="str">
        <f>'1.0 Data'!F18</f>
        <v>Non-network IT &amp; communications</v>
      </c>
      <c r="E19" s="64" cm="1">
        <f t="array" ref="E19">_xlfn.IFNA(INDEX('1.1 Indexation'!CV$10:CV$40,MATCH($A19,'1.1 Indexation'!$CT$10:$CT$40,0),0),0)</f>
        <v>0</v>
      </c>
      <c r="F19" s="64" cm="1">
        <f t="array" ref="F19">_xlfn.IFNA(INDEX('1.1 Indexation'!CW$10:CW$40,MATCH($A19,'1.1 Indexation'!$CT$10:$CT$40,0),0),0)</f>
        <v>0</v>
      </c>
      <c r="G19" s="64" cm="1">
        <f t="array" ref="G19">_xlfn.IFNA(INDEX('1.1 Indexation'!CX$10:CX$40,MATCH($A19,'1.1 Indexation'!$CT$10:$CT$40,0),0),0)</f>
        <v>0</v>
      </c>
      <c r="H19" s="64" cm="1">
        <f t="array" ref="H19">_xlfn.IFNA(INDEX('1.1 Indexation'!CY$10:CY$40,MATCH($A19,'1.1 Indexation'!$CT$10:$CT$40,0),0),0)</f>
        <v>1.1662399736191263E-2</v>
      </c>
      <c r="I19" s="64" cm="1">
        <f t="array" ref="I19">_xlfn.IFNA(INDEX('1.1 Indexation'!CZ$10:CZ$40,MATCH($A19,'1.1 Indexation'!$CT$10:$CT$40,0),0),0)</f>
        <v>0</v>
      </c>
      <c r="J19" s="64" cm="1">
        <f t="array" ref="J19">_xlfn.IFNA(INDEX('1.1 Indexation'!DA$10:DA$40,MATCH($A19,'1.1 Indexation'!$CT$10:$CT$40,0),0),0)</f>
        <v>1.1662399736191263E-2</v>
      </c>
      <c r="L19" s="27" t="str" cm="1">
        <f t="array" ref="L19">_xlfn.IFNA(INDEX('1.0 Data'!$D$9:$D$36,MATCH($A19,'1.0 Data'!$A$9:$A$36,0),0),"")</f>
        <v>Basslink IT/OT</v>
      </c>
    </row>
    <row r="20" spans="1:12">
      <c r="A20" s="22" t="str">
        <f>'1.0 Data'!A19</f>
        <v>Enterprise Asset Management System Upgrade</v>
      </c>
      <c r="B20" s="22" t="str">
        <f>'1.1 Indexation'!CU20</f>
        <v>2024/25</v>
      </c>
      <c r="C20" s="22" t="str">
        <f>'1.0 Data'!E19</f>
        <v>IN-HOUSE SOFTWARE</v>
      </c>
      <c r="D20" s="22" t="str">
        <f>'1.0 Data'!F19</f>
        <v>Non-network IT &amp; communications</v>
      </c>
      <c r="E20" s="64" cm="1">
        <f t="array" ref="E20">_xlfn.IFNA(INDEX('1.1 Indexation'!CV$10:CV$40,MATCH($A20,'1.1 Indexation'!$CT$10:$CT$40,0),0),0)</f>
        <v>0.18308381973958171</v>
      </c>
      <c r="F20" s="64" cm="1">
        <f t="array" ref="F20">_xlfn.IFNA(INDEX('1.1 Indexation'!CW$10:CW$40,MATCH($A20,'1.1 Indexation'!$CT$10:$CT$40,0),0),0)</f>
        <v>0</v>
      </c>
      <c r="G20" s="64" cm="1">
        <f t="array" ref="G20">_xlfn.IFNA(INDEX('1.1 Indexation'!CX$10:CX$40,MATCH($A20,'1.1 Indexation'!$CT$10:$CT$40,0),0),0)</f>
        <v>0</v>
      </c>
      <c r="H20" s="64" cm="1">
        <f t="array" ref="H20">_xlfn.IFNA(INDEX('1.1 Indexation'!CY$10:CY$40,MATCH($A20,'1.1 Indexation'!$CT$10:$CT$40,0),0),0)</f>
        <v>0</v>
      </c>
      <c r="I20" s="64" cm="1">
        <f t="array" ref="I20">_xlfn.IFNA(INDEX('1.1 Indexation'!CZ$10:CZ$40,MATCH($A20,'1.1 Indexation'!$CT$10:$CT$40,0),0),0)</f>
        <v>0</v>
      </c>
      <c r="J20" s="64" cm="1">
        <f t="array" ref="J20">_xlfn.IFNA(INDEX('1.1 Indexation'!DA$10:DA$40,MATCH($A20,'1.1 Indexation'!$CT$10:$CT$40,0),0),0)</f>
        <v>0.18308381973958171</v>
      </c>
      <c r="L20" s="27" t="str" cm="1">
        <f t="array" ref="L20">_xlfn.IFNA(INDEX('1.0 Data'!$D$9:$D$36,MATCH($A20,'1.0 Data'!$A$9:$A$36,0),0),"")</f>
        <v>APA IT</v>
      </c>
    </row>
    <row r="21" spans="1:12">
      <c r="A21" s="22" t="str">
        <f>'1.0 Data'!A20</f>
        <v>OT initial integration and standard asset integration</v>
      </c>
      <c r="B21" s="22" t="str">
        <f>'1.1 Indexation'!CU21</f>
        <v>2024/25</v>
      </c>
      <c r="C21" s="22" t="str">
        <f>'1.0 Data'!E20</f>
        <v>OTHER</v>
      </c>
      <c r="D21" s="22" t="str">
        <f>'1.0 Data'!F20</f>
        <v>Non-network IT &amp; communications</v>
      </c>
      <c r="E21" s="64" cm="1">
        <f t="array" ref="E21">_xlfn.IFNA(INDEX('1.1 Indexation'!CV$10:CV$40,MATCH($A21,'1.1 Indexation'!$CT$10:$CT$40,0),0),0)</f>
        <v>0</v>
      </c>
      <c r="F21" s="64" cm="1">
        <f t="array" ref="F21">_xlfn.IFNA(INDEX('1.1 Indexation'!CW$10:CW$40,MATCH($A21,'1.1 Indexation'!$CT$10:$CT$40,0),0),0)</f>
        <v>0</v>
      </c>
      <c r="G21" s="64" cm="1">
        <f t="array" ref="G21">_xlfn.IFNA(INDEX('1.1 Indexation'!CX$10:CX$40,MATCH($A21,'1.1 Indexation'!$CT$10:$CT$40,0),0),0)</f>
        <v>0</v>
      </c>
      <c r="H21" s="64" cm="1">
        <f t="array" ref="H21">_xlfn.IFNA(INDEX('1.1 Indexation'!CY$10:CY$40,MATCH($A21,'1.1 Indexation'!$CT$10:$CT$40,0),0),0)</f>
        <v>0</v>
      </c>
      <c r="I21" s="64" cm="1">
        <f t="array" ref="I21">_xlfn.IFNA(INDEX('1.1 Indexation'!CZ$10:CZ$40,MATCH($A21,'1.1 Indexation'!$CT$10:$CT$40,0),0),0)</f>
        <v>0.11662399736191263</v>
      </c>
      <c r="J21" s="64" cm="1">
        <f t="array" ref="J21">_xlfn.IFNA(INDEX('1.1 Indexation'!DA$10:DA$40,MATCH($A21,'1.1 Indexation'!$CT$10:$CT$40,0),0),0)</f>
        <v>0.11662399736191263</v>
      </c>
      <c r="L21" s="27" t="str" cm="1">
        <f t="array" ref="L21">_xlfn.IFNA(INDEX('1.0 Data'!$D$9:$D$36,MATCH($A21,'1.0 Data'!$A$9:$A$36,0),0),"")</f>
        <v>Basslink IT/OT</v>
      </c>
    </row>
    <row r="22" spans="1:12">
      <c r="A22" s="22" t="str">
        <f>'1.0 Data'!A21</f>
        <v>EMS basslink integration, Reliability / predictive monitoring</v>
      </c>
      <c r="B22" s="22" t="str">
        <f>'1.1 Indexation'!CU22</f>
        <v>2024/25</v>
      </c>
      <c r="C22" s="22" t="str">
        <f>'1.0 Data'!E21</f>
        <v>OTHER</v>
      </c>
      <c r="D22" s="22" t="str">
        <f>'1.0 Data'!F21</f>
        <v>Non-network IT &amp; communications</v>
      </c>
      <c r="E22" s="64" cm="1">
        <f t="array" ref="E22">_xlfn.IFNA(INDEX('1.1 Indexation'!CV$10:CV$40,MATCH($A22,'1.1 Indexation'!$CT$10:$CT$40,0),0),0)</f>
        <v>0.46649598944765053</v>
      </c>
      <c r="F22" s="64" cm="1">
        <f t="array" ref="F22">_xlfn.IFNA(INDEX('1.1 Indexation'!CW$10:CW$40,MATCH($A22,'1.1 Indexation'!$CT$10:$CT$40,0),0),0)</f>
        <v>0.23324799472382526</v>
      </c>
      <c r="G22" s="64" cm="1">
        <f t="array" ref="G22">_xlfn.IFNA(INDEX('1.1 Indexation'!CX$10:CX$40,MATCH($A22,'1.1 Indexation'!$CT$10:$CT$40,0),0),0)</f>
        <v>0</v>
      </c>
      <c r="H22" s="64" cm="1">
        <f t="array" ref="H22">_xlfn.IFNA(INDEX('1.1 Indexation'!CY$10:CY$40,MATCH($A22,'1.1 Indexation'!$CT$10:$CT$40,0),0),0)</f>
        <v>0</v>
      </c>
      <c r="I22" s="64" cm="1">
        <f t="array" ref="I22">_xlfn.IFNA(INDEX('1.1 Indexation'!CZ$10:CZ$40,MATCH($A22,'1.1 Indexation'!$CT$10:$CT$40,0),0),0)</f>
        <v>0</v>
      </c>
      <c r="J22" s="64" cm="1">
        <f t="array" ref="J22">_xlfn.IFNA(INDEX('1.1 Indexation'!DA$10:DA$40,MATCH($A22,'1.1 Indexation'!$CT$10:$CT$40,0),0),0)</f>
        <v>0.69974398417147576</v>
      </c>
      <c r="L22" s="27" t="str" cm="1">
        <f t="array" ref="L22">_xlfn.IFNA(INDEX('1.0 Data'!$D$9:$D$36,MATCH($A22,'1.0 Data'!$A$9:$A$36,0),0),"")</f>
        <v>Basslink IT/OT</v>
      </c>
    </row>
    <row r="23" spans="1:12">
      <c r="A23" s="22" t="str">
        <f>'1.0 Data'!A22</f>
        <v>OT Technology Capability uplift</v>
      </c>
      <c r="B23" s="22" t="str">
        <f>'1.1 Indexation'!CU23</f>
        <v>2024/25</v>
      </c>
      <c r="C23" s="22" t="str">
        <f>'1.0 Data'!E22</f>
        <v>OTHER</v>
      </c>
      <c r="D23" s="22" t="str">
        <f>'1.0 Data'!F22</f>
        <v>Non-network IT &amp; communications</v>
      </c>
      <c r="E23" s="64" cm="1">
        <f t="array" ref="E23">_xlfn.IFNA(INDEX('1.1 Indexation'!CV$10:CV$40,MATCH($A23,'1.1 Indexation'!$CT$10:$CT$40,0),0),0)</f>
        <v>4.3940116737499611E-2</v>
      </c>
      <c r="F23" s="64" cm="1">
        <f t="array" ref="F23">_xlfn.IFNA(INDEX('1.1 Indexation'!CW$10:CW$40,MATCH($A23,'1.1 Indexation'!$CT$10:$CT$40,0),0),0)</f>
        <v>4.3940116737499611E-2</v>
      </c>
      <c r="G23" s="64" cm="1">
        <f t="array" ref="G23">_xlfn.IFNA(INDEX('1.1 Indexation'!CX$10:CX$40,MATCH($A23,'1.1 Indexation'!$CT$10:$CT$40,0),0),0)</f>
        <v>4.3940116737499611E-2</v>
      </c>
      <c r="H23" s="64" cm="1">
        <f t="array" ref="H23">_xlfn.IFNA(INDEX('1.1 Indexation'!CY$10:CY$40,MATCH($A23,'1.1 Indexation'!$CT$10:$CT$40,0),0),0)</f>
        <v>4.3940116737499611E-2</v>
      </c>
      <c r="I23" s="64" cm="1">
        <f t="array" ref="I23">_xlfn.IFNA(INDEX('1.1 Indexation'!CZ$10:CZ$40,MATCH($A23,'1.1 Indexation'!$CT$10:$CT$40,0),0),0)</f>
        <v>4.3940116737499611E-2</v>
      </c>
      <c r="J23" s="64" cm="1">
        <f t="array" ref="J23">_xlfn.IFNA(INDEX('1.1 Indexation'!DA$10:DA$40,MATCH($A23,'1.1 Indexation'!$CT$10:$CT$40,0),0),0)</f>
        <v>0.21970058368749806</v>
      </c>
      <c r="L23" s="27" t="str" cm="1">
        <f t="array" ref="L23">_xlfn.IFNA(INDEX('1.0 Data'!$D$9:$D$36,MATCH($A23,'1.0 Data'!$A$9:$A$36,0),0),"")</f>
        <v>APA IT</v>
      </c>
    </row>
    <row r="24" spans="1:12">
      <c r="A24" s="22" t="str">
        <f>'1.0 Data'!A23</f>
        <v>Asset Integration</v>
      </c>
      <c r="B24" s="22" t="str">
        <f>'1.1 Indexation'!CU24</f>
        <v>2024/25</v>
      </c>
      <c r="C24" s="22" t="str">
        <f>'1.0 Data'!E23</f>
        <v>OTHER</v>
      </c>
      <c r="D24" s="22" t="str">
        <f>'1.0 Data'!F23</f>
        <v>Non-network IT &amp; communications</v>
      </c>
      <c r="E24" s="64" cm="1">
        <f t="array" ref="E24">_xlfn.IFNA(INDEX('1.1 Indexation'!CV$10:CV$40,MATCH($A24,'1.1 Indexation'!$CT$10:$CT$40,0),0),0)</f>
        <v>0</v>
      </c>
      <c r="F24" s="64" cm="1">
        <f t="array" ref="F24">_xlfn.IFNA(INDEX('1.1 Indexation'!CW$10:CW$40,MATCH($A24,'1.1 Indexation'!$CT$10:$CT$40,0),0),0)</f>
        <v>0</v>
      </c>
      <c r="G24" s="64" cm="1">
        <f t="array" ref="G24">_xlfn.IFNA(INDEX('1.1 Indexation'!CX$10:CX$40,MATCH($A24,'1.1 Indexation'!$CT$10:$CT$40,0),0),0)</f>
        <v>0</v>
      </c>
      <c r="H24" s="64" cm="1">
        <f t="array" ref="H24">_xlfn.IFNA(INDEX('1.1 Indexation'!CY$10:CY$40,MATCH($A24,'1.1 Indexation'!$CT$10:$CT$40,0),0),0)</f>
        <v>0</v>
      </c>
      <c r="I24" s="64" cm="1">
        <f t="array" ref="I24">_xlfn.IFNA(INDEX('1.1 Indexation'!CZ$10:CZ$40,MATCH($A24,'1.1 Indexation'!$CT$10:$CT$40,0),0),0)</f>
        <v>3.4987199208573787E-2</v>
      </c>
      <c r="J24" s="64" cm="1">
        <f t="array" ref="J24">_xlfn.IFNA(INDEX('1.1 Indexation'!DA$10:DA$40,MATCH($A24,'1.1 Indexation'!$CT$10:$CT$40,0),0),0)</f>
        <v>3.4987199208573787E-2</v>
      </c>
      <c r="L24" s="27" t="str" cm="1">
        <f t="array" ref="L24">_xlfn.IFNA(INDEX('1.0 Data'!$D$9:$D$36,MATCH($A24,'1.0 Data'!$A$9:$A$36,0),0),"")</f>
        <v>Basslink IT/OT</v>
      </c>
    </row>
    <row r="25" spans="1:12">
      <c r="A25" s="22" t="str">
        <f>'1.0 Data'!A24</f>
        <v>Program Management and Consultation</v>
      </c>
      <c r="B25" s="22" t="str">
        <f>'1.1 Indexation'!CU25</f>
        <v>2024/25</v>
      </c>
      <c r="C25" s="22" t="str">
        <f>'1.0 Data'!E24</f>
        <v>OTHER</v>
      </c>
      <c r="D25" s="22" t="str">
        <f>'1.0 Data'!F24</f>
        <v>Non-network IT &amp; communications</v>
      </c>
      <c r="E25" s="64" cm="1">
        <f t="array" ref="E25">_xlfn.IFNA(INDEX('1.1 Indexation'!CV$10:CV$40,MATCH($A25,'1.1 Indexation'!$CT$10:$CT$40,0),0),0)</f>
        <v>0</v>
      </c>
      <c r="F25" s="64" cm="1">
        <f t="array" ref="F25">_xlfn.IFNA(INDEX('1.1 Indexation'!CW$10:CW$40,MATCH($A25,'1.1 Indexation'!$CT$10:$CT$40,0),0),0)</f>
        <v>0</v>
      </c>
      <c r="G25" s="64" cm="1">
        <f t="array" ref="G25">_xlfn.IFNA(INDEX('1.1 Indexation'!CX$10:CX$40,MATCH($A25,'1.1 Indexation'!$CT$10:$CT$40,0),0),0)</f>
        <v>0.17493600770526868</v>
      </c>
      <c r="H25" s="64" cm="1">
        <f t="array" ref="H25">_xlfn.IFNA(INDEX('1.1 Indexation'!CY$10:CY$40,MATCH($A25,'1.1 Indexation'!$CT$10:$CT$40,0),0),0)</f>
        <v>0.34987199208573788</v>
      </c>
      <c r="I25" s="64" cm="1">
        <f t="array" ref="I25">_xlfn.IFNA(INDEX('1.1 Indexation'!CZ$10:CZ$40,MATCH($A25,'1.1 Indexation'!$CT$10:$CT$40,0),0),0)</f>
        <v>0.17493599604286894</v>
      </c>
      <c r="J25" s="64" cm="1">
        <f t="array" ref="J25">_xlfn.IFNA(INDEX('1.1 Indexation'!DA$10:DA$40,MATCH($A25,'1.1 Indexation'!$CT$10:$CT$40,0),0),0)</f>
        <v>0.69974399583387548</v>
      </c>
      <c r="L25" s="27" t="str" cm="1">
        <f t="array" ref="L25">_xlfn.IFNA(INDEX('1.0 Data'!$D$9:$D$36,MATCH($A25,'1.0 Data'!$A$9:$A$36,0),0),"")</f>
        <v>Basslink IT/OT</v>
      </c>
    </row>
    <row r="26" spans="1:12">
      <c r="A26" s="22" t="str">
        <f>'1.0 Data'!A25</f>
        <v>Cyber Security</v>
      </c>
      <c r="B26" s="22" t="str">
        <f>'1.1 Indexation'!CU26</f>
        <v>2024/25</v>
      </c>
      <c r="C26" s="22" t="str">
        <f>'1.0 Data'!E25</f>
        <v>OTHER</v>
      </c>
      <c r="D26" s="22" t="str">
        <f>'1.0 Data'!F25</f>
        <v>Non-network IT &amp; communications</v>
      </c>
      <c r="E26" s="64" cm="1">
        <f t="array" ref="E26">_xlfn.IFNA(INDEX('1.1 Indexation'!CV$10:CV$40,MATCH($A26,'1.1 Indexation'!$CT$10:$CT$40,0),0),0)</f>
        <v>0.90874214706538214</v>
      </c>
      <c r="F26" s="64" cm="1">
        <f t="array" ref="F26">_xlfn.IFNA(INDEX('1.1 Indexation'!CW$10:CW$40,MATCH($A26,'1.1 Indexation'!$CT$10:$CT$40,0),0),0)</f>
        <v>0.87310972085657057</v>
      </c>
      <c r="G26" s="64" cm="1">
        <f t="array" ref="G26">_xlfn.IFNA(INDEX('1.1 Indexation'!CX$10:CX$40,MATCH($A26,'1.1 Indexation'!$CT$10:$CT$40,0),0),0)</f>
        <v>0.54925145921874519</v>
      </c>
      <c r="H26" s="64" cm="1">
        <f t="array" ref="H26">_xlfn.IFNA(INDEX('1.1 Indexation'!CY$10:CY$40,MATCH($A26,'1.1 Indexation'!$CT$10:$CT$40,0),0),0)</f>
        <v>0.54925145921874519</v>
      </c>
      <c r="I26" s="64" cm="1">
        <f t="array" ref="I26">_xlfn.IFNA(INDEX('1.1 Indexation'!CZ$10:CZ$40,MATCH($A26,'1.1 Indexation'!$CT$10:$CT$40,0),0),0)</f>
        <v>0.54925145921874519</v>
      </c>
      <c r="J26" s="64" cm="1">
        <f t="array" ref="J26">_xlfn.IFNA(INDEX('1.1 Indexation'!DA$10:DA$40,MATCH($A26,'1.1 Indexation'!$CT$10:$CT$40,0),0),0)</f>
        <v>3.4296062455781882</v>
      </c>
      <c r="L26" s="27" t="str" cm="1">
        <f t="array" ref="L26">_xlfn.IFNA(INDEX('1.0 Data'!$D$9:$D$36,MATCH($A26,'1.0 Data'!$A$9:$A$36,0),0),"")</f>
        <v>SOCI</v>
      </c>
    </row>
    <row r="27" spans="1:12">
      <c r="A27" s="22" t="str">
        <f>'1.0 Data'!A26</f>
        <v>Program Management and Material Risk</v>
      </c>
      <c r="B27" s="22" t="str">
        <f>'1.1 Indexation'!CU27</f>
        <v>2024/25</v>
      </c>
      <c r="C27" s="22" t="str">
        <f>'1.0 Data'!E26</f>
        <v>OTHER</v>
      </c>
      <c r="D27" s="22" t="str">
        <f>'1.0 Data'!F26</f>
        <v>Non-network IT &amp; communications</v>
      </c>
      <c r="E27" s="64" cm="1">
        <f t="array" ref="E27">_xlfn.IFNA(INDEX('1.1 Indexation'!CV$10:CV$40,MATCH($A27,'1.1 Indexation'!$CT$10:$CT$40,0),0),0)</f>
        <v>4.4276071441703375E-2</v>
      </c>
      <c r="F27" s="64" cm="1">
        <f t="array" ref="F27">_xlfn.IFNA(INDEX('1.1 Indexation'!CW$10:CW$40,MATCH($A27,'1.1 Indexation'!$CT$10:$CT$40,0),0),0)</f>
        <v>0</v>
      </c>
      <c r="G27" s="64" cm="1">
        <f t="array" ref="G27">_xlfn.IFNA(INDEX('1.1 Indexation'!CX$10:CX$40,MATCH($A27,'1.1 Indexation'!$CT$10:$CT$40,0),0),0)</f>
        <v>0</v>
      </c>
      <c r="H27" s="64" cm="1">
        <f t="array" ref="H27">_xlfn.IFNA(INDEX('1.1 Indexation'!CY$10:CY$40,MATCH($A27,'1.1 Indexation'!$CT$10:$CT$40,0),0),0)</f>
        <v>0</v>
      </c>
      <c r="I27" s="64" cm="1">
        <f t="array" ref="I27">_xlfn.IFNA(INDEX('1.1 Indexation'!CZ$10:CZ$40,MATCH($A27,'1.1 Indexation'!$CT$10:$CT$40,0),0),0)</f>
        <v>0</v>
      </c>
      <c r="J27" s="64" cm="1">
        <f t="array" ref="J27">_xlfn.IFNA(INDEX('1.1 Indexation'!DA$10:DA$40,MATCH($A27,'1.1 Indexation'!$CT$10:$CT$40,0),0),0)</f>
        <v>4.4276071441703375E-2</v>
      </c>
      <c r="L27" s="27" t="str" cm="1">
        <f t="array" ref="L27">_xlfn.IFNA(INDEX('1.0 Data'!$D$9:$D$36,MATCH($A27,'1.0 Data'!$A$9:$A$36,0),0),"")</f>
        <v>SOCI</v>
      </c>
    </row>
    <row r="28" spans="1:12">
      <c r="A28" s="22" t="str">
        <f>'1.0 Data'!A27</f>
        <v>Enterprise Security Governance</v>
      </c>
      <c r="B28" s="22" t="str">
        <f>'1.1 Indexation'!CU28</f>
        <v>2024/25</v>
      </c>
      <c r="C28" s="22" t="str">
        <f>'1.0 Data'!E27</f>
        <v>OTHER</v>
      </c>
      <c r="D28" s="22" t="str">
        <f>'1.0 Data'!F27</f>
        <v>Non-network IT &amp; communications</v>
      </c>
      <c r="E28" s="64" cm="1">
        <f t="array" ref="E28">_xlfn.IFNA(INDEX('1.1 Indexation'!CV$10:CV$40,MATCH($A28,'1.1 Indexation'!$CT$10:$CT$40,0),0),0)</f>
        <v>3.1842278550168031E-2</v>
      </c>
      <c r="F28" s="64" cm="1">
        <f t="array" ref="F28">_xlfn.IFNA(INDEX('1.1 Indexation'!CW$10:CW$40,MATCH($A28,'1.1 Indexation'!$CT$10:$CT$40,0),0),0)</f>
        <v>0</v>
      </c>
      <c r="G28" s="64" cm="1">
        <f t="array" ref="G28">_xlfn.IFNA(INDEX('1.1 Indexation'!CX$10:CX$40,MATCH($A28,'1.1 Indexation'!$CT$10:$CT$40,0),0),0)</f>
        <v>7.3233527895832692E-2</v>
      </c>
      <c r="H28" s="64" cm="1">
        <f t="array" ref="H28">_xlfn.IFNA(INDEX('1.1 Indexation'!CY$10:CY$40,MATCH($A28,'1.1 Indexation'!$CT$10:$CT$40,0),0),0)</f>
        <v>7.3233527895832692E-2</v>
      </c>
      <c r="I28" s="64" cm="1">
        <f t="array" ref="I28">_xlfn.IFNA(INDEX('1.1 Indexation'!CZ$10:CZ$40,MATCH($A28,'1.1 Indexation'!$CT$10:$CT$40,0),0),0)</f>
        <v>7.3233527895832692E-2</v>
      </c>
      <c r="J28" s="64" cm="1">
        <f t="array" ref="J28">_xlfn.IFNA(INDEX('1.1 Indexation'!DA$10:DA$40,MATCH($A28,'1.1 Indexation'!$CT$10:$CT$40,0),0),0)</f>
        <v>0.25154286223766614</v>
      </c>
      <c r="L28" s="27" t="str" cm="1">
        <f t="array" ref="L28">_xlfn.IFNA(INDEX('1.0 Data'!$D$9:$D$36,MATCH($A28,'1.0 Data'!$A$9:$A$36,0),0),"")</f>
        <v>SOCI</v>
      </c>
    </row>
    <row r="29" spans="1:12">
      <c r="A29" s="22" t="str">
        <f>'1.0 Data'!A28</f>
        <v>Supply Chain Security</v>
      </c>
      <c r="B29" s="22" t="str">
        <f>'1.1 Indexation'!CU29</f>
        <v>2024/25</v>
      </c>
      <c r="C29" s="22" t="str">
        <f>'1.0 Data'!E28</f>
        <v>OTHER</v>
      </c>
      <c r="D29" s="22" t="str">
        <f>'1.0 Data'!F28</f>
        <v>Non-network IT &amp; communications</v>
      </c>
      <c r="E29" s="64" cm="1">
        <f t="array" ref="E29">_xlfn.IFNA(INDEX('1.1 Indexation'!CV$10:CV$40,MATCH($A29,'1.1 Indexation'!$CT$10:$CT$40,0),0),0)</f>
        <v>3.1800881120983136E-2</v>
      </c>
      <c r="F29" s="64" cm="1">
        <f t="array" ref="F29">_xlfn.IFNA(INDEX('1.1 Indexation'!CW$10:CW$40,MATCH($A29,'1.1 Indexation'!$CT$10:$CT$40,0),0),0)</f>
        <v>0</v>
      </c>
      <c r="G29" s="64" cm="1">
        <f t="array" ref="G29">_xlfn.IFNA(INDEX('1.1 Indexation'!CX$10:CX$40,MATCH($A29,'1.1 Indexation'!$CT$10:$CT$40,0),0),0)</f>
        <v>0</v>
      </c>
      <c r="H29" s="64" cm="1">
        <f t="array" ref="H29">_xlfn.IFNA(INDEX('1.1 Indexation'!CY$10:CY$40,MATCH($A29,'1.1 Indexation'!$CT$10:$CT$40,0),0),0)</f>
        <v>0</v>
      </c>
      <c r="I29" s="64" cm="1">
        <f t="array" ref="I29">_xlfn.IFNA(INDEX('1.1 Indexation'!CZ$10:CZ$40,MATCH($A29,'1.1 Indexation'!$CT$10:$CT$40,0),0),0)</f>
        <v>0</v>
      </c>
      <c r="J29" s="64" cm="1">
        <f t="array" ref="J29">_xlfn.IFNA(INDEX('1.1 Indexation'!DA$10:DA$40,MATCH($A29,'1.1 Indexation'!$CT$10:$CT$40,0),0),0)</f>
        <v>3.1800881120983136E-2</v>
      </c>
      <c r="L29" s="27" t="str" cm="1">
        <f t="array" ref="L29">_xlfn.IFNA(INDEX('1.0 Data'!$D$9:$D$36,MATCH($A29,'1.0 Data'!$A$9:$A$36,0),0),"")</f>
        <v>SOCI</v>
      </c>
    </row>
    <row r="30" spans="1:12">
      <c r="A30" s="22" t="str">
        <f>'1.0 Data'!A29</f>
        <v>Physical Security and Natural Hazards</v>
      </c>
      <c r="B30" s="22" t="str">
        <f>'1.1 Indexation'!CU30</f>
        <v>2024/25</v>
      </c>
      <c r="C30" s="22" t="str">
        <f>'1.0 Data'!E29</f>
        <v>BUILDING INSTALLATION</v>
      </c>
      <c r="D30" s="22" t="str">
        <f>'1.0 Data'!F29</f>
        <v>Non-network buildings and property expenditure</v>
      </c>
      <c r="E30" s="64" cm="1">
        <f t="array" ref="E30">_xlfn.IFNA(INDEX('1.1 Indexation'!CV$10:CV$40,MATCH($A30,'1.1 Indexation'!$CT$10:$CT$40,0),0),0)</f>
        <v>1.7493599604286894</v>
      </c>
      <c r="F30" s="64" cm="1">
        <f t="array" ref="F30">_xlfn.IFNA(INDEX('1.1 Indexation'!CW$10:CW$40,MATCH($A30,'1.1 Indexation'!$CT$10:$CT$40,0),0),0)</f>
        <v>1.7493599604286894</v>
      </c>
      <c r="G30" s="64" cm="1">
        <f t="array" ref="G30">_xlfn.IFNA(INDEX('1.1 Indexation'!CX$10:CX$40,MATCH($A30,'1.1 Indexation'!$CT$10:$CT$40,0),0),0)</f>
        <v>0</v>
      </c>
      <c r="H30" s="64" cm="1">
        <f t="array" ref="H30">_xlfn.IFNA(INDEX('1.1 Indexation'!CY$10:CY$40,MATCH($A30,'1.1 Indexation'!$CT$10:$CT$40,0),0),0)</f>
        <v>0</v>
      </c>
      <c r="I30" s="64" cm="1">
        <f t="array" ref="I30">_xlfn.IFNA(INDEX('1.1 Indexation'!CZ$10:CZ$40,MATCH($A30,'1.1 Indexation'!$CT$10:$CT$40,0),0),0)</f>
        <v>0</v>
      </c>
      <c r="J30" s="64" cm="1">
        <f t="array" ref="J30">_xlfn.IFNA(INDEX('1.1 Indexation'!DA$10:DA$40,MATCH($A30,'1.1 Indexation'!$CT$10:$CT$40,0),0),0)</f>
        <v>3.4987199208573787</v>
      </c>
      <c r="L30" s="27" t="str" cm="1">
        <f t="array" ref="L30">_xlfn.IFNA(INDEX('1.0 Data'!$D$9:$D$36,MATCH($A30,'1.0 Data'!$A$9:$A$36,0),0),"")</f>
        <v>Physical Security and Natural Hazards</v>
      </c>
    </row>
    <row r="31" spans="1:12">
      <c r="A31" s="22" t="str">
        <f>'1.0 Data'!A30</f>
        <v/>
      </c>
      <c r="B31" s="22" t="str">
        <f>'1.1 Indexation'!CU31</f>
        <v/>
      </c>
      <c r="C31" s="22">
        <f>'1.0 Data'!E30</f>
        <v>0</v>
      </c>
      <c r="D31" s="22">
        <f>'1.0 Data'!F30</f>
        <v>0</v>
      </c>
      <c r="E31" s="64" cm="1">
        <f t="array" ref="E31">_xlfn.IFNA(INDEX('1.1 Indexation'!CV$10:CV$40,MATCH($A31,'1.1 Indexation'!$CT$10:$CT$40,0),0),0)</f>
        <v>0</v>
      </c>
      <c r="F31" s="64" cm="1">
        <f t="array" ref="F31">_xlfn.IFNA(INDEX('1.1 Indexation'!CW$10:CW$40,MATCH($A31,'1.1 Indexation'!$CT$10:$CT$40,0),0),0)</f>
        <v>0</v>
      </c>
      <c r="G31" s="64" cm="1">
        <f t="array" ref="G31">_xlfn.IFNA(INDEX('1.1 Indexation'!CX$10:CX$40,MATCH($A31,'1.1 Indexation'!$CT$10:$CT$40,0),0),0)</f>
        <v>0</v>
      </c>
      <c r="H31" s="64" cm="1">
        <f t="array" ref="H31">_xlfn.IFNA(INDEX('1.1 Indexation'!CY$10:CY$40,MATCH($A31,'1.1 Indexation'!$CT$10:$CT$40,0),0),0)</f>
        <v>0</v>
      </c>
      <c r="I31" s="64" cm="1">
        <f t="array" ref="I31">_xlfn.IFNA(INDEX('1.1 Indexation'!CZ$10:CZ$40,MATCH($A31,'1.1 Indexation'!$CT$10:$CT$40,0),0),0)</f>
        <v>0</v>
      </c>
      <c r="J31" s="64" cm="1">
        <f t="array" ref="J31">_xlfn.IFNA(INDEX('1.1 Indexation'!DA$10:DA$40,MATCH($A31,'1.1 Indexation'!$CT$10:$CT$40,0),0),0)</f>
        <v>0</v>
      </c>
      <c r="L31" s="27" cm="1">
        <f t="array" ref="L31">_xlfn.IFNA(INDEX('1.0 Data'!$D$9:$D$36,MATCH($A31,'1.0 Data'!$A$9:$A$36,0),0),"")</f>
        <v>0</v>
      </c>
    </row>
    <row r="32" spans="1:12">
      <c r="A32" s="22" t="str">
        <f>'1.0 Data'!A31</f>
        <v/>
      </c>
      <c r="B32" s="22" t="str">
        <f>'1.1 Indexation'!CU32</f>
        <v/>
      </c>
      <c r="C32" s="22">
        <f>'1.0 Data'!E31</f>
        <v>0</v>
      </c>
      <c r="D32" s="22">
        <f>'1.0 Data'!F31</f>
        <v>0</v>
      </c>
      <c r="E32" s="64" cm="1">
        <f t="array" ref="E32">_xlfn.IFNA(INDEX('1.1 Indexation'!CV$10:CV$40,MATCH($A32,'1.1 Indexation'!$CT$10:$CT$40,0),0),0)</f>
        <v>0</v>
      </c>
      <c r="F32" s="64" cm="1">
        <f t="array" ref="F32">_xlfn.IFNA(INDEX('1.1 Indexation'!CW$10:CW$40,MATCH($A32,'1.1 Indexation'!$CT$10:$CT$40,0),0),0)</f>
        <v>0</v>
      </c>
      <c r="G32" s="64" cm="1">
        <f t="array" ref="G32">_xlfn.IFNA(INDEX('1.1 Indexation'!CX$10:CX$40,MATCH($A32,'1.1 Indexation'!$CT$10:$CT$40,0),0),0)</f>
        <v>0</v>
      </c>
      <c r="H32" s="64" cm="1">
        <f t="array" ref="H32">_xlfn.IFNA(INDEX('1.1 Indexation'!CY$10:CY$40,MATCH($A32,'1.1 Indexation'!$CT$10:$CT$40,0),0),0)</f>
        <v>0</v>
      </c>
      <c r="I32" s="64" cm="1">
        <f t="array" ref="I32">_xlfn.IFNA(INDEX('1.1 Indexation'!CZ$10:CZ$40,MATCH($A32,'1.1 Indexation'!$CT$10:$CT$40,0),0),0)</f>
        <v>0</v>
      </c>
      <c r="J32" s="64" cm="1">
        <f t="array" ref="J32">_xlfn.IFNA(INDEX('1.1 Indexation'!DA$10:DA$40,MATCH($A32,'1.1 Indexation'!$CT$10:$CT$40,0),0),0)</f>
        <v>0</v>
      </c>
      <c r="L32" s="27" cm="1">
        <f t="array" ref="L32">_xlfn.IFNA(INDEX('1.0 Data'!$D$9:$D$36,MATCH($A32,'1.0 Data'!$A$9:$A$36,0),0),"")</f>
        <v>0</v>
      </c>
    </row>
    <row r="33" spans="1:12">
      <c r="A33" s="22" t="str">
        <f>'1.0 Data'!A32</f>
        <v/>
      </c>
      <c r="B33" s="22">
        <f>'1.1 Indexation'!CU33</f>
        <v>0</v>
      </c>
      <c r="C33" s="22">
        <f>'1.0 Data'!E32</f>
        <v>0</v>
      </c>
      <c r="D33" s="22">
        <f>'1.0 Data'!F32</f>
        <v>0</v>
      </c>
      <c r="E33" s="57" cm="1">
        <f t="array" ref="E33">_xlfn.IFNA(INDEX('1.1 Indexation'!CV$10:CV$40,MATCH($A33,'1.1 Indexation'!$CT$10:$CT$40,0),0),0)</f>
        <v>0</v>
      </c>
      <c r="F33" s="57" cm="1">
        <f t="array" ref="F33">_xlfn.IFNA(INDEX('1.1 Indexation'!CW$10:CW$40,MATCH($A33,'1.1 Indexation'!$CT$10:$CT$40,0),0),0)</f>
        <v>0</v>
      </c>
      <c r="G33" s="57" cm="1">
        <f t="array" ref="G33">_xlfn.IFNA(INDEX('1.1 Indexation'!CX$10:CX$40,MATCH($A33,'1.1 Indexation'!$CT$10:$CT$40,0),0),0)</f>
        <v>0</v>
      </c>
      <c r="H33" s="57" cm="1">
        <f t="array" ref="H33">_xlfn.IFNA(INDEX('1.1 Indexation'!CY$10:CY$40,MATCH($A33,'1.1 Indexation'!$CT$10:$CT$40,0),0),0)</f>
        <v>0</v>
      </c>
      <c r="I33" s="57" cm="1">
        <f t="array" ref="I33">_xlfn.IFNA(INDEX('1.1 Indexation'!CZ$10:CZ$40,MATCH($A33,'1.1 Indexation'!$CT$10:$CT$40,0),0),0)</f>
        <v>0</v>
      </c>
      <c r="J33" s="57" cm="1">
        <f t="array" ref="J33">_xlfn.IFNA(INDEX('1.1 Indexation'!DA$10:DA$40,MATCH($A33,'1.1 Indexation'!$CT$10:$CT$40,0),0),0)</f>
        <v>0</v>
      </c>
      <c r="L33" s="27" cm="1">
        <f t="array" ref="L33">_xlfn.IFNA(INDEX('1.0 Data'!$D$9:$D$36,MATCH($A33,'1.0 Data'!$A$9:$A$36,0),0),"")</f>
        <v>0</v>
      </c>
    </row>
    <row r="34" spans="1:12" ht="15.75" thickBot="1">
      <c r="A34" s="22" t="str">
        <f>'1.0 Data'!A33</f>
        <v/>
      </c>
      <c r="B34" s="22">
        <f>'1.1 Indexation'!CU34</f>
        <v>0</v>
      </c>
      <c r="C34" s="22">
        <f>'1.0 Data'!E33</f>
        <v>0</v>
      </c>
      <c r="D34" s="22">
        <f>'1.0 Data'!F33</f>
        <v>0</v>
      </c>
      <c r="E34" s="57" cm="1">
        <f t="array" ref="E34">_xlfn.IFNA(INDEX('1.1 Indexation'!CV$10:CV$40,MATCH($A34,'1.1 Indexation'!$CT$10:$CT$40,0),0),0)</f>
        <v>0</v>
      </c>
      <c r="F34" s="57" cm="1">
        <f t="array" ref="F34">_xlfn.IFNA(INDEX('1.1 Indexation'!CW$10:CW$40,MATCH($A34,'1.1 Indexation'!$CT$10:$CT$40,0),0),0)</f>
        <v>0</v>
      </c>
      <c r="G34" s="57" cm="1">
        <f t="array" ref="G34">_xlfn.IFNA(INDEX('1.1 Indexation'!CX$10:CX$40,MATCH($A34,'1.1 Indexation'!$CT$10:$CT$40,0),0),0)</f>
        <v>0</v>
      </c>
      <c r="H34" s="57" cm="1">
        <f t="array" ref="H34">_xlfn.IFNA(INDEX('1.1 Indexation'!CY$10:CY$40,MATCH($A34,'1.1 Indexation'!$CT$10:$CT$40,0),0),0)</f>
        <v>0</v>
      </c>
      <c r="I34" s="57" cm="1">
        <f t="array" ref="I34">_xlfn.IFNA(INDEX('1.1 Indexation'!CZ$10:CZ$40,MATCH($A34,'1.1 Indexation'!$CT$10:$CT$40,0),0),0)</f>
        <v>0</v>
      </c>
      <c r="J34" s="57" cm="1">
        <f t="array" ref="J34">_xlfn.IFNA(INDEX('1.1 Indexation'!DA$10:DA$40,MATCH($A34,'1.1 Indexation'!$CT$10:$CT$40,0),0),0)</f>
        <v>0</v>
      </c>
      <c r="L34" s="27" cm="1">
        <f t="array" ref="L34">_xlfn.IFNA(INDEX('1.0 Data'!$D$9:$D$36,MATCH($A34,'1.0 Data'!$A$9:$A$36,0),0),"")</f>
        <v>0</v>
      </c>
    </row>
    <row r="35" spans="1:12" ht="16.5" thickTop="1" thickBot="1">
      <c r="A35" s="22" t="str">
        <f>'1.0 Data'!A34</f>
        <v/>
      </c>
      <c r="B35" s="22">
        <f>'1.1 Indexation'!CU35</f>
        <v>0</v>
      </c>
      <c r="C35" s="22">
        <f>'1.0 Data'!E34</f>
        <v>0</v>
      </c>
      <c r="D35" s="22">
        <f>'1.0 Data'!F34</f>
        <v>0</v>
      </c>
      <c r="E35" s="57" cm="1">
        <f t="array" ref="E35">_xlfn.IFNA(INDEX('1.1 Indexation'!CV$10:CV$40,MATCH($A35,'1.1 Indexation'!$CT$10:$CT$40,0),0),0)</f>
        <v>0</v>
      </c>
      <c r="F35" s="57" cm="1">
        <f t="array" ref="F35">_xlfn.IFNA(INDEX('1.1 Indexation'!CW$10:CW$40,MATCH($A35,'1.1 Indexation'!$CT$10:$CT$40,0),0),0)</f>
        <v>0</v>
      </c>
      <c r="G35" s="57" cm="1">
        <f t="array" ref="G35">_xlfn.IFNA(INDEX('1.1 Indexation'!CX$10:CX$40,MATCH($A35,'1.1 Indexation'!$CT$10:$CT$40,0),0),0)</f>
        <v>0</v>
      </c>
      <c r="H35" s="57" cm="1">
        <f t="array" ref="H35">_xlfn.IFNA(INDEX('1.1 Indexation'!CY$10:CY$40,MATCH($A35,'1.1 Indexation'!$CT$10:$CT$40,0),0),0)</f>
        <v>0</v>
      </c>
      <c r="I35" s="57" cm="1">
        <f t="array" ref="I35">_xlfn.IFNA(INDEX('1.1 Indexation'!CZ$10:CZ$40,MATCH($A35,'1.1 Indexation'!$CT$10:$CT$40,0),0),0)</f>
        <v>0</v>
      </c>
      <c r="J35" s="57" cm="1">
        <f t="array" ref="J35">_xlfn.IFNA(INDEX('1.1 Indexation'!DA$10:DA$40,MATCH($A35,'1.1 Indexation'!$CT$10:$CT$40,0),0),0)</f>
        <v>0</v>
      </c>
      <c r="L35" s="30">
        <f>SUM(J10:J35)-J5</f>
        <v>0</v>
      </c>
    </row>
    <row r="36" spans="1:12" ht="15.75" thickTop="1"/>
    <row r="37" spans="1:12" ht="16.5">
      <c r="A37" s="4" t="s">
        <v>117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>
      <c r="A38" s="3" t="str">
        <f>A7</f>
        <v>Forecast Period ($FY 2024/25 '000)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>
      <c r="A39" s="18" t="str">
        <f>A8</f>
        <v>Project</v>
      </c>
      <c r="B39" s="18" t="str">
        <f t="shared" ref="B39:J39" si="1">B8</f>
        <v>Real $</v>
      </c>
      <c r="C39" s="18" t="str">
        <f t="shared" si="1"/>
        <v>Asset Classes (Fore)</v>
      </c>
      <c r="D39" s="18" t="str">
        <f t="shared" si="1"/>
        <v>Driver</v>
      </c>
      <c r="E39" s="18" t="str">
        <f t="shared" si="1"/>
        <v>2025/26</v>
      </c>
      <c r="F39" s="18" t="str">
        <f t="shared" si="1"/>
        <v>2026/27</v>
      </c>
      <c r="G39" s="18" t="str">
        <f t="shared" si="1"/>
        <v>2027/28</v>
      </c>
      <c r="H39" s="18" t="str">
        <f t="shared" si="1"/>
        <v>2028/29</v>
      </c>
      <c r="I39" s="18" t="str">
        <f t="shared" si="1"/>
        <v>2029/30</v>
      </c>
      <c r="J39" s="18" t="str">
        <f t="shared" si="1"/>
        <v>Total</v>
      </c>
      <c r="K39" s="18"/>
      <c r="L39" s="18"/>
    </row>
    <row r="41" spans="1:12">
      <c r="A41" s="22" t="str" cm="1">
        <f t="array" ref="A41">INDEX(A$10:A$36,MATCH($J41,$J$10:$J$36,0),0)</f>
        <v>Control &amp; Protection - System Renewal</v>
      </c>
      <c r="B41" s="22" t="str" cm="1">
        <f t="array" ref="B41">INDEX(B$10:B$36,MATCH($J41,$J$10:$J$36,0),0)</f>
        <v>2024/25</v>
      </c>
      <c r="C41" s="22" t="str" cm="1">
        <f t="array" ref="C41">INDEX(C$10:C$36,MATCH($J41,$J$10:$J$36,0),0)</f>
        <v>CONTROL SYSTEM</v>
      </c>
      <c r="D41" s="22" t="str" cm="1">
        <f t="array" ref="D41">INDEX(D$10:D$36,MATCH($J41,$J$10:$J$36,0),0)</f>
        <v>Replacement expenditure</v>
      </c>
      <c r="E41" s="22" cm="1">
        <f t="array" ref="E41">INDEX(E$10:E$36,MATCH($J41,$J$10:$J$36,0),0)</f>
        <v>7.8795047185434761</v>
      </c>
      <c r="F41" s="22" cm="1">
        <f t="array" ref="F41">INDEX(F$10:F$36,MATCH($J41,$J$10:$J$36,0),0)</f>
        <v>6.3512205010245975</v>
      </c>
      <c r="G41" s="22" cm="1">
        <f t="array" ref="G41">INDEX(G$10:G$36,MATCH($J41,$J$10:$J$36,0),0)</f>
        <v>3.0627271149085691</v>
      </c>
      <c r="H41" s="22" cm="1">
        <f t="array" ref="H41">INDEX(H$10:H$36,MATCH($J41,$J$10:$J$36,0),0)</f>
        <v>8.4574647590765863</v>
      </c>
      <c r="I41" s="22" cm="1">
        <f t="array" ref="I41">INDEX(I$10:I$36,MATCH($J41,$J$10:$J$36,0),0)</f>
        <v>18.425661907414522</v>
      </c>
      <c r="J41" s="6">
        <f t="shared" ref="J41:J62" si="2">LARGE($J$10:$J$36,ROW()-40)</f>
        <v>44.176579000967749</v>
      </c>
    </row>
    <row r="42" spans="1:12">
      <c r="A42" s="22" t="str" cm="1">
        <f t="array" ref="A42">INDEX(A$10:A$36,MATCH($J42,$J$10:$J$36,0),0)</f>
        <v>Subsea Cable Repair Strategy</v>
      </c>
      <c r="B42" s="22" t="str" cm="1">
        <f t="array" ref="B42">INDEX(B$10:B$36,MATCH($J42,$J$10:$J$36,0),0)</f>
        <v>2024/25</v>
      </c>
      <c r="C42" s="22" t="str" cm="1">
        <f t="array" ref="C42">INDEX(C$10:C$36,MATCH($J42,$J$10:$J$36,0),0)</f>
        <v>CABLE</v>
      </c>
      <c r="D42" s="22" t="str" cm="1">
        <f t="array" ref="D42">INDEX(D$10:D$36,MATCH($J42,$J$10:$J$36,0),0)</f>
        <v>Replacement expenditure</v>
      </c>
      <c r="E42" s="22" cm="1">
        <f t="array" ref="E42">INDEX(E$10:E$36,MATCH($J42,$J$10:$J$36,0),0)</f>
        <v>0</v>
      </c>
      <c r="F42" s="22" cm="1">
        <f t="array" ref="F42">INDEX(F$10:F$36,MATCH($J42,$J$10:$J$36,0),0)</f>
        <v>0</v>
      </c>
      <c r="G42" s="22" cm="1">
        <f t="array" ref="G42">INDEX(G$10:G$36,MATCH($J42,$J$10:$J$36,0),0)</f>
        <v>0</v>
      </c>
      <c r="H42" s="22" cm="1">
        <f t="array" ref="H42">INDEX(H$10:H$36,MATCH($J42,$J$10:$J$36,0),0)</f>
        <v>0.98879356092055048</v>
      </c>
      <c r="I42" s="22" cm="1">
        <f t="array" ref="I42">INDEX(I$10:I$36,MATCH($J42,$J$10:$J$36,0),0)</f>
        <v>10.822995115911107</v>
      </c>
      <c r="J42" s="6">
        <f t="shared" si="2"/>
        <v>11.811788676831657</v>
      </c>
    </row>
    <row r="43" spans="1:12">
      <c r="A43" s="22" t="str" cm="1">
        <f t="array" ref="A43">INDEX(A$10:A$36,MATCH($J43,$J$10:$J$36,0),0)</f>
        <v>Ambient Temperature Project</v>
      </c>
      <c r="B43" s="22" t="str" cm="1">
        <f t="array" ref="B43">INDEX(B$10:B$36,MATCH($J43,$J$10:$J$36,0),0)</f>
        <v>2024/25</v>
      </c>
      <c r="C43" s="22" t="str" cm="1">
        <f t="array" ref="C43">INDEX(C$10:C$36,MATCH($J43,$J$10:$J$36,0),0)</f>
        <v>SWITCHYARD COMPONENTS</v>
      </c>
      <c r="D43" s="22" t="str" cm="1">
        <f t="array" ref="D43">INDEX(D$10:D$36,MATCH($J43,$J$10:$J$36,0),0)</f>
        <v>Replacement expenditure</v>
      </c>
      <c r="E43" s="22" cm="1">
        <f t="array" ref="E43">INDEX(E$10:E$36,MATCH($J43,$J$10:$J$36,0),0)</f>
        <v>6.9974398417147574</v>
      </c>
      <c r="F43" s="22" cm="1">
        <f t="array" ref="F43">INDEX(F$10:F$36,MATCH($J43,$J$10:$J$36,0),0)</f>
        <v>0</v>
      </c>
      <c r="G43" s="22" cm="1">
        <f t="array" ref="G43">INDEX(G$10:G$36,MATCH($J43,$J$10:$J$36,0),0)</f>
        <v>0</v>
      </c>
      <c r="H43" s="22" cm="1">
        <f t="array" ref="H43">INDEX(H$10:H$36,MATCH($J43,$J$10:$J$36,0),0)</f>
        <v>0</v>
      </c>
      <c r="I43" s="22" cm="1">
        <f t="array" ref="I43">INDEX(I$10:I$36,MATCH($J43,$J$10:$J$36,0),0)</f>
        <v>0</v>
      </c>
      <c r="J43" s="6">
        <f t="shared" si="2"/>
        <v>6.9974398417147574</v>
      </c>
    </row>
    <row r="44" spans="1:12">
      <c r="A44" s="22" t="str" cm="1">
        <f t="array" ref="A44">INDEX(A$10:A$36,MATCH($J44,$J$10:$J$36,0),0)</f>
        <v>Physical Security and Natural Hazards</v>
      </c>
      <c r="B44" s="22" t="str" cm="1">
        <f t="array" ref="B44">INDEX(B$10:B$36,MATCH($J44,$J$10:$J$36,0),0)</f>
        <v>2024/25</v>
      </c>
      <c r="C44" s="22" t="str" cm="1">
        <f t="array" ref="C44">INDEX(C$10:C$36,MATCH($J44,$J$10:$J$36,0),0)</f>
        <v>BUILDING INSTALLATION</v>
      </c>
      <c r="D44" s="22" t="str" cm="1">
        <f t="array" ref="D44">INDEX(D$10:D$36,MATCH($J44,$J$10:$J$36,0),0)</f>
        <v>Non-network buildings and property expenditure</v>
      </c>
      <c r="E44" s="22" cm="1">
        <f t="array" ref="E44">INDEX(E$10:E$36,MATCH($J44,$J$10:$J$36,0),0)</f>
        <v>1.7493599604286894</v>
      </c>
      <c r="F44" s="22" cm="1">
        <f t="array" ref="F44">INDEX(F$10:F$36,MATCH($J44,$J$10:$J$36,0),0)</f>
        <v>1.7493599604286894</v>
      </c>
      <c r="G44" s="22" cm="1">
        <f t="array" ref="G44">INDEX(G$10:G$36,MATCH($J44,$J$10:$J$36,0),0)</f>
        <v>0</v>
      </c>
      <c r="H44" s="22" cm="1">
        <f t="array" ref="H44">INDEX(H$10:H$36,MATCH($J44,$J$10:$J$36,0),0)</f>
        <v>0</v>
      </c>
      <c r="I44" s="22" cm="1">
        <f t="array" ref="I44">INDEX(I$10:I$36,MATCH($J44,$J$10:$J$36,0),0)</f>
        <v>0</v>
      </c>
      <c r="J44" s="6">
        <f t="shared" si="2"/>
        <v>3.4987199208573787</v>
      </c>
    </row>
    <row r="45" spans="1:12">
      <c r="A45" s="22" t="str" cm="1">
        <f t="array" ref="A45">INDEX(A$10:A$36,MATCH($J45,$J$10:$J$36,0),0)</f>
        <v>Cyber Security</v>
      </c>
      <c r="B45" s="22" t="str" cm="1">
        <f t="array" ref="B45">INDEX(B$10:B$36,MATCH($J45,$J$10:$J$36,0),0)</f>
        <v>2024/25</v>
      </c>
      <c r="C45" s="22" t="str" cm="1">
        <f t="array" ref="C45">INDEX(C$10:C$36,MATCH($J45,$J$10:$J$36,0),0)</f>
        <v>OTHER</v>
      </c>
      <c r="D45" s="22" t="str" cm="1">
        <f t="array" ref="D45">INDEX(D$10:D$36,MATCH($J45,$J$10:$J$36,0),0)</f>
        <v>Non-network IT &amp; communications</v>
      </c>
      <c r="E45" s="22" cm="1">
        <f t="array" ref="E45">INDEX(E$10:E$36,MATCH($J45,$J$10:$J$36,0),0)</f>
        <v>0.90874214706538214</v>
      </c>
      <c r="F45" s="22" cm="1">
        <f t="array" ref="F45">INDEX(F$10:F$36,MATCH($J45,$J$10:$J$36,0),0)</f>
        <v>0.87310972085657057</v>
      </c>
      <c r="G45" s="22" cm="1">
        <f t="array" ref="G45">INDEX(G$10:G$36,MATCH($J45,$J$10:$J$36,0),0)</f>
        <v>0.54925145921874519</v>
      </c>
      <c r="H45" s="22" cm="1">
        <f t="array" ref="H45">INDEX(H$10:H$36,MATCH($J45,$J$10:$J$36,0),0)</f>
        <v>0.54925145921874519</v>
      </c>
      <c r="I45" s="22" cm="1">
        <f t="array" ref="I45">INDEX(I$10:I$36,MATCH($J45,$J$10:$J$36,0),0)</f>
        <v>0.54925145921874519</v>
      </c>
      <c r="J45" s="6">
        <f t="shared" si="2"/>
        <v>3.4296062455781882</v>
      </c>
    </row>
    <row r="46" spans="1:12">
      <c r="A46" s="22" t="str" cm="1">
        <f t="array" ref="A46">INDEX(A$10:A$36,MATCH($J46,$J$10:$J$36,0),0)</f>
        <v>Reactor DC Refurbishment</v>
      </c>
      <c r="B46" s="22" t="str" cm="1">
        <f t="array" ref="B46">INDEX(B$10:B$36,MATCH($J46,$J$10:$J$36,0),0)</f>
        <v>2024/25</v>
      </c>
      <c r="C46" s="22" t="str" cm="1">
        <f t="array" ref="C46">INDEX(C$10:C$36,MATCH($J46,$J$10:$J$36,0),0)</f>
        <v>SMOOTHING REACTOR</v>
      </c>
      <c r="D46" s="22" t="str" cm="1">
        <f t="array" ref="D46">INDEX(D$10:D$36,MATCH($J46,$J$10:$J$36,0),0)</f>
        <v>Replacement expenditure</v>
      </c>
      <c r="E46" s="22" cm="1">
        <f t="array" ref="E46">INDEX(E$10:E$36,MATCH($J46,$J$10:$J$36,0),0)</f>
        <v>0</v>
      </c>
      <c r="F46" s="22" cm="1">
        <f t="array" ref="F46">INDEX(F$10:F$36,MATCH($J46,$J$10:$J$36,0),0)</f>
        <v>0.78440437620177073</v>
      </c>
      <c r="G46" s="22" cm="1">
        <f t="array" ref="G46">INDEX(G$10:G$36,MATCH($J46,$J$10:$J$36,0),0)</f>
        <v>0</v>
      </c>
      <c r="H46" s="22" cm="1">
        <f t="array" ref="H46">INDEX(H$10:H$36,MATCH($J46,$J$10:$J$36,0),0)</f>
        <v>0</v>
      </c>
      <c r="I46" s="22" cm="1">
        <f t="array" ref="I46">INDEX(I$10:I$36,MATCH($J46,$J$10:$J$36,0),0)</f>
        <v>0</v>
      </c>
      <c r="J46" s="6">
        <f t="shared" si="2"/>
        <v>0.78440437620177073</v>
      </c>
    </row>
    <row r="47" spans="1:12">
      <c r="A47" s="22" t="str" cm="1">
        <f t="array" ref="A47">INDEX(A$10:A$36,MATCH($J47,$J$10:$J$36,0),0)</f>
        <v>Program Management and Consultation</v>
      </c>
      <c r="B47" s="22" t="str" cm="1">
        <f t="array" ref="B47">INDEX(B$10:B$36,MATCH($J47,$J$10:$J$36,0),0)</f>
        <v>2024/25</v>
      </c>
      <c r="C47" s="22" t="str" cm="1">
        <f t="array" ref="C47">INDEX(C$10:C$36,MATCH($J47,$J$10:$J$36,0),0)</f>
        <v>OTHER</v>
      </c>
      <c r="D47" s="22" t="str" cm="1">
        <f t="array" ref="D47">INDEX(D$10:D$36,MATCH($J47,$J$10:$J$36,0),0)</f>
        <v>Non-network IT &amp; communications</v>
      </c>
      <c r="E47" s="22" cm="1">
        <f t="array" ref="E47">INDEX(E$10:E$36,MATCH($J47,$J$10:$J$36,0),0)</f>
        <v>0</v>
      </c>
      <c r="F47" s="22" cm="1">
        <f t="array" ref="F47">INDEX(F$10:F$36,MATCH($J47,$J$10:$J$36,0),0)</f>
        <v>0</v>
      </c>
      <c r="G47" s="22" cm="1">
        <f t="array" ref="G47">INDEX(G$10:G$36,MATCH($J47,$J$10:$J$36,0),0)</f>
        <v>0.17493600770526868</v>
      </c>
      <c r="H47" s="22" cm="1">
        <f t="array" ref="H47">INDEX(H$10:H$36,MATCH($J47,$J$10:$J$36,0),0)</f>
        <v>0.34987199208573788</v>
      </c>
      <c r="I47" s="22" cm="1">
        <f t="array" ref="I47">INDEX(I$10:I$36,MATCH($J47,$J$10:$J$36,0),0)</f>
        <v>0.17493599604286894</v>
      </c>
      <c r="J47" s="6">
        <f t="shared" si="2"/>
        <v>0.69974399583387548</v>
      </c>
    </row>
    <row r="48" spans="1:12">
      <c r="A48" s="22" t="str" cm="1">
        <f t="array" ref="A48">INDEX(A$10:A$36,MATCH($J48,$J$10:$J$36,0),0)</f>
        <v>EMS basslink integration, Reliability / predictive monitoring</v>
      </c>
      <c r="B48" s="22" t="str" cm="1">
        <f t="array" ref="B48">INDEX(B$10:B$36,MATCH($J48,$J$10:$J$36,0),0)</f>
        <v>2024/25</v>
      </c>
      <c r="C48" s="22" t="str" cm="1">
        <f t="array" ref="C48">INDEX(C$10:C$36,MATCH($J48,$J$10:$J$36,0),0)</f>
        <v>OTHER</v>
      </c>
      <c r="D48" s="22" t="str" cm="1">
        <f t="array" ref="D48">INDEX(D$10:D$36,MATCH($J48,$J$10:$J$36,0),0)</f>
        <v>Non-network IT &amp; communications</v>
      </c>
      <c r="E48" s="22" cm="1">
        <f t="array" ref="E48">INDEX(E$10:E$36,MATCH($J48,$J$10:$J$36,0),0)</f>
        <v>0.46649598944765053</v>
      </c>
      <c r="F48" s="22" cm="1">
        <f t="array" ref="F48">INDEX(F$10:F$36,MATCH($J48,$J$10:$J$36,0),0)</f>
        <v>0.23324799472382526</v>
      </c>
      <c r="G48" s="22" cm="1">
        <f t="array" ref="G48">INDEX(G$10:G$36,MATCH($J48,$J$10:$J$36,0),0)</f>
        <v>0</v>
      </c>
      <c r="H48" s="22" cm="1">
        <f t="array" ref="H48">INDEX(H$10:H$36,MATCH($J48,$J$10:$J$36,0),0)</f>
        <v>0</v>
      </c>
      <c r="I48" s="22" cm="1">
        <f t="array" ref="I48">INDEX(I$10:I$36,MATCH($J48,$J$10:$J$36,0),0)</f>
        <v>0</v>
      </c>
      <c r="J48" s="6">
        <f t="shared" si="2"/>
        <v>0.69974398417147576</v>
      </c>
    </row>
    <row r="49" spans="1:12">
      <c r="A49" s="22" t="str" cm="1">
        <f t="array" ref="A49">INDEX(A$10:A$36,MATCH($J49,$J$10:$J$36,0),0)</f>
        <v>Spares</v>
      </c>
      <c r="B49" s="22" t="str" cm="1">
        <f t="array" ref="B49">INDEX(B$10:B$36,MATCH($J49,$J$10:$J$36,0),0)</f>
        <v>2024/25</v>
      </c>
      <c r="C49" s="22" t="str" cm="1">
        <f t="array" ref="C49">INDEX(C$10:C$36,MATCH($J49,$J$10:$J$36,0),0)</f>
        <v>SWITCHYARD COMPONENTS</v>
      </c>
      <c r="D49" s="22" t="str" cm="1">
        <f t="array" ref="D49">INDEX(D$10:D$36,MATCH($J49,$J$10:$J$36,0),0)</f>
        <v>Replacement expenditure</v>
      </c>
      <c r="E49" s="22" cm="1">
        <f t="array" ref="E49">INDEX(E$10:E$36,MATCH($J49,$J$10:$J$36,0),0)</f>
        <v>6.0351923549488054E-2</v>
      </c>
      <c r="F49" s="22" cm="1">
        <f t="array" ref="F49">INDEX(F$10:F$36,MATCH($J49,$J$10:$J$36,0),0)</f>
        <v>0.24140769419795222</v>
      </c>
      <c r="G49" s="22" cm="1">
        <f t="array" ref="G49">INDEX(G$10:G$36,MATCH($J49,$J$10:$J$36,0),0)</f>
        <v>0.12070384709897611</v>
      </c>
      <c r="H49" s="22" cm="1">
        <f t="array" ref="H49">INDEX(H$10:H$36,MATCH($J49,$J$10:$J$36,0),0)</f>
        <v>0.25347807890784979</v>
      </c>
      <c r="I49" s="22" cm="1">
        <f t="array" ref="I49">INDEX(I$10:I$36,MATCH($J49,$J$10:$J$36,0),0)</f>
        <v>0</v>
      </c>
      <c r="J49" s="6">
        <f t="shared" si="2"/>
        <v>0.67594154375426618</v>
      </c>
    </row>
    <row r="50" spans="1:12">
      <c r="A50" s="22" t="str" cm="1">
        <f t="array" ref="A50">INDEX(A$10:A$36,MATCH($J50,$J$10:$J$36,0),0)</f>
        <v>Minor Plant and Equipment</v>
      </c>
      <c r="B50" s="22" t="str" cm="1">
        <f t="array" ref="B50">INDEX(B$10:B$36,MATCH($J50,$J$10:$J$36,0),0)</f>
        <v>2024/25</v>
      </c>
      <c r="C50" s="22" t="str" cm="1">
        <f t="array" ref="C50">INDEX(C$10:C$36,MATCH($J50,$J$10:$J$36,0),0)</f>
        <v>OTHER</v>
      </c>
      <c r="D50" s="22" t="str" cm="1">
        <f t="array" ref="D50">INDEX(D$10:D$36,MATCH($J50,$J$10:$J$36,0),0)</f>
        <v>Replacement expenditure</v>
      </c>
      <c r="E50" s="22" cm="1">
        <f t="array" ref="E50">INDEX(E$10:E$36,MATCH($J50,$J$10:$J$36,0),0)</f>
        <v>5.0409311424E-2</v>
      </c>
      <c r="F50" s="22" cm="1">
        <f t="array" ref="F50">INDEX(F$10:F$36,MATCH($J50,$J$10:$J$36,0),0)</f>
        <v>5.0409311424E-2</v>
      </c>
      <c r="G50" s="22" cm="1">
        <f t="array" ref="G50">INDEX(G$10:G$36,MATCH($J50,$J$10:$J$36,0),0)</f>
        <v>5.0409311424E-2</v>
      </c>
      <c r="H50" s="22" cm="1">
        <f t="array" ref="H50">INDEX(H$10:H$36,MATCH($J50,$J$10:$J$36,0),0)</f>
        <v>5.0409311424E-2</v>
      </c>
      <c r="I50" s="22" cm="1">
        <f t="array" ref="I50">INDEX(I$10:I$36,MATCH($J50,$J$10:$J$36,0),0)</f>
        <v>5.0409311424E-2</v>
      </c>
      <c r="J50" s="6">
        <f t="shared" si="2"/>
        <v>0.25204655712000001</v>
      </c>
    </row>
    <row r="51" spans="1:12">
      <c r="A51" s="22" t="str" cm="1">
        <f t="array" ref="A51">INDEX(A$10:A$36,MATCH($J51,$J$10:$J$36,0),0)</f>
        <v>Enterprise Security Governance</v>
      </c>
      <c r="B51" s="22" t="str" cm="1">
        <f t="array" ref="B51">INDEX(B$10:B$36,MATCH($J51,$J$10:$J$36,0),0)</f>
        <v>2024/25</v>
      </c>
      <c r="C51" s="22" t="str" cm="1">
        <f t="array" ref="C51">INDEX(C$10:C$36,MATCH($J51,$J$10:$J$36,0),0)</f>
        <v>OTHER</v>
      </c>
      <c r="D51" s="22" t="str" cm="1">
        <f t="array" ref="D51">INDEX(D$10:D$36,MATCH($J51,$J$10:$J$36,0),0)</f>
        <v>Non-network IT &amp; communications</v>
      </c>
      <c r="E51" s="22" cm="1">
        <f t="array" ref="E51">INDEX(E$10:E$36,MATCH($J51,$J$10:$J$36,0),0)</f>
        <v>3.1842278550168031E-2</v>
      </c>
      <c r="F51" s="22" cm="1">
        <f t="array" ref="F51">INDEX(F$10:F$36,MATCH($J51,$J$10:$J$36,0),0)</f>
        <v>0</v>
      </c>
      <c r="G51" s="22" cm="1">
        <f t="array" ref="G51">INDEX(G$10:G$36,MATCH($J51,$J$10:$J$36,0),0)</f>
        <v>7.3233527895832692E-2</v>
      </c>
      <c r="H51" s="22" cm="1">
        <f t="array" ref="H51">INDEX(H$10:H$36,MATCH($J51,$J$10:$J$36,0),0)</f>
        <v>7.3233527895832692E-2</v>
      </c>
      <c r="I51" s="22" cm="1">
        <f t="array" ref="I51">INDEX(I$10:I$36,MATCH($J51,$J$10:$J$36,0),0)</f>
        <v>7.3233527895832692E-2</v>
      </c>
      <c r="J51" s="6">
        <f t="shared" si="2"/>
        <v>0.25154286223766614</v>
      </c>
    </row>
    <row r="52" spans="1:12">
      <c r="A52" s="22" t="str" cm="1">
        <f t="array" ref="A52">INDEX(A$10:A$36,MATCH($J52,$J$10:$J$36,0),0)</f>
        <v>OT Technology Capability uplift</v>
      </c>
      <c r="B52" s="22" t="str" cm="1">
        <f t="array" ref="B52">INDEX(B$10:B$36,MATCH($J52,$J$10:$J$36,0),0)</f>
        <v>2024/25</v>
      </c>
      <c r="C52" s="22" t="str" cm="1">
        <f t="array" ref="C52">INDEX(C$10:C$36,MATCH($J52,$J$10:$J$36,0),0)</f>
        <v>OTHER</v>
      </c>
      <c r="D52" s="22" t="str" cm="1">
        <f t="array" ref="D52">INDEX(D$10:D$36,MATCH($J52,$J$10:$J$36,0),0)</f>
        <v>Non-network IT &amp; communications</v>
      </c>
      <c r="E52" s="22" cm="1">
        <f t="array" ref="E52">INDEX(E$10:E$36,MATCH($J52,$J$10:$J$36,0),0)</f>
        <v>4.3940116737499611E-2</v>
      </c>
      <c r="F52" s="22" cm="1">
        <f t="array" ref="F52">INDEX(F$10:F$36,MATCH($J52,$J$10:$J$36,0),0)</f>
        <v>4.3940116737499611E-2</v>
      </c>
      <c r="G52" s="22" cm="1">
        <f t="array" ref="G52">INDEX(G$10:G$36,MATCH($J52,$J$10:$J$36,0),0)</f>
        <v>4.3940116737499611E-2</v>
      </c>
      <c r="H52" s="22" cm="1">
        <f t="array" ref="H52">INDEX(H$10:H$36,MATCH($J52,$J$10:$J$36,0),0)</f>
        <v>4.3940116737499611E-2</v>
      </c>
      <c r="I52" s="22" cm="1">
        <f t="array" ref="I52">INDEX(I$10:I$36,MATCH($J52,$J$10:$J$36,0),0)</f>
        <v>4.3940116737499611E-2</v>
      </c>
      <c r="J52" s="6">
        <f t="shared" si="2"/>
        <v>0.21970058368749806</v>
      </c>
    </row>
    <row r="53" spans="1:12">
      <c r="A53" s="22" t="str" cm="1">
        <f t="array" ref="A53">INDEX(A$10:A$36,MATCH($J53,$J$10:$J$36,0),0)</f>
        <v>Enterprise Asset Management System Upgrade</v>
      </c>
      <c r="B53" s="22" t="str" cm="1">
        <f t="array" ref="B53">INDEX(B$10:B$36,MATCH($J53,$J$10:$J$36,0),0)</f>
        <v>2024/25</v>
      </c>
      <c r="C53" s="22" t="str" cm="1">
        <f t="array" ref="C53">INDEX(C$10:C$36,MATCH($J53,$J$10:$J$36,0),0)</f>
        <v>IN-HOUSE SOFTWARE</v>
      </c>
      <c r="D53" s="22" t="str" cm="1">
        <f t="array" ref="D53">INDEX(D$10:D$36,MATCH($J53,$J$10:$J$36,0),0)</f>
        <v>Non-network IT &amp; communications</v>
      </c>
      <c r="E53" s="22" cm="1">
        <f t="array" ref="E53">INDEX(E$10:E$36,MATCH($J53,$J$10:$J$36,0),0)</f>
        <v>0.18308381973958171</v>
      </c>
      <c r="F53" s="22" cm="1">
        <f t="array" ref="F53">INDEX(F$10:F$36,MATCH($J53,$J$10:$J$36,0),0)</f>
        <v>0</v>
      </c>
      <c r="G53" s="22" cm="1">
        <f t="array" ref="G53">INDEX(G$10:G$36,MATCH($J53,$J$10:$J$36,0),0)</f>
        <v>0</v>
      </c>
      <c r="H53" s="22" cm="1">
        <f t="array" ref="H53">INDEX(H$10:H$36,MATCH($J53,$J$10:$J$36,0),0)</f>
        <v>0</v>
      </c>
      <c r="I53" s="22" cm="1">
        <f t="array" ref="I53">INDEX(I$10:I$36,MATCH($J53,$J$10:$J$36,0),0)</f>
        <v>0</v>
      </c>
      <c r="J53" s="6">
        <f t="shared" si="2"/>
        <v>0.18308381973958171</v>
      </c>
    </row>
    <row r="54" spans="1:12">
      <c r="A54" s="22" t="str" cm="1">
        <f t="array" ref="A54">INDEX(A$10:A$36,MATCH($J54,$J$10:$J$36,0),0)</f>
        <v>OT initial integration and standard asset integration</v>
      </c>
      <c r="B54" s="22" t="str" cm="1">
        <f t="array" ref="B54">INDEX(B$10:B$36,MATCH($J54,$J$10:$J$36,0),0)</f>
        <v>2024/25</v>
      </c>
      <c r="C54" s="22" t="str" cm="1">
        <f t="array" ref="C54">INDEX(C$10:C$36,MATCH($J54,$J$10:$J$36,0),0)</f>
        <v>OTHER</v>
      </c>
      <c r="D54" s="22" t="str" cm="1">
        <f t="array" ref="D54">INDEX(D$10:D$36,MATCH($J54,$J$10:$J$36,0),0)</f>
        <v>Non-network IT &amp; communications</v>
      </c>
      <c r="E54" s="22" cm="1">
        <f t="array" ref="E54">INDEX(E$10:E$36,MATCH($J54,$J$10:$J$36,0),0)</f>
        <v>0</v>
      </c>
      <c r="F54" s="22" cm="1">
        <f t="array" ref="F54">INDEX(F$10:F$36,MATCH($J54,$J$10:$J$36,0),0)</f>
        <v>0</v>
      </c>
      <c r="G54" s="22" cm="1">
        <f t="array" ref="G54">INDEX(G$10:G$36,MATCH($J54,$J$10:$J$36,0),0)</f>
        <v>0</v>
      </c>
      <c r="H54" s="22" cm="1">
        <f t="array" ref="H54">INDEX(H$10:H$36,MATCH($J54,$J$10:$J$36,0),0)</f>
        <v>0</v>
      </c>
      <c r="I54" s="22" cm="1">
        <f t="array" ref="I54">INDEX(I$10:I$36,MATCH($J54,$J$10:$J$36,0),0)</f>
        <v>0.11662399736191263</v>
      </c>
      <c r="J54" s="6">
        <f t="shared" si="2"/>
        <v>0.11662399736191263</v>
      </c>
    </row>
    <row r="55" spans="1:12">
      <c r="A55" s="22" t="str" cm="1">
        <f t="array" ref="A55">INDEX(A$10:A$36,MATCH($J55,$J$10:$J$36,0),0)</f>
        <v>Video Conferencing Rooms</v>
      </c>
      <c r="B55" s="22" t="str" cm="1">
        <f t="array" ref="B55">INDEX(B$10:B$36,MATCH($J55,$J$10:$J$36,0),0)</f>
        <v>2024/25</v>
      </c>
      <c r="C55" s="22" t="str" cm="1">
        <f t="array" ref="C55">INDEX(C$10:C$36,MATCH($J55,$J$10:$J$36,0),0)</f>
        <v>OTHER</v>
      </c>
      <c r="D55" s="22" t="str" cm="1">
        <f t="array" ref="D55">INDEX(D$10:D$36,MATCH($J55,$J$10:$J$36,0),0)</f>
        <v>Non-network IT &amp; communications</v>
      </c>
      <c r="E55" s="22" cm="1">
        <f t="array" ref="E55">INDEX(E$10:E$36,MATCH($J55,$J$10:$J$36,0),0)</f>
        <v>0</v>
      </c>
      <c r="F55" s="22" cm="1">
        <f t="array" ref="F55">INDEX(F$10:F$36,MATCH($J55,$J$10:$J$36,0),0)</f>
        <v>0</v>
      </c>
      <c r="G55" s="22" cm="1">
        <f t="array" ref="G55">INDEX(G$10:G$36,MATCH($J55,$J$10:$J$36,0),0)</f>
        <v>0</v>
      </c>
      <c r="H55" s="22" cm="1">
        <f t="array" ref="H55">INDEX(H$10:H$36,MATCH($J55,$J$10:$J$36,0),0)</f>
        <v>8.1636798153338838E-2</v>
      </c>
      <c r="I55" s="22" cm="1">
        <f t="array" ref="I55">INDEX(I$10:I$36,MATCH($J55,$J$10:$J$36,0),0)</f>
        <v>0</v>
      </c>
      <c r="J55" s="6">
        <f t="shared" si="2"/>
        <v>8.1636798153338838E-2</v>
      </c>
    </row>
    <row r="56" spans="1:12">
      <c r="A56" s="22" t="str" cm="1">
        <f t="array" ref="A56">INDEX(A$10:A$36,MATCH($J56,$J$10:$J$36,0),0)</f>
        <v>Laptop</v>
      </c>
      <c r="B56" s="22" t="str" cm="1">
        <f t="array" ref="B56">INDEX(B$10:B$36,MATCH($J56,$J$10:$J$36,0),0)</f>
        <v>2024/25</v>
      </c>
      <c r="C56" s="22" t="str" cm="1">
        <f t="array" ref="C56">INDEX(C$10:C$36,MATCH($J56,$J$10:$J$36,0),0)</f>
        <v>OTHER</v>
      </c>
      <c r="D56" s="22" t="str" cm="1">
        <f t="array" ref="D56">INDEX(D$10:D$36,MATCH($J56,$J$10:$J$36,0),0)</f>
        <v>Non-network IT &amp; communications</v>
      </c>
      <c r="E56" s="22" cm="1">
        <f t="array" ref="E56">INDEX(E$10:E$36,MATCH($J56,$J$10:$J$36,0),0)</f>
        <v>3.3704335237592746E-2</v>
      </c>
      <c r="F56" s="22" cm="1">
        <f t="array" ref="F56">INDEX(F$10:F$36,MATCH($J56,$J$10:$J$36,0),0)</f>
        <v>0</v>
      </c>
      <c r="G56" s="22" cm="1">
        <f t="array" ref="G56">INDEX(G$10:G$36,MATCH($J56,$J$10:$J$36,0),0)</f>
        <v>0</v>
      </c>
      <c r="H56" s="22" cm="1">
        <f t="array" ref="H56">INDEX(H$10:H$36,MATCH($J56,$J$10:$J$36,0),0)</f>
        <v>3.3704335237592746E-2</v>
      </c>
      <c r="I56" s="22" cm="1">
        <f t="array" ref="I56">INDEX(I$10:I$36,MATCH($J56,$J$10:$J$36,0),0)</f>
        <v>0</v>
      </c>
      <c r="J56" s="6">
        <f t="shared" si="2"/>
        <v>6.7408670475185492E-2</v>
      </c>
    </row>
    <row r="57" spans="1:12">
      <c r="A57" s="22" t="str" cm="1">
        <f t="array" ref="A57">INDEX(A$10:A$36,MATCH($J57,$J$10:$J$36,0),0)</f>
        <v>Program Management and Material Risk</v>
      </c>
      <c r="B57" s="22" t="str" cm="1">
        <f t="array" ref="B57">INDEX(B$10:B$36,MATCH($J57,$J$10:$J$36,0),0)</f>
        <v>2024/25</v>
      </c>
      <c r="C57" s="22" t="str" cm="1">
        <f t="array" ref="C57">INDEX(C$10:C$36,MATCH($J57,$J$10:$J$36,0),0)</f>
        <v>OTHER</v>
      </c>
      <c r="D57" s="22" t="str" cm="1">
        <f t="array" ref="D57">INDEX(D$10:D$36,MATCH($J57,$J$10:$J$36,0),0)</f>
        <v>Non-network IT &amp; communications</v>
      </c>
      <c r="E57" s="22" cm="1">
        <f t="array" ref="E57">INDEX(E$10:E$36,MATCH($J57,$J$10:$J$36,0),0)</f>
        <v>4.4276071441703375E-2</v>
      </c>
      <c r="F57" s="22" cm="1">
        <f t="array" ref="F57">INDEX(F$10:F$36,MATCH($J57,$J$10:$J$36,0),0)</f>
        <v>0</v>
      </c>
      <c r="G57" s="22" cm="1">
        <f t="array" ref="G57">INDEX(G$10:G$36,MATCH($J57,$J$10:$J$36,0),0)</f>
        <v>0</v>
      </c>
      <c r="H57" s="22" cm="1">
        <f t="array" ref="H57">INDEX(H$10:H$36,MATCH($J57,$J$10:$J$36,0),0)</f>
        <v>0</v>
      </c>
      <c r="I57" s="22" cm="1">
        <f t="array" ref="I57">INDEX(I$10:I$36,MATCH($J57,$J$10:$J$36,0),0)</f>
        <v>0</v>
      </c>
      <c r="J57" s="6">
        <f t="shared" si="2"/>
        <v>4.4276071441703375E-2</v>
      </c>
    </row>
    <row r="58" spans="1:12">
      <c r="A58" s="22" t="str" cm="1">
        <f t="array" ref="A58">INDEX(A$10:A$36,MATCH($J58,$J$10:$J$36,0),0)</f>
        <v>Asset Integration</v>
      </c>
      <c r="B58" s="22" t="str" cm="1">
        <f t="array" ref="B58">INDEX(B$10:B$36,MATCH($J58,$J$10:$J$36,0),0)</f>
        <v>2024/25</v>
      </c>
      <c r="C58" s="22" t="str" cm="1">
        <f t="array" ref="C58">INDEX(C$10:C$36,MATCH($J58,$J$10:$J$36,0),0)</f>
        <v>OTHER</v>
      </c>
      <c r="D58" s="22" t="str" cm="1">
        <f t="array" ref="D58">INDEX(D$10:D$36,MATCH($J58,$J$10:$J$36,0),0)</f>
        <v>Non-network IT &amp; communications</v>
      </c>
      <c r="E58" s="22" cm="1">
        <f t="array" ref="E58">INDEX(E$10:E$36,MATCH($J58,$J$10:$J$36,0),0)</f>
        <v>0</v>
      </c>
      <c r="F58" s="22" cm="1">
        <f t="array" ref="F58">INDEX(F$10:F$36,MATCH($J58,$J$10:$J$36,0),0)</f>
        <v>0</v>
      </c>
      <c r="G58" s="22" cm="1">
        <f t="array" ref="G58">INDEX(G$10:G$36,MATCH($J58,$J$10:$J$36,0),0)</f>
        <v>0</v>
      </c>
      <c r="H58" s="22" cm="1">
        <f t="array" ref="H58">INDEX(H$10:H$36,MATCH($J58,$J$10:$J$36,0),0)</f>
        <v>0</v>
      </c>
      <c r="I58" s="22" cm="1">
        <f t="array" ref="I58">INDEX(I$10:I$36,MATCH($J58,$J$10:$J$36,0),0)</f>
        <v>3.4987199208573787E-2</v>
      </c>
      <c r="J58" s="6">
        <f t="shared" si="2"/>
        <v>3.4987199208573787E-2</v>
      </c>
    </row>
    <row r="59" spans="1:12">
      <c r="A59" s="22" t="str" cm="1">
        <f t="array" ref="A59">INDEX(A$10:A$36,MATCH($J59,$J$10:$J$36,0),0)</f>
        <v>Supply Chain Security</v>
      </c>
      <c r="B59" s="22" t="str" cm="1">
        <f t="array" ref="B59">INDEX(B$10:B$36,MATCH($J59,$J$10:$J$36,0),0)</f>
        <v>2024/25</v>
      </c>
      <c r="C59" s="22" t="str" cm="1">
        <f t="array" ref="C59">INDEX(C$10:C$36,MATCH($J59,$J$10:$J$36,0),0)</f>
        <v>OTHER</v>
      </c>
      <c r="D59" s="22" t="str" cm="1">
        <f t="array" ref="D59">INDEX(D$10:D$36,MATCH($J59,$J$10:$J$36,0),0)</f>
        <v>Non-network IT &amp; communications</v>
      </c>
      <c r="E59" s="22" cm="1">
        <f t="array" ref="E59">INDEX(E$10:E$36,MATCH($J59,$J$10:$J$36,0),0)</f>
        <v>3.1800881120983136E-2</v>
      </c>
      <c r="F59" s="22" cm="1">
        <f t="array" ref="F59">INDEX(F$10:F$36,MATCH($J59,$J$10:$J$36,0),0)</f>
        <v>0</v>
      </c>
      <c r="G59" s="22" cm="1">
        <f t="array" ref="G59">INDEX(G$10:G$36,MATCH($J59,$J$10:$J$36,0),0)</f>
        <v>0</v>
      </c>
      <c r="H59" s="22" cm="1">
        <f t="array" ref="H59">INDEX(H$10:H$36,MATCH($J59,$J$10:$J$36,0),0)</f>
        <v>0</v>
      </c>
      <c r="I59" s="22" cm="1">
        <f t="array" ref="I59">INDEX(I$10:I$36,MATCH($J59,$J$10:$J$36,0),0)</f>
        <v>0</v>
      </c>
      <c r="J59" s="6">
        <f t="shared" si="2"/>
        <v>3.1800881120983136E-2</v>
      </c>
    </row>
    <row r="60" spans="1:12">
      <c r="A60" s="22" t="str" cm="1">
        <f t="array" ref="A60">INDEX(A$10:A$36,MATCH($J60,$J$10:$J$36,0),0)</f>
        <v>Phones</v>
      </c>
      <c r="B60" s="22" t="str" cm="1">
        <f t="array" ref="B60">INDEX(B$10:B$36,MATCH($J60,$J$10:$J$36,0),0)</f>
        <v>2024/25</v>
      </c>
      <c r="C60" s="22" t="str" cm="1">
        <f t="array" ref="C60">INDEX(C$10:C$36,MATCH($J60,$J$10:$J$36,0),0)</f>
        <v>OTHER</v>
      </c>
      <c r="D60" s="22" t="str" cm="1">
        <f t="array" ref="D60">INDEX(D$10:D$36,MATCH($J60,$J$10:$J$36,0),0)</f>
        <v>Non-network IT &amp; communications</v>
      </c>
      <c r="E60" s="22" cm="1">
        <f t="array" ref="E60">INDEX(E$10:E$36,MATCH($J60,$J$10:$J$36,0),0)</f>
        <v>8.1636798153338838E-3</v>
      </c>
      <c r="F60" s="22" cm="1">
        <f t="array" ref="F60">INDEX(F$10:F$36,MATCH($J60,$J$10:$J$36,0),0)</f>
        <v>0</v>
      </c>
      <c r="G60" s="22" cm="1">
        <f t="array" ref="G60">INDEX(G$10:G$36,MATCH($J60,$J$10:$J$36,0),0)</f>
        <v>0</v>
      </c>
      <c r="H60" s="22" cm="1">
        <f t="array" ref="H60">INDEX(H$10:H$36,MATCH($J60,$J$10:$J$36,0),0)</f>
        <v>8.1636798153338838E-3</v>
      </c>
      <c r="I60" s="22" cm="1">
        <f t="array" ref="I60">INDEX(I$10:I$36,MATCH($J60,$J$10:$J$36,0),0)</f>
        <v>0</v>
      </c>
      <c r="J60" s="6">
        <f t="shared" si="2"/>
        <v>1.6327359630667768E-2</v>
      </c>
    </row>
    <row r="61" spans="1:12" ht="15.75" thickBot="1">
      <c r="A61" s="22" t="str" cm="1">
        <f t="array" ref="A61">INDEX(A$10:A$36,MATCH($J61,$J$10:$J$36,0),0)</f>
        <v>Printer</v>
      </c>
      <c r="B61" s="22" t="str" cm="1">
        <f t="array" ref="B61">INDEX(B$10:B$36,MATCH($J61,$J$10:$J$36,0),0)</f>
        <v>2024/25</v>
      </c>
      <c r="C61" s="22" t="str" cm="1">
        <f t="array" ref="C61">INDEX(C$10:C$36,MATCH($J61,$J$10:$J$36,0),0)</f>
        <v>OTHER</v>
      </c>
      <c r="D61" s="22" t="str" cm="1">
        <f t="array" ref="D61">INDEX(D$10:D$36,MATCH($J61,$J$10:$J$36,0),0)</f>
        <v>Non-network IT &amp; communications</v>
      </c>
      <c r="E61" s="22" cm="1">
        <f t="array" ref="E61">INDEX(E$10:E$36,MATCH($J61,$J$10:$J$36,0),0)</f>
        <v>0</v>
      </c>
      <c r="F61" s="22" cm="1">
        <f t="array" ref="F61">INDEX(F$10:F$36,MATCH($J61,$J$10:$J$36,0),0)</f>
        <v>0</v>
      </c>
      <c r="G61" s="22" cm="1">
        <f t="array" ref="G61">INDEX(G$10:G$36,MATCH($J61,$J$10:$J$36,0),0)</f>
        <v>0</v>
      </c>
      <c r="H61" s="22" cm="1">
        <f t="array" ref="H61">INDEX(H$10:H$36,MATCH($J61,$J$10:$J$36,0),0)</f>
        <v>1.1662399736191263E-2</v>
      </c>
      <c r="I61" s="22" cm="1">
        <f t="array" ref="I61">INDEX(I$10:I$36,MATCH($J61,$J$10:$J$36,0),0)</f>
        <v>0</v>
      </c>
      <c r="J61" s="6">
        <f t="shared" si="2"/>
        <v>1.1662399736191263E-2</v>
      </c>
    </row>
    <row r="62" spans="1:12" ht="16.5" thickTop="1" thickBot="1">
      <c r="A62" s="22" t="str" cm="1">
        <f t="array" ref="A62">INDEX(A$10:A$36,MATCH($J62,$J$10:$J$36,0),0)</f>
        <v/>
      </c>
      <c r="B62" s="22" t="str" cm="1">
        <f t="array" ref="B62">INDEX(B$10:B$36,MATCH($J62,$J$10:$J$36,0),0)</f>
        <v/>
      </c>
      <c r="C62" s="22" cm="1">
        <f t="array" ref="C62">INDEX(C$10:C$36,MATCH($J62,$J$10:$J$36,0),0)</f>
        <v>0</v>
      </c>
      <c r="D62" s="22" cm="1">
        <f t="array" ref="D62">INDEX(D$10:D$36,MATCH($J62,$J$10:$J$36,0),0)</f>
        <v>0</v>
      </c>
      <c r="E62" s="22" cm="1">
        <f t="array" ref="E62">INDEX(E$10:E$36,MATCH($J62,$J$10:$J$36,0),0)</f>
        <v>0</v>
      </c>
      <c r="F62" s="22" cm="1">
        <f t="array" ref="F62">INDEX(F$10:F$36,MATCH($J62,$J$10:$J$36,0),0)</f>
        <v>0</v>
      </c>
      <c r="G62" s="22" cm="1">
        <f t="array" ref="G62">INDEX(G$10:G$36,MATCH($J62,$J$10:$J$36,0),0)</f>
        <v>0</v>
      </c>
      <c r="H62" s="22" cm="1">
        <f t="array" ref="H62">INDEX(H$10:H$36,MATCH($J62,$J$10:$J$36,0),0)</f>
        <v>0</v>
      </c>
      <c r="I62" s="22" cm="1">
        <f t="array" ref="I62">INDEX(I$10:I$36,MATCH($J62,$J$10:$J$36,0),0)</f>
        <v>0</v>
      </c>
      <c r="J62" s="6">
        <f t="shared" si="2"/>
        <v>0</v>
      </c>
      <c r="L62" s="30">
        <f>SUM(J41:J62)-J5</f>
        <v>0</v>
      </c>
    </row>
    <row r="63" spans="1:12" ht="15.75" thickTop="1"/>
    <row r="64" spans="1:12" ht="16.5">
      <c r="A64" s="4" t="s">
        <v>118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>
      <c r="A65" s="3" t="str">
        <f>A38</f>
        <v>Forecast Period ($FY 2024/25 '000)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>
      <c r="A66" s="18" t="str">
        <f>A39</f>
        <v>Project</v>
      </c>
      <c r="B66" s="18" t="str">
        <f t="shared" ref="B66:J66" si="3">B39</f>
        <v>Real $</v>
      </c>
      <c r="C66" s="18" t="str">
        <f t="shared" si="3"/>
        <v>Asset Classes (Fore)</v>
      </c>
      <c r="D66" s="18" t="str">
        <f t="shared" si="3"/>
        <v>Driver</v>
      </c>
      <c r="E66" s="18" t="str">
        <f t="shared" si="3"/>
        <v>2025/26</v>
      </c>
      <c r="F66" s="18" t="str">
        <f t="shared" si="3"/>
        <v>2026/27</v>
      </c>
      <c r="G66" s="18" t="str">
        <f t="shared" si="3"/>
        <v>2027/28</v>
      </c>
      <c r="H66" s="18" t="str">
        <f t="shared" si="3"/>
        <v>2028/29</v>
      </c>
      <c r="I66" s="18" t="str">
        <f t="shared" si="3"/>
        <v>2029/30</v>
      </c>
      <c r="J66" s="18" t="str">
        <f t="shared" si="3"/>
        <v>Total</v>
      </c>
      <c r="K66" s="18"/>
      <c r="L66" s="18"/>
    </row>
    <row r="68" spans="1:12">
      <c r="A68" s="27" t="str">
        <f t="shared" ref="A68:A76" si="4">IF(J41&gt;1,A41,"")</f>
        <v>Control &amp; Protection - System Renewal</v>
      </c>
      <c r="B68" s="27" t="str">
        <f t="shared" ref="B68:D74" si="5">IF($J41&gt;2000,B41,"")</f>
        <v/>
      </c>
      <c r="C68" s="27" t="str">
        <f t="shared" si="5"/>
        <v/>
      </c>
      <c r="D68" s="27" t="str">
        <f t="shared" si="5"/>
        <v/>
      </c>
      <c r="E68" s="22">
        <f t="shared" ref="E68:I76" si="6">IF($A68="",0,E41)</f>
        <v>7.8795047185434761</v>
      </c>
      <c r="F68" s="22">
        <f t="shared" si="6"/>
        <v>6.3512205010245975</v>
      </c>
      <c r="G68" s="22">
        <f t="shared" si="6"/>
        <v>3.0627271149085691</v>
      </c>
      <c r="H68" s="22">
        <f t="shared" si="6"/>
        <v>8.4574647590765863</v>
      </c>
      <c r="I68" s="22">
        <f t="shared" si="6"/>
        <v>18.425661907414522</v>
      </c>
      <c r="J68" s="6">
        <f>SUM(E68:I68)</f>
        <v>44.176579000967749</v>
      </c>
    </row>
    <row r="69" spans="1:12">
      <c r="A69" s="27" t="str">
        <f t="shared" si="4"/>
        <v>Subsea Cable Repair Strategy</v>
      </c>
      <c r="B69" s="27" t="str">
        <f t="shared" si="5"/>
        <v/>
      </c>
      <c r="C69" s="27" t="str">
        <f t="shared" si="5"/>
        <v/>
      </c>
      <c r="D69" s="27" t="str">
        <f t="shared" si="5"/>
        <v/>
      </c>
      <c r="E69" s="22">
        <f t="shared" si="6"/>
        <v>0</v>
      </c>
      <c r="F69" s="22">
        <f t="shared" si="6"/>
        <v>0</v>
      </c>
      <c r="G69" s="22">
        <f t="shared" si="6"/>
        <v>0</v>
      </c>
      <c r="H69" s="22">
        <f t="shared" si="6"/>
        <v>0.98879356092055048</v>
      </c>
      <c r="I69" s="22">
        <f t="shared" si="6"/>
        <v>10.822995115911107</v>
      </c>
      <c r="J69" s="6">
        <f t="shared" ref="J69:J76" si="7">SUM(E69:I69)</f>
        <v>11.811788676831657</v>
      </c>
    </row>
    <row r="70" spans="1:12">
      <c r="A70" s="27" t="str">
        <f t="shared" si="4"/>
        <v>Ambient Temperature Project</v>
      </c>
      <c r="B70" s="27" t="str">
        <f t="shared" si="5"/>
        <v/>
      </c>
      <c r="C70" s="27" t="str">
        <f t="shared" si="5"/>
        <v/>
      </c>
      <c r="D70" s="27" t="str">
        <f t="shared" si="5"/>
        <v/>
      </c>
      <c r="E70" s="22">
        <f t="shared" si="6"/>
        <v>6.9974398417147574</v>
      </c>
      <c r="F70" s="22">
        <f t="shared" si="6"/>
        <v>0</v>
      </c>
      <c r="G70" s="22">
        <f t="shared" si="6"/>
        <v>0</v>
      </c>
      <c r="H70" s="22">
        <f t="shared" si="6"/>
        <v>0</v>
      </c>
      <c r="I70" s="22">
        <f t="shared" si="6"/>
        <v>0</v>
      </c>
      <c r="J70" s="6">
        <f t="shared" si="7"/>
        <v>6.9974398417147574</v>
      </c>
    </row>
    <row r="71" spans="1:12">
      <c r="A71" s="27" t="str">
        <f t="shared" si="4"/>
        <v>Physical Security and Natural Hazards</v>
      </c>
      <c r="B71" s="27" t="str">
        <f t="shared" si="5"/>
        <v/>
      </c>
      <c r="C71" s="27" t="str">
        <f t="shared" si="5"/>
        <v/>
      </c>
      <c r="D71" s="27" t="str">
        <f t="shared" si="5"/>
        <v/>
      </c>
      <c r="E71" s="22">
        <f t="shared" si="6"/>
        <v>1.7493599604286894</v>
      </c>
      <c r="F71" s="22">
        <f t="shared" si="6"/>
        <v>1.7493599604286894</v>
      </c>
      <c r="G71" s="22">
        <f t="shared" si="6"/>
        <v>0</v>
      </c>
      <c r="H71" s="22">
        <f t="shared" si="6"/>
        <v>0</v>
      </c>
      <c r="I71" s="22">
        <f t="shared" si="6"/>
        <v>0</v>
      </c>
      <c r="J71" s="6">
        <f t="shared" si="7"/>
        <v>3.4987199208573787</v>
      </c>
    </row>
    <row r="72" spans="1:12">
      <c r="A72" s="27" t="str">
        <f t="shared" si="4"/>
        <v>Cyber Security</v>
      </c>
      <c r="B72" s="27" t="str">
        <f t="shared" si="5"/>
        <v/>
      </c>
      <c r="C72" s="27" t="str">
        <f t="shared" si="5"/>
        <v/>
      </c>
      <c r="D72" s="27" t="str">
        <f t="shared" si="5"/>
        <v/>
      </c>
      <c r="E72" s="22">
        <f t="shared" si="6"/>
        <v>0.90874214706538214</v>
      </c>
      <c r="F72" s="22">
        <f t="shared" si="6"/>
        <v>0.87310972085657057</v>
      </c>
      <c r="G72" s="22">
        <f t="shared" si="6"/>
        <v>0.54925145921874519</v>
      </c>
      <c r="H72" s="22">
        <f t="shared" si="6"/>
        <v>0.54925145921874519</v>
      </c>
      <c r="I72" s="22">
        <f t="shared" si="6"/>
        <v>0.54925145921874519</v>
      </c>
      <c r="J72" s="6">
        <f t="shared" si="7"/>
        <v>3.4296062455781882</v>
      </c>
    </row>
    <row r="73" spans="1:12">
      <c r="A73" s="27" t="str">
        <f t="shared" si="4"/>
        <v/>
      </c>
      <c r="B73" s="27" t="str">
        <f t="shared" si="5"/>
        <v/>
      </c>
      <c r="C73" s="27" t="str">
        <f t="shared" si="5"/>
        <v/>
      </c>
      <c r="D73" s="27" t="str">
        <f t="shared" si="5"/>
        <v/>
      </c>
      <c r="E73" s="22">
        <f t="shared" si="6"/>
        <v>0</v>
      </c>
      <c r="F73" s="22">
        <f t="shared" si="6"/>
        <v>0</v>
      </c>
      <c r="G73" s="22">
        <f t="shared" si="6"/>
        <v>0</v>
      </c>
      <c r="H73" s="22">
        <f t="shared" si="6"/>
        <v>0</v>
      </c>
      <c r="I73" s="22">
        <f t="shared" si="6"/>
        <v>0</v>
      </c>
      <c r="J73" s="6">
        <f t="shared" si="7"/>
        <v>0</v>
      </c>
    </row>
    <row r="74" spans="1:12">
      <c r="A74" s="27" t="str">
        <f t="shared" si="4"/>
        <v/>
      </c>
      <c r="B74" s="27" t="str">
        <f t="shared" si="5"/>
        <v/>
      </c>
      <c r="C74" s="27" t="str">
        <f t="shared" si="5"/>
        <v/>
      </c>
      <c r="D74" s="27" t="str">
        <f t="shared" si="5"/>
        <v/>
      </c>
      <c r="E74" s="22">
        <f t="shared" si="6"/>
        <v>0</v>
      </c>
      <c r="F74" s="22">
        <f t="shared" si="6"/>
        <v>0</v>
      </c>
      <c r="G74" s="22">
        <f t="shared" si="6"/>
        <v>0</v>
      </c>
      <c r="H74" s="22">
        <f t="shared" si="6"/>
        <v>0</v>
      </c>
      <c r="I74" s="22">
        <f t="shared" si="6"/>
        <v>0</v>
      </c>
      <c r="J74" s="6">
        <f t="shared" si="7"/>
        <v>0</v>
      </c>
    </row>
    <row r="75" spans="1:12">
      <c r="A75" s="27" t="str">
        <f t="shared" si="4"/>
        <v/>
      </c>
      <c r="B75" s="27"/>
      <c r="C75" s="27"/>
      <c r="D75" s="27"/>
      <c r="E75" s="22">
        <f t="shared" si="6"/>
        <v>0</v>
      </c>
      <c r="F75" s="22">
        <f t="shared" si="6"/>
        <v>0</v>
      </c>
      <c r="G75" s="22">
        <f t="shared" si="6"/>
        <v>0</v>
      </c>
      <c r="H75" s="22">
        <f t="shared" si="6"/>
        <v>0</v>
      </c>
      <c r="I75" s="22">
        <f t="shared" si="6"/>
        <v>0</v>
      </c>
      <c r="J75" s="6">
        <f t="shared" si="7"/>
        <v>0</v>
      </c>
    </row>
    <row r="76" spans="1:12">
      <c r="A76" s="27" t="str">
        <f t="shared" si="4"/>
        <v/>
      </c>
      <c r="B76" s="27" t="str">
        <f>IF($J48&gt;2000,B48,"")</f>
        <v/>
      </c>
      <c r="C76" s="27" t="str">
        <f>IF($J48&gt;2000,C48,"")</f>
        <v/>
      </c>
      <c r="D76" s="27" t="str">
        <f>IF($J48&gt;2000,D48,"")</f>
        <v/>
      </c>
      <c r="E76" s="22">
        <f t="shared" si="6"/>
        <v>0</v>
      </c>
      <c r="F76" s="22">
        <f t="shared" si="6"/>
        <v>0</v>
      </c>
      <c r="G76" s="22">
        <f t="shared" si="6"/>
        <v>0</v>
      </c>
      <c r="H76" s="22">
        <f t="shared" si="6"/>
        <v>0</v>
      </c>
      <c r="I76" s="22">
        <f t="shared" si="6"/>
        <v>0</v>
      </c>
      <c r="J76" s="6">
        <f t="shared" si="7"/>
        <v>0</v>
      </c>
    </row>
    <row r="78" spans="1:12" ht="16.5">
      <c r="A78" s="4" t="s">
        <v>119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>
      <c r="A79" s="3" t="s">
        <v>10</v>
      </c>
      <c r="B79" s="3" t="str">
        <f>B66</f>
        <v>Real $</v>
      </c>
      <c r="C79" s="3" t="str">
        <f>C66</f>
        <v>Asset Classes (Fore)</v>
      </c>
      <c r="D79" s="3" t="str">
        <f>D66</f>
        <v>Driver</v>
      </c>
      <c r="E79" s="3" t="str">
        <f>E8</f>
        <v>2025/26</v>
      </c>
      <c r="F79" s="3" t="str">
        <f>F8</f>
        <v>2026/27</v>
      </c>
      <c r="G79" s="3" t="str">
        <f>G8</f>
        <v>2027/28</v>
      </c>
      <c r="H79" s="3" t="str">
        <f>H8</f>
        <v>2028/29</v>
      </c>
      <c r="I79" s="3" t="str">
        <f>I8</f>
        <v>2029/30</v>
      </c>
      <c r="J79" s="3" t="s">
        <v>2</v>
      </c>
      <c r="K79" s="3"/>
      <c r="L79" s="3"/>
    </row>
    <row r="81" spans="1:10">
      <c r="A81" s="6" t="str">
        <f>'1.1 Input'!C20</f>
        <v>AC FILTERS</v>
      </c>
      <c r="B81" s="6" t="str">
        <f>IF(A81="","",$B$10)</f>
        <v>2024/25</v>
      </c>
      <c r="C81" s="6"/>
      <c r="D81" s="6"/>
      <c r="E81" s="6">
        <f t="shared" ref="E81:I90" si="8">SUMIF($C$10:$C$35,$A81,E$10:E$35)</f>
        <v>0</v>
      </c>
      <c r="F81" s="6">
        <f t="shared" si="8"/>
        <v>0</v>
      </c>
      <c r="G81" s="6">
        <f t="shared" si="8"/>
        <v>0</v>
      </c>
      <c r="H81" s="6">
        <f t="shared" si="8"/>
        <v>0</v>
      </c>
      <c r="I81" s="6">
        <f t="shared" si="8"/>
        <v>0</v>
      </c>
      <c r="J81" s="6">
        <f t="shared" ref="J81" si="9">SUM(E81:I81)</f>
        <v>0</v>
      </c>
    </row>
    <row r="82" spans="1:10">
      <c r="A82" s="6" t="str">
        <f>'1.1 Input'!C21</f>
        <v>AC SWITCHYARD</v>
      </c>
      <c r="B82" s="6" t="str">
        <f t="shared" ref="B82:B99" si="10">IF(A82="","",$B$10)</f>
        <v>2024/25</v>
      </c>
      <c r="C82" s="6"/>
      <c r="D82" s="6"/>
      <c r="E82" s="6">
        <f t="shared" si="8"/>
        <v>0</v>
      </c>
      <c r="F82" s="6">
        <f t="shared" si="8"/>
        <v>0</v>
      </c>
      <c r="G82" s="6">
        <f t="shared" si="8"/>
        <v>0</v>
      </c>
      <c r="H82" s="6">
        <f t="shared" si="8"/>
        <v>0</v>
      </c>
      <c r="I82" s="6">
        <f t="shared" si="8"/>
        <v>0</v>
      </c>
      <c r="J82" s="6">
        <f t="shared" ref="J82:J99" si="11">SUM(E82:I82)</f>
        <v>0</v>
      </c>
    </row>
    <row r="83" spans="1:10">
      <c r="A83" s="6" t="str">
        <f>'1.1 Input'!C22</f>
        <v>AUXILIARY SYSTEMS</v>
      </c>
      <c r="B83" s="6" t="str">
        <f t="shared" si="10"/>
        <v>2024/25</v>
      </c>
      <c r="C83" s="6"/>
      <c r="D83" s="6"/>
      <c r="E83" s="6">
        <f t="shared" si="8"/>
        <v>0</v>
      </c>
      <c r="F83" s="6">
        <f t="shared" si="8"/>
        <v>0</v>
      </c>
      <c r="G83" s="6">
        <f t="shared" si="8"/>
        <v>0</v>
      </c>
      <c r="H83" s="6">
        <f t="shared" si="8"/>
        <v>0</v>
      </c>
      <c r="I83" s="6">
        <f t="shared" si="8"/>
        <v>0</v>
      </c>
      <c r="J83" s="6">
        <f t="shared" si="11"/>
        <v>0</v>
      </c>
    </row>
    <row r="84" spans="1:10">
      <c r="A84" s="6" t="str">
        <f>'1.1 Input'!C23</f>
        <v>CABLE</v>
      </c>
      <c r="B84" s="6" t="str">
        <f t="shared" si="10"/>
        <v>2024/25</v>
      </c>
      <c r="C84" s="6"/>
      <c r="D84" s="6"/>
      <c r="E84" s="6">
        <f t="shared" si="8"/>
        <v>0</v>
      </c>
      <c r="F84" s="6">
        <f t="shared" si="8"/>
        <v>0</v>
      </c>
      <c r="G84" s="6">
        <f t="shared" si="8"/>
        <v>0</v>
      </c>
      <c r="H84" s="6">
        <f t="shared" si="8"/>
        <v>0.98879356092055048</v>
      </c>
      <c r="I84" s="6">
        <f t="shared" si="8"/>
        <v>10.822995115911107</v>
      </c>
      <c r="J84" s="6">
        <f t="shared" si="11"/>
        <v>11.811788676831657</v>
      </c>
    </row>
    <row r="85" spans="1:10">
      <c r="A85" s="6" t="str">
        <f>'1.1 Input'!C24</f>
        <v>CONTROL SYSTEM</v>
      </c>
      <c r="B85" s="6" t="str">
        <f t="shared" si="10"/>
        <v>2024/25</v>
      </c>
      <c r="C85" s="6"/>
      <c r="D85" s="6"/>
      <c r="E85" s="6">
        <f t="shared" si="8"/>
        <v>7.8795047185434761</v>
      </c>
      <c r="F85" s="6">
        <f t="shared" si="8"/>
        <v>6.3512205010245975</v>
      </c>
      <c r="G85" s="6">
        <f t="shared" si="8"/>
        <v>3.0627271149085691</v>
      </c>
      <c r="H85" s="6">
        <f t="shared" si="8"/>
        <v>8.4574647590765863</v>
      </c>
      <c r="I85" s="6">
        <f t="shared" si="8"/>
        <v>18.425661907414522</v>
      </c>
      <c r="J85" s="6">
        <f t="shared" si="11"/>
        <v>44.176579000967749</v>
      </c>
    </row>
    <row r="86" spans="1:10">
      <c r="A86" s="6" t="str">
        <f>'1.1 Input'!C25</f>
        <v>CONVERTER TRANSFORMER</v>
      </c>
      <c r="B86" s="6" t="str">
        <f t="shared" si="10"/>
        <v>2024/25</v>
      </c>
      <c r="C86" s="6"/>
      <c r="D86" s="6"/>
      <c r="E86" s="6">
        <f t="shared" si="8"/>
        <v>0</v>
      </c>
      <c r="F86" s="6">
        <f t="shared" si="8"/>
        <v>0</v>
      </c>
      <c r="G86" s="6">
        <f t="shared" si="8"/>
        <v>0</v>
      </c>
      <c r="H86" s="6">
        <f t="shared" si="8"/>
        <v>0</v>
      </c>
      <c r="I86" s="6">
        <f t="shared" si="8"/>
        <v>0</v>
      </c>
      <c r="J86" s="6">
        <f t="shared" si="11"/>
        <v>0</v>
      </c>
    </row>
    <row r="87" spans="1:10">
      <c r="A87" s="6" t="str">
        <f>'1.1 Input'!C26</f>
        <v>DC FILTER</v>
      </c>
      <c r="B87" s="6" t="str">
        <f t="shared" si="10"/>
        <v>2024/25</v>
      </c>
      <c r="C87" s="6"/>
      <c r="D87" s="6"/>
      <c r="E87" s="6">
        <f t="shared" si="8"/>
        <v>0</v>
      </c>
      <c r="F87" s="6">
        <f t="shared" si="8"/>
        <v>0</v>
      </c>
      <c r="G87" s="6">
        <f t="shared" si="8"/>
        <v>0</v>
      </c>
      <c r="H87" s="6">
        <f t="shared" si="8"/>
        <v>0</v>
      </c>
      <c r="I87" s="6">
        <f t="shared" si="8"/>
        <v>0</v>
      </c>
      <c r="J87" s="6">
        <f t="shared" si="11"/>
        <v>0</v>
      </c>
    </row>
    <row r="88" spans="1:10">
      <c r="A88" s="6" t="str">
        <f>'1.1 Input'!C27</f>
        <v>DC SWITCHYARD</v>
      </c>
      <c r="B88" s="6" t="str">
        <f t="shared" si="10"/>
        <v>2024/25</v>
      </c>
      <c r="C88" s="6"/>
      <c r="D88" s="6"/>
      <c r="E88" s="6">
        <f t="shared" si="8"/>
        <v>0</v>
      </c>
      <c r="F88" s="6">
        <f t="shared" si="8"/>
        <v>0</v>
      </c>
      <c r="G88" s="6">
        <f t="shared" si="8"/>
        <v>0</v>
      </c>
      <c r="H88" s="6">
        <f t="shared" si="8"/>
        <v>0</v>
      </c>
      <c r="I88" s="6">
        <f t="shared" si="8"/>
        <v>0</v>
      </c>
      <c r="J88" s="6">
        <f t="shared" si="11"/>
        <v>0</v>
      </c>
    </row>
    <row r="89" spans="1:10">
      <c r="A89" s="6" t="str">
        <f>'1.1 Input'!C28</f>
        <v>EASEMENT</v>
      </c>
      <c r="B89" s="6" t="str">
        <f t="shared" si="10"/>
        <v>2024/25</v>
      </c>
      <c r="C89" s="6"/>
      <c r="D89" s="6"/>
      <c r="E89" s="6">
        <f t="shared" si="8"/>
        <v>0</v>
      </c>
      <c r="F89" s="6">
        <f t="shared" si="8"/>
        <v>0</v>
      </c>
      <c r="G89" s="6">
        <f t="shared" si="8"/>
        <v>0</v>
      </c>
      <c r="H89" s="6">
        <f t="shared" si="8"/>
        <v>0</v>
      </c>
      <c r="I89" s="6">
        <f t="shared" si="8"/>
        <v>0</v>
      </c>
      <c r="J89" s="6">
        <f t="shared" si="11"/>
        <v>0</v>
      </c>
    </row>
    <row r="90" spans="1:10">
      <c r="A90" s="6" t="str">
        <f>'1.1 Input'!C29</f>
        <v>FREEHOLD LAND</v>
      </c>
      <c r="B90" s="6" t="str">
        <f t="shared" si="10"/>
        <v>2024/25</v>
      </c>
      <c r="C90" s="6"/>
      <c r="D90" s="6"/>
      <c r="E90" s="6">
        <f t="shared" si="8"/>
        <v>0</v>
      </c>
      <c r="F90" s="6">
        <f t="shared" si="8"/>
        <v>0</v>
      </c>
      <c r="G90" s="6">
        <f t="shared" si="8"/>
        <v>0</v>
      </c>
      <c r="H90" s="6">
        <f t="shared" si="8"/>
        <v>0</v>
      </c>
      <c r="I90" s="6">
        <f t="shared" si="8"/>
        <v>0</v>
      </c>
      <c r="J90" s="6">
        <f t="shared" si="11"/>
        <v>0</v>
      </c>
    </row>
    <row r="91" spans="1:10">
      <c r="A91" s="6" t="str">
        <f>'1.1 Input'!C30</f>
        <v>MEASURING DEVICES</v>
      </c>
      <c r="B91" s="6" t="str">
        <f t="shared" si="10"/>
        <v>2024/25</v>
      </c>
      <c r="C91" s="6"/>
      <c r="D91" s="6"/>
      <c r="E91" s="6">
        <f t="shared" ref="E91:I101" si="12">SUMIF($C$10:$C$35,$A91,E$10:E$35)</f>
        <v>0</v>
      </c>
      <c r="F91" s="6">
        <f t="shared" si="12"/>
        <v>0</v>
      </c>
      <c r="G91" s="6">
        <f t="shared" si="12"/>
        <v>0</v>
      </c>
      <c r="H91" s="6">
        <f t="shared" si="12"/>
        <v>0</v>
      </c>
      <c r="I91" s="6">
        <f t="shared" si="12"/>
        <v>0</v>
      </c>
      <c r="J91" s="6">
        <f t="shared" si="11"/>
        <v>0</v>
      </c>
    </row>
    <row r="92" spans="1:10">
      <c r="A92" s="6" t="str">
        <f>'1.1 Input'!C31</f>
        <v>MOTOR VEHICLES</v>
      </c>
      <c r="B92" s="6" t="str">
        <f t="shared" si="10"/>
        <v>2024/25</v>
      </c>
      <c r="C92" s="6"/>
      <c r="D92" s="6"/>
      <c r="E92" s="6">
        <f t="shared" si="12"/>
        <v>0</v>
      </c>
      <c r="F92" s="6">
        <f t="shared" si="12"/>
        <v>0</v>
      </c>
      <c r="G92" s="6">
        <f t="shared" si="12"/>
        <v>0</v>
      </c>
      <c r="H92" s="6">
        <f t="shared" si="12"/>
        <v>0</v>
      </c>
      <c r="I92" s="6">
        <f t="shared" si="12"/>
        <v>0</v>
      </c>
      <c r="J92" s="6">
        <f t="shared" si="11"/>
        <v>0</v>
      </c>
    </row>
    <row r="93" spans="1:10">
      <c r="A93" s="6" t="str">
        <f>'1.1 Input'!C32</f>
        <v>OTHER</v>
      </c>
      <c r="B93" s="6" t="str">
        <f t="shared" si="10"/>
        <v>2024/25</v>
      </c>
      <c r="C93" s="6"/>
      <c r="D93" s="6"/>
      <c r="E93" s="6">
        <f t="shared" si="12"/>
        <v>1.6193748108403134</v>
      </c>
      <c r="F93" s="6">
        <f t="shared" si="12"/>
        <v>1.2007071437418955</v>
      </c>
      <c r="G93" s="6">
        <f t="shared" si="12"/>
        <v>0.89177042298134612</v>
      </c>
      <c r="H93" s="6">
        <f t="shared" si="12"/>
        <v>1.2018736203042721</v>
      </c>
      <c r="I93" s="6">
        <f t="shared" si="12"/>
        <v>1.0433816078894329</v>
      </c>
      <c r="J93" s="6">
        <f t="shared" si="11"/>
        <v>5.9571076057572601</v>
      </c>
    </row>
    <row r="94" spans="1:10">
      <c r="A94" s="6" t="str">
        <f>'1.1 Input'!C33</f>
        <v>OVERHEAD LINES</v>
      </c>
      <c r="B94" s="6" t="str">
        <f t="shared" si="10"/>
        <v>2024/25</v>
      </c>
      <c r="C94" s="6"/>
      <c r="D94" s="6"/>
      <c r="E94" s="6">
        <f t="shared" si="12"/>
        <v>0</v>
      </c>
      <c r="F94" s="6">
        <f t="shared" si="12"/>
        <v>0</v>
      </c>
      <c r="G94" s="6">
        <f t="shared" si="12"/>
        <v>0</v>
      </c>
      <c r="H94" s="6">
        <f t="shared" si="12"/>
        <v>0</v>
      </c>
      <c r="I94" s="6">
        <f t="shared" si="12"/>
        <v>0</v>
      </c>
      <c r="J94" s="6">
        <f t="shared" si="11"/>
        <v>0</v>
      </c>
    </row>
    <row r="95" spans="1:10">
      <c r="A95" s="6" t="str">
        <f>'1.1 Input'!C34</f>
        <v>SMOOTHING REACTOR</v>
      </c>
      <c r="B95" s="6" t="str">
        <f t="shared" si="10"/>
        <v>2024/25</v>
      </c>
      <c r="C95" s="6"/>
      <c r="D95" s="6"/>
      <c r="E95" s="6">
        <f t="shared" si="12"/>
        <v>0</v>
      </c>
      <c r="F95" s="6">
        <f t="shared" si="12"/>
        <v>0.78440437620177073</v>
      </c>
      <c r="G95" s="6">
        <f t="shared" si="12"/>
        <v>0</v>
      </c>
      <c r="H95" s="6">
        <f t="shared" si="12"/>
        <v>0</v>
      </c>
      <c r="I95" s="6">
        <f t="shared" si="12"/>
        <v>0</v>
      </c>
      <c r="J95" s="6">
        <f t="shared" si="11"/>
        <v>0.78440437620177073</v>
      </c>
    </row>
    <row r="96" spans="1:10">
      <c r="A96" s="6" t="str">
        <f>'1.1 Input'!C35</f>
        <v>STATION POWER SUPPLY</v>
      </c>
      <c r="B96" s="6" t="str">
        <f t="shared" si="10"/>
        <v>2024/25</v>
      </c>
      <c r="C96" s="6"/>
      <c r="D96" s="6"/>
      <c r="E96" s="6">
        <f t="shared" si="12"/>
        <v>0</v>
      </c>
      <c r="F96" s="6">
        <f t="shared" si="12"/>
        <v>0</v>
      </c>
      <c r="G96" s="6">
        <f t="shared" si="12"/>
        <v>0</v>
      </c>
      <c r="H96" s="6">
        <f t="shared" si="12"/>
        <v>0</v>
      </c>
      <c r="I96" s="6">
        <f t="shared" si="12"/>
        <v>0</v>
      </c>
      <c r="J96" s="6">
        <f t="shared" si="11"/>
        <v>0</v>
      </c>
    </row>
    <row r="97" spans="1:12">
      <c r="A97" s="6" t="str">
        <f>'1.1 Input'!C36</f>
        <v>SWITCHYARD COMPONENTS</v>
      </c>
      <c r="B97" s="6" t="str">
        <f t="shared" si="10"/>
        <v>2024/25</v>
      </c>
      <c r="C97" s="6"/>
      <c r="D97" s="6"/>
      <c r="E97" s="6">
        <f t="shared" si="12"/>
        <v>7.0577917652642457</v>
      </c>
      <c r="F97" s="6">
        <f t="shared" si="12"/>
        <v>0.24140769419795222</v>
      </c>
      <c r="G97" s="6">
        <f t="shared" si="12"/>
        <v>0.12070384709897611</v>
      </c>
      <c r="H97" s="6">
        <f t="shared" si="12"/>
        <v>0.25347807890784979</v>
      </c>
      <c r="I97" s="6">
        <f t="shared" si="12"/>
        <v>0</v>
      </c>
      <c r="J97" s="6">
        <f t="shared" si="11"/>
        <v>7.6733813854690238</v>
      </c>
    </row>
    <row r="98" spans="1:12">
      <c r="A98" s="6" t="str">
        <f>'1.1 Input'!C37</f>
        <v>VALVE COOLING</v>
      </c>
      <c r="B98" s="6" t="str">
        <f t="shared" si="10"/>
        <v>2024/25</v>
      </c>
      <c r="C98" s="6"/>
      <c r="D98" s="6"/>
      <c r="E98" s="6">
        <f t="shared" si="12"/>
        <v>0</v>
      </c>
      <c r="F98" s="6">
        <f t="shared" si="12"/>
        <v>0</v>
      </c>
      <c r="G98" s="6">
        <f t="shared" si="12"/>
        <v>0</v>
      </c>
      <c r="H98" s="6">
        <f t="shared" si="12"/>
        <v>0</v>
      </c>
      <c r="I98" s="6">
        <f t="shared" si="12"/>
        <v>0</v>
      </c>
      <c r="J98" s="6">
        <f t="shared" si="11"/>
        <v>0</v>
      </c>
    </row>
    <row r="99" spans="1:12">
      <c r="A99" s="6" t="str">
        <f>'1.1 Input'!C38</f>
        <v>VALVE HALL</v>
      </c>
      <c r="B99" s="6" t="str">
        <f t="shared" si="10"/>
        <v>2024/25</v>
      </c>
      <c r="C99" s="6"/>
      <c r="D99" s="6"/>
      <c r="E99" s="6">
        <f t="shared" si="12"/>
        <v>0</v>
      </c>
      <c r="F99" s="6">
        <f t="shared" si="12"/>
        <v>0</v>
      </c>
      <c r="G99" s="6">
        <f t="shared" si="12"/>
        <v>0</v>
      </c>
      <c r="H99" s="6">
        <f t="shared" si="12"/>
        <v>0</v>
      </c>
      <c r="I99" s="6">
        <f t="shared" si="12"/>
        <v>0</v>
      </c>
      <c r="J99" s="6">
        <f t="shared" si="11"/>
        <v>0</v>
      </c>
    </row>
    <row r="100" spans="1:12">
      <c r="A100" s="6" t="str">
        <f>'1.1 Input'!C39</f>
        <v>BUILDING INSTALLATION</v>
      </c>
      <c r="B100" s="6" t="str">
        <f t="shared" ref="B100:B101" si="13">IF(A100="","",$B$10)</f>
        <v>2024/25</v>
      </c>
      <c r="C100" s="6"/>
      <c r="D100" s="6"/>
      <c r="E100" s="6">
        <f t="shared" si="12"/>
        <v>1.7493599604286894</v>
      </c>
      <c r="F100" s="6">
        <f t="shared" si="12"/>
        <v>1.7493599604286894</v>
      </c>
      <c r="G100" s="6">
        <f t="shared" si="12"/>
        <v>0</v>
      </c>
      <c r="H100" s="6">
        <f t="shared" si="12"/>
        <v>0</v>
      </c>
      <c r="I100" s="6">
        <f t="shared" si="12"/>
        <v>0</v>
      </c>
      <c r="J100" s="6">
        <f t="shared" ref="J100:J101" si="14">SUM(E100:I100)</f>
        <v>3.4987199208573787</v>
      </c>
    </row>
    <row r="101" spans="1:12" ht="15.75" thickBot="1">
      <c r="A101" s="6" t="str">
        <f>'1.1 Input'!C40</f>
        <v>IN-HOUSE SOFTWARE</v>
      </c>
      <c r="B101" s="6" t="str">
        <f t="shared" si="13"/>
        <v>2024/25</v>
      </c>
      <c r="C101" s="6"/>
      <c r="D101" s="6"/>
      <c r="E101" s="6">
        <f t="shared" si="12"/>
        <v>0.18308381973958171</v>
      </c>
      <c r="F101" s="6">
        <f t="shared" si="12"/>
        <v>0</v>
      </c>
      <c r="G101" s="6">
        <f t="shared" si="12"/>
        <v>0</v>
      </c>
      <c r="H101" s="6">
        <f t="shared" si="12"/>
        <v>0</v>
      </c>
      <c r="I101" s="6">
        <f t="shared" si="12"/>
        <v>0</v>
      </c>
      <c r="J101" s="6">
        <f t="shared" si="14"/>
        <v>0.18308381973958171</v>
      </c>
    </row>
    <row r="102" spans="1:12" ht="16.5" thickTop="1" thickBot="1">
      <c r="A102" s="6" t="s">
        <v>2</v>
      </c>
      <c r="B102" s="6"/>
      <c r="C102" s="6"/>
      <c r="D102" s="6"/>
      <c r="E102" s="6">
        <f t="shared" ref="E102:J102" si="15">SUM(E81:E101)</f>
        <v>18.489115074816304</v>
      </c>
      <c r="F102" s="6">
        <f t="shared" si="15"/>
        <v>10.327099675594907</v>
      </c>
      <c r="G102" s="6">
        <f t="shared" si="15"/>
        <v>4.0752013849888913</v>
      </c>
      <c r="H102" s="6">
        <f t="shared" si="15"/>
        <v>10.90161001920926</v>
      </c>
      <c r="I102" s="6">
        <f t="shared" si="15"/>
        <v>30.29203863121506</v>
      </c>
      <c r="J102" s="6">
        <f t="shared" si="15"/>
        <v>74.085064785824414</v>
      </c>
      <c r="L102" s="30">
        <f>J102-J5</f>
        <v>0</v>
      </c>
    </row>
    <row r="103" spans="1:12" ht="15.75" thickTop="1"/>
    <row r="104" spans="1:12" ht="16.5">
      <c r="A104" s="4" t="s">
        <v>120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>
      <c r="A105" s="3" t="s">
        <v>8</v>
      </c>
      <c r="B105" s="3" t="s">
        <v>121</v>
      </c>
      <c r="C105" s="3"/>
      <c r="D105" s="3"/>
      <c r="E105" s="3" t="str">
        <f t="shared" ref="E105:J105" si="16">E79</f>
        <v>2025/26</v>
      </c>
      <c r="F105" s="3" t="str">
        <f t="shared" si="16"/>
        <v>2026/27</v>
      </c>
      <c r="G105" s="3" t="str">
        <f t="shared" si="16"/>
        <v>2027/28</v>
      </c>
      <c r="H105" s="3" t="str">
        <f t="shared" si="16"/>
        <v>2028/29</v>
      </c>
      <c r="I105" s="3" t="str">
        <f t="shared" si="16"/>
        <v>2029/30</v>
      </c>
      <c r="J105" s="3" t="str">
        <f t="shared" si="16"/>
        <v>Total</v>
      </c>
      <c r="K105" s="3"/>
      <c r="L105" s="3"/>
    </row>
    <row r="107" spans="1:12">
      <c r="A107" s="6" t="str">
        <f>'1.1 Input'!B20</f>
        <v>Replacement expenditure</v>
      </c>
      <c r="B107" s="6" t="str">
        <f>$B$10</f>
        <v>2024/25</v>
      </c>
      <c r="C107" s="6"/>
      <c r="D107" s="6"/>
      <c r="E107" s="6">
        <f t="shared" ref="E107:I115" si="17">SUMIF($D$10:$D$35,$A107,E$10:E$35)</f>
        <v>14.987705795231722</v>
      </c>
      <c r="F107" s="6">
        <f t="shared" si="17"/>
        <v>7.4274418828483197</v>
      </c>
      <c r="G107" s="6">
        <f t="shared" si="17"/>
        <v>3.2338402734315452</v>
      </c>
      <c r="H107" s="6">
        <f t="shared" si="17"/>
        <v>9.7501457103289866</v>
      </c>
      <c r="I107" s="6">
        <f t="shared" si="17"/>
        <v>29.299066334749629</v>
      </c>
      <c r="J107" s="6">
        <f>SUM(E107:I107)</f>
        <v>64.698199996590205</v>
      </c>
    </row>
    <row r="108" spans="1:12">
      <c r="A108" s="6" t="str">
        <f>'1.1 Input'!B21</f>
        <v>Connections</v>
      </c>
      <c r="B108" s="6" t="str">
        <f>$B$10</f>
        <v>2024/25</v>
      </c>
      <c r="C108" s="6"/>
      <c r="D108" s="6"/>
      <c r="E108" s="6">
        <f t="shared" si="17"/>
        <v>0</v>
      </c>
      <c r="F108" s="6">
        <f t="shared" si="17"/>
        <v>0</v>
      </c>
      <c r="G108" s="6">
        <f t="shared" si="17"/>
        <v>0</v>
      </c>
      <c r="H108" s="6">
        <f t="shared" si="17"/>
        <v>0</v>
      </c>
      <c r="I108" s="6">
        <f t="shared" si="17"/>
        <v>0</v>
      </c>
      <c r="J108" s="6">
        <f t="shared" ref="J108:J115" si="18">SUM(E108:I108)</f>
        <v>0</v>
      </c>
    </row>
    <row r="109" spans="1:12">
      <c r="A109" s="6" t="str">
        <f>'1.1 Input'!B22</f>
        <v>Augmentation Expenditure</v>
      </c>
      <c r="B109" s="6" t="str">
        <f>$B$10</f>
        <v>2024/25</v>
      </c>
      <c r="C109" s="6"/>
      <c r="D109" s="6"/>
      <c r="E109" s="6">
        <f t="shared" si="17"/>
        <v>0</v>
      </c>
      <c r="F109" s="6">
        <f t="shared" si="17"/>
        <v>0</v>
      </c>
      <c r="G109" s="6">
        <f t="shared" si="17"/>
        <v>0</v>
      </c>
      <c r="H109" s="6">
        <f t="shared" si="17"/>
        <v>0</v>
      </c>
      <c r="I109" s="6">
        <f t="shared" si="17"/>
        <v>0</v>
      </c>
      <c r="J109" s="6">
        <f t="shared" si="18"/>
        <v>0</v>
      </c>
    </row>
    <row r="110" spans="1:12">
      <c r="A110" s="6" t="str">
        <f>'1.1 Input'!B23</f>
        <v>Capitalised network overheads</v>
      </c>
      <c r="B110" s="6" t="str">
        <f>$B$10</f>
        <v>2024/25</v>
      </c>
      <c r="C110" s="6"/>
      <c r="D110" s="6"/>
      <c r="E110" s="6">
        <f t="shared" si="17"/>
        <v>0</v>
      </c>
      <c r="F110" s="6">
        <f t="shared" si="17"/>
        <v>0</v>
      </c>
      <c r="G110" s="6">
        <f t="shared" si="17"/>
        <v>0</v>
      </c>
      <c r="H110" s="6">
        <f t="shared" si="17"/>
        <v>0</v>
      </c>
      <c r="I110" s="6">
        <f t="shared" si="17"/>
        <v>0</v>
      </c>
      <c r="J110" s="6">
        <f t="shared" si="18"/>
        <v>0</v>
      </c>
    </row>
    <row r="111" spans="1:12">
      <c r="A111" s="6" t="str">
        <f>'1.1 Input'!B24</f>
        <v>Capitalised corporate overheads</v>
      </c>
      <c r="B111" s="6" t="str">
        <f t="shared" ref="B111:B115" si="19">$B$10</f>
        <v>2024/25</v>
      </c>
      <c r="C111" s="6"/>
      <c r="D111" s="6"/>
      <c r="E111" s="6">
        <f t="shared" si="17"/>
        <v>0</v>
      </c>
      <c r="F111" s="6">
        <f t="shared" si="17"/>
        <v>0</v>
      </c>
      <c r="G111" s="6">
        <f t="shared" si="17"/>
        <v>0</v>
      </c>
      <c r="H111" s="6">
        <f t="shared" si="17"/>
        <v>0</v>
      </c>
      <c r="I111" s="6">
        <f t="shared" si="17"/>
        <v>0</v>
      </c>
      <c r="J111" s="6">
        <f t="shared" si="18"/>
        <v>0</v>
      </c>
    </row>
    <row r="112" spans="1:12">
      <c r="A112" s="6" t="str">
        <f>'1.1 Input'!B25</f>
        <v>Non-network IT &amp; communications</v>
      </c>
      <c r="B112" s="6" t="str">
        <f t="shared" si="19"/>
        <v>2024/25</v>
      </c>
      <c r="C112" s="6"/>
      <c r="D112" s="6"/>
      <c r="E112" s="6">
        <f t="shared" si="17"/>
        <v>1.7520493191558952</v>
      </c>
      <c r="F112" s="6">
        <f t="shared" si="17"/>
        <v>1.1502978323178954</v>
      </c>
      <c r="G112" s="6">
        <f t="shared" si="17"/>
        <v>0.84136111155734616</v>
      </c>
      <c r="H112" s="6">
        <f t="shared" si="17"/>
        <v>1.1514643088802721</v>
      </c>
      <c r="I112" s="6">
        <f t="shared" si="17"/>
        <v>0.99297229646543284</v>
      </c>
      <c r="J112" s="6">
        <f t="shared" si="18"/>
        <v>5.8881448683768411</v>
      </c>
    </row>
    <row r="113" spans="1:12">
      <c r="A113" s="6" t="str">
        <f>'1.1 Input'!B26</f>
        <v>Non-network motor vehicle expenditure</v>
      </c>
      <c r="B113" s="6" t="str">
        <f t="shared" si="19"/>
        <v>2024/25</v>
      </c>
      <c r="C113" s="6"/>
      <c r="D113" s="6"/>
      <c r="E113" s="6">
        <f t="shared" si="17"/>
        <v>0</v>
      </c>
      <c r="F113" s="6">
        <f t="shared" si="17"/>
        <v>0</v>
      </c>
      <c r="G113" s="6">
        <f t="shared" si="17"/>
        <v>0</v>
      </c>
      <c r="H113" s="6">
        <f t="shared" si="17"/>
        <v>0</v>
      </c>
      <c r="I113" s="6">
        <f t="shared" si="17"/>
        <v>0</v>
      </c>
      <c r="J113" s="6">
        <f t="shared" si="18"/>
        <v>0</v>
      </c>
    </row>
    <row r="114" spans="1:12">
      <c r="A114" s="6" t="str">
        <f>'1.1 Input'!B27</f>
        <v>Non-network buildings and property expenditure</v>
      </c>
      <c r="B114" s="6" t="str">
        <f t="shared" si="19"/>
        <v>2024/25</v>
      </c>
      <c r="C114" s="6"/>
      <c r="D114" s="6"/>
      <c r="E114" s="6">
        <f t="shared" si="17"/>
        <v>1.7493599604286894</v>
      </c>
      <c r="F114" s="6">
        <f t="shared" si="17"/>
        <v>1.7493599604286894</v>
      </c>
      <c r="G114" s="6">
        <f t="shared" si="17"/>
        <v>0</v>
      </c>
      <c r="H114" s="6">
        <f t="shared" si="17"/>
        <v>0</v>
      </c>
      <c r="I114" s="6">
        <f t="shared" si="17"/>
        <v>0</v>
      </c>
      <c r="J114" s="6">
        <f t="shared" si="18"/>
        <v>3.4987199208573787</v>
      </c>
    </row>
    <row r="115" spans="1:12" ht="15.75" thickBot="1">
      <c r="A115" s="6" t="str">
        <f>'1.1 Input'!B28</f>
        <v>Non-network other</v>
      </c>
      <c r="B115" s="6" t="str">
        <f t="shared" si="19"/>
        <v>2024/25</v>
      </c>
      <c r="C115" s="6"/>
      <c r="D115" s="6"/>
      <c r="E115" s="6">
        <f t="shared" si="17"/>
        <v>0</v>
      </c>
      <c r="F115" s="6">
        <f t="shared" si="17"/>
        <v>0</v>
      </c>
      <c r="G115" s="6">
        <f t="shared" si="17"/>
        <v>0</v>
      </c>
      <c r="H115" s="6">
        <f t="shared" si="17"/>
        <v>0</v>
      </c>
      <c r="I115" s="6">
        <f t="shared" si="17"/>
        <v>0</v>
      </c>
      <c r="J115" s="6">
        <f t="shared" si="18"/>
        <v>0</v>
      </c>
    </row>
    <row r="116" spans="1:12" ht="16.5" thickTop="1" thickBot="1">
      <c r="A116" s="6" t="s">
        <v>2</v>
      </c>
      <c r="B116" s="6"/>
      <c r="C116" s="6"/>
      <c r="D116" s="6"/>
      <c r="E116" s="6">
        <f>SUM(E107:E115)</f>
        <v>18.489115074816304</v>
      </c>
      <c r="F116" s="6">
        <f t="shared" ref="F116:J116" si="20">SUM(F107:F115)</f>
        <v>10.327099675594905</v>
      </c>
      <c r="G116" s="6">
        <f t="shared" si="20"/>
        <v>4.0752013849888913</v>
      </c>
      <c r="H116" s="6">
        <f t="shared" si="20"/>
        <v>10.901610019209258</v>
      </c>
      <c r="I116" s="6">
        <f t="shared" si="20"/>
        <v>30.29203863121506</v>
      </c>
      <c r="J116" s="6">
        <f t="shared" si="20"/>
        <v>74.085064785824429</v>
      </c>
      <c r="L116" s="30">
        <f>J116-J102</f>
        <v>0</v>
      </c>
    </row>
    <row r="117" spans="1:12" ht="15.75" thickTop="1">
      <c r="A117">
        <v>0</v>
      </c>
    </row>
    <row r="118" spans="1:12" ht="16.5">
      <c r="A118" s="4" t="s">
        <v>122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>
      <c r="A119" s="3" t="s">
        <v>3</v>
      </c>
      <c r="B119" s="3" t="s">
        <v>121</v>
      </c>
      <c r="C119" s="3"/>
      <c r="D119" s="3"/>
      <c r="E119" s="3" t="str">
        <f>E105</f>
        <v>2025/26</v>
      </c>
      <c r="F119" s="3" t="str">
        <f t="shared" ref="F119:J119" si="21">F105</f>
        <v>2026/27</v>
      </c>
      <c r="G119" s="3" t="str">
        <f t="shared" si="21"/>
        <v>2027/28</v>
      </c>
      <c r="H119" s="3" t="str">
        <f t="shared" si="21"/>
        <v>2028/29</v>
      </c>
      <c r="I119" s="3" t="str">
        <f t="shared" si="21"/>
        <v>2029/30</v>
      </c>
      <c r="J119" s="3" t="str">
        <f t="shared" si="21"/>
        <v>Total</v>
      </c>
      <c r="K119" s="3"/>
      <c r="L119" s="3"/>
    </row>
    <row r="121" spans="1:12">
      <c r="A121" s="6" t="str" cm="1">
        <f t="array" ref="A121">_xlfn.IFNA(INDEX('1.0 Data'!$D$9:$D$36,MATCH(0,COUNTIF($A$117:A119,'1.0 Data'!$D$9:$D$36),0)),"")</f>
        <v>End of Life Replacement</v>
      </c>
      <c r="B121" s="6" t="str">
        <f>B107</f>
        <v>2024/25</v>
      </c>
      <c r="C121" s="6"/>
      <c r="D121" s="6"/>
      <c r="E121" s="6">
        <f t="shared" ref="E121:I129" si="22">SUMIF($L$10:$L$34,$A121,E$10:E$34)</f>
        <v>7.9299140299674757</v>
      </c>
      <c r="F121" s="6">
        <f t="shared" si="22"/>
        <v>7.1860341886503676</v>
      </c>
      <c r="G121" s="6">
        <f t="shared" si="22"/>
        <v>3.1131364263325692</v>
      </c>
      <c r="H121" s="6">
        <f t="shared" si="22"/>
        <v>8.507874070500586</v>
      </c>
      <c r="I121" s="6">
        <f t="shared" si="22"/>
        <v>18.476071218838523</v>
      </c>
      <c r="J121" s="6">
        <f>SUM(E121:I121)</f>
        <v>45.213029934289523</v>
      </c>
    </row>
    <row r="122" spans="1:12">
      <c r="A122" s="6" t="str" cm="1">
        <f t="array" ref="A122">_xlfn.IFNA(INDEX('1.0 Data'!$D$9:$D$36,MATCH(0,COUNTIF($A$117:A121,'1.0 Data'!$D$9:$D$36),0)),"")</f>
        <v>Stay in Business</v>
      </c>
      <c r="B122" s="6" t="str">
        <f>B121</f>
        <v>2024/25</v>
      </c>
      <c r="C122" s="6"/>
      <c r="D122" s="6"/>
      <c r="E122" s="6">
        <f t="shared" si="22"/>
        <v>6.0351923549488054E-2</v>
      </c>
      <c r="F122" s="6">
        <f t="shared" si="22"/>
        <v>0.24140769419795222</v>
      </c>
      <c r="G122" s="6">
        <f t="shared" si="22"/>
        <v>0.12070384709897611</v>
      </c>
      <c r="H122" s="6">
        <f t="shared" si="22"/>
        <v>0.25347807890784979</v>
      </c>
      <c r="I122" s="6">
        <f t="shared" si="22"/>
        <v>0</v>
      </c>
      <c r="J122" s="6">
        <f t="shared" ref="J122:J129" si="23">SUM(E122:I122)</f>
        <v>0.67594154375426618</v>
      </c>
    </row>
    <row r="123" spans="1:12">
      <c r="A123" s="6" t="str" cm="1">
        <f t="array" ref="A123">_xlfn.IFNA(INDEX('1.0 Data'!$D$9:$D$36,MATCH(0,COUNTIF($A$117:A122,'1.0 Data'!$D$9:$D$36),0)),"")</f>
        <v>Subsea Cable Repair Strategy</v>
      </c>
      <c r="B123" s="6" t="str">
        <f t="shared" ref="B123:B129" si="24">B122</f>
        <v>2024/25</v>
      </c>
      <c r="C123" s="6"/>
      <c r="D123" s="6"/>
      <c r="E123" s="6">
        <f t="shared" si="22"/>
        <v>0</v>
      </c>
      <c r="F123" s="6">
        <f t="shared" si="22"/>
        <v>0</v>
      </c>
      <c r="G123" s="6">
        <f t="shared" si="22"/>
        <v>0</v>
      </c>
      <c r="H123" s="6">
        <f t="shared" si="22"/>
        <v>0.98879356092055048</v>
      </c>
      <c r="I123" s="6">
        <f t="shared" si="22"/>
        <v>10.822995115911107</v>
      </c>
      <c r="J123" s="6">
        <f t="shared" si="23"/>
        <v>11.811788676831657</v>
      </c>
    </row>
    <row r="124" spans="1:12">
      <c r="A124" s="6" t="str" cm="1">
        <f t="array" ref="A124">_xlfn.IFNA(INDEX('1.0 Data'!$D$9:$D$36,MATCH(0,COUNTIF($A$117:A123,'1.0 Data'!$D$9:$D$36),0)),"")</f>
        <v>Ambient Temperature Project</v>
      </c>
      <c r="B124" s="6" t="str">
        <f t="shared" si="24"/>
        <v>2024/25</v>
      </c>
      <c r="C124" s="6"/>
      <c r="D124" s="6"/>
      <c r="E124" s="6">
        <f t="shared" si="22"/>
        <v>6.9974398417147574</v>
      </c>
      <c r="F124" s="6">
        <f t="shared" si="22"/>
        <v>0</v>
      </c>
      <c r="G124" s="6">
        <f t="shared" si="22"/>
        <v>0</v>
      </c>
      <c r="H124" s="6">
        <f t="shared" si="22"/>
        <v>0</v>
      </c>
      <c r="I124" s="6">
        <f t="shared" si="22"/>
        <v>0</v>
      </c>
      <c r="J124" s="6">
        <f t="shared" si="23"/>
        <v>6.9974398417147574</v>
      </c>
    </row>
    <row r="125" spans="1:12">
      <c r="A125" s="6" t="str" cm="1">
        <f t="array" ref="A125">_xlfn.IFNA(INDEX('1.0 Data'!$D$9:$D$36,MATCH(0,COUNTIF($A$117:A124,'1.0 Data'!$D$9:$D$36),0)),"")</f>
        <v>Basslink IT/OT</v>
      </c>
      <c r="B125" s="6" t="str">
        <f t="shared" si="24"/>
        <v>2024/25</v>
      </c>
      <c r="C125" s="6"/>
      <c r="D125" s="6"/>
      <c r="E125" s="6">
        <f t="shared" si="22"/>
        <v>0.50836400450057717</v>
      </c>
      <c r="F125" s="6">
        <f t="shared" si="22"/>
        <v>0.23324799472382526</v>
      </c>
      <c r="G125" s="6">
        <f t="shared" si="22"/>
        <v>0.17493600770526868</v>
      </c>
      <c r="H125" s="6">
        <f t="shared" si="22"/>
        <v>0.48503920502819464</v>
      </c>
      <c r="I125" s="6">
        <f t="shared" si="22"/>
        <v>0.32654719261335535</v>
      </c>
      <c r="J125" s="6">
        <f t="shared" si="23"/>
        <v>1.7281344045712212</v>
      </c>
    </row>
    <row r="126" spans="1:12">
      <c r="A126" s="6" t="str" cm="1">
        <f t="array" ref="A126">_xlfn.IFNA(INDEX('1.0 Data'!$D$9:$D$36,MATCH(0,COUNTIF($A$117:A125,'1.0 Data'!$D$9:$D$36),0)),"")</f>
        <v>APA IT</v>
      </c>
      <c r="B126" s="6" t="str">
        <f t="shared" si="24"/>
        <v>2024/25</v>
      </c>
      <c r="C126" s="6"/>
      <c r="D126" s="6"/>
      <c r="E126" s="6">
        <f t="shared" si="22"/>
        <v>0.22702393647708133</v>
      </c>
      <c r="F126" s="6">
        <f t="shared" si="22"/>
        <v>4.3940116737499611E-2</v>
      </c>
      <c r="G126" s="6">
        <f t="shared" si="22"/>
        <v>4.3940116737499611E-2</v>
      </c>
      <c r="H126" s="6">
        <f t="shared" si="22"/>
        <v>4.3940116737499611E-2</v>
      </c>
      <c r="I126" s="6">
        <f t="shared" si="22"/>
        <v>4.3940116737499611E-2</v>
      </c>
      <c r="J126" s="6">
        <f t="shared" si="23"/>
        <v>0.40278440342707972</v>
      </c>
    </row>
    <row r="127" spans="1:12">
      <c r="A127" s="6" t="str" cm="1">
        <f t="array" ref="A127">_xlfn.IFNA(INDEX('1.0 Data'!$D$9:$D$36,MATCH(0,COUNTIF($A$117:A126,'1.0 Data'!$D$9:$D$36),0)),"")</f>
        <v>SOCI</v>
      </c>
      <c r="B127" s="6" t="str">
        <f t="shared" si="24"/>
        <v>2024/25</v>
      </c>
      <c r="C127" s="6"/>
      <c r="D127" s="6"/>
      <c r="E127" s="6">
        <f t="shared" si="22"/>
        <v>1.0166613781782368</v>
      </c>
      <c r="F127" s="6">
        <f t="shared" si="22"/>
        <v>0.87310972085657057</v>
      </c>
      <c r="G127" s="6">
        <f t="shared" si="22"/>
        <v>0.62248498711457789</v>
      </c>
      <c r="H127" s="6">
        <f t="shared" si="22"/>
        <v>0.62248498711457789</v>
      </c>
      <c r="I127" s="6">
        <f t="shared" si="22"/>
        <v>0.62248498711457789</v>
      </c>
      <c r="J127" s="6">
        <f t="shared" si="23"/>
        <v>3.7572260603785406</v>
      </c>
    </row>
    <row r="128" spans="1:12">
      <c r="A128" s="6" t="str" cm="1">
        <f t="array" ref="A128">_xlfn.IFNA(INDEX('1.0 Data'!$D$9:$D$36,MATCH(0,COUNTIF($A$117:A127,'1.0 Data'!$D$9:$D$36),0)),"")</f>
        <v>Physical Security and Natural Hazards</v>
      </c>
      <c r="B128" s="6" t="str">
        <f t="shared" si="24"/>
        <v>2024/25</v>
      </c>
      <c r="C128" s="6"/>
      <c r="D128" s="6"/>
      <c r="E128" s="6">
        <f t="shared" si="22"/>
        <v>1.7493599604286894</v>
      </c>
      <c r="F128" s="6">
        <f t="shared" si="22"/>
        <v>1.7493599604286894</v>
      </c>
      <c r="G128" s="6">
        <f t="shared" si="22"/>
        <v>0</v>
      </c>
      <c r="H128" s="6">
        <f t="shared" si="22"/>
        <v>0</v>
      </c>
      <c r="I128" s="6">
        <f t="shared" si="22"/>
        <v>0</v>
      </c>
      <c r="J128" s="6">
        <f t="shared" si="23"/>
        <v>3.4987199208573787</v>
      </c>
    </row>
    <row r="129" spans="1:12" ht="15.75" thickBot="1">
      <c r="A129" s="6" t="str" cm="1">
        <f t="array" ref="A129">_xlfn.IFNA(INDEX('1.0 Data'!$D$9:$D$36,MATCH(0,COUNTIF($A$117:A128,'1.0 Data'!$D$9:$D$36),0)),"")</f>
        <v/>
      </c>
      <c r="B129" s="6" t="str">
        <f t="shared" si="24"/>
        <v>2024/25</v>
      </c>
      <c r="C129" s="6"/>
      <c r="D129" s="6"/>
      <c r="E129" s="6">
        <f t="shared" si="22"/>
        <v>0</v>
      </c>
      <c r="F129" s="6">
        <f t="shared" si="22"/>
        <v>0</v>
      </c>
      <c r="G129" s="6">
        <f t="shared" si="22"/>
        <v>0</v>
      </c>
      <c r="H129" s="6">
        <f t="shared" si="22"/>
        <v>0</v>
      </c>
      <c r="I129" s="6">
        <f t="shared" si="22"/>
        <v>0</v>
      </c>
      <c r="J129" s="6">
        <f t="shared" si="23"/>
        <v>0</v>
      </c>
    </row>
    <row r="130" spans="1:12" ht="16.5" thickTop="1" thickBot="1">
      <c r="A130" s="6" t="s">
        <v>2</v>
      </c>
      <c r="B130" s="6" t="str">
        <f>B129</f>
        <v>2024/25</v>
      </c>
      <c r="C130" s="6"/>
      <c r="D130" s="6"/>
      <c r="E130" s="6">
        <f>SUM(E121:E129)</f>
        <v>18.489115074816308</v>
      </c>
      <c r="F130" s="6">
        <f t="shared" ref="F130:J130" si="25">SUM(F121:F129)</f>
        <v>10.327099675594905</v>
      </c>
      <c r="G130" s="6">
        <f t="shared" si="25"/>
        <v>4.0752013849888913</v>
      </c>
      <c r="H130" s="6">
        <f t="shared" si="25"/>
        <v>10.901610019209258</v>
      </c>
      <c r="I130" s="6">
        <f t="shared" si="25"/>
        <v>30.292038631215064</v>
      </c>
      <c r="J130" s="6">
        <f t="shared" si="25"/>
        <v>74.085064785824414</v>
      </c>
      <c r="L130" s="30">
        <f>J130-J5</f>
        <v>0</v>
      </c>
    </row>
    <row r="131" spans="1:12" ht="15.75" thickTop="1"/>
    <row r="132" spans="1:12" ht="19.5">
      <c r="A132" s="2" t="s">
        <v>123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3" t="s">
        <v>6</v>
      </c>
      <c r="B133" s="3" t="s">
        <v>121</v>
      </c>
      <c r="C133" s="3" t="s">
        <v>4</v>
      </c>
      <c r="D133" s="3" t="s">
        <v>8</v>
      </c>
      <c r="E133" s="3" t="str">
        <f>E105</f>
        <v>2025/26</v>
      </c>
      <c r="F133" s="3" t="str">
        <f>F105</f>
        <v>2026/27</v>
      </c>
      <c r="G133" s="3" t="str">
        <f>G105</f>
        <v>2027/28</v>
      </c>
      <c r="H133" s="3" t="str">
        <f>H105</f>
        <v>2028/29</v>
      </c>
      <c r="I133" s="3" t="str">
        <f>I105</f>
        <v>2029/30</v>
      </c>
      <c r="J133" s="3" t="s">
        <v>2</v>
      </c>
      <c r="K133" s="3"/>
      <c r="L133" s="3"/>
    </row>
    <row r="135" spans="1:12">
      <c r="A135" s="6" t="str">
        <f>'1.0 Data'!A44</f>
        <v>Reactor DC Refurbishment</v>
      </c>
      <c r="B135" s="6" t="str">
        <f>'1.0 Data'!B44</f>
        <v>2022/23</v>
      </c>
      <c r="C135" s="6" t="str">
        <f>'1.0 Data'!E44</f>
        <v>SMOOTHING REACTOR</v>
      </c>
      <c r="D135" s="6" t="str">
        <f>'1.0 Data'!F44</f>
        <v>Replacement expenditure</v>
      </c>
      <c r="E135" s="6">
        <f>IF('1.0 Data'!$T9="As incurred",E10,IF('1.0 Data'!$T9=E$133,SUM($E10:E10),0))</f>
        <v>0</v>
      </c>
      <c r="F135" s="6">
        <f>IF('1.0 Data'!$T9="As incurred",F10,IF('1.0 Data'!$T9=F$133,SUM($E10:F10),0))</f>
        <v>0.78440437620177073</v>
      </c>
      <c r="G135" s="6">
        <f>IF('1.0 Data'!$T9="As incurred",G10,IF('1.0 Data'!$T9=G$133,SUM($E10:G10),0))</f>
        <v>0</v>
      </c>
      <c r="H135" s="6">
        <f>IF('1.0 Data'!$T9="As incurred",H10,IF('1.0 Data'!$T9=H$133,SUM($E10:H10),0))</f>
        <v>0</v>
      </c>
      <c r="I135" s="6">
        <f>IF('1.0 Data'!$T9="As incurred",I10,IF('1.0 Data'!$T9=I$133,SUM($E10:I10),0))</f>
        <v>0</v>
      </c>
      <c r="J135" s="6">
        <f t="shared" ref="J135:J153" si="26">SUM(E135:I135)</f>
        <v>0.78440437620177073</v>
      </c>
      <c r="L135" t="b">
        <f t="shared" ref="L135:L155" si="27">J135=J10</f>
        <v>1</v>
      </c>
    </row>
    <row r="136" spans="1:12">
      <c r="A136" s="6" t="str">
        <f>'1.0 Data'!A45</f>
        <v>Control &amp; Protection - System Renewal</v>
      </c>
      <c r="B136" s="6" t="str">
        <f>'1.0 Data'!B45</f>
        <v>2022/23</v>
      </c>
      <c r="C136" s="6" t="str">
        <f>'1.0 Data'!E45</f>
        <v>CONTROL SYSTEM</v>
      </c>
      <c r="D136" s="6" t="str">
        <f>'1.0 Data'!F45</f>
        <v>Replacement expenditure</v>
      </c>
      <c r="E136" s="6">
        <f>IF('1.0 Data'!$T10="As incurred",E11,IF('1.0 Data'!$T10=E$133,SUM($E11:E11),0))</f>
        <v>0</v>
      </c>
      <c r="F136" s="6">
        <f>IF('1.0 Data'!$T10="As incurred",F11,IF('1.0 Data'!$T10=F$133,SUM($E11:F11),0))</f>
        <v>0</v>
      </c>
      <c r="G136" s="6">
        <f>IF('1.0 Data'!$T10="As incurred",G11,IF('1.0 Data'!$T10=G$133,SUM($E11:G11),0))</f>
        <v>0</v>
      </c>
      <c r="H136" s="6">
        <f>IF('1.0 Data'!$T10="As incurred",H11,IF('1.0 Data'!$T10=H$133,SUM($E11:H11),0))</f>
        <v>0</v>
      </c>
      <c r="I136" s="6">
        <f>IF('1.0 Data'!$T10="As incurred",I11,IF('1.0 Data'!$T10=I$133,SUM($E11:I11),0))</f>
        <v>44.176579000967749</v>
      </c>
      <c r="J136" s="6">
        <f t="shared" si="26"/>
        <v>44.176579000967749</v>
      </c>
      <c r="L136" t="b">
        <f t="shared" si="27"/>
        <v>1</v>
      </c>
    </row>
    <row r="137" spans="1:12">
      <c r="A137" s="6" t="str">
        <f>'1.0 Data'!A46</f>
        <v>Spares</v>
      </c>
      <c r="B137" s="6" t="str">
        <f>'1.0 Data'!B46</f>
        <v>2020/21</v>
      </c>
      <c r="C137" s="6" t="str">
        <f>'1.0 Data'!E46</f>
        <v>SWITCHYARD COMPONENTS</v>
      </c>
      <c r="D137" s="6" t="str">
        <f>'1.0 Data'!F46</f>
        <v>Replacement expenditure</v>
      </c>
      <c r="E137" s="6">
        <f>IF('1.0 Data'!$T11="As incurred",E12,IF('1.0 Data'!$T11=E$133,SUM($E12:E12),0))</f>
        <v>6.0351923549488054E-2</v>
      </c>
      <c r="F137" s="6">
        <f>IF('1.0 Data'!$T11="As incurred",F12,IF('1.0 Data'!$T11=F$133,SUM($E12:F12),0))</f>
        <v>0.24140769419795222</v>
      </c>
      <c r="G137" s="6">
        <f>IF('1.0 Data'!$T11="As incurred",G12,IF('1.0 Data'!$T11=G$133,SUM($E12:G12),0))</f>
        <v>0.12070384709897611</v>
      </c>
      <c r="H137" s="6">
        <f>IF('1.0 Data'!$T11="As incurred",H12,IF('1.0 Data'!$T11=H$133,SUM($E12:H12),0))</f>
        <v>0.25347807890784979</v>
      </c>
      <c r="I137" s="6">
        <f>IF('1.0 Data'!$T11="As incurred",I12,IF('1.0 Data'!$T11=I$133,SUM($E12:I12),0))</f>
        <v>0</v>
      </c>
      <c r="J137" s="6">
        <f t="shared" si="26"/>
        <v>0.67594154375426618</v>
      </c>
      <c r="L137" t="b">
        <f t="shared" si="27"/>
        <v>1</v>
      </c>
    </row>
    <row r="138" spans="1:12">
      <c r="A138" s="6" t="str">
        <f>'1.0 Data'!A47</f>
        <v>Subsea Cable Repair Strategy</v>
      </c>
      <c r="B138" s="6" t="str">
        <f>'1.0 Data'!B47</f>
        <v>2020/21</v>
      </c>
      <c r="C138" s="6" t="str">
        <f>'1.0 Data'!E47</f>
        <v>CABLE</v>
      </c>
      <c r="D138" s="6" t="str">
        <f>'1.0 Data'!F47</f>
        <v>Replacement expenditure</v>
      </c>
      <c r="E138" s="6">
        <f>IF('1.0 Data'!$T12="As incurred",E13,IF('1.0 Data'!$T12=E$133,SUM($E13:E13),0))</f>
        <v>0</v>
      </c>
      <c r="F138" s="6">
        <f>IF('1.0 Data'!$T12="As incurred",F13,IF('1.0 Data'!$T12=F$133,SUM($E13:F13),0))</f>
        <v>0</v>
      </c>
      <c r="G138" s="6">
        <f>IF('1.0 Data'!$T12="As incurred",G13,IF('1.0 Data'!$T12=G$133,SUM($E13:G13),0))</f>
        <v>0</v>
      </c>
      <c r="H138" s="6">
        <f>IF('1.0 Data'!$T12="As incurred",H13,IF('1.0 Data'!$T12=H$133,SUM($E13:H13),0))</f>
        <v>0.98879356092055048</v>
      </c>
      <c r="I138" s="6">
        <f>IF('1.0 Data'!$T12="As incurred",I13,IF('1.0 Data'!$T12=I$133,SUM($E13:I13),0))</f>
        <v>10.822995115911107</v>
      </c>
      <c r="J138" s="6">
        <f t="shared" si="26"/>
        <v>11.811788676831657</v>
      </c>
      <c r="L138" t="b">
        <f t="shared" si="27"/>
        <v>1</v>
      </c>
    </row>
    <row r="139" spans="1:12">
      <c r="A139" s="6" t="str">
        <f>'1.0 Data'!A48</f>
        <v>Minor Plant and Equipment</v>
      </c>
      <c r="B139" s="6" t="str">
        <f>'1.0 Data'!B48</f>
        <v>2022/23</v>
      </c>
      <c r="C139" s="6" t="str">
        <f>'1.0 Data'!E48</f>
        <v>OTHER</v>
      </c>
      <c r="D139" s="6" t="str">
        <f>'1.0 Data'!F48</f>
        <v>Replacement expenditure</v>
      </c>
      <c r="E139" s="6">
        <f>IF('1.0 Data'!$T13="As incurred",E14,IF('1.0 Data'!$T13=E$133,SUM($E14:E14),0))</f>
        <v>5.0409311424E-2</v>
      </c>
      <c r="F139" s="6">
        <f>IF('1.0 Data'!$T13="As incurred",F14,IF('1.0 Data'!$T13=F$133,SUM($E14:F14),0))</f>
        <v>5.0409311424E-2</v>
      </c>
      <c r="G139" s="6">
        <f>IF('1.0 Data'!$T13="As incurred",G14,IF('1.0 Data'!$T13=G$133,SUM($E14:G14),0))</f>
        <v>5.0409311424E-2</v>
      </c>
      <c r="H139" s="6">
        <f>IF('1.0 Data'!$T13="As incurred",H14,IF('1.0 Data'!$T13=H$133,SUM($E14:H14),0))</f>
        <v>5.0409311424E-2</v>
      </c>
      <c r="I139" s="6">
        <f>IF('1.0 Data'!$T13="As incurred",I14,IF('1.0 Data'!$T13=I$133,SUM($E14:I14),0))</f>
        <v>5.0409311424E-2</v>
      </c>
      <c r="J139" s="6">
        <f t="shared" si="26"/>
        <v>0.25204655712000001</v>
      </c>
      <c r="L139" t="b">
        <f t="shared" si="27"/>
        <v>1</v>
      </c>
    </row>
    <row r="140" spans="1:12">
      <c r="A140" s="6" t="str">
        <f>'1.0 Data'!A49</f>
        <v>Ambient Temperature Project</v>
      </c>
      <c r="B140" s="6" t="str">
        <f>'1.0 Data'!B49</f>
        <v>2021/22</v>
      </c>
      <c r="C140" s="6" t="str">
        <f>'1.0 Data'!E49</f>
        <v>SWITCHYARD COMPONENTS</v>
      </c>
      <c r="D140" s="6" t="str">
        <f>'1.0 Data'!F49</f>
        <v>Replacement expenditure</v>
      </c>
      <c r="E140" s="6">
        <f>IF('1.0 Data'!$T14="As incurred",E15,IF('1.0 Data'!$T14=E$133,SUM($E15:E15),0))</f>
        <v>6.9974398417147574</v>
      </c>
      <c r="F140" s="6">
        <f>IF('1.0 Data'!$T14="As incurred",F15,IF('1.0 Data'!$T14=F$133,SUM($E15:F15),0))</f>
        <v>0</v>
      </c>
      <c r="G140" s="6">
        <f>IF('1.0 Data'!$T14="As incurred",G15,IF('1.0 Data'!$T14=G$133,SUM($E15:G15),0))</f>
        <v>0</v>
      </c>
      <c r="H140" s="6">
        <f>IF('1.0 Data'!$T14="As incurred",H15,IF('1.0 Data'!$T14=H$133,SUM($E15:H15),0))</f>
        <v>0</v>
      </c>
      <c r="I140" s="6">
        <f>IF('1.0 Data'!$T14="As incurred",I15,IF('1.0 Data'!$T14=I$133,SUM($E15:I15),0))</f>
        <v>0</v>
      </c>
      <c r="J140" s="6">
        <f t="shared" si="26"/>
        <v>6.9974398417147574</v>
      </c>
      <c r="L140" t="b">
        <f t="shared" si="27"/>
        <v>1</v>
      </c>
    </row>
    <row r="141" spans="1:12">
      <c r="A141" s="6" t="str">
        <f>'1.0 Data'!A50</f>
        <v>Laptop</v>
      </c>
      <c r="B141" s="6" t="str">
        <f>'1.0 Data'!B50</f>
        <v>2021/22</v>
      </c>
      <c r="C141" s="6" t="str">
        <f>'1.0 Data'!E50</f>
        <v>OTHER</v>
      </c>
      <c r="D141" s="6" t="str">
        <f>'1.0 Data'!F50</f>
        <v>Non-network IT &amp; communications</v>
      </c>
      <c r="E141" s="6">
        <f>IF('1.0 Data'!$T15="As incurred",E16,IF('1.0 Data'!$T15=E$133,SUM($E16:E16),0))</f>
        <v>3.3704335237592746E-2</v>
      </c>
      <c r="F141" s="6">
        <f>IF('1.0 Data'!$T15="As incurred",F16,IF('1.0 Data'!$T15=F$133,SUM($E16:F16),0))</f>
        <v>0</v>
      </c>
      <c r="G141" s="6">
        <f>IF('1.0 Data'!$T15="As incurred",G16,IF('1.0 Data'!$T15=G$133,SUM($E16:G16),0))</f>
        <v>0</v>
      </c>
      <c r="H141" s="6">
        <f>IF('1.0 Data'!$T15="As incurred",H16,IF('1.0 Data'!$T15=H$133,SUM($E16:H16),0))</f>
        <v>3.3704335237592746E-2</v>
      </c>
      <c r="I141" s="6">
        <f>IF('1.0 Data'!$T15="As incurred",I16,IF('1.0 Data'!$T15=I$133,SUM($E16:I16),0))</f>
        <v>0</v>
      </c>
      <c r="J141" s="6">
        <f t="shared" si="26"/>
        <v>6.7408670475185492E-2</v>
      </c>
      <c r="L141" t="b">
        <f t="shared" si="27"/>
        <v>1</v>
      </c>
    </row>
    <row r="142" spans="1:12">
      <c r="A142" s="6" t="str">
        <f>'1.0 Data'!A51</f>
        <v>Phones</v>
      </c>
      <c r="B142" s="6" t="str">
        <f>'1.0 Data'!B51</f>
        <v>2021/22</v>
      </c>
      <c r="C142" s="6" t="str">
        <f>'1.0 Data'!E51</f>
        <v>OTHER</v>
      </c>
      <c r="D142" s="6" t="str">
        <f>'1.0 Data'!F51</f>
        <v>Non-network IT &amp; communications</v>
      </c>
      <c r="E142" s="6">
        <f>IF('1.0 Data'!$T16="As incurred",E17,IF('1.0 Data'!$T16=E$133,SUM($E17:E17),0))</f>
        <v>8.1636798153338838E-3</v>
      </c>
      <c r="F142" s="6">
        <f>IF('1.0 Data'!$T16="As incurred",F17,IF('1.0 Data'!$T16=F$133,SUM($E17:F17),0))</f>
        <v>0</v>
      </c>
      <c r="G142" s="6">
        <f>IF('1.0 Data'!$T16="As incurred",G17,IF('1.0 Data'!$T16=G$133,SUM($E17:G17),0))</f>
        <v>0</v>
      </c>
      <c r="H142" s="6">
        <f>IF('1.0 Data'!$T16="As incurred",H17,IF('1.0 Data'!$T16=H$133,SUM($E17:H17),0))</f>
        <v>8.1636798153338838E-3</v>
      </c>
      <c r="I142" s="6">
        <f>IF('1.0 Data'!$T16="As incurred",I17,IF('1.0 Data'!$T16=I$133,SUM($E17:I17),0))</f>
        <v>0</v>
      </c>
      <c r="J142" s="6">
        <f t="shared" si="26"/>
        <v>1.6327359630667768E-2</v>
      </c>
      <c r="L142" t="b">
        <f t="shared" si="27"/>
        <v>1</v>
      </c>
    </row>
    <row r="143" spans="1:12">
      <c r="A143" s="6" t="str">
        <f>'1.0 Data'!A52</f>
        <v>Video Conferencing Rooms</v>
      </c>
      <c r="B143" s="6" t="str">
        <f>'1.0 Data'!B52</f>
        <v>2021/22</v>
      </c>
      <c r="C143" s="6" t="str">
        <f>'1.0 Data'!E52</f>
        <v>OTHER</v>
      </c>
      <c r="D143" s="6" t="str">
        <f>'1.0 Data'!F52</f>
        <v>Non-network IT &amp; communications</v>
      </c>
      <c r="E143" s="6">
        <f>IF('1.0 Data'!$T17="As incurred",E18,IF('1.0 Data'!$T17=E$133,SUM($E18:E18),0))</f>
        <v>0</v>
      </c>
      <c r="F143" s="6">
        <f>IF('1.0 Data'!$T17="As incurred",F18,IF('1.0 Data'!$T17=F$133,SUM($E18:F18),0))</f>
        <v>0</v>
      </c>
      <c r="G143" s="6">
        <f>IF('1.0 Data'!$T17="As incurred",G18,IF('1.0 Data'!$T17=G$133,SUM($E18:G18),0))</f>
        <v>0</v>
      </c>
      <c r="H143" s="6">
        <f>IF('1.0 Data'!$T17="As incurred",H18,IF('1.0 Data'!$T17=H$133,SUM($E18:H18),0))</f>
        <v>8.1636798153338838E-2</v>
      </c>
      <c r="I143" s="6">
        <f>IF('1.0 Data'!$T17="As incurred",I18,IF('1.0 Data'!$T17=I$133,SUM($E18:I18),0))</f>
        <v>0</v>
      </c>
      <c r="J143" s="6">
        <f t="shared" si="26"/>
        <v>8.1636798153338838E-2</v>
      </c>
      <c r="L143" t="b">
        <f t="shared" si="27"/>
        <v>1</v>
      </c>
    </row>
    <row r="144" spans="1:12">
      <c r="A144" s="6" t="str">
        <f>'1.0 Data'!A53</f>
        <v>Printer</v>
      </c>
      <c r="B144" s="6" t="str">
        <f>'1.0 Data'!B53</f>
        <v>2021/22</v>
      </c>
      <c r="C144" s="6" t="str">
        <f>'1.0 Data'!E53</f>
        <v>OTHER</v>
      </c>
      <c r="D144" s="6" t="str">
        <f>'1.0 Data'!F53</f>
        <v>Non-network IT &amp; communications</v>
      </c>
      <c r="E144" s="6">
        <f>IF('1.0 Data'!$T18="As incurred",E19,IF('1.0 Data'!$T18=E$133,SUM($E19:E19),0))</f>
        <v>0</v>
      </c>
      <c r="F144" s="6">
        <f>IF('1.0 Data'!$T18="As incurred",F19,IF('1.0 Data'!$T18=F$133,SUM($E19:F19),0))</f>
        <v>0</v>
      </c>
      <c r="G144" s="6">
        <f>IF('1.0 Data'!$T18="As incurred",G19,IF('1.0 Data'!$T18=G$133,SUM($E19:G19),0))</f>
        <v>0</v>
      </c>
      <c r="H144" s="6">
        <f>IF('1.0 Data'!$T18="As incurred",H19,IF('1.0 Data'!$T18=H$133,SUM($E19:H19),0))</f>
        <v>1.1662399736191263E-2</v>
      </c>
      <c r="I144" s="6">
        <f>IF('1.0 Data'!$T18="As incurred",I19,IF('1.0 Data'!$T18=I$133,SUM($E19:I19),0))</f>
        <v>0</v>
      </c>
      <c r="J144" s="6">
        <f t="shared" si="26"/>
        <v>1.1662399736191263E-2</v>
      </c>
      <c r="L144" t="b">
        <f t="shared" si="27"/>
        <v>1</v>
      </c>
    </row>
    <row r="145" spans="1:12">
      <c r="A145" s="6" t="str">
        <f>'1.0 Data'!A54</f>
        <v>Enterprise Asset Management System Upgrade</v>
      </c>
      <c r="B145" s="6" t="str">
        <f>'1.0 Data'!B54</f>
        <v>2021/22</v>
      </c>
      <c r="C145" s="6" t="str">
        <f>'1.0 Data'!E54</f>
        <v>IN-HOUSE SOFTWARE</v>
      </c>
      <c r="D145" s="6" t="str">
        <f>'1.0 Data'!F54</f>
        <v>Non-network IT &amp; communications</v>
      </c>
      <c r="E145" s="6">
        <f>IF('1.0 Data'!$T19="As incurred",E20,IF('1.0 Data'!$T19=E$133,SUM($E20:E20),0))</f>
        <v>0.18308381973958171</v>
      </c>
      <c r="F145" s="6">
        <f>IF('1.0 Data'!$T19="As incurred",F20,IF('1.0 Data'!$T19=F$133,SUM($E20:F20),0))</f>
        <v>0</v>
      </c>
      <c r="G145" s="6">
        <f>IF('1.0 Data'!$T19="As incurred",G20,IF('1.0 Data'!$T19=G$133,SUM($E20:G20),0))</f>
        <v>0</v>
      </c>
      <c r="H145" s="6">
        <f>IF('1.0 Data'!$T19="As incurred",H20,IF('1.0 Data'!$T19=H$133,SUM($E20:H20),0))</f>
        <v>0</v>
      </c>
      <c r="I145" s="6">
        <f>IF('1.0 Data'!$T19="As incurred",I20,IF('1.0 Data'!$T19=I$133,SUM($E20:I20),0))</f>
        <v>0</v>
      </c>
      <c r="J145" s="6">
        <f t="shared" si="26"/>
        <v>0.18308381973958171</v>
      </c>
      <c r="L145" t="b">
        <f t="shared" si="27"/>
        <v>1</v>
      </c>
    </row>
    <row r="146" spans="1:12">
      <c r="A146" s="6" t="str">
        <f>'1.0 Data'!A55</f>
        <v>OT initial integration and standard asset integration</v>
      </c>
      <c r="B146" s="6" t="str">
        <f>'1.0 Data'!B55</f>
        <v>2021/22</v>
      </c>
      <c r="C146" s="6" t="str">
        <f>'1.0 Data'!E55</f>
        <v>OTHER</v>
      </c>
      <c r="D146" s="6" t="str">
        <f>'1.0 Data'!F55</f>
        <v>Non-network IT &amp; communications</v>
      </c>
      <c r="E146" s="6">
        <f>IF('1.0 Data'!$T20="As incurred",E21,IF('1.0 Data'!$T20=E$133,SUM($E21:E21),0))</f>
        <v>0</v>
      </c>
      <c r="F146" s="6">
        <f>IF('1.0 Data'!$T20="As incurred",F21,IF('1.0 Data'!$T20=F$133,SUM($E21:F21),0))</f>
        <v>0</v>
      </c>
      <c r="G146" s="6">
        <f>IF('1.0 Data'!$T20="As incurred",G21,IF('1.0 Data'!$T20=G$133,SUM($E21:G21),0))</f>
        <v>0</v>
      </c>
      <c r="H146" s="6">
        <f>IF('1.0 Data'!$T20="As incurred",H21,IF('1.0 Data'!$T20=H$133,SUM($E21:H21),0))</f>
        <v>0</v>
      </c>
      <c r="I146" s="6">
        <f>IF('1.0 Data'!$T20="As incurred",I21,IF('1.0 Data'!$T20=I$133,SUM($E21:I21),0))</f>
        <v>0.11662399736191263</v>
      </c>
      <c r="J146" s="6">
        <f t="shared" si="26"/>
        <v>0.11662399736191263</v>
      </c>
      <c r="L146" t="b">
        <f t="shared" si="27"/>
        <v>1</v>
      </c>
    </row>
    <row r="147" spans="1:12">
      <c r="A147" s="6" t="str">
        <f>'1.0 Data'!A56</f>
        <v>EMS basslink integration, Reliability / predictive monitoring</v>
      </c>
      <c r="B147" s="6" t="str">
        <f>'1.0 Data'!B56</f>
        <v>2021/22</v>
      </c>
      <c r="C147" s="6" t="str">
        <f>'1.0 Data'!E56</f>
        <v>OTHER</v>
      </c>
      <c r="D147" s="6" t="str">
        <f>'1.0 Data'!F56</f>
        <v>Non-network IT &amp; communications</v>
      </c>
      <c r="E147" s="6">
        <f>IF('1.0 Data'!$T21="As incurred",E22,IF('1.0 Data'!$T21=E$133,SUM($E22:E22),0))</f>
        <v>0.46649598944765053</v>
      </c>
      <c r="F147" s="6">
        <f>IF('1.0 Data'!$T21="As incurred",F22,IF('1.0 Data'!$T21=F$133,SUM($E22:F22),0))</f>
        <v>0.23324799472382526</v>
      </c>
      <c r="G147" s="6">
        <f>IF('1.0 Data'!$T21="As incurred",G22,IF('1.0 Data'!$T21=G$133,SUM($E22:G22),0))</f>
        <v>0</v>
      </c>
      <c r="H147" s="6">
        <f>IF('1.0 Data'!$T21="As incurred",H22,IF('1.0 Data'!$T21=H$133,SUM($E22:H22),0))</f>
        <v>0</v>
      </c>
      <c r="I147" s="6">
        <f>IF('1.0 Data'!$T21="As incurred",I22,IF('1.0 Data'!$T21=I$133,SUM($E22:I22),0))</f>
        <v>0</v>
      </c>
      <c r="J147" s="6">
        <f t="shared" si="26"/>
        <v>0.69974398417147576</v>
      </c>
      <c r="L147" t="b">
        <f t="shared" si="27"/>
        <v>1</v>
      </c>
    </row>
    <row r="148" spans="1:12">
      <c r="A148" s="6" t="str">
        <f>'1.0 Data'!A57</f>
        <v>OT Technology Capability uplift</v>
      </c>
      <c r="B148" s="6" t="str">
        <f>'1.0 Data'!B57</f>
        <v>2021/22</v>
      </c>
      <c r="C148" s="6" t="str">
        <f>'1.0 Data'!E57</f>
        <v>OTHER</v>
      </c>
      <c r="D148" s="6" t="str">
        <f>'1.0 Data'!F57</f>
        <v>Non-network IT &amp; communications</v>
      </c>
      <c r="E148" s="6">
        <f>IF('1.0 Data'!$T22="As incurred",E23,IF('1.0 Data'!$T22=E$133,SUM($E23:E23),0))</f>
        <v>4.3940116737499611E-2</v>
      </c>
      <c r="F148" s="6">
        <f>IF('1.0 Data'!$T22="As incurred",F23,IF('1.0 Data'!$T22=F$133,SUM($E23:F23),0))</f>
        <v>4.3940116737499611E-2</v>
      </c>
      <c r="G148" s="6">
        <f>IF('1.0 Data'!$T22="As incurred",G23,IF('1.0 Data'!$T22=G$133,SUM($E23:G23),0))</f>
        <v>4.3940116737499611E-2</v>
      </c>
      <c r="H148" s="6">
        <f>IF('1.0 Data'!$T22="As incurred",H23,IF('1.0 Data'!$T22=H$133,SUM($E23:H23),0))</f>
        <v>4.3940116737499611E-2</v>
      </c>
      <c r="I148" s="6">
        <f>IF('1.0 Data'!$T22="As incurred",I23,IF('1.0 Data'!$T22=I$133,SUM($E23:I23),0))</f>
        <v>4.3940116737499611E-2</v>
      </c>
      <c r="J148" s="6">
        <f t="shared" si="26"/>
        <v>0.21970058368749806</v>
      </c>
      <c r="L148" t="b">
        <f t="shared" si="27"/>
        <v>1</v>
      </c>
    </row>
    <row r="149" spans="1:12">
      <c r="A149" s="6" t="str">
        <f>'1.0 Data'!A58</f>
        <v>Asset Integration</v>
      </c>
      <c r="B149" s="6" t="str">
        <f>'1.0 Data'!B58</f>
        <v>2021/22</v>
      </c>
      <c r="C149" s="6" t="str">
        <f>'1.0 Data'!E58</f>
        <v>OTHER</v>
      </c>
      <c r="D149" s="6" t="str">
        <f>'1.0 Data'!F58</f>
        <v>Non-network IT &amp; communications</v>
      </c>
      <c r="E149" s="6">
        <f>IF('1.0 Data'!$T23="As incurred",E24,IF('1.0 Data'!$T23=E$133,SUM($E24:E24),0))</f>
        <v>0</v>
      </c>
      <c r="F149" s="6">
        <f>IF('1.0 Data'!$T23="As incurred",F24,IF('1.0 Data'!$T23=F$133,SUM($E24:F24),0))</f>
        <v>0</v>
      </c>
      <c r="G149" s="6">
        <f>IF('1.0 Data'!$T23="As incurred",G24,IF('1.0 Data'!$T23=G$133,SUM($E24:G24),0))</f>
        <v>0</v>
      </c>
      <c r="H149" s="6">
        <f>IF('1.0 Data'!$T23="As incurred",H24,IF('1.0 Data'!$T23=H$133,SUM($E24:H24),0))</f>
        <v>0</v>
      </c>
      <c r="I149" s="6">
        <f>IF('1.0 Data'!$T23="As incurred",I24,IF('1.0 Data'!$T23=I$133,SUM($E24:I24),0))</f>
        <v>3.4987199208573787E-2</v>
      </c>
      <c r="J149" s="6">
        <f t="shared" si="26"/>
        <v>3.4987199208573787E-2</v>
      </c>
      <c r="L149" t="b">
        <f t="shared" si="27"/>
        <v>1</v>
      </c>
    </row>
    <row r="150" spans="1:12">
      <c r="A150" s="6" t="str">
        <f>'1.0 Data'!A59</f>
        <v>Program Management and Consultation</v>
      </c>
      <c r="B150" s="6" t="str">
        <f>'1.0 Data'!B59</f>
        <v>2021/22</v>
      </c>
      <c r="C150" s="6" t="str">
        <f>'1.0 Data'!E59</f>
        <v>OTHER</v>
      </c>
      <c r="D150" s="6" t="str">
        <f>'1.0 Data'!F59</f>
        <v>Non-network IT &amp; communications</v>
      </c>
      <c r="E150" s="6">
        <f>IF('1.0 Data'!$T24="As incurred",E25,IF('1.0 Data'!$T24=E$133,SUM($E25:E25),0))</f>
        <v>0</v>
      </c>
      <c r="F150" s="6">
        <f>IF('1.0 Data'!$T24="As incurred",F25,IF('1.0 Data'!$T24=F$133,SUM($E25:F25),0))</f>
        <v>0</v>
      </c>
      <c r="G150" s="6">
        <f>IF('1.0 Data'!$T24="As incurred",G25,IF('1.0 Data'!$T24=G$133,SUM($E25:G25),0))</f>
        <v>0.17493600770526868</v>
      </c>
      <c r="H150" s="6">
        <f>IF('1.0 Data'!$T24="As incurred",H25,IF('1.0 Data'!$T24=H$133,SUM($E25:H25),0))</f>
        <v>0.34987199208573788</v>
      </c>
      <c r="I150" s="6">
        <f>IF('1.0 Data'!$T24="As incurred",I25,IF('1.0 Data'!$T24=I$133,SUM($E25:I25),0))</f>
        <v>0.17493599604286894</v>
      </c>
      <c r="J150" s="6">
        <f t="shared" si="26"/>
        <v>0.69974399583387548</v>
      </c>
      <c r="L150" t="b">
        <f t="shared" si="27"/>
        <v>1</v>
      </c>
    </row>
    <row r="151" spans="1:12">
      <c r="A151" s="6" t="str">
        <f>'1.0 Data'!A60</f>
        <v>Cyber Security</v>
      </c>
      <c r="B151" s="6" t="str">
        <f>'1.0 Data'!B60</f>
        <v>2021/22</v>
      </c>
      <c r="C151" s="6" t="str">
        <f>'1.0 Data'!E60</f>
        <v>OTHER</v>
      </c>
      <c r="D151" s="6" t="str">
        <f>'1.0 Data'!F60</f>
        <v>Non-network IT &amp; communications</v>
      </c>
      <c r="E151" s="6">
        <f>IF('1.0 Data'!$T25="As incurred",E26,IF('1.0 Data'!$T25=E$133,SUM($E26:E26),0))</f>
        <v>0.90874214706538214</v>
      </c>
      <c r="F151" s="6">
        <f>IF('1.0 Data'!$T25="As incurred",F26,IF('1.0 Data'!$T25=F$133,SUM($E26:F26),0))</f>
        <v>0.87310972085657057</v>
      </c>
      <c r="G151" s="6">
        <f>IF('1.0 Data'!$T25="As incurred",G26,IF('1.0 Data'!$T25=G$133,SUM($E26:G26),0))</f>
        <v>0.54925145921874519</v>
      </c>
      <c r="H151" s="6">
        <f>IF('1.0 Data'!$T25="As incurred",H26,IF('1.0 Data'!$T25=H$133,SUM($E26:H26),0))</f>
        <v>0.54925145921874519</v>
      </c>
      <c r="I151" s="6">
        <f>IF('1.0 Data'!$T25="As incurred",I26,IF('1.0 Data'!$T25=I$133,SUM($E26:I26),0))</f>
        <v>0.54925145921874519</v>
      </c>
      <c r="J151" s="6">
        <f t="shared" si="26"/>
        <v>3.4296062455781882</v>
      </c>
      <c r="L151" t="b">
        <f t="shared" si="27"/>
        <v>1</v>
      </c>
    </row>
    <row r="152" spans="1:12">
      <c r="A152" s="6" t="str">
        <f>'1.0 Data'!A61</f>
        <v>Program Management and Material Risk</v>
      </c>
      <c r="B152" s="6" t="str">
        <f>'1.0 Data'!B61</f>
        <v>2021/22</v>
      </c>
      <c r="C152" s="6" t="str">
        <f>'1.0 Data'!E61</f>
        <v>OTHER</v>
      </c>
      <c r="D152" s="6" t="str">
        <f>'1.0 Data'!F61</f>
        <v>Non-network IT &amp; communications</v>
      </c>
      <c r="E152" s="6">
        <f>IF('1.0 Data'!$T26="As incurred",E27,IF('1.0 Data'!$T26=E$133,SUM($E27:E27),0))</f>
        <v>4.4276071441703375E-2</v>
      </c>
      <c r="F152" s="6">
        <f>IF('1.0 Data'!$T26="As incurred",F27,IF('1.0 Data'!$T26=F$133,SUM($E27:F27),0))</f>
        <v>0</v>
      </c>
      <c r="G152" s="6">
        <f>IF('1.0 Data'!$T26="As incurred",G27,IF('1.0 Data'!$T26=G$133,SUM($E27:G27),0))</f>
        <v>0</v>
      </c>
      <c r="H152" s="6">
        <f>IF('1.0 Data'!$T26="As incurred",H27,IF('1.0 Data'!$T26=H$133,SUM($E27:H27),0))</f>
        <v>0</v>
      </c>
      <c r="I152" s="6">
        <f>IF('1.0 Data'!$T26="As incurred",I27,IF('1.0 Data'!$T26=I$133,SUM($E27:I27),0))</f>
        <v>0</v>
      </c>
      <c r="J152" s="6">
        <f t="shared" si="26"/>
        <v>4.4276071441703375E-2</v>
      </c>
      <c r="L152" t="b">
        <f t="shared" si="27"/>
        <v>1</v>
      </c>
    </row>
    <row r="153" spans="1:12">
      <c r="A153" s="6" t="str">
        <f>'1.0 Data'!A62</f>
        <v>Enterprise Security Governance</v>
      </c>
      <c r="B153" s="6" t="str">
        <f>'1.0 Data'!B62</f>
        <v>2021/22</v>
      </c>
      <c r="C153" s="6" t="str">
        <f>'1.0 Data'!E62</f>
        <v>OTHER</v>
      </c>
      <c r="D153" s="6" t="str">
        <f>'1.0 Data'!F62</f>
        <v>Non-network IT &amp; communications</v>
      </c>
      <c r="E153" s="6">
        <f>IF('1.0 Data'!$T27="As incurred",E28,IF('1.0 Data'!$T27=E$133,SUM($E28:E28),0))</f>
        <v>3.1842278550168031E-2</v>
      </c>
      <c r="F153" s="6">
        <f>IF('1.0 Data'!$T27="As incurred",F28,IF('1.0 Data'!$T27=F$133,SUM($E28:F28),0))</f>
        <v>0</v>
      </c>
      <c r="G153" s="6">
        <f>IF('1.0 Data'!$T27="As incurred",G28,IF('1.0 Data'!$T27=G$133,SUM($E28:G28),0))</f>
        <v>7.3233527895832692E-2</v>
      </c>
      <c r="H153" s="6">
        <f>IF('1.0 Data'!$T27="As incurred",H28,IF('1.0 Data'!$T27=H$133,SUM($E28:H28),0))</f>
        <v>7.3233527895832692E-2</v>
      </c>
      <c r="I153" s="6">
        <f>IF('1.0 Data'!$T27="As incurred",I28,IF('1.0 Data'!$T27=I$133,SUM($E28:I28),0))</f>
        <v>7.3233527895832692E-2</v>
      </c>
      <c r="J153" s="6">
        <f t="shared" si="26"/>
        <v>0.25154286223766614</v>
      </c>
      <c r="L153" t="b">
        <f t="shared" si="27"/>
        <v>1</v>
      </c>
    </row>
    <row r="154" spans="1:12">
      <c r="A154" s="6" t="str">
        <f>'1.0 Data'!A63</f>
        <v>Supply Chain Security</v>
      </c>
      <c r="B154" s="6" t="str">
        <f>'1.0 Data'!B63</f>
        <v>2021/22</v>
      </c>
      <c r="C154" s="6" t="str">
        <f>'1.0 Data'!E63</f>
        <v>OTHER</v>
      </c>
      <c r="D154" s="6" t="str">
        <f>'1.0 Data'!F63</f>
        <v>Non-network IT &amp; communications</v>
      </c>
      <c r="E154" s="6">
        <f>IF('1.0 Data'!$T28="As incurred",E29,IF('1.0 Data'!$T28=E$133,SUM($E29:E29),0))</f>
        <v>3.1800881120983136E-2</v>
      </c>
      <c r="F154" s="6">
        <f>IF('1.0 Data'!$T28="As incurred",F29,IF('1.0 Data'!$T28=F$133,SUM($E29:F29),0))</f>
        <v>0</v>
      </c>
      <c r="G154" s="6">
        <f>IF('1.0 Data'!$T28="As incurred",G29,IF('1.0 Data'!$T28=G$133,SUM($E29:G29),0))</f>
        <v>0</v>
      </c>
      <c r="H154" s="6">
        <f>IF('1.0 Data'!$T28="As incurred",H29,IF('1.0 Data'!$T28=H$133,SUM($E29:H29),0))</f>
        <v>0</v>
      </c>
      <c r="I154" s="6">
        <f>IF('1.0 Data'!$T28="As incurred",I29,IF('1.0 Data'!$T28=I$133,SUM($E29:I29),0))</f>
        <v>0</v>
      </c>
      <c r="J154" s="6">
        <f t="shared" ref="J154" si="28">SUM(E154:I154)</f>
        <v>3.1800881120983136E-2</v>
      </c>
      <c r="L154" t="b">
        <f t="shared" si="27"/>
        <v>1</v>
      </c>
    </row>
    <row r="155" spans="1:12" ht="15.75" thickBot="1">
      <c r="A155" s="6" t="str">
        <f>'1.0 Data'!A64</f>
        <v>Physical Security and Natural Hazards</v>
      </c>
      <c r="B155" s="6" t="str">
        <f>'1.0 Data'!B64</f>
        <v>2021/22</v>
      </c>
      <c r="C155" s="6" t="str">
        <f>'1.0 Data'!E64</f>
        <v>BUILDING INSTALLATION</v>
      </c>
      <c r="D155" s="6" t="str">
        <f>'1.0 Data'!F64</f>
        <v>Non-network buildings and property expenditure</v>
      </c>
      <c r="E155" s="6">
        <f>IF('1.0 Data'!$T29="As incurred",E30,IF('1.0 Data'!$T29=E$133,SUM($E30:E30),0))</f>
        <v>1.7493599604286894</v>
      </c>
      <c r="F155" s="6">
        <f>IF('1.0 Data'!$T29="As incurred",F30,IF('1.0 Data'!$T29=F$133,SUM($E30:F30),0))</f>
        <v>1.7493599604286894</v>
      </c>
      <c r="G155" s="6">
        <f>IF('1.0 Data'!$T29="As incurred",G30,IF('1.0 Data'!$T29=G$133,SUM($E30:G30),0))</f>
        <v>0</v>
      </c>
      <c r="H155" s="6">
        <f>IF('1.0 Data'!$T29="As incurred",H30,IF('1.0 Data'!$T29=H$133,SUM($E30:H30),0))</f>
        <v>0</v>
      </c>
      <c r="I155" s="6">
        <f>IF('1.0 Data'!$T29="As incurred",I30,IF('1.0 Data'!$T29=I$133,SUM($E30:I30),0))</f>
        <v>0</v>
      </c>
      <c r="J155" s="6">
        <f t="shared" ref="J155" si="29">SUM(E155:I155)</f>
        <v>3.4987199208573787</v>
      </c>
      <c r="L155" t="b">
        <f t="shared" si="27"/>
        <v>1</v>
      </c>
    </row>
    <row r="156" spans="1:12" ht="16.5" thickTop="1" thickBot="1">
      <c r="A156" s="6" t="s">
        <v>2</v>
      </c>
      <c r="B156" s="6"/>
      <c r="C156" s="6"/>
      <c r="D156" s="6"/>
      <c r="E156" s="6">
        <f t="shared" ref="E156:J156" si="30">SUM(E135:E155)</f>
        <v>10.60961035627283</v>
      </c>
      <c r="F156" s="6">
        <f t="shared" si="30"/>
        <v>3.9758791745703075</v>
      </c>
      <c r="G156" s="6">
        <f t="shared" si="30"/>
        <v>1.0124742700803222</v>
      </c>
      <c r="H156" s="6">
        <f t="shared" si="30"/>
        <v>2.4441452601326721</v>
      </c>
      <c r="I156" s="6">
        <f t="shared" si="30"/>
        <v>56.042955724768284</v>
      </c>
      <c r="J156" s="6">
        <f t="shared" si="30"/>
        <v>74.085064785824429</v>
      </c>
      <c r="L156" s="30">
        <f>J156-J116</f>
        <v>0</v>
      </c>
    </row>
    <row r="157" spans="1:12" ht="15.75" thickTop="1"/>
    <row r="158" spans="1:12" ht="19.5">
      <c r="A158" s="2" t="str">
        <f>A78</f>
        <v>by Asset Class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3" t="s">
        <v>4</v>
      </c>
      <c r="B159" s="3" t="s">
        <v>121</v>
      </c>
      <c r="C159" s="3"/>
      <c r="D159" s="3"/>
      <c r="E159" s="3" t="str">
        <f>E133</f>
        <v>2025/26</v>
      </c>
      <c r="F159" s="3" t="str">
        <f>F133</f>
        <v>2026/27</v>
      </c>
      <c r="G159" s="3" t="str">
        <f>G133</f>
        <v>2027/28</v>
      </c>
      <c r="H159" s="3" t="str">
        <f>H133</f>
        <v>2028/29</v>
      </c>
      <c r="I159" s="3" t="str">
        <f>I133</f>
        <v>2029/30</v>
      </c>
      <c r="J159" s="3" t="s">
        <v>2</v>
      </c>
      <c r="K159" s="3"/>
      <c r="L159" s="3"/>
    </row>
    <row r="161" spans="1:10">
      <c r="A161" s="6" t="str">
        <f t="shared" ref="A161:A181" si="31">A81</f>
        <v>AC FILTERS</v>
      </c>
      <c r="B161" s="6" t="str">
        <f>IF(A161="","",$B$10)</f>
        <v>2024/25</v>
      </c>
      <c r="C161" s="6"/>
      <c r="D161" s="6"/>
      <c r="E161" s="6">
        <f t="shared" ref="E161:I170" si="32">IF($A161="",0,SUMIF($C$135:$C$156,$A161,E$135:E$156))</f>
        <v>0</v>
      </c>
      <c r="F161" s="6">
        <f t="shared" si="32"/>
        <v>0</v>
      </c>
      <c r="G161" s="6">
        <f t="shared" si="32"/>
        <v>0</v>
      </c>
      <c r="H161" s="6">
        <f t="shared" si="32"/>
        <v>0</v>
      </c>
      <c r="I161" s="6">
        <f t="shared" si="32"/>
        <v>0</v>
      </c>
      <c r="J161" s="6">
        <f t="shared" ref="J161" si="33">SUM(E161:I161)</f>
        <v>0</v>
      </c>
    </row>
    <row r="162" spans="1:10">
      <c r="A162" s="6" t="str">
        <f t="shared" si="31"/>
        <v>AC SWITCHYARD</v>
      </c>
      <c r="B162" s="6" t="str">
        <f t="shared" ref="B162:B175" si="34">IF(A162="","",$B$10)</f>
        <v>2024/25</v>
      </c>
      <c r="C162" s="6"/>
      <c r="D162" s="6"/>
      <c r="E162" s="6">
        <f t="shared" si="32"/>
        <v>0</v>
      </c>
      <c r="F162" s="6">
        <f t="shared" si="32"/>
        <v>0</v>
      </c>
      <c r="G162" s="6">
        <f t="shared" si="32"/>
        <v>0</v>
      </c>
      <c r="H162" s="6">
        <f t="shared" si="32"/>
        <v>0</v>
      </c>
      <c r="I162" s="6">
        <f t="shared" si="32"/>
        <v>0</v>
      </c>
      <c r="J162" s="6">
        <f t="shared" ref="J162:J175" si="35">SUM(E162:I162)</f>
        <v>0</v>
      </c>
    </row>
    <row r="163" spans="1:10">
      <c r="A163" s="6" t="str">
        <f t="shared" si="31"/>
        <v>AUXILIARY SYSTEMS</v>
      </c>
      <c r="B163" s="6" t="str">
        <f t="shared" si="34"/>
        <v>2024/25</v>
      </c>
      <c r="C163" s="6"/>
      <c r="D163" s="6"/>
      <c r="E163" s="6">
        <f t="shared" si="32"/>
        <v>0</v>
      </c>
      <c r="F163" s="6">
        <f t="shared" si="32"/>
        <v>0</v>
      </c>
      <c r="G163" s="6">
        <f t="shared" si="32"/>
        <v>0</v>
      </c>
      <c r="H163" s="6">
        <f t="shared" si="32"/>
        <v>0</v>
      </c>
      <c r="I163" s="6">
        <f t="shared" si="32"/>
        <v>0</v>
      </c>
      <c r="J163" s="6">
        <f t="shared" si="35"/>
        <v>0</v>
      </c>
    </row>
    <row r="164" spans="1:10">
      <c r="A164" s="6" t="str">
        <f t="shared" si="31"/>
        <v>CABLE</v>
      </c>
      <c r="B164" s="6" t="str">
        <f t="shared" si="34"/>
        <v>2024/25</v>
      </c>
      <c r="C164" s="6"/>
      <c r="D164" s="6"/>
      <c r="E164" s="6">
        <f t="shared" si="32"/>
        <v>0</v>
      </c>
      <c r="F164" s="6">
        <f t="shared" si="32"/>
        <v>0</v>
      </c>
      <c r="G164" s="6">
        <f t="shared" si="32"/>
        <v>0</v>
      </c>
      <c r="H164" s="6">
        <f t="shared" si="32"/>
        <v>0.98879356092055048</v>
      </c>
      <c r="I164" s="6">
        <f t="shared" si="32"/>
        <v>10.822995115911107</v>
      </c>
      <c r="J164" s="6">
        <f t="shared" si="35"/>
        <v>11.811788676831657</v>
      </c>
    </row>
    <row r="165" spans="1:10">
      <c r="A165" s="6" t="str">
        <f t="shared" si="31"/>
        <v>CONTROL SYSTEM</v>
      </c>
      <c r="B165" s="6" t="str">
        <f t="shared" si="34"/>
        <v>2024/25</v>
      </c>
      <c r="C165" s="6"/>
      <c r="D165" s="6"/>
      <c r="E165" s="6">
        <f t="shared" si="32"/>
        <v>0</v>
      </c>
      <c r="F165" s="6">
        <f t="shared" si="32"/>
        <v>0</v>
      </c>
      <c r="G165" s="6">
        <f t="shared" si="32"/>
        <v>0</v>
      </c>
      <c r="H165" s="6">
        <f t="shared" si="32"/>
        <v>0</v>
      </c>
      <c r="I165" s="6">
        <f t="shared" si="32"/>
        <v>44.176579000967749</v>
      </c>
      <c r="J165" s="6">
        <f t="shared" si="35"/>
        <v>44.176579000967749</v>
      </c>
    </row>
    <row r="166" spans="1:10">
      <c r="A166" s="6" t="str">
        <f t="shared" si="31"/>
        <v>CONVERTER TRANSFORMER</v>
      </c>
      <c r="B166" s="6" t="str">
        <f t="shared" si="34"/>
        <v>2024/25</v>
      </c>
      <c r="C166" s="6"/>
      <c r="D166" s="6"/>
      <c r="E166" s="6">
        <f t="shared" si="32"/>
        <v>0</v>
      </c>
      <c r="F166" s="6">
        <f t="shared" si="32"/>
        <v>0</v>
      </c>
      <c r="G166" s="6">
        <f t="shared" si="32"/>
        <v>0</v>
      </c>
      <c r="H166" s="6">
        <f t="shared" si="32"/>
        <v>0</v>
      </c>
      <c r="I166" s="6">
        <f t="shared" si="32"/>
        <v>0</v>
      </c>
      <c r="J166" s="6">
        <f t="shared" si="35"/>
        <v>0</v>
      </c>
    </row>
    <row r="167" spans="1:10">
      <c r="A167" s="6" t="str">
        <f t="shared" si="31"/>
        <v>DC FILTER</v>
      </c>
      <c r="B167" s="6" t="str">
        <f t="shared" si="34"/>
        <v>2024/25</v>
      </c>
      <c r="C167" s="6"/>
      <c r="D167" s="6"/>
      <c r="E167" s="6">
        <f t="shared" si="32"/>
        <v>0</v>
      </c>
      <c r="F167" s="6">
        <f t="shared" si="32"/>
        <v>0</v>
      </c>
      <c r="G167" s="6">
        <f t="shared" si="32"/>
        <v>0</v>
      </c>
      <c r="H167" s="6">
        <f t="shared" si="32"/>
        <v>0</v>
      </c>
      <c r="I167" s="6">
        <f t="shared" si="32"/>
        <v>0</v>
      </c>
      <c r="J167" s="6">
        <f t="shared" si="35"/>
        <v>0</v>
      </c>
    </row>
    <row r="168" spans="1:10">
      <c r="A168" s="6" t="str">
        <f t="shared" si="31"/>
        <v>DC SWITCHYARD</v>
      </c>
      <c r="B168" s="6" t="str">
        <f t="shared" si="34"/>
        <v>2024/25</v>
      </c>
      <c r="C168" s="6"/>
      <c r="D168" s="6"/>
      <c r="E168" s="6">
        <f t="shared" si="32"/>
        <v>0</v>
      </c>
      <c r="F168" s="6">
        <f t="shared" si="32"/>
        <v>0</v>
      </c>
      <c r="G168" s="6">
        <f t="shared" si="32"/>
        <v>0</v>
      </c>
      <c r="H168" s="6">
        <f t="shared" si="32"/>
        <v>0</v>
      </c>
      <c r="I168" s="6">
        <f t="shared" si="32"/>
        <v>0</v>
      </c>
      <c r="J168" s="6">
        <f t="shared" si="35"/>
        <v>0</v>
      </c>
    </row>
    <row r="169" spans="1:10">
      <c r="A169" s="6" t="str">
        <f t="shared" si="31"/>
        <v>EASEMENT</v>
      </c>
      <c r="B169" s="6" t="str">
        <f t="shared" si="34"/>
        <v>2024/25</v>
      </c>
      <c r="C169" s="6"/>
      <c r="D169" s="6"/>
      <c r="E169" s="6">
        <f t="shared" si="32"/>
        <v>0</v>
      </c>
      <c r="F169" s="6">
        <f t="shared" si="32"/>
        <v>0</v>
      </c>
      <c r="G169" s="6">
        <f t="shared" si="32"/>
        <v>0</v>
      </c>
      <c r="H169" s="6">
        <f t="shared" si="32"/>
        <v>0</v>
      </c>
      <c r="I169" s="6">
        <f t="shared" si="32"/>
        <v>0</v>
      </c>
      <c r="J169" s="6">
        <f t="shared" si="35"/>
        <v>0</v>
      </c>
    </row>
    <row r="170" spans="1:10">
      <c r="A170" s="6" t="str">
        <f t="shared" si="31"/>
        <v>FREEHOLD LAND</v>
      </c>
      <c r="B170" s="6" t="str">
        <f t="shared" si="34"/>
        <v>2024/25</v>
      </c>
      <c r="C170" s="6"/>
      <c r="D170" s="6"/>
      <c r="E170" s="6">
        <f t="shared" si="32"/>
        <v>0</v>
      </c>
      <c r="F170" s="6">
        <f t="shared" si="32"/>
        <v>0</v>
      </c>
      <c r="G170" s="6">
        <f t="shared" si="32"/>
        <v>0</v>
      </c>
      <c r="H170" s="6">
        <f t="shared" si="32"/>
        <v>0</v>
      </c>
      <c r="I170" s="6">
        <f t="shared" si="32"/>
        <v>0</v>
      </c>
      <c r="J170" s="6">
        <f t="shared" si="35"/>
        <v>0</v>
      </c>
    </row>
    <row r="171" spans="1:10">
      <c r="A171" s="6" t="str">
        <f t="shared" si="31"/>
        <v>MEASURING DEVICES</v>
      </c>
      <c r="B171" s="6" t="str">
        <f t="shared" si="34"/>
        <v>2024/25</v>
      </c>
      <c r="C171" s="6"/>
      <c r="D171" s="6"/>
      <c r="E171" s="6">
        <f t="shared" ref="E171:I181" si="36">IF($A171="",0,SUMIF($C$135:$C$156,$A171,E$135:E$156))</f>
        <v>0</v>
      </c>
      <c r="F171" s="6">
        <f t="shared" si="36"/>
        <v>0</v>
      </c>
      <c r="G171" s="6">
        <f t="shared" si="36"/>
        <v>0</v>
      </c>
      <c r="H171" s="6">
        <f t="shared" si="36"/>
        <v>0</v>
      </c>
      <c r="I171" s="6">
        <f t="shared" si="36"/>
        <v>0</v>
      </c>
      <c r="J171" s="6">
        <f t="shared" si="35"/>
        <v>0</v>
      </c>
    </row>
    <row r="172" spans="1:10">
      <c r="A172" s="6" t="str">
        <f t="shared" si="31"/>
        <v>MOTOR VEHICLES</v>
      </c>
      <c r="B172" s="6" t="str">
        <f t="shared" si="34"/>
        <v>2024/25</v>
      </c>
      <c r="C172" s="6"/>
      <c r="D172" s="6"/>
      <c r="E172" s="6">
        <f t="shared" si="36"/>
        <v>0</v>
      </c>
      <c r="F172" s="6">
        <f t="shared" si="36"/>
        <v>0</v>
      </c>
      <c r="G172" s="6">
        <f t="shared" si="36"/>
        <v>0</v>
      </c>
      <c r="H172" s="6">
        <f t="shared" si="36"/>
        <v>0</v>
      </c>
      <c r="I172" s="6">
        <f t="shared" si="36"/>
        <v>0</v>
      </c>
      <c r="J172" s="6">
        <f t="shared" si="35"/>
        <v>0</v>
      </c>
    </row>
    <row r="173" spans="1:10">
      <c r="A173" s="6" t="str">
        <f t="shared" si="31"/>
        <v>OTHER</v>
      </c>
      <c r="B173" s="6" t="str">
        <f t="shared" si="34"/>
        <v>2024/25</v>
      </c>
      <c r="C173" s="6"/>
      <c r="D173" s="6"/>
      <c r="E173" s="6">
        <f t="shared" si="36"/>
        <v>1.6193748108403134</v>
      </c>
      <c r="F173" s="6">
        <f t="shared" si="36"/>
        <v>1.2007071437418955</v>
      </c>
      <c r="G173" s="6">
        <f t="shared" si="36"/>
        <v>0.89177042298134612</v>
      </c>
      <c r="H173" s="6">
        <f t="shared" si="36"/>
        <v>1.2018736203042721</v>
      </c>
      <c r="I173" s="6">
        <f t="shared" si="36"/>
        <v>1.0433816078894329</v>
      </c>
      <c r="J173" s="6">
        <f t="shared" si="35"/>
        <v>5.9571076057572601</v>
      </c>
    </row>
    <row r="174" spans="1:10">
      <c r="A174" s="6" t="str">
        <f t="shared" si="31"/>
        <v>OVERHEAD LINES</v>
      </c>
      <c r="B174" s="6" t="str">
        <f t="shared" si="34"/>
        <v>2024/25</v>
      </c>
      <c r="C174" s="6"/>
      <c r="D174" s="6"/>
      <c r="E174" s="6">
        <f t="shared" si="36"/>
        <v>0</v>
      </c>
      <c r="F174" s="6">
        <f t="shared" si="36"/>
        <v>0</v>
      </c>
      <c r="G174" s="6">
        <f t="shared" si="36"/>
        <v>0</v>
      </c>
      <c r="H174" s="6">
        <f t="shared" si="36"/>
        <v>0</v>
      </c>
      <c r="I174" s="6">
        <f t="shared" si="36"/>
        <v>0</v>
      </c>
      <c r="J174" s="6">
        <f t="shared" si="35"/>
        <v>0</v>
      </c>
    </row>
    <row r="175" spans="1:10">
      <c r="A175" s="6" t="str">
        <f t="shared" si="31"/>
        <v>SMOOTHING REACTOR</v>
      </c>
      <c r="B175" s="6" t="str">
        <f t="shared" si="34"/>
        <v>2024/25</v>
      </c>
      <c r="C175" s="6"/>
      <c r="D175" s="6"/>
      <c r="E175" s="6">
        <f t="shared" si="36"/>
        <v>0</v>
      </c>
      <c r="F175" s="6">
        <f t="shared" si="36"/>
        <v>0.78440437620177073</v>
      </c>
      <c r="G175" s="6">
        <f t="shared" si="36"/>
        <v>0</v>
      </c>
      <c r="H175" s="6">
        <f t="shared" si="36"/>
        <v>0</v>
      </c>
      <c r="I175" s="6">
        <f t="shared" si="36"/>
        <v>0</v>
      </c>
      <c r="J175" s="6">
        <f t="shared" si="35"/>
        <v>0.78440437620177073</v>
      </c>
    </row>
    <row r="176" spans="1:10">
      <c r="A176" s="6" t="str">
        <f t="shared" si="31"/>
        <v>STATION POWER SUPPLY</v>
      </c>
      <c r="B176" s="6" t="str">
        <f t="shared" ref="B176:B179" si="37">IF(A176="","",$B$10)</f>
        <v>2024/25</v>
      </c>
      <c r="C176" s="6"/>
      <c r="D176" s="6"/>
      <c r="E176" s="6">
        <f t="shared" si="36"/>
        <v>0</v>
      </c>
      <c r="F176" s="6">
        <f t="shared" si="36"/>
        <v>0</v>
      </c>
      <c r="G176" s="6">
        <f t="shared" si="36"/>
        <v>0</v>
      </c>
      <c r="H176" s="6">
        <f t="shared" si="36"/>
        <v>0</v>
      </c>
      <c r="I176" s="6">
        <f t="shared" si="36"/>
        <v>0</v>
      </c>
      <c r="J176" s="6">
        <f t="shared" ref="J176:J179" si="38">SUM(E176:I176)</f>
        <v>0</v>
      </c>
    </row>
    <row r="177" spans="1:12">
      <c r="A177" s="6" t="str">
        <f t="shared" si="31"/>
        <v>SWITCHYARD COMPONENTS</v>
      </c>
      <c r="B177" s="6" t="str">
        <f t="shared" si="37"/>
        <v>2024/25</v>
      </c>
      <c r="C177" s="6"/>
      <c r="D177" s="6"/>
      <c r="E177" s="6">
        <f t="shared" si="36"/>
        <v>7.0577917652642457</v>
      </c>
      <c r="F177" s="6">
        <f t="shared" si="36"/>
        <v>0.24140769419795222</v>
      </c>
      <c r="G177" s="6">
        <f t="shared" si="36"/>
        <v>0.12070384709897611</v>
      </c>
      <c r="H177" s="6">
        <f t="shared" si="36"/>
        <v>0.25347807890784979</v>
      </c>
      <c r="I177" s="6">
        <f t="shared" si="36"/>
        <v>0</v>
      </c>
      <c r="J177" s="6">
        <f t="shared" si="38"/>
        <v>7.6733813854690238</v>
      </c>
    </row>
    <row r="178" spans="1:12">
      <c r="A178" s="6" t="str">
        <f t="shared" si="31"/>
        <v>VALVE COOLING</v>
      </c>
      <c r="B178" s="6" t="str">
        <f t="shared" si="37"/>
        <v>2024/25</v>
      </c>
      <c r="C178" s="6"/>
      <c r="D178" s="6"/>
      <c r="E178" s="6">
        <f t="shared" si="36"/>
        <v>0</v>
      </c>
      <c r="F178" s="6">
        <f t="shared" si="36"/>
        <v>0</v>
      </c>
      <c r="G178" s="6">
        <f t="shared" si="36"/>
        <v>0</v>
      </c>
      <c r="H178" s="6">
        <f t="shared" si="36"/>
        <v>0</v>
      </c>
      <c r="I178" s="6">
        <f t="shared" si="36"/>
        <v>0</v>
      </c>
      <c r="J178" s="6">
        <f t="shared" si="38"/>
        <v>0</v>
      </c>
    </row>
    <row r="179" spans="1:12">
      <c r="A179" s="6" t="str">
        <f t="shared" si="31"/>
        <v>VALVE HALL</v>
      </c>
      <c r="B179" s="6" t="str">
        <f t="shared" si="37"/>
        <v>2024/25</v>
      </c>
      <c r="C179" s="6"/>
      <c r="D179" s="6"/>
      <c r="E179" s="6">
        <f t="shared" si="36"/>
        <v>0</v>
      </c>
      <c r="F179" s="6">
        <f t="shared" si="36"/>
        <v>0</v>
      </c>
      <c r="G179" s="6">
        <f t="shared" si="36"/>
        <v>0</v>
      </c>
      <c r="H179" s="6">
        <f t="shared" si="36"/>
        <v>0</v>
      </c>
      <c r="I179" s="6">
        <f t="shared" si="36"/>
        <v>0</v>
      </c>
      <c r="J179" s="6">
        <f t="shared" si="38"/>
        <v>0</v>
      </c>
    </row>
    <row r="180" spans="1:12">
      <c r="A180" s="6" t="str">
        <f t="shared" si="31"/>
        <v>BUILDING INSTALLATION</v>
      </c>
      <c r="B180" s="6" t="str">
        <f t="shared" ref="B180:B181" si="39">IF(A180="","",$B$10)</f>
        <v>2024/25</v>
      </c>
      <c r="C180" s="6"/>
      <c r="D180" s="6"/>
      <c r="E180" s="6">
        <f t="shared" si="36"/>
        <v>1.7493599604286894</v>
      </c>
      <c r="F180" s="6">
        <f t="shared" si="36"/>
        <v>1.7493599604286894</v>
      </c>
      <c r="G180" s="6">
        <f t="shared" si="36"/>
        <v>0</v>
      </c>
      <c r="H180" s="6">
        <f t="shared" si="36"/>
        <v>0</v>
      </c>
      <c r="I180" s="6">
        <f t="shared" si="36"/>
        <v>0</v>
      </c>
      <c r="J180" s="6">
        <f t="shared" ref="J180:J181" si="40">SUM(E180:I180)</f>
        <v>3.4987199208573787</v>
      </c>
    </row>
    <row r="181" spans="1:12" ht="15.75" thickBot="1">
      <c r="A181" s="6" t="str">
        <f t="shared" si="31"/>
        <v>IN-HOUSE SOFTWARE</v>
      </c>
      <c r="B181" s="6" t="str">
        <f t="shared" si="39"/>
        <v>2024/25</v>
      </c>
      <c r="C181" s="6"/>
      <c r="D181" s="6"/>
      <c r="E181" s="6">
        <f t="shared" si="36"/>
        <v>0.18308381973958171</v>
      </c>
      <c r="F181" s="6">
        <f t="shared" si="36"/>
        <v>0</v>
      </c>
      <c r="G181" s="6">
        <f t="shared" si="36"/>
        <v>0</v>
      </c>
      <c r="H181" s="6">
        <f t="shared" si="36"/>
        <v>0</v>
      </c>
      <c r="I181" s="6">
        <f t="shared" si="36"/>
        <v>0</v>
      </c>
      <c r="J181" s="6">
        <f t="shared" si="40"/>
        <v>0.18308381973958171</v>
      </c>
    </row>
    <row r="182" spans="1:12" ht="16.5" thickTop="1" thickBot="1">
      <c r="A182" s="6" t="s">
        <v>2</v>
      </c>
      <c r="B182" s="6"/>
      <c r="C182" s="6"/>
      <c r="D182" s="6"/>
      <c r="E182" s="6">
        <f t="shared" ref="E182:J182" si="41">SUM(E161:E181)</f>
        <v>10.60961035627283</v>
      </c>
      <c r="F182" s="6">
        <f t="shared" si="41"/>
        <v>3.9758791745703075</v>
      </c>
      <c r="G182" s="6">
        <f t="shared" si="41"/>
        <v>1.0124742700803222</v>
      </c>
      <c r="H182" s="6">
        <f t="shared" si="41"/>
        <v>2.4441452601326725</v>
      </c>
      <c r="I182" s="6">
        <f t="shared" si="41"/>
        <v>56.042955724768284</v>
      </c>
      <c r="J182" s="6">
        <f t="shared" si="41"/>
        <v>74.085064785824414</v>
      </c>
      <c r="L182" s="30">
        <f>J182-J156</f>
        <v>0</v>
      </c>
    </row>
    <row r="183" spans="1:12" ht="16.5" thickTop="1" thickBot="1"/>
    <row r="184" spans="1:12" ht="16.5" thickTop="1" thickBot="1">
      <c r="A184" s="23" t="s">
        <v>1</v>
      </c>
      <c r="B184" s="23" t="str">
        <f>B161</f>
        <v>2024/25</v>
      </c>
      <c r="E184" s="30">
        <f t="shared" ref="E184:J184" si="42">E156-E182</f>
        <v>0</v>
      </c>
      <c r="F184" s="30">
        <f t="shared" si="42"/>
        <v>0</v>
      </c>
      <c r="G184" s="30">
        <f t="shared" si="42"/>
        <v>0</v>
      </c>
      <c r="H184" s="30">
        <f t="shared" si="42"/>
        <v>0</v>
      </c>
      <c r="I184" s="30">
        <f t="shared" si="42"/>
        <v>0</v>
      </c>
      <c r="J184" s="30">
        <f t="shared" si="42"/>
        <v>0</v>
      </c>
    </row>
    <row r="185" spans="1:12" ht="15.75" thickTop="1"/>
    <row r="186" spans="1:12" ht="19.5">
      <c r="A186" s="2" t="s">
        <v>124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3" t="s">
        <v>6</v>
      </c>
      <c r="B187" s="3" t="s">
        <v>121</v>
      </c>
      <c r="C187" s="3" t="s">
        <v>4</v>
      </c>
      <c r="D187" s="3" t="s">
        <v>125</v>
      </c>
      <c r="E187" s="3" t="str">
        <f>E159</f>
        <v>2025/26</v>
      </c>
      <c r="F187" s="3" t="str">
        <f t="shared" ref="F187:J187" si="43">F159</f>
        <v>2026/27</v>
      </c>
      <c r="G187" s="3" t="str">
        <f t="shared" si="43"/>
        <v>2027/28</v>
      </c>
      <c r="H187" s="3" t="str">
        <f t="shared" si="43"/>
        <v>2028/29</v>
      </c>
      <c r="I187" s="3" t="str">
        <f t="shared" si="43"/>
        <v>2029/30</v>
      </c>
      <c r="J187" s="3" t="str">
        <f t="shared" si="43"/>
        <v>Total</v>
      </c>
      <c r="K187" s="3"/>
      <c r="L187" s="3"/>
    </row>
    <row r="188" spans="1:12">
      <c r="A188" s="22" t="str">
        <f t="shared" ref="A188:C208" si="44">A135</f>
        <v>Reactor DC Refurbishment</v>
      </c>
      <c r="B188" s="22" t="str">
        <f t="shared" si="44"/>
        <v>2022/23</v>
      </c>
      <c r="C188" s="22" t="str">
        <f t="shared" si="44"/>
        <v>SMOOTHING REACTOR</v>
      </c>
      <c r="D188" s="27" t="str" cm="1">
        <f t="array" ref="D188">INDEX('1.0 Data'!$U$9:$U$36,MATCH($A188,'1.0 Data'!$R$9:$R$36,0),0)</f>
        <v>Diminishing</v>
      </c>
      <c r="E188" s="6">
        <f t="shared" ref="E188:I197" si="45">IF($D188="Immediate",E135,0)</f>
        <v>0</v>
      </c>
      <c r="F188" s="6">
        <f t="shared" si="45"/>
        <v>0</v>
      </c>
      <c r="G188" s="6">
        <f t="shared" si="45"/>
        <v>0</v>
      </c>
      <c r="H188" s="6">
        <f t="shared" si="45"/>
        <v>0</v>
      </c>
      <c r="I188" s="6">
        <f t="shared" si="45"/>
        <v>0</v>
      </c>
      <c r="J188" s="34">
        <f>SUM(E188:I188)</f>
        <v>0</v>
      </c>
    </row>
    <row r="189" spans="1:12">
      <c r="A189" s="22" t="str">
        <f t="shared" si="44"/>
        <v>Control &amp; Protection - System Renewal</v>
      </c>
      <c r="B189" s="22" t="str">
        <f t="shared" si="44"/>
        <v>2022/23</v>
      </c>
      <c r="C189" s="22" t="str">
        <f t="shared" si="44"/>
        <v>CONTROL SYSTEM</v>
      </c>
      <c r="D189" s="27" t="str" cm="1">
        <f t="array" ref="D189">INDEX('1.0 Data'!$U$9:$U$36,MATCH($A189,'1.0 Data'!$R$9:$R$36,0),0)</f>
        <v>Diminishing</v>
      </c>
      <c r="E189" s="6">
        <f t="shared" si="45"/>
        <v>0</v>
      </c>
      <c r="F189" s="6">
        <f t="shared" si="45"/>
        <v>0</v>
      </c>
      <c r="G189" s="6">
        <f t="shared" si="45"/>
        <v>0</v>
      </c>
      <c r="H189" s="6">
        <f t="shared" si="45"/>
        <v>0</v>
      </c>
      <c r="I189" s="6">
        <f t="shared" si="45"/>
        <v>0</v>
      </c>
      <c r="J189" s="34">
        <f t="shared" ref="J189:J209" si="46">SUM(E189:I189)</f>
        <v>0</v>
      </c>
    </row>
    <row r="190" spans="1:12">
      <c r="A190" s="22" t="str">
        <f t="shared" si="44"/>
        <v>Spares</v>
      </c>
      <c r="B190" s="22" t="str">
        <f t="shared" si="44"/>
        <v>2020/21</v>
      </c>
      <c r="C190" s="22" t="str">
        <f t="shared" si="44"/>
        <v>SWITCHYARD COMPONENTS</v>
      </c>
      <c r="D190" s="27" t="str" cm="1">
        <f t="array" ref="D190">INDEX('1.0 Data'!$U$9:$U$36,MATCH($A190,'1.0 Data'!$R$9:$R$36,0),0)</f>
        <v>Immediate</v>
      </c>
      <c r="E190" s="6">
        <f t="shared" si="45"/>
        <v>6.0351923549488054E-2</v>
      </c>
      <c r="F190" s="6">
        <f t="shared" si="45"/>
        <v>0.24140769419795222</v>
      </c>
      <c r="G190" s="6">
        <f t="shared" si="45"/>
        <v>0.12070384709897611</v>
      </c>
      <c r="H190" s="6">
        <f t="shared" si="45"/>
        <v>0.25347807890784979</v>
      </c>
      <c r="I190" s="6">
        <f t="shared" si="45"/>
        <v>0</v>
      </c>
      <c r="J190" s="34">
        <f t="shared" si="46"/>
        <v>0.67594154375426618</v>
      </c>
    </row>
    <row r="191" spans="1:12">
      <c r="A191" s="22" t="str">
        <f t="shared" si="44"/>
        <v>Subsea Cable Repair Strategy</v>
      </c>
      <c r="B191" s="22" t="str">
        <f t="shared" si="44"/>
        <v>2020/21</v>
      </c>
      <c r="C191" s="22" t="str">
        <f t="shared" si="44"/>
        <v>CABLE</v>
      </c>
      <c r="D191" s="27" t="str" cm="1">
        <f t="array" ref="D191">INDEX('1.0 Data'!$U$9:$U$36,MATCH($A191,'1.0 Data'!$R$9:$R$36,0),0)</f>
        <v>Diminishing</v>
      </c>
      <c r="E191" s="6">
        <f t="shared" si="45"/>
        <v>0</v>
      </c>
      <c r="F191" s="6">
        <f t="shared" si="45"/>
        <v>0</v>
      </c>
      <c r="G191" s="6">
        <f t="shared" si="45"/>
        <v>0</v>
      </c>
      <c r="H191" s="6">
        <f t="shared" si="45"/>
        <v>0</v>
      </c>
      <c r="I191" s="6">
        <f t="shared" si="45"/>
        <v>0</v>
      </c>
      <c r="J191" s="34">
        <f t="shared" si="46"/>
        <v>0</v>
      </c>
    </row>
    <row r="192" spans="1:12">
      <c r="A192" s="22" t="str">
        <f t="shared" si="44"/>
        <v>Minor Plant and Equipment</v>
      </c>
      <c r="B192" s="22" t="str">
        <f t="shared" si="44"/>
        <v>2022/23</v>
      </c>
      <c r="C192" s="22" t="str">
        <f t="shared" si="44"/>
        <v>OTHER</v>
      </c>
      <c r="D192" s="27" t="str" cm="1">
        <f t="array" ref="D192">INDEX('1.0 Data'!$U$9:$U$36,MATCH($A192,'1.0 Data'!$R$9:$R$36,0),0)</f>
        <v>Diminishing</v>
      </c>
      <c r="E192" s="6">
        <f t="shared" si="45"/>
        <v>0</v>
      </c>
      <c r="F192" s="6">
        <f t="shared" si="45"/>
        <v>0</v>
      </c>
      <c r="G192" s="6">
        <f t="shared" si="45"/>
        <v>0</v>
      </c>
      <c r="H192" s="6">
        <f t="shared" si="45"/>
        <v>0</v>
      </c>
      <c r="I192" s="6">
        <f t="shared" si="45"/>
        <v>0</v>
      </c>
      <c r="J192" s="34">
        <f t="shared" si="46"/>
        <v>0</v>
      </c>
    </row>
    <row r="193" spans="1:10">
      <c r="A193" s="22" t="str">
        <f t="shared" si="44"/>
        <v>Ambient Temperature Project</v>
      </c>
      <c r="B193" s="22" t="str">
        <f t="shared" si="44"/>
        <v>2021/22</v>
      </c>
      <c r="C193" s="22" t="str">
        <f t="shared" si="44"/>
        <v>SWITCHYARD COMPONENTS</v>
      </c>
      <c r="D193" s="27" t="str" cm="1">
        <f t="array" ref="D193">INDEX('1.0 Data'!$U$9:$U$36,MATCH($A193,'1.0 Data'!$R$9:$R$36,0),0)</f>
        <v>Diminishing</v>
      </c>
      <c r="E193" s="6">
        <f t="shared" si="45"/>
        <v>0</v>
      </c>
      <c r="F193" s="6">
        <f t="shared" si="45"/>
        <v>0</v>
      </c>
      <c r="G193" s="6">
        <f t="shared" si="45"/>
        <v>0</v>
      </c>
      <c r="H193" s="6">
        <f t="shared" si="45"/>
        <v>0</v>
      </c>
      <c r="I193" s="6">
        <f t="shared" si="45"/>
        <v>0</v>
      </c>
      <c r="J193" s="34">
        <f t="shared" si="46"/>
        <v>0</v>
      </c>
    </row>
    <row r="194" spans="1:10">
      <c r="A194" s="22" t="str">
        <f t="shared" si="44"/>
        <v>Laptop</v>
      </c>
      <c r="B194" s="22" t="str">
        <f t="shared" si="44"/>
        <v>2021/22</v>
      </c>
      <c r="C194" s="22" t="str">
        <f t="shared" si="44"/>
        <v>OTHER</v>
      </c>
      <c r="D194" s="27" t="str" cm="1">
        <f t="array" ref="D194">INDEX('1.0 Data'!$U$9:$U$36,MATCH($A194,'1.0 Data'!$R$9:$R$36,0),0)</f>
        <v>Diminishing</v>
      </c>
      <c r="E194" s="6">
        <f t="shared" si="45"/>
        <v>0</v>
      </c>
      <c r="F194" s="6">
        <f t="shared" si="45"/>
        <v>0</v>
      </c>
      <c r="G194" s="6">
        <f t="shared" si="45"/>
        <v>0</v>
      </c>
      <c r="H194" s="6">
        <f t="shared" si="45"/>
        <v>0</v>
      </c>
      <c r="I194" s="6">
        <f t="shared" si="45"/>
        <v>0</v>
      </c>
      <c r="J194" s="34">
        <f t="shared" si="46"/>
        <v>0</v>
      </c>
    </row>
    <row r="195" spans="1:10">
      <c r="A195" s="22" t="str">
        <f t="shared" si="44"/>
        <v>Phones</v>
      </c>
      <c r="B195" s="22" t="str">
        <f t="shared" si="44"/>
        <v>2021/22</v>
      </c>
      <c r="C195" s="22" t="str">
        <f t="shared" si="44"/>
        <v>OTHER</v>
      </c>
      <c r="D195" s="27" t="str" cm="1">
        <f t="array" ref="D195">INDEX('1.0 Data'!$U$9:$U$36,MATCH($A195,'1.0 Data'!$R$9:$R$36,0),0)</f>
        <v>Diminishing</v>
      </c>
      <c r="E195" s="6">
        <f t="shared" si="45"/>
        <v>0</v>
      </c>
      <c r="F195" s="6">
        <f t="shared" si="45"/>
        <v>0</v>
      </c>
      <c r="G195" s="6">
        <f t="shared" si="45"/>
        <v>0</v>
      </c>
      <c r="H195" s="6">
        <f t="shared" si="45"/>
        <v>0</v>
      </c>
      <c r="I195" s="6">
        <f t="shared" si="45"/>
        <v>0</v>
      </c>
      <c r="J195" s="34">
        <f t="shared" si="46"/>
        <v>0</v>
      </c>
    </row>
    <row r="196" spans="1:10">
      <c r="A196" s="22" t="str">
        <f t="shared" si="44"/>
        <v>Video Conferencing Rooms</v>
      </c>
      <c r="B196" s="22" t="str">
        <f t="shared" si="44"/>
        <v>2021/22</v>
      </c>
      <c r="C196" s="22" t="str">
        <f t="shared" si="44"/>
        <v>OTHER</v>
      </c>
      <c r="D196" s="27" t="str" cm="1">
        <f t="array" ref="D196">INDEX('1.0 Data'!$U$9:$U$36,MATCH($A196,'1.0 Data'!$R$9:$R$36,0),0)</f>
        <v>Diminishing</v>
      </c>
      <c r="E196" s="6">
        <f t="shared" si="45"/>
        <v>0</v>
      </c>
      <c r="F196" s="6">
        <f t="shared" si="45"/>
        <v>0</v>
      </c>
      <c r="G196" s="6">
        <f t="shared" si="45"/>
        <v>0</v>
      </c>
      <c r="H196" s="6">
        <f t="shared" si="45"/>
        <v>0</v>
      </c>
      <c r="I196" s="6">
        <f t="shared" si="45"/>
        <v>0</v>
      </c>
      <c r="J196" s="34">
        <f t="shared" si="46"/>
        <v>0</v>
      </c>
    </row>
    <row r="197" spans="1:10">
      <c r="A197" s="22" t="str">
        <f t="shared" si="44"/>
        <v>Printer</v>
      </c>
      <c r="B197" s="22" t="str">
        <f t="shared" si="44"/>
        <v>2021/22</v>
      </c>
      <c r="C197" s="22" t="str">
        <f t="shared" si="44"/>
        <v>OTHER</v>
      </c>
      <c r="D197" s="27" t="str" cm="1">
        <f t="array" ref="D197">INDEX('1.0 Data'!$U$9:$U$36,MATCH($A197,'1.0 Data'!$R$9:$R$36,0),0)</f>
        <v>Diminishing</v>
      </c>
      <c r="E197" s="6">
        <f t="shared" si="45"/>
        <v>0</v>
      </c>
      <c r="F197" s="6">
        <f t="shared" si="45"/>
        <v>0</v>
      </c>
      <c r="G197" s="6">
        <f t="shared" si="45"/>
        <v>0</v>
      </c>
      <c r="H197" s="6">
        <f t="shared" si="45"/>
        <v>0</v>
      </c>
      <c r="I197" s="6">
        <f t="shared" si="45"/>
        <v>0</v>
      </c>
      <c r="J197" s="34">
        <f t="shared" si="46"/>
        <v>0</v>
      </c>
    </row>
    <row r="198" spans="1:10">
      <c r="A198" s="22" t="str">
        <f t="shared" si="44"/>
        <v>Enterprise Asset Management System Upgrade</v>
      </c>
      <c r="B198" s="22" t="str">
        <f t="shared" si="44"/>
        <v>2021/22</v>
      </c>
      <c r="C198" s="22" t="str">
        <f t="shared" si="44"/>
        <v>IN-HOUSE SOFTWARE</v>
      </c>
      <c r="D198" s="27" t="str" cm="1">
        <f t="array" ref="D198">INDEX('1.0 Data'!$U$9:$U$36,MATCH($A198,'1.0 Data'!$R$9:$R$36,0),0)</f>
        <v>Straight Line</v>
      </c>
      <c r="E198" s="6">
        <f t="shared" ref="E198:I207" si="47">IF($D198="Immediate",E145,0)</f>
        <v>0</v>
      </c>
      <c r="F198" s="6">
        <f t="shared" si="47"/>
        <v>0</v>
      </c>
      <c r="G198" s="6">
        <f t="shared" si="47"/>
        <v>0</v>
      </c>
      <c r="H198" s="6">
        <f t="shared" si="47"/>
        <v>0</v>
      </c>
      <c r="I198" s="6">
        <f t="shared" si="47"/>
        <v>0</v>
      </c>
      <c r="J198" s="34">
        <f t="shared" si="46"/>
        <v>0</v>
      </c>
    </row>
    <row r="199" spans="1:10">
      <c r="A199" s="22" t="str">
        <f t="shared" si="44"/>
        <v>OT initial integration and standard asset integration</v>
      </c>
      <c r="B199" s="22" t="str">
        <f t="shared" si="44"/>
        <v>2021/22</v>
      </c>
      <c r="C199" s="22" t="str">
        <f t="shared" si="44"/>
        <v>OTHER</v>
      </c>
      <c r="D199" s="27" t="str" cm="1">
        <f t="array" ref="D199">INDEX('1.0 Data'!$U$9:$U$36,MATCH($A199,'1.0 Data'!$R$9:$R$36,0),0)</f>
        <v>Diminishing</v>
      </c>
      <c r="E199" s="6">
        <f t="shared" si="47"/>
        <v>0</v>
      </c>
      <c r="F199" s="6">
        <f t="shared" si="47"/>
        <v>0</v>
      </c>
      <c r="G199" s="6">
        <f t="shared" si="47"/>
        <v>0</v>
      </c>
      <c r="H199" s="6">
        <f t="shared" si="47"/>
        <v>0</v>
      </c>
      <c r="I199" s="6">
        <f t="shared" si="47"/>
        <v>0</v>
      </c>
      <c r="J199" s="34">
        <f t="shared" si="46"/>
        <v>0</v>
      </c>
    </row>
    <row r="200" spans="1:10">
      <c r="A200" s="22" t="str">
        <f t="shared" si="44"/>
        <v>EMS basslink integration, Reliability / predictive monitoring</v>
      </c>
      <c r="B200" s="22" t="str">
        <f t="shared" si="44"/>
        <v>2021/22</v>
      </c>
      <c r="C200" s="22" t="str">
        <f t="shared" si="44"/>
        <v>OTHER</v>
      </c>
      <c r="D200" s="27" t="str" cm="1">
        <f t="array" ref="D200">INDEX('1.0 Data'!$U$9:$U$36,MATCH($A200,'1.0 Data'!$R$9:$R$36,0),0)</f>
        <v>Diminishing</v>
      </c>
      <c r="E200" s="6">
        <f t="shared" si="47"/>
        <v>0</v>
      </c>
      <c r="F200" s="6">
        <f t="shared" si="47"/>
        <v>0</v>
      </c>
      <c r="G200" s="6">
        <f t="shared" si="47"/>
        <v>0</v>
      </c>
      <c r="H200" s="6">
        <f t="shared" si="47"/>
        <v>0</v>
      </c>
      <c r="I200" s="6">
        <f t="shared" si="47"/>
        <v>0</v>
      </c>
      <c r="J200" s="34">
        <f t="shared" si="46"/>
        <v>0</v>
      </c>
    </row>
    <row r="201" spans="1:10">
      <c r="A201" s="22" t="str">
        <f t="shared" si="44"/>
        <v>OT Technology Capability uplift</v>
      </c>
      <c r="B201" s="22" t="str">
        <f t="shared" si="44"/>
        <v>2021/22</v>
      </c>
      <c r="C201" s="22" t="str">
        <f t="shared" si="44"/>
        <v>OTHER</v>
      </c>
      <c r="D201" s="27" t="str" cm="1">
        <f t="array" ref="D201">INDEX('1.0 Data'!$U$9:$U$36,MATCH($A201,'1.0 Data'!$R$9:$R$36,0),0)</f>
        <v>Diminishing</v>
      </c>
      <c r="E201" s="6">
        <f t="shared" si="47"/>
        <v>0</v>
      </c>
      <c r="F201" s="6">
        <f t="shared" si="47"/>
        <v>0</v>
      </c>
      <c r="G201" s="6">
        <f t="shared" si="47"/>
        <v>0</v>
      </c>
      <c r="H201" s="6">
        <f t="shared" si="47"/>
        <v>0</v>
      </c>
      <c r="I201" s="6">
        <f t="shared" si="47"/>
        <v>0</v>
      </c>
      <c r="J201" s="34">
        <f t="shared" si="46"/>
        <v>0</v>
      </c>
    </row>
    <row r="202" spans="1:10">
      <c r="A202" s="22" t="str">
        <f t="shared" si="44"/>
        <v>Asset Integration</v>
      </c>
      <c r="B202" s="22" t="str">
        <f t="shared" si="44"/>
        <v>2021/22</v>
      </c>
      <c r="C202" s="22" t="str">
        <f t="shared" si="44"/>
        <v>OTHER</v>
      </c>
      <c r="D202" s="27" t="str" cm="1">
        <f t="array" ref="D202">INDEX('1.0 Data'!$U$9:$U$36,MATCH($A202,'1.0 Data'!$R$9:$R$36,0),0)</f>
        <v>Diminishing</v>
      </c>
      <c r="E202" s="6">
        <f t="shared" si="47"/>
        <v>0</v>
      </c>
      <c r="F202" s="6">
        <f t="shared" si="47"/>
        <v>0</v>
      </c>
      <c r="G202" s="6">
        <f t="shared" si="47"/>
        <v>0</v>
      </c>
      <c r="H202" s="6">
        <f t="shared" si="47"/>
        <v>0</v>
      </c>
      <c r="I202" s="6">
        <f t="shared" si="47"/>
        <v>0</v>
      </c>
      <c r="J202" s="34">
        <f t="shared" si="46"/>
        <v>0</v>
      </c>
    </row>
    <row r="203" spans="1:10">
      <c r="A203" s="22" t="str">
        <f t="shared" si="44"/>
        <v>Program Management and Consultation</v>
      </c>
      <c r="B203" s="22" t="str">
        <f t="shared" si="44"/>
        <v>2021/22</v>
      </c>
      <c r="C203" s="22" t="str">
        <f t="shared" si="44"/>
        <v>OTHER</v>
      </c>
      <c r="D203" s="27" t="str" cm="1">
        <f t="array" ref="D203">INDEX('1.0 Data'!$U$9:$U$36,MATCH($A203,'1.0 Data'!$R$9:$R$36,0),0)</f>
        <v>Diminishing</v>
      </c>
      <c r="E203" s="6">
        <f t="shared" si="47"/>
        <v>0</v>
      </c>
      <c r="F203" s="6">
        <f t="shared" si="47"/>
        <v>0</v>
      </c>
      <c r="G203" s="6">
        <f t="shared" si="47"/>
        <v>0</v>
      </c>
      <c r="H203" s="6">
        <f t="shared" si="47"/>
        <v>0</v>
      </c>
      <c r="I203" s="6">
        <f t="shared" si="47"/>
        <v>0</v>
      </c>
      <c r="J203" s="34">
        <f t="shared" si="46"/>
        <v>0</v>
      </c>
    </row>
    <row r="204" spans="1:10">
      <c r="A204" s="22" t="str">
        <f t="shared" si="44"/>
        <v>Cyber Security</v>
      </c>
      <c r="B204" s="22" t="str">
        <f t="shared" si="44"/>
        <v>2021/22</v>
      </c>
      <c r="C204" s="22" t="str">
        <f t="shared" si="44"/>
        <v>OTHER</v>
      </c>
      <c r="D204" s="27" t="str" cm="1">
        <f t="array" ref="D204">INDEX('1.0 Data'!$U$9:$U$36,MATCH($A204,'1.0 Data'!$R$9:$R$36,0),0)</f>
        <v>Diminishing</v>
      </c>
      <c r="E204" s="6">
        <f t="shared" si="47"/>
        <v>0</v>
      </c>
      <c r="F204" s="6">
        <f t="shared" si="47"/>
        <v>0</v>
      </c>
      <c r="G204" s="6">
        <f t="shared" si="47"/>
        <v>0</v>
      </c>
      <c r="H204" s="6">
        <f t="shared" si="47"/>
        <v>0</v>
      </c>
      <c r="I204" s="6">
        <f t="shared" si="47"/>
        <v>0</v>
      </c>
      <c r="J204" s="34">
        <f t="shared" si="46"/>
        <v>0</v>
      </c>
    </row>
    <row r="205" spans="1:10">
      <c r="A205" s="22" t="str">
        <f t="shared" si="44"/>
        <v>Program Management and Material Risk</v>
      </c>
      <c r="B205" s="22" t="str">
        <f t="shared" si="44"/>
        <v>2021/22</v>
      </c>
      <c r="C205" s="22" t="str">
        <f t="shared" si="44"/>
        <v>OTHER</v>
      </c>
      <c r="D205" s="27" t="str" cm="1">
        <f t="array" ref="D205">INDEX('1.0 Data'!$U$9:$U$36,MATCH($A205,'1.0 Data'!$R$9:$R$36,0),0)</f>
        <v>Diminishing</v>
      </c>
      <c r="E205" s="6">
        <f t="shared" si="47"/>
        <v>0</v>
      </c>
      <c r="F205" s="6">
        <f t="shared" si="47"/>
        <v>0</v>
      </c>
      <c r="G205" s="6">
        <f t="shared" si="47"/>
        <v>0</v>
      </c>
      <c r="H205" s="6">
        <f t="shared" si="47"/>
        <v>0</v>
      </c>
      <c r="I205" s="6">
        <f t="shared" si="47"/>
        <v>0</v>
      </c>
      <c r="J205" s="34">
        <f t="shared" si="46"/>
        <v>0</v>
      </c>
    </row>
    <row r="206" spans="1:10">
      <c r="A206" s="22" t="str">
        <f t="shared" si="44"/>
        <v>Enterprise Security Governance</v>
      </c>
      <c r="B206" s="22" t="str">
        <f t="shared" si="44"/>
        <v>2021/22</v>
      </c>
      <c r="C206" s="22" t="str">
        <f t="shared" si="44"/>
        <v>OTHER</v>
      </c>
      <c r="D206" s="27" t="str" cm="1">
        <f t="array" ref="D206">INDEX('1.0 Data'!$U$9:$U$36,MATCH($A206,'1.0 Data'!$R$9:$R$36,0),0)</f>
        <v>Diminishing</v>
      </c>
      <c r="E206" s="6">
        <f t="shared" si="47"/>
        <v>0</v>
      </c>
      <c r="F206" s="6">
        <f t="shared" si="47"/>
        <v>0</v>
      </c>
      <c r="G206" s="6">
        <f t="shared" si="47"/>
        <v>0</v>
      </c>
      <c r="H206" s="6">
        <f t="shared" si="47"/>
        <v>0</v>
      </c>
      <c r="I206" s="6">
        <f t="shared" si="47"/>
        <v>0</v>
      </c>
      <c r="J206" s="34">
        <f t="shared" si="46"/>
        <v>0</v>
      </c>
    </row>
    <row r="207" spans="1:10">
      <c r="A207" s="22" t="str">
        <f t="shared" si="44"/>
        <v>Supply Chain Security</v>
      </c>
      <c r="B207" s="22" t="str">
        <f t="shared" si="44"/>
        <v>2021/22</v>
      </c>
      <c r="C207" s="22" t="str">
        <f t="shared" si="44"/>
        <v>OTHER</v>
      </c>
      <c r="D207" s="27" t="str" cm="1">
        <f t="array" ref="D207">INDEX('1.0 Data'!$U$9:$U$36,MATCH($A207,'1.0 Data'!$R$9:$R$36,0),0)</f>
        <v>Diminishing</v>
      </c>
      <c r="E207" s="6">
        <f t="shared" si="47"/>
        <v>0</v>
      </c>
      <c r="F207" s="6">
        <f t="shared" si="47"/>
        <v>0</v>
      </c>
      <c r="G207" s="6">
        <f t="shared" si="47"/>
        <v>0</v>
      </c>
      <c r="H207" s="6">
        <f t="shared" si="47"/>
        <v>0</v>
      </c>
      <c r="I207" s="6">
        <f t="shared" si="47"/>
        <v>0</v>
      </c>
      <c r="J207" s="34">
        <f t="shared" si="46"/>
        <v>0</v>
      </c>
    </row>
    <row r="208" spans="1:10" ht="15.75" thickBot="1">
      <c r="A208" s="22" t="str">
        <f t="shared" si="44"/>
        <v>Physical Security and Natural Hazards</v>
      </c>
      <c r="B208" s="22" t="str">
        <f t="shared" si="44"/>
        <v>2021/22</v>
      </c>
      <c r="C208" s="22" t="str">
        <f t="shared" si="44"/>
        <v>BUILDING INSTALLATION</v>
      </c>
      <c r="D208" s="27" t="str" cm="1">
        <f t="array" ref="D208">INDEX('1.0 Data'!$U$9:$U$36,MATCH($A208,'1.0 Data'!$R$9:$R$36,0),0)</f>
        <v>Straight Line</v>
      </c>
      <c r="E208" s="6">
        <f t="shared" ref="E208:I208" si="48">IF($D208="Immediate",E155,0)</f>
        <v>0</v>
      </c>
      <c r="F208" s="6">
        <f t="shared" si="48"/>
        <v>0</v>
      </c>
      <c r="G208" s="6">
        <f t="shared" si="48"/>
        <v>0</v>
      </c>
      <c r="H208" s="6">
        <f t="shared" si="48"/>
        <v>0</v>
      </c>
      <c r="I208" s="6">
        <f t="shared" si="48"/>
        <v>0</v>
      </c>
      <c r="J208" s="34">
        <f t="shared" si="46"/>
        <v>0</v>
      </c>
    </row>
    <row r="209" spans="1:12" ht="15.75" thickTop="1">
      <c r="A209" s="22" t="str">
        <f>A156</f>
        <v>Total</v>
      </c>
      <c r="B209" s="22">
        <f>B156</f>
        <v>0</v>
      </c>
      <c r="E209" s="44">
        <f>SUM(E188:E208)</f>
        <v>6.0351923549488054E-2</v>
      </c>
      <c r="F209" s="44">
        <f>SUM(F188:F208)</f>
        <v>0.24140769419795222</v>
      </c>
      <c r="G209" s="44">
        <f>SUM(G188:G208)</f>
        <v>0.12070384709897611</v>
      </c>
      <c r="H209" s="44">
        <f>SUM(H188:H208)</f>
        <v>0.25347807890784979</v>
      </c>
      <c r="I209" s="44">
        <f>SUM(I188:I208)</f>
        <v>0</v>
      </c>
      <c r="J209" s="34">
        <f t="shared" si="46"/>
        <v>0.67594154375426618</v>
      </c>
    </row>
    <row r="210" spans="1:12">
      <c r="A210" s="16"/>
    </row>
    <row r="211" spans="1:12">
      <c r="A211" s="3" t="s">
        <v>4</v>
      </c>
      <c r="B211" s="3" t="s">
        <v>121</v>
      </c>
      <c r="C211" s="3"/>
      <c r="D211" s="3"/>
      <c r="E211" s="3" t="str">
        <f t="shared" ref="E211:J211" si="49">E187</f>
        <v>2025/26</v>
      </c>
      <c r="F211" s="3" t="str">
        <f t="shared" si="49"/>
        <v>2026/27</v>
      </c>
      <c r="G211" s="3" t="str">
        <f t="shared" si="49"/>
        <v>2027/28</v>
      </c>
      <c r="H211" s="3" t="str">
        <f t="shared" si="49"/>
        <v>2028/29</v>
      </c>
      <c r="I211" s="3" t="str">
        <f t="shared" si="49"/>
        <v>2029/30</v>
      </c>
      <c r="J211" s="3" t="str">
        <f t="shared" si="49"/>
        <v>Total</v>
      </c>
      <c r="K211" s="3"/>
      <c r="L211" s="3"/>
    </row>
    <row r="212" spans="1:12">
      <c r="A212" s="22" t="str">
        <f t="shared" ref="A212:B232" si="50">A161</f>
        <v>AC FILTERS</v>
      </c>
      <c r="B212" s="22" t="str">
        <f t="shared" si="50"/>
        <v>2024/25</v>
      </c>
      <c r="E212" s="6">
        <f t="shared" ref="E212:I221" si="51">SUMIF($C$188:$C$208,$A212,E$188:E$208)</f>
        <v>0</v>
      </c>
      <c r="F212" s="6">
        <f t="shared" si="51"/>
        <v>0</v>
      </c>
      <c r="G212" s="6">
        <f t="shared" si="51"/>
        <v>0</v>
      </c>
      <c r="H212" s="6">
        <f t="shared" si="51"/>
        <v>0</v>
      </c>
      <c r="I212" s="6">
        <f t="shared" si="51"/>
        <v>0</v>
      </c>
      <c r="J212" s="34">
        <f>SUM(E212:I212)</f>
        <v>0</v>
      </c>
    </row>
    <row r="213" spans="1:12">
      <c r="A213" s="22" t="str">
        <f t="shared" si="50"/>
        <v>AC SWITCHYARD</v>
      </c>
      <c r="B213" s="22" t="str">
        <f t="shared" si="50"/>
        <v>2024/25</v>
      </c>
      <c r="E213" s="6">
        <f t="shared" si="51"/>
        <v>0</v>
      </c>
      <c r="F213" s="6">
        <f t="shared" si="51"/>
        <v>0</v>
      </c>
      <c r="G213" s="6">
        <f t="shared" si="51"/>
        <v>0</v>
      </c>
      <c r="H213" s="6">
        <f t="shared" si="51"/>
        <v>0</v>
      </c>
      <c r="I213" s="6">
        <f t="shared" si="51"/>
        <v>0</v>
      </c>
      <c r="J213" s="34">
        <f t="shared" ref="J213:J233" si="52">SUM(E213:I213)</f>
        <v>0</v>
      </c>
    </row>
    <row r="214" spans="1:12">
      <c r="A214" s="22" t="str">
        <f t="shared" si="50"/>
        <v>AUXILIARY SYSTEMS</v>
      </c>
      <c r="B214" s="22" t="str">
        <f t="shared" si="50"/>
        <v>2024/25</v>
      </c>
      <c r="E214" s="6">
        <f t="shared" si="51"/>
        <v>0</v>
      </c>
      <c r="F214" s="6">
        <f t="shared" si="51"/>
        <v>0</v>
      </c>
      <c r="G214" s="6">
        <f t="shared" si="51"/>
        <v>0</v>
      </c>
      <c r="H214" s="6">
        <f t="shared" si="51"/>
        <v>0</v>
      </c>
      <c r="I214" s="6">
        <f t="shared" si="51"/>
        <v>0</v>
      </c>
      <c r="J214" s="34">
        <f t="shared" si="52"/>
        <v>0</v>
      </c>
    </row>
    <row r="215" spans="1:12">
      <c r="A215" s="22" t="str">
        <f t="shared" si="50"/>
        <v>CABLE</v>
      </c>
      <c r="B215" s="22" t="str">
        <f t="shared" si="50"/>
        <v>2024/25</v>
      </c>
      <c r="E215" s="6">
        <f t="shared" si="51"/>
        <v>0</v>
      </c>
      <c r="F215" s="6">
        <f t="shared" si="51"/>
        <v>0</v>
      </c>
      <c r="G215" s="6">
        <f t="shared" si="51"/>
        <v>0</v>
      </c>
      <c r="H215" s="6">
        <f t="shared" si="51"/>
        <v>0</v>
      </c>
      <c r="I215" s="6">
        <f t="shared" si="51"/>
        <v>0</v>
      </c>
      <c r="J215" s="34">
        <f t="shared" si="52"/>
        <v>0</v>
      </c>
    </row>
    <row r="216" spans="1:12">
      <c r="A216" s="22" t="str">
        <f t="shared" si="50"/>
        <v>CONTROL SYSTEM</v>
      </c>
      <c r="B216" s="22" t="str">
        <f t="shared" si="50"/>
        <v>2024/25</v>
      </c>
      <c r="E216" s="6">
        <f t="shared" si="51"/>
        <v>0</v>
      </c>
      <c r="F216" s="6">
        <f t="shared" si="51"/>
        <v>0</v>
      </c>
      <c r="G216" s="6">
        <f t="shared" si="51"/>
        <v>0</v>
      </c>
      <c r="H216" s="6">
        <f t="shared" si="51"/>
        <v>0</v>
      </c>
      <c r="I216" s="6">
        <f t="shared" si="51"/>
        <v>0</v>
      </c>
      <c r="J216" s="34">
        <f t="shared" si="52"/>
        <v>0</v>
      </c>
    </row>
    <row r="217" spans="1:12">
      <c r="A217" s="22" t="str">
        <f t="shared" si="50"/>
        <v>CONVERTER TRANSFORMER</v>
      </c>
      <c r="B217" s="22" t="str">
        <f t="shared" si="50"/>
        <v>2024/25</v>
      </c>
      <c r="E217" s="6">
        <f t="shared" si="51"/>
        <v>0</v>
      </c>
      <c r="F217" s="6">
        <f t="shared" si="51"/>
        <v>0</v>
      </c>
      <c r="G217" s="6">
        <f t="shared" si="51"/>
        <v>0</v>
      </c>
      <c r="H217" s="6">
        <f t="shared" si="51"/>
        <v>0</v>
      </c>
      <c r="I217" s="6">
        <f t="shared" si="51"/>
        <v>0</v>
      </c>
      <c r="J217" s="34">
        <f t="shared" si="52"/>
        <v>0</v>
      </c>
    </row>
    <row r="218" spans="1:12">
      <c r="A218" s="22" t="str">
        <f t="shared" si="50"/>
        <v>DC FILTER</v>
      </c>
      <c r="B218" s="22" t="str">
        <f t="shared" si="50"/>
        <v>2024/25</v>
      </c>
      <c r="E218" s="6">
        <f t="shared" si="51"/>
        <v>0</v>
      </c>
      <c r="F218" s="6">
        <f t="shared" si="51"/>
        <v>0</v>
      </c>
      <c r="G218" s="6">
        <f t="shared" si="51"/>
        <v>0</v>
      </c>
      <c r="H218" s="6">
        <f t="shared" si="51"/>
        <v>0</v>
      </c>
      <c r="I218" s="6">
        <f t="shared" si="51"/>
        <v>0</v>
      </c>
      <c r="J218" s="34">
        <f t="shared" si="52"/>
        <v>0</v>
      </c>
    </row>
    <row r="219" spans="1:12">
      <c r="A219" s="22" t="str">
        <f t="shared" si="50"/>
        <v>DC SWITCHYARD</v>
      </c>
      <c r="B219" s="22" t="str">
        <f t="shared" si="50"/>
        <v>2024/25</v>
      </c>
      <c r="E219" s="6">
        <f t="shared" si="51"/>
        <v>0</v>
      </c>
      <c r="F219" s="6">
        <f t="shared" si="51"/>
        <v>0</v>
      </c>
      <c r="G219" s="6">
        <f t="shared" si="51"/>
        <v>0</v>
      </c>
      <c r="H219" s="6">
        <f t="shared" si="51"/>
        <v>0</v>
      </c>
      <c r="I219" s="6">
        <f t="shared" si="51"/>
        <v>0</v>
      </c>
      <c r="J219" s="34">
        <f t="shared" si="52"/>
        <v>0</v>
      </c>
    </row>
    <row r="220" spans="1:12">
      <c r="A220" s="22" t="str">
        <f t="shared" si="50"/>
        <v>EASEMENT</v>
      </c>
      <c r="B220" s="22" t="str">
        <f t="shared" si="50"/>
        <v>2024/25</v>
      </c>
      <c r="E220" s="6">
        <f t="shared" si="51"/>
        <v>0</v>
      </c>
      <c r="F220" s="6">
        <f t="shared" si="51"/>
        <v>0</v>
      </c>
      <c r="G220" s="6">
        <f t="shared" si="51"/>
        <v>0</v>
      </c>
      <c r="H220" s="6">
        <f t="shared" si="51"/>
        <v>0</v>
      </c>
      <c r="I220" s="6">
        <f t="shared" si="51"/>
        <v>0</v>
      </c>
      <c r="J220" s="34">
        <f t="shared" si="52"/>
        <v>0</v>
      </c>
    </row>
    <row r="221" spans="1:12">
      <c r="A221" s="22" t="str">
        <f t="shared" si="50"/>
        <v>FREEHOLD LAND</v>
      </c>
      <c r="B221" s="22" t="str">
        <f t="shared" si="50"/>
        <v>2024/25</v>
      </c>
      <c r="E221" s="6">
        <f t="shared" si="51"/>
        <v>0</v>
      </c>
      <c r="F221" s="6">
        <f t="shared" si="51"/>
        <v>0</v>
      </c>
      <c r="G221" s="6">
        <f t="shared" si="51"/>
        <v>0</v>
      </c>
      <c r="H221" s="6">
        <f t="shared" si="51"/>
        <v>0</v>
      </c>
      <c r="I221" s="6">
        <f t="shared" si="51"/>
        <v>0</v>
      </c>
      <c r="J221" s="34">
        <f t="shared" si="52"/>
        <v>0</v>
      </c>
    </row>
    <row r="222" spans="1:12">
      <c r="A222" s="22" t="str">
        <f t="shared" si="50"/>
        <v>MEASURING DEVICES</v>
      </c>
      <c r="B222" s="22" t="str">
        <f t="shared" si="50"/>
        <v>2024/25</v>
      </c>
      <c r="E222" s="6">
        <f t="shared" ref="E222:I232" si="53">SUMIF($C$188:$C$208,$A222,E$188:E$208)</f>
        <v>0</v>
      </c>
      <c r="F222" s="6">
        <f t="shared" si="53"/>
        <v>0</v>
      </c>
      <c r="G222" s="6">
        <f t="shared" si="53"/>
        <v>0</v>
      </c>
      <c r="H222" s="6">
        <f t="shared" si="53"/>
        <v>0</v>
      </c>
      <c r="I222" s="6">
        <f t="shared" si="53"/>
        <v>0</v>
      </c>
      <c r="J222" s="34">
        <f t="shared" si="52"/>
        <v>0</v>
      </c>
    </row>
    <row r="223" spans="1:12">
      <c r="A223" s="22" t="str">
        <f t="shared" si="50"/>
        <v>MOTOR VEHICLES</v>
      </c>
      <c r="B223" s="22" t="str">
        <f t="shared" si="50"/>
        <v>2024/25</v>
      </c>
      <c r="E223" s="6">
        <f t="shared" si="53"/>
        <v>0</v>
      </c>
      <c r="F223" s="6">
        <f t="shared" si="53"/>
        <v>0</v>
      </c>
      <c r="G223" s="6">
        <f t="shared" si="53"/>
        <v>0</v>
      </c>
      <c r="H223" s="6">
        <f t="shared" si="53"/>
        <v>0</v>
      </c>
      <c r="I223" s="6">
        <f t="shared" si="53"/>
        <v>0</v>
      </c>
      <c r="J223" s="34">
        <f t="shared" si="52"/>
        <v>0</v>
      </c>
    </row>
    <row r="224" spans="1:12">
      <c r="A224" s="22" t="str">
        <f t="shared" si="50"/>
        <v>OTHER</v>
      </c>
      <c r="B224" s="22" t="str">
        <f t="shared" si="50"/>
        <v>2024/25</v>
      </c>
      <c r="E224" s="6">
        <f t="shared" si="53"/>
        <v>0</v>
      </c>
      <c r="F224" s="6">
        <f t="shared" si="53"/>
        <v>0</v>
      </c>
      <c r="G224" s="6">
        <f t="shared" si="53"/>
        <v>0</v>
      </c>
      <c r="H224" s="6">
        <f t="shared" si="53"/>
        <v>0</v>
      </c>
      <c r="I224" s="6">
        <f t="shared" si="53"/>
        <v>0</v>
      </c>
      <c r="J224" s="34">
        <f t="shared" si="52"/>
        <v>0</v>
      </c>
    </row>
    <row r="225" spans="1:12">
      <c r="A225" s="22" t="str">
        <f t="shared" si="50"/>
        <v>OVERHEAD LINES</v>
      </c>
      <c r="B225" s="22" t="str">
        <f t="shared" si="50"/>
        <v>2024/25</v>
      </c>
      <c r="E225" s="6">
        <f t="shared" si="53"/>
        <v>0</v>
      </c>
      <c r="F225" s="6">
        <f t="shared" si="53"/>
        <v>0</v>
      </c>
      <c r="G225" s="6">
        <f t="shared" si="53"/>
        <v>0</v>
      </c>
      <c r="H225" s="6">
        <f t="shared" si="53"/>
        <v>0</v>
      </c>
      <c r="I225" s="6">
        <f t="shared" si="53"/>
        <v>0</v>
      </c>
      <c r="J225" s="34">
        <f t="shared" si="52"/>
        <v>0</v>
      </c>
    </row>
    <row r="226" spans="1:12">
      <c r="A226" s="22" t="str">
        <f t="shared" si="50"/>
        <v>SMOOTHING REACTOR</v>
      </c>
      <c r="B226" s="22" t="str">
        <f t="shared" si="50"/>
        <v>2024/25</v>
      </c>
      <c r="E226" s="6">
        <f t="shared" si="53"/>
        <v>0</v>
      </c>
      <c r="F226" s="6">
        <f t="shared" si="53"/>
        <v>0</v>
      </c>
      <c r="G226" s="6">
        <f t="shared" si="53"/>
        <v>0</v>
      </c>
      <c r="H226" s="6">
        <f t="shared" si="53"/>
        <v>0</v>
      </c>
      <c r="I226" s="6">
        <f t="shared" si="53"/>
        <v>0</v>
      </c>
      <c r="J226" s="34">
        <f t="shared" si="52"/>
        <v>0</v>
      </c>
    </row>
    <row r="227" spans="1:12">
      <c r="A227" s="22" t="str">
        <f t="shared" si="50"/>
        <v>STATION POWER SUPPLY</v>
      </c>
      <c r="B227" s="22" t="str">
        <f t="shared" si="50"/>
        <v>2024/25</v>
      </c>
      <c r="E227" s="6">
        <f t="shared" si="53"/>
        <v>0</v>
      </c>
      <c r="F227" s="6">
        <f t="shared" si="53"/>
        <v>0</v>
      </c>
      <c r="G227" s="6">
        <f t="shared" si="53"/>
        <v>0</v>
      </c>
      <c r="H227" s="6">
        <f t="shared" si="53"/>
        <v>0</v>
      </c>
      <c r="I227" s="6">
        <f t="shared" si="53"/>
        <v>0</v>
      </c>
      <c r="J227" s="34">
        <f t="shared" si="52"/>
        <v>0</v>
      </c>
    </row>
    <row r="228" spans="1:12">
      <c r="A228" s="22" t="str">
        <f t="shared" si="50"/>
        <v>SWITCHYARD COMPONENTS</v>
      </c>
      <c r="B228" s="22" t="str">
        <f t="shared" si="50"/>
        <v>2024/25</v>
      </c>
      <c r="E228" s="6">
        <f t="shared" si="53"/>
        <v>6.0351923549488054E-2</v>
      </c>
      <c r="F228" s="6">
        <f t="shared" si="53"/>
        <v>0.24140769419795222</v>
      </c>
      <c r="G228" s="6">
        <f t="shared" si="53"/>
        <v>0.12070384709897611</v>
      </c>
      <c r="H228" s="6">
        <f t="shared" si="53"/>
        <v>0.25347807890784979</v>
      </c>
      <c r="I228" s="6">
        <f t="shared" si="53"/>
        <v>0</v>
      </c>
      <c r="J228" s="34">
        <f t="shared" si="52"/>
        <v>0.67594154375426618</v>
      </c>
    </row>
    <row r="229" spans="1:12">
      <c r="A229" s="22" t="str">
        <f t="shared" si="50"/>
        <v>VALVE COOLING</v>
      </c>
      <c r="B229" s="22" t="str">
        <f t="shared" si="50"/>
        <v>2024/25</v>
      </c>
      <c r="E229" s="6">
        <f t="shared" si="53"/>
        <v>0</v>
      </c>
      <c r="F229" s="6">
        <f t="shared" si="53"/>
        <v>0</v>
      </c>
      <c r="G229" s="6">
        <f t="shared" si="53"/>
        <v>0</v>
      </c>
      <c r="H229" s="6">
        <f t="shared" si="53"/>
        <v>0</v>
      </c>
      <c r="I229" s="6">
        <f t="shared" si="53"/>
        <v>0</v>
      </c>
      <c r="J229" s="34">
        <f t="shared" si="52"/>
        <v>0</v>
      </c>
    </row>
    <row r="230" spans="1:12">
      <c r="A230" s="22" t="str">
        <f t="shared" si="50"/>
        <v>VALVE HALL</v>
      </c>
      <c r="B230" s="22" t="str">
        <f t="shared" si="50"/>
        <v>2024/25</v>
      </c>
      <c r="E230" s="6">
        <f t="shared" si="53"/>
        <v>0</v>
      </c>
      <c r="F230" s="6">
        <f t="shared" si="53"/>
        <v>0</v>
      </c>
      <c r="G230" s="6">
        <f t="shared" si="53"/>
        <v>0</v>
      </c>
      <c r="H230" s="6">
        <f t="shared" si="53"/>
        <v>0</v>
      </c>
      <c r="I230" s="6">
        <f t="shared" si="53"/>
        <v>0</v>
      </c>
      <c r="J230" s="34">
        <f t="shared" si="52"/>
        <v>0</v>
      </c>
    </row>
    <row r="231" spans="1:12">
      <c r="A231" s="22" t="str">
        <f t="shared" si="50"/>
        <v>BUILDING INSTALLATION</v>
      </c>
      <c r="B231" s="22" t="str">
        <f t="shared" si="50"/>
        <v>2024/25</v>
      </c>
      <c r="E231" s="6">
        <f t="shared" si="53"/>
        <v>0</v>
      </c>
      <c r="F231" s="6">
        <f t="shared" si="53"/>
        <v>0</v>
      </c>
      <c r="G231" s="6">
        <f t="shared" si="53"/>
        <v>0</v>
      </c>
      <c r="H231" s="6">
        <f t="shared" si="53"/>
        <v>0</v>
      </c>
      <c r="I231" s="6">
        <f t="shared" si="53"/>
        <v>0</v>
      </c>
      <c r="J231" s="34">
        <f t="shared" si="52"/>
        <v>0</v>
      </c>
    </row>
    <row r="232" spans="1:12" ht="15.75" thickBot="1">
      <c r="A232" s="22" t="str">
        <f t="shared" si="50"/>
        <v>IN-HOUSE SOFTWARE</v>
      </c>
      <c r="B232" s="22" t="str">
        <f t="shared" si="50"/>
        <v>2024/25</v>
      </c>
      <c r="E232" s="6">
        <f t="shared" si="53"/>
        <v>0</v>
      </c>
      <c r="F232" s="6">
        <f t="shared" si="53"/>
        <v>0</v>
      </c>
      <c r="G232" s="6">
        <f t="shared" si="53"/>
        <v>0</v>
      </c>
      <c r="H232" s="6">
        <f t="shared" si="53"/>
        <v>0</v>
      </c>
      <c r="I232" s="6">
        <f t="shared" si="53"/>
        <v>0</v>
      </c>
      <c r="J232" s="34">
        <f t="shared" ref="J232" si="54">SUM(E232:I232)</f>
        <v>0</v>
      </c>
    </row>
    <row r="233" spans="1:12" ht="16.5" thickTop="1" thickBot="1">
      <c r="A233" s="20" t="str">
        <f>A181</f>
        <v>IN-HOUSE SOFTWARE</v>
      </c>
      <c r="B233" s="20" t="str">
        <f>B181</f>
        <v>2024/25</v>
      </c>
      <c r="E233" s="44">
        <f>SUM(E212:E231)</f>
        <v>6.0351923549488054E-2</v>
      </c>
      <c r="F233" s="44">
        <f t="shared" ref="F233:I233" si="55">SUM(F212:F231)</f>
        <v>0.24140769419795222</v>
      </c>
      <c r="G233" s="44">
        <f t="shared" si="55"/>
        <v>0.12070384709897611</v>
      </c>
      <c r="H233" s="44">
        <f t="shared" si="55"/>
        <v>0.25347807890784979</v>
      </c>
      <c r="I233" s="44">
        <f t="shared" si="55"/>
        <v>0</v>
      </c>
      <c r="J233" s="34">
        <f t="shared" si="52"/>
        <v>0.67594154375426618</v>
      </c>
      <c r="L233" s="30">
        <f>J233-J209</f>
        <v>0</v>
      </c>
    </row>
    <row r="234" spans="1:12" ht="15.75" thickTop="1"/>
  </sheetData>
  <phoneticPr fontId="13" type="noConversion"/>
  <conditionalFormatting sqref="L62">
    <cfRule type="cellIs" dxfId="17" priority="10" operator="notEqual">
      <formula>0</formula>
    </cfRule>
  </conditionalFormatting>
  <conditionalFormatting sqref="L102">
    <cfRule type="cellIs" dxfId="16" priority="9" operator="notEqual">
      <formula>0</formula>
    </cfRule>
  </conditionalFormatting>
  <conditionalFormatting sqref="L116">
    <cfRule type="cellIs" dxfId="15" priority="8" operator="notEqual">
      <formula>0</formula>
    </cfRule>
  </conditionalFormatting>
  <conditionalFormatting sqref="L156">
    <cfRule type="cellIs" dxfId="14" priority="7" operator="notEqual">
      <formula>0</formula>
    </cfRule>
  </conditionalFormatting>
  <conditionalFormatting sqref="L182">
    <cfRule type="cellIs" dxfId="13" priority="6" operator="notEqual">
      <formula>0</formula>
    </cfRule>
  </conditionalFormatting>
  <conditionalFormatting sqref="E184:J184">
    <cfRule type="cellIs" dxfId="12" priority="5" operator="notEqual">
      <formula>0</formula>
    </cfRule>
  </conditionalFormatting>
  <conditionalFormatting sqref="L35">
    <cfRule type="cellIs" dxfId="11" priority="4" operator="notEqual">
      <formula>0</formula>
    </cfRule>
  </conditionalFormatting>
  <conditionalFormatting sqref="L130">
    <cfRule type="cellIs" dxfId="10" priority="3" operator="notEqual">
      <formula>0</formula>
    </cfRule>
  </conditionalFormatting>
  <conditionalFormatting sqref="E4:J4">
    <cfRule type="cellIs" dxfId="9" priority="2" operator="notEqual">
      <formula>0</formula>
    </cfRule>
  </conditionalFormatting>
  <conditionalFormatting sqref="L233">
    <cfRule type="cellIs" dxfId="8" priority="1" operator="notEqual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D03554-5BC1-4252-A348-D4580AC85629}">
          <x14:formula1>
            <xm:f>'1.1 Input'!$C$20:$C$31</xm:f>
          </x14:formula1>
          <xm:sqref>C10:C35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L233"/>
  <sheetViews>
    <sheetView topLeftCell="A13" zoomScale="130" zoomScaleNormal="130" workbookViewId="0">
      <selection activeCell="E82" sqref="E82:E103"/>
    </sheetView>
  </sheetViews>
  <sheetFormatPr defaultRowHeight="15"/>
  <cols>
    <col min="1" max="1" width="56.85546875" bestFit="1" customWidth="1"/>
    <col min="2" max="2" width="9.42578125" bestFit="1" customWidth="1"/>
    <col min="4" max="4" width="35.85546875" bestFit="1" customWidth="1"/>
    <col min="5" max="5" width="10.140625" bestFit="1" customWidth="1"/>
  </cols>
  <sheetData>
    <row r="1" spans="1:11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3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4" thickTop="1" thickBot="1">
      <c r="A4" s="1"/>
      <c r="B4" s="1"/>
      <c r="C4" s="1"/>
      <c r="D4" s="1"/>
      <c r="E4" s="24">
        <f>E5-'2.0 Capex Real Dollars'!E5/'1.1 Input'!J13</f>
        <v>0</v>
      </c>
      <c r="F4" s="24">
        <f>F5-'2.0 Capex Real Dollars'!F5/'1.1 Input'!K13</f>
        <v>0</v>
      </c>
      <c r="G4" s="24">
        <f>G5-'2.0 Capex Real Dollars'!G5/'1.1 Input'!L13</f>
        <v>0</v>
      </c>
      <c r="H4" s="24">
        <f>H5-'2.0 Capex Real Dollars'!H5/'1.1 Input'!M13</f>
        <v>0</v>
      </c>
      <c r="I4" s="24">
        <f>I5-'2.0 Capex Real Dollars'!I5/'1.1 Input'!N13</f>
        <v>0</v>
      </c>
      <c r="J4" s="1"/>
      <c r="K4" s="21"/>
    </row>
    <row r="5" spans="1:11" ht="23.25" thickTop="1">
      <c r="A5" s="1" t="str">
        <f ca="1">RIGHT(CELL("filename"),LEN(CELL("filename"))-FIND("]",CELL("filename")))</f>
        <v>1.1 Input</v>
      </c>
      <c r="B5" s="1"/>
      <c r="C5" s="1"/>
      <c r="D5" s="1"/>
      <c r="E5" s="44">
        <f t="shared" ref="E5:J5" si="0">SUM(E10:E35)</f>
        <v>19.037625488702524</v>
      </c>
      <c r="F5" s="44">
        <f t="shared" si="0"/>
        <v>10.93652420283439</v>
      </c>
      <c r="G5" s="44">
        <f t="shared" si="0"/>
        <v>4.4336499828408362</v>
      </c>
      <c r="H5" s="44">
        <f t="shared" si="0"/>
        <v>12.170849006649838</v>
      </c>
      <c r="I5" s="44">
        <f t="shared" si="0"/>
        <v>34.664313190927736</v>
      </c>
      <c r="J5" s="44">
        <f t="shared" si="0"/>
        <v>81.242961871955316</v>
      </c>
      <c r="K5" s="1"/>
    </row>
    <row r="6" spans="1:11" ht="19.5">
      <c r="A6" s="2" t="str">
        <f>'2.0 Capex Real Dollars'!A6</f>
        <v>Forecast Capital Expenditure - As Incurred</v>
      </c>
      <c r="B6" s="2"/>
      <c r="C6" s="2"/>
      <c r="D6" s="2"/>
      <c r="E6" s="2"/>
      <c r="F6" s="2"/>
      <c r="G6" s="2"/>
      <c r="H6" s="2"/>
      <c r="I6" s="2"/>
      <c r="J6" s="2"/>
    </row>
    <row r="7" spans="1:11" ht="16.5">
      <c r="A7" s="4" t="s">
        <v>126</v>
      </c>
      <c r="B7" s="4"/>
      <c r="C7" s="4"/>
      <c r="D7" s="4"/>
      <c r="E7" s="4"/>
      <c r="F7" s="4"/>
      <c r="G7" s="4"/>
      <c r="H7" s="4"/>
      <c r="I7" s="4"/>
      <c r="J7" s="4"/>
    </row>
    <row r="8" spans="1:11">
      <c r="A8" s="3" t="str">
        <f>'2.0 Capex Real Dollars'!A8</f>
        <v>Project</v>
      </c>
      <c r="B8" s="3" t="s">
        <v>121</v>
      </c>
      <c r="C8" s="3" t="str">
        <f>'2.0 Capex Real Dollars'!C8</f>
        <v>Asset Classes (Fore)</v>
      </c>
      <c r="D8" s="3" t="str">
        <f>'2.0 Capex Real Dollars'!D8</f>
        <v>Driver</v>
      </c>
      <c r="E8" s="3" t="str">
        <f>'2.0 Capex Real Dollars'!E8</f>
        <v>2025/26</v>
      </c>
      <c r="F8" s="3" t="str">
        <f>'2.0 Capex Real Dollars'!F8</f>
        <v>2026/27</v>
      </c>
      <c r="G8" s="3" t="str">
        <f>'2.0 Capex Real Dollars'!G8</f>
        <v>2027/28</v>
      </c>
      <c r="H8" s="3" t="str">
        <f>'2.0 Capex Real Dollars'!H8</f>
        <v>2028/29</v>
      </c>
      <c r="I8" s="3" t="str">
        <f>'2.0 Capex Real Dollars'!I8</f>
        <v>2029/30</v>
      </c>
      <c r="J8" s="3" t="str">
        <f>'2.0 Capex Real Dollars'!J8</f>
        <v>Total</v>
      </c>
    </row>
    <row r="9" spans="1:11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1">
      <c r="A10" s="22" t="str">
        <f>'2.0 Capex Real Dollars'!A10</f>
        <v>Reactor DC Refurbishment</v>
      </c>
      <c r="B10" s="5" t="s">
        <v>127</v>
      </c>
      <c r="C10" s="22" t="str">
        <f>'2.0 Capex Real Dollars'!C10</f>
        <v>SMOOTHING REACTOR</v>
      </c>
      <c r="D10" s="22" t="str">
        <f>'2.0 Capex Real Dollars'!D10</f>
        <v>Replacement expenditure</v>
      </c>
      <c r="E10" s="6">
        <f>'2.0 Capex Real Dollars'!E10/'1.1 Input'!J$13</f>
        <v>0</v>
      </c>
      <c r="F10" s="6">
        <f>'2.0 Capex Real Dollars'!F10/'1.1 Input'!K$13</f>
        <v>0.83069377798425237</v>
      </c>
      <c r="G10" s="6">
        <f>'2.0 Capex Real Dollars'!G10/'1.1 Input'!L$13</f>
        <v>0</v>
      </c>
      <c r="H10" s="6">
        <f>'2.0 Capex Real Dollars'!H10/'1.1 Input'!M$13</f>
        <v>0</v>
      </c>
      <c r="I10" s="6">
        <f>'2.0 Capex Real Dollars'!I10/'1.1 Input'!N$13</f>
        <v>0</v>
      </c>
      <c r="J10" s="34">
        <f>SUM(E10:I10)</f>
        <v>0.83069377798425237</v>
      </c>
    </row>
    <row r="11" spans="1:11">
      <c r="A11" s="22" t="str">
        <f>'2.0 Capex Real Dollars'!A11</f>
        <v>Control &amp; Protection - System Renewal</v>
      </c>
      <c r="B11" s="5" t="s">
        <v>127</v>
      </c>
      <c r="C11" s="22" t="str">
        <f>'2.0 Capex Real Dollars'!C11</f>
        <v>CONTROL SYSTEM</v>
      </c>
      <c r="D11" s="22" t="str">
        <f>'2.0 Capex Real Dollars'!D11</f>
        <v>Replacement expenditure</v>
      </c>
      <c r="E11" s="6">
        <f>'2.0 Capex Real Dollars'!E11/'1.1 Input'!J$13</f>
        <v>8.1132633585269325</v>
      </c>
      <c r="F11" s="6">
        <f>'2.0 Capex Real Dollars'!F11/'1.1 Input'!K$13</f>
        <v>6.7260197837678115</v>
      </c>
      <c r="G11" s="6">
        <f>'2.0 Capex Real Dollars'!G11/'1.1 Input'!L$13</f>
        <v>3.3321199954631338</v>
      </c>
      <c r="H11" s="6">
        <f>'2.0 Capex Real Dollars'!H11/'1.1 Input'!M$13</f>
        <v>9.4421398656168041</v>
      </c>
      <c r="I11" s="6">
        <f>'2.0 Capex Real Dollars'!I11/'1.1 Input'!N$13</f>
        <v>21.085174322027601</v>
      </c>
      <c r="J11" s="34">
        <f t="shared" ref="J11:J19" si="1">SUM(E11:I11)</f>
        <v>48.698717325402285</v>
      </c>
    </row>
    <row r="12" spans="1:11">
      <c r="A12" s="22" t="str">
        <f>'2.0 Capex Real Dollars'!A12</f>
        <v>Spares</v>
      </c>
      <c r="B12" s="5" t="s">
        <v>127</v>
      </c>
      <c r="C12" s="22" t="str">
        <f>'2.0 Capex Real Dollars'!C12</f>
        <v>SWITCHYARD COMPONENTS</v>
      </c>
      <c r="D12" s="22" t="str">
        <f>'2.0 Capex Real Dollars'!D12</f>
        <v>Replacement expenditure</v>
      </c>
      <c r="E12" s="6">
        <f>'2.0 Capex Real Dollars'!E12/'1.1 Input'!J$13</f>
        <v>6.2142363948122871E-2</v>
      </c>
      <c r="F12" s="6">
        <f>'2.0 Capex Real Dollars'!F12/'1.1 Input'!K$13</f>
        <v>0.25565368528257748</v>
      </c>
      <c r="G12" s="6">
        <f>'2.0 Capex Real Dollars'!G12/'1.1 Input'!L$13</f>
        <v>0.13132077634015066</v>
      </c>
      <c r="H12" s="6">
        <f>'2.0 Capex Real Dollars'!H12/'1.1 Input'!M$13</f>
        <v>0.28298970697420761</v>
      </c>
      <c r="I12" s="6">
        <f>'2.0 Capex Real Dollars'!I12/'1.1 Input'!N$13</f>
        <v>0</v>
      </c>
      <c r="J12" s="34">
        <f t="shared" si="1"/>
        <v>0.73210653254505864</v>
      </c>
    </row>
    <row r="13" spans="1:11">
      <c r="A13" s="22" t="str">
        <f>'2.0 Capex Real Dollars'!A13</f>
        <v>Subsea Cable Repair Strategy</v>
      </c>
      <c r="B13" s="5" t="s">
        <v>127</v>
      </c>
      <c r="C13" s="22" t="str">
        <f>'2.0 Capex Real Dollars'!C13</f>
        <v>CABLE</v>
      </c>
      <c r="D13" s="22" t="str">
        <f>'2.0 Capex Real Dollars'!D13</f>
        <v>Replacement expenditure</v>
      </c>
      <c r="E13" s="6">
        <f>'2.0 Capex Real Dollars'!E13/'1.1 Input'!J$13</f>
        <v>0</v>
      </c>
      <c r="F13" s="6">
        <f>'2.0 Capex Real Dollars'!F13/'1.1 Input'!K$13</f>
        <v>0</v>
      </c>
      <c r="G13" s="6">
        <f>'2.0 Capex Real Dollars'!G13/'1.1 Input'!L$13</f>
        <v>0</v>
      </c>
      <c r="H13" s="6">
        <f>'2.0 Capex Real Dollars'!H13/'1.1 Input'!M$13</f>
        <v>1.1039155782958885</v>
      </c>
      <c r="I13" s="6">
        <f>'2.0 Capex Real Dollars'!I13/'1.1 Input'!N$13</f>
        <v>12.38515825657308</v>
      </c>
      <c r="J13" s="34">
        <f t="shared" si="1"/>
        <v>13.489073834868968</v>
      </c>
    </row>
    <row r="14" spans="1:11">
      <c r="A14" s="22" t="str">
        <f>'2.0 Capex Real Dollars'!A14</f>
        <v>Minor Plant and Equipment</v>
      </c>
      <c r="B14" s="5" t="s">
        <v>127</v>
      </c>
      <c r="C14" s="22" t="str">
        <f>'2.0 Capex Real Dollars'!C14</f>
        <v>OTHER</v>
      </c>
      <c r="D14" s="22" t="str">
        <f>'2.0 Capex Real Dollars'!D14</f>
        <v>Replacement expenditure</v>
      </c>
      <c r="E14" s="6">
        <f>'2.0 Capex Real Dollars'!E14/'1.1 Input'!J$13</f>
        <v>5.1904787662912004E-2</v>
      </c>
      <c r="F14" s="6">
        <f>'2.0 Capex Real Dollars'!F14/'1.1 Input'!K$13</f>
        <v>5.3384074111304997E-2</v>
      </c>
      <c r="G14" s="6">
        <f>'2.0 Capex Real Dollars'!G14/'1.1 Input'!L$13</f>
        <v>5.4843238803680666E-2</v>
      </c>
      <c r="H14" s="6">
        <f>'2.0 Capex Real Dollars'!H14/'1.1 Input'!M$13</f>
        <v>5.6278303552376979E-2</v>
      </c>
      <c r="I14" s="6">
        <f>'2.0 Capex Real Dollars'!I14/'1.1 Input'!N$13</f>
        <v>5.7685261141186404E-2</v>
      </c>
      <c r="J14" s="34">
        <f t="shared" si="1"/>
        <v>0.27409566527146106</v>
      </c>
    </row>
    <row r="15" spans="1:11">
      <c r="A15" s="22" t="str">
        <f>'2.0 Capex Real Dollars'!A15</f>
        <v>Ambient Temperature Project</v>
      </c>
      <c r="B15" s="5" t="s">
        <v>127</v>
      </c>
      <c r="C15" s="22" t="str">
        <f>'2.0 Capex Real Dollars'!C15</f>
        <v>SWITCHYARD COMPONENTS</v>
      </c>
      <c r="D15" s="22" t="str">
        <f>'2.0 Capex Real Dollars'!D15</f>
        <v>Replacement expenditure</v>
      </c>
      <c r="E15" s="6">
        <f>'2.0 Capex Real Dollars'!E15/'1.1 Input'!J$13</f>
        <v>7.2050305570189623</v>
      </c>
      <c r="F15" s="6">
        <f>'2.0 Capex Real Dollars'!F15/'1.1 Input'!K$13</f>
        <v>0</v>
      </c>
      <c r="G15" s="6">
        <f>'2.0 Capex Real Dollars'!G15/'1.1 Input'!L$13</f>
        <v>0</v>
      </c>
      <c r="H15" s="6">
        <f>'2.0 Capex Real Dollars'!H15/'1.1 Input'!M$13</f>
        <v>0</v>
      </c>
      <c r="I15" s="6">
        <f>'2.0 Capex Real Dollars'!I15/'1.1 Input'!N$13</f>
        <v>0</v>
      </c>
      <c r="J15" s="34">
        <f t="shared" si="1"/>
        <v>7.2050305570189623</v>
      </c>
    </row>
    <row r="16" spans="1:11">
      <c r="A16" s="22" t="str">
        <f>'2.0 Capex Real Dollars'!A16</f>
        <v>Laptop</v>
      </c>
      <c r="B16" s="5" t="s">
        <v>127</v>
      </c>
      <c r="C16" s="22" t="str">
        <f>'2.0 Capex Real Dollars'!C16</f>
        <v>OTHER</v>
      </c>
      <c r="D16" s="22" t="str">
        <f>'2.0 Capex Real Dollars'!D16</f>
        <v>Non-network IT &amp; communications</v>
      </c>
      <c r="E16" s="6">
        <f>'2.0 Capex Real Dollars'!E16/'1.1 Input'!J$13</f>
        <v>3.4704230516307999E-2</v>
      </c>
      <c r="F16" s="6">
        <f>'2.0 Capex Real Dollars'!F16/'1.1 Input'!K$13</f>
        <v>0</v>
      </c>
      <c r="G16" s="6">
        <f>'2.0 Capex Real Dollars'!G16/'1.1 Input'!L$13</f>
        <v>0</v>
      </c>
      <c r="H16" s="6">
        <f>'2.0 Capex Real Dollars'!H16/'1.1 Input'!M$13</f>
        <v>3.7628421336246193E-2</v>
      </c>
      <c r="I16" s="6">
        <f>'2.0 Capex Real Dollars'!I16/'1.1 Input'!N$13</f>
        <v>0</v>
      </c>
      <c r="J16" s="34">
        <f t="shared" si="1"/>
        <v>7.2332651852554192E-2</v>
      </c>
    </row>
    <row r="17" spans="1:10">
      <c r="A17" s="22" t="str">
        <f>'2.0 Capex Real Dollars'!A17</f>
        <v>Phones</v>
      </c>
      <c r="B17" s="5" t="s">
        <v>127</v>
      </c>
      <c r="C17" s="22" t="str">
        <f>'2.0 Capex Real Dollars'!C17</f>
        <v>OTHER</v>
      </c>
      <c r="D17" s="22" t="str">
        <f>'2.0 Capex Real Dollars'!D17</f>
        <v>Non-network IT &amp; communications</v>
      </c>
      <c r="E17" s="6">
        <f>'2.0 Capex Real Dollars'!E17/'1.1 Input'!J$13</f>
        <v>8.4058689831887894E-3</v>
      </c>
      <c r="F17" s="6">
        <f>'2.0 Capex Real Dollars'!F17/'1.1 Input'!K$13</f>
        <v>0</v>
      </c>
      <c r="G17" s="6">
        <f>'2.0 Capex Real Dollars'!G17/'1.1 Input'!L$13</f>
        <v>0</v>
      </c>
      <c r="H17" s="6">
        <f>'2.0 Capex Real Dollars'!H17/'1.1 Input'!M$13</f>
        <v>9.1141504966686295E-3</v>
      </c>
      <c r="I17" s="6">
        <f>'2.0 Capex Real Dollars'!I17/'1.1 Input'!N$13</f>
        <v>0</v>
      </c>
      <c r="J17" s="34">
        <f t="shared" si="1"/>
        <v>1.7520019479857419E-2</v>
      </c>
    </row>
    <row r="18" spans="1:10">
      <c r="A18" s="22" t="str">
        <f>'2.0 Capex Real Dollars'!A18</f>
        <v>Video Conferencing Rooms</v>
      </c>
      <c r="B18" s="5" t="s">
        <v>127</v>
      </c>
      <c r="C18" s="22" t="str">
        <f>'2.0 Capex Real Dollars'!C18</f>
        <v>OTHER</v>
      </c>
      <c r="D18" s="22" t="str">
        <f>'2.0 Capex Real Dollars'!D18</f>
        <v>Non-network IT &amp; communications</v>
      </c>
      <c r="E18" s="6">
        <f>'2.0 Capex Real Dollars'!E18/'1.1 Input'!J$13</f>
        <v>0</v>
      </c>
      <c r="F18" s="6">
        <f>'2.0 Capex Real Dollars'!F18/'1.1 Input'!K$13</f>
        <v>0</v>
      </c>
      <c r="G18" s="6">
        <f>'2.0 Capex Real Dollars'!G18/'1.1 Input'!L$13</f>
        <v>0</v>
      </c>
      <c r="H18" s="6">
        <f>'2.0 Capex Real Dollars'!H18/'1.1 Input'!M$13</f>
        <v>9.1141504966686285E-2</v>
      </c>
      <c r="I18" s="6">
        <f>'2.0 Capex Real Dollars'!I18/'1.1 Input'!N$13</f>
        <v>0</v>
      </c>
      <c r="J18" s="34">
        <f t="shared" si="1"/>
        <v>9.1141504966686285E-2</v>
      </c>
    </row>
    <row r="19" spans="1:10">
      <c r="A19" s="22" t="str">
        <f>'2.0 Capex Real Dollars'!A19</f>
        <v>Printer</v>
      </c>
      <c r="B19" s="5" t="s">
        <v>127</v>
      </c>
      <c r="C19" s="22" t="str">
        <f>'2.0 Capex Real Dollars'!C19</f>
        <v>OTHER</v>
      </c>
      <c r="D19" s="22" t="str">
        <f>'2.0 Capex Real Dollars'!D19</f>
        <v>Non-network IT &amp; communications</v>
      </c>
      <c r="E19" s="6">
        <f>'2.0 Capex Real Dollars'!E19/'1.1 Input'!J$13</f>
        <v>0</v>
      </c>
      <c r="F19" s="6">
        <f>'2.0 Capex Real Dollars'!F19/'1.1 Input'!K$13</f>
        <v>0</v>
      </c>
      <c r="G19" s="6">
        <f>'2.0 Capex Real Dollars'!G19/'1.1 Input'!L$13</f>
        <v>0</v>
      </c>
      <c r="H19" s="6">
        <f>'2.0 Capex Real Dollars'!H19/'1.1 Input'!M$13</f>
        <v>1.3020214995240899E-2</v>
      </c>
      <c r="I19" s="6">
        <f>'2.0 Capex Real Dollars'!I19/'1.1 Input'!N$13</f>
        <v>0</v>
      </c>
      <c r="J19" s="34">
        <f t="shared" si="1"/>
        <v>1.3020214995240899E-2</v>
      </c>
    </row>
    <row r="20" spans="1:10">
      <c r="A20" s="22" t="str">
        <f>'2.0 Capex Real Dollars'!A20</f>
        <v>Enterprise Asset Management System Upgrade</v>
      </c>
      <c r="B20" s="5" t="s">
        <v>127</v>
      </c>
      <c r="C20" s="22" t="str">
        <f>'2.0 Capex Real Dollars'!C20</f>
        <v>IN-HOUSE SOFTWARE</v>
      </c>
      <c r="D20" s="22" t="str">
        <f>'2.0 Capex Real Dollars'!D20</f>
        <v>Non-network IT &amp; communications</v>
      </c>
      <c r="E20" s="6">
        <f>'2.0 Capex Real Dollars'!E20/'1.1 Input'!J$13</f>
        <v>0.18851530639185599</v>
      </c>
      <c r="F20" s="6">
        <f>'2.0 Capex Real Dollars'!F20/'1.1 Input'!K$13</f>
        <v>0</v>
      </c>
      <c r="G20" s="6">
        <f>'2.0 Capex Real Dollars'!G20/'1.1 Input'!L$13</f>
        <v>0</v>
      </c>
      <c r="H20" s="6">
        <f>'2.0 Capex Real Dollars'!H20/'1.1 Input'!M$13</f>
        <v>0</v>
      </c>
      <c r="I20" s="6">
        <f>'2.0 Capex Real Dollars'!I20/'1.1 Input'!N$13</f>
        <v>0</v>
      </c>
      <c r="J20" s="34">
        <f t="shared" ref="J20:J27" si="2">SUM(E20:I20)</f>
        <v>0.18851530639185599</v>
      </c>
    </row>
    <row r="21" spans="1:10">
      <c r="A21" s="22" t="str">
        <f>'2.0 Capex Real Dollars'!A21</f>
        <v>OT initial integration and standard asset integration</v>
      </c>
      <c r="B21" s="5" t="s">
        <v>127</v>
      </c>
      <c r="C21" s="22" t="str">
        <f>'2.0 Capex Real Dollars'!C21</f>
        <v>OTHER</v>
      </c>
      <c r="D21" s="22" t="str">
        <f>'2.0 Capex Real Dollars'!D21</f>
        <v>Non-network IT &amp; communications</v>
      </c>
      <c r="E21" s="6">
        <f>'2.0 Capex Real Dollars'!E21/'1.1 Input'!J$13</f>
        <v>0</v>
      </c>
      <c r="F21" s="6">
        <f>'2.0 Capex Real Dollars'!F21/'1.1 Input'!K$13</f>
        <v>0</v>
      </c>
      <c r="G21" s="6">
        <f>'2.0 Capex Real Dollars'!G21/'1.1 Input'!L$13</f>
        <v>0</v>
      </c>
      <c r="H21" s="6">
        <f>'2.0 Capex Real Dollars'!H21/'1.1 Input'!M$13</f>
        <v>0</v>
      </c>
      <c r="I21" s="6">
        <f>'2.0 Capex Real Dollars'!I21/'1.1 Input'!N$13</f>
        <v>0.13345720370121922</v>
      </c>
      <c r="J21" s="34">
        <f t="shared" si="2"/>
        <v>0.13345720370121922</v>
      </c>
    </row>
    <row r="22" spans="1:10">
      <c r="A22" s="22" t="str">
        <f>'2.0 Capex Real Dollars'!A22</f>
        <v>EMS basslink integration, Reliability / predictive monitoring</v>
      </c>
      <c r="B22" s="5" t="s">
        <v>127</v>
      </c>
      <c r="C22" s="22" t="str">
        <f>'2.0 Capex Real Dollars'!C22</f>
        <v>OTHER</v>
      </c>
      <c r="D22" s="22" t="str">
        <f>'2.0 Capex Real Dollars'!D22</f>
        <v>Non-network IT &amp; communications</v>
      </c>
      <c r="E22" s="6">
        <f>'2.0 Capex Real Dollars'!E22/'1.1 Input'!J$13</f>
        <v>0.48033537046793084</v>
      </c>
      <c r="F22" s="6">
        <f>'2.0 Capex Real Dollars'!F22/'1.1 Input'!K$13</f>
        <v>0.24701246426313345</v>
      </c>
      <c r="G22" s="6">
        <f>'2.0 Capex Real Dollars'!G22/'1.1 Input'!L$13</f>
        <v>0</v>
      </c>
      <c r="H22" s="6">
        <f>'2.0 Capex Real Dollars'!H22/'1.1 Input'!M$13</f>
        <v>0</v>
      </c>
      <c r="I22" s="6">
        <f>'2.0 Capex Real Dollars'!I22/'1.1 Input'!N$13</f>
        <v>0</v>
      </c>
      <c r="J22" s="34">
        <f t="shared" si="2"/>
        <v>0.72734783473106424</v>
      </c>
    </row>
    <row r="23" spans="1:10">
      <c r="A23" s="22" t="str">
        <f>'2.0 Capex Real Dollars'!A23</f>
        <v>OT Technology Capability uplift</v>
      </c>
      <c r="B23" s="5" t="s">
        <v>127</v>
      </c>
      <c r="C23" s="22" t="str">
        <f>'2.0 Capex Real Dollars'!C23</f>
        <v>OTHER</v>
      </c>
      <c r="D23" s="22" t="str">
        <f>'2.0 Capex Real Dollars'!D23</f>
        <v>Non-network IT &amp; communications</v>
      </c>
      <c r="E23" s="6">
        <f>'2.0 Capex Real Dollars'!E23/'1.1 Input'!J$13</f>
        <v>4.5243673534045438E-2</v>
      </c>
      <c r="F23" s="6">
        <f>'2.0 Capex Real Dollars'!F23/'1.1 Input'!K$13</f>
        <v>4.6533118229765733E-2</v>
      </c>
      <c r="G23" s="6">
        <f>'2.0 Capex Real Dollars'!G23/'1.1 Input'!L$13</f>
        <v>4.7805023461379333E-2</v>
      </c>
      <c r="H23" s="6">
        <f>'2.0 Capex Real Dollars'!H23/'1.1 Input'!M$13</f>
        <v>4.9055921575285426E-2</v>
      </c>
      <c r="I23" s="6">
        <f>'2.0 Capex Real Dollars'!I23/'1.1 Input'!N$13</f>
        <v>5.0282319614667559E-2</v>
      </c>
      <c r="J23" s="34">
        <f t="shared" si="2"/>
        <v>0.23892005641514349</v>
      </c>
    </row>
    <row r="24" spans="1:10">
      <c r="A24" s="22" t="str">
        <f>'2.0 Capex Real Dollars'!A24</f>
        <v>Asset Integration</v>
      </c>
      <c r="B24" s="5" t="s">
        <v>127</v>
      </c>
      <c r="C24" s="22" t="str">
        <f>'2.0 Capex Real Dollars'!C24</f>
        <v>OTHER</v>
      </c>
      <c r="D24" s="22" t="str">
        <f>'2.0 Capex Real Dollars'!D24</f>
        <v>Non-network IT &amp; communications</v>
      </c>
      <c r="E24" s="6">
        <f>'2.0 Capex Real Dollars'!E24/'1.1 Input'!J$13</f>
        <v>0</v>
      </c>
      <c r="F24" s="6">
        <f>'2.0 Capex Real Dollars'!F24/'1.1 Input'!K$13</f>
        <v>0</v>
      </c>
      <c r="G24" s="6">
        <f>'2.0 Capex Real Dollars'!G24/'1.1 Input'!L$13</f>
        <v>0</v>
      </c>
      <c r="H24" s="6">
        <f>'2.0 Capex Real Dollars'!H24/'1.1 Input'!M$13</f>
        <v>0</v>
      </c>
      <c r="I24" s="6">
        <f>'2.0 Capex Real Dollars'!I24/'1.1 Input'!N$13</f>
        <v>4.003716111036576E-2</v>
      </c>
      <c r="J24" s="34">
        <f t="shared" si="2"/>
        <v>4.003716111036576E-2</v>
      </c>
    </row>
    <row r="25" spans="1:10">
      <c r="A25" s="22" t="str">
        <f>'2.0 Capex Real Dollars'!A25</f>
        <v>Program Management and Consultation</v>
      </c>
      <c r="B25" s="5" t="s">
        <v>127</v>
      </c>
      <c r="C25" s="22" t="str">
        <f>'2.0 Capex Real Dollars'!C25</f>
        <v>OTHER</v>
      </c>
      <c r="D25" s="22" t="str">
        <f>'2.0 Capex Real Dollars'!D25</f>
        <v>Non-network IT &amp; communications</v>
      </c>
      <c r="E25" s="6">
        <f>'2.0 Capex Real Dollars'!E25/'1.1 Input'!J$13</f>
        <v>0</v>
      </c>
      <c r="F25" s="6">
        <f>'2.0 Capex Real Dollars'!F25/'1.1 Input'!K$13</f>
        <v>0</v>
      </c>
      <c r="G25" s="6">
        <f>'2.0 Capex Real Dollars'!G25/'1.1 Input'!L$13</f>
        <v>0.19032311640295124</v>
      </c>
      <c r="H25" s="6">
        <f>'2.0 Capex Real Dollars'!H25/'1.1 Input'!M$13</f>
        <v>0.39060644985722698</v>
      </c>
      <c r="I25" s="6">
        <f>'2.0 Capex Real Dollars'!I25/'1.1 Input'!N$13</f>
        <v>0.2001858055518288</v>
      </c>
      <c r="J25" s="34">
        <f t="shared" si="2"/>
        <v>0.78111537181200696</v>
      </c>
    </row>
    <row r="26" spans="1:10">
      <c r="A26" s="22" t="str">
        <f>'2.0 Capex Real Dollars'!A26</f>
        <v>Cyber Security</v>
      </c>
      <c r="B26" s="5" t="s">
        <v>127</v>
      </c>
      <c r="C26" s="22" t="str">
        <f>'2.0 Capex Real Dollars'!C26</f>
        <v>OTHER</v>
      </c>
      <c r="D26" s="22" t="str">
        <f>'2.0 Capex Real Dollars'!D26</f>
        <v>Non-network IT &amp; communications</v>
      </c>
      <c r="E26" s="6">
        <f>'2.0 Capex Real Dollars'!E26/'1.1 Input'!J$13</f>
        <v>0.93570149742832187</v>
      </c>
      <c r="F26" s="6">
        <f>'2.0 Capex Real Dollars'!F26/'1.1 Input'!K$13</f>
        <v>0.92463381722204541</v>
      </c>
      <c r="G26" s="6">
        <f>'2.0 Capex Real Dollars'!G26/'1.1 Input'!L$13</f>
        <v>0.59756279326724171</v>
      </c>
      <c r="H26" s="6">
        <f>'2.0 Capex Real Dollars'!H26/'1.1 Input'!M$13</f>
        <v>0.61319901969106783</v>
      </c>
      <c r="I26" s="6">
        <f>'2.0 Capex Real Dollars'!I26/'1.1 Input'!N$13</f>
        <v>0.62852899518334449</v>
      </c>
      <c r="J26" s="34">
        <f t="shared" si="2"/>
        <v>3.6996261227920209</v>
      </c>
    </row>
    <row r="27" spans="1:10">
      <c r="A27" s="22" t="str">
        <f>'2.0 Capex Real Dollars'!A27</f>
        <v>Program Management and Material Risk</v>
      </c>
      <c r="B27" s="5" t="s">
        <v>127</v>
      </c>
      <c r="C27" s="22" t="str">
        <f>'2.0 Capex Real Dollars'!C27</f>
        <v>OTHER</v>
      </c>
      <c r="D27" s="22" t="str">
        <f>'2.0 Capex Real Dollars'!D27</f>
        <v>Non-network IT &amp; communications</v>
      </c>
      <c r="E27" s="6">
        <f>'2.0 Capex Real Dollars'!E27/'1.1 Input'!J$13</f>
        <v>4.5589594894473916E-2</v>
      </c>
      <c r="F27" s="6">
        <f>'2.0 Capex Real Dollars'!F27/'1.1 Input'!K$13</f>
        <v>0</v>
      </c>
      <c r="G27" s="6">
        <f>'2.0 Capex Real Dollars'!G27/'1.1 Input'!L$13</f>
        <v>0</v>
      </c>
      <c r="H27" s="6">
        <f>'2.0 Capex Real Dollars'!H27/'1.1 Input'!M$13</f>
        <v>0</v>
      </c>
      <c r="I27" s="6">
        <f>'2.0 Capex Real Dollars'!I27/'1.1 Input'!N$13</f>
        <v>0</v>
      </c>
      <c r="J27" s="34">
        <f t="shared" si="2"/>
        <v>4.5589594894473916E-2</v>
      </c>
    </row>
    <row r="28" spans="1:10">
      <c r="A28" s="22" t="str">
        <f>'2.0 Capex Real Dollars'!A28</f>
        <v>Enterprise Security Governance</v>
      </c>
      <c r="B28" s="5" t="s">
        <v>127</v>
      </c>
      <c r="C28" s="22" t="str">
        <f>'2.0 Capex Real Dollars'!C28</f>
        <v>OTHER</v>
      </c>
      <c r="D28" s="22" t="str">
        <f>'2.0 Capex Real Dollars'!D28</f>
        <v>Non-network IT &amp; communications</v>
      </c>
      <c r="E28" s="6">
        <f>'2.0 Capex Real Dollars'!E28/'1.1 Input'!J$13</f>
        <v>3.2786932813823021E-2</v>
      </c>
      <c r="F28" s="6">
        <f>'2.0 Capex Real Dollars'!F28/'1.1 Input'!K$13</f>
        <v>0</v>
      </c>
      <c r="G28" s="6">
        <f>'2.0 Capex Real Dollars'!G28/'1.1 Input'!L$13</f>
        <v>7.9675039102298895E-2</v>
      </c>
      <c r="H28" s="6">
        <f>'2.0 Capex Real Dollars'!H28/'1.1 Input'!M$13</f>
        <v>8.1759869292142379E-2</v>
      </c>
      <c r="I28" s="6">
        <f>'2.0 Capex Real Dollars'!I28/'1.1 Input'!N$13</f>
        <v>8.3803866024445936E-2</v>
      </c>
      <c r="J28" s="34">
        <f t="shared" ref="J28:J29" si="3">SUM(E28:I28)</f>
        <v>0.27802570723271025</v>
      </c>
    </row>
    <row r="29" spans="1:10">
      <c r="A29" s="22" t="str">
        <f>'2.0 Capex Real Dollars'!A29</f>
        <v>Supply Chain Security</v>
      </c>
      <c r="B29" s="5" t="s">
        <v>127</v>
      </c>
      <c r="C29" s="22" t="str">
        <f>'2.0 Capex Real Dollars'!C29</f>
        <v>OTHER</v>
      </c>
      <c r="D29" s="22" t="str">
        <f>'2.0 Capex Real Dollars'!D29</f>
        <v>Non-network IT &amp; communications</v>
      </c>
      <c r="E29" s="6">
        <f>'2.0 Capex Real Dollars'!E29/'1.1 Input'!J$13</f>
        <v>3.2744307260905638E-2</v>
      </c>
      <c r="F29" s="6">
        <f>'2.0 Capex Real Dollars'!F29/'1.1 Input'!K$13</f>
        <v>0</v>
      </c>
      <c r="G29" s="6">
        <f>'2.0 Capex Real Dollars'!G29/'1.1 Input'!L$13</f>
        <v>0</v>
      </c>
      <c r="H29" s="6">
        <f>'2.0 Capex Real Dollars'!H29/'1.1 Input'!M$13</f>
        <v>0</v>
      </c>
      <c r="I29" s="6">
        <f>'2.0 Capex Real Dollars'!I29/'1.1 Input'!N$13</f>
        <v>0</v>
      </c>
      <c r="J29" s="34">
        <f t="shared" si="3"/>
        <v>3.2744307260905638E-2</v>
      </c>
    </row>
    <row r="30" spans="1:10">
      <c r="A30" s="22" t="str">
        <f>'2.0 Capex Real Dollars'!A30</f>
        <v>Physical Security and Natural Hazards</v>
      </c>
      <c r="B30" s="5" t="s">
        <v>127</v>
      </c>
      <c r="C30" s="22" t="str">
        <f>'2.0 Capex Real Dollars'!C30</f>
        <v>BUILDING INSTALLATION</v>
      </c>
      <c r="D30" s="22" t="str">
        <f>'2.0 Capex Real Dollars'!D30</f>
        <v>Non-network buildings and property expenditure</v>
      </c>
      <c r="E30" s="6">
        <f>'2.0 Capex Real Dollars'!E30/'1.1 Input'!J$13</f>
        <v>1.8012576392547406</v>
      </c>
      <c r="F30" s="6">
        <f>'2.0 Capex Real Dollars'!F30/'1.1 Input'!K$13</f>
        <v>1.8525934819735006</v>
      </c>
      <c r="G30" s="6">
        <f>'2.0 Capex Real Dollars'!G30/'1.1 Input'!L$13</f>
        <v>0</v>
      </c>
      <c r="H30" s="6">
        <f>'2.0 Capex Real Dollars'!H30/'1.1 Input'!M$13</f>
        <v>0</v>
      </c>
      <c r="I30" s="6">
        <f>'2.0 Capex Real Dollars'!I30/'1.1 Input'!N$13</f>
        <v>0</v>
      </c>
      <c r="J30" s="34">
        <f t="shared" ref="J30:J35" si="4">SUM(E30:I30)</f>
        <v>3.6538511212282412</v>
      </c>
    </row>
    <row r="31" spans="1:10">
      <c r="A31" s="22" t="str">
        <f>'2.0 Capex Real Dollars'!A31</f>
        <v/>
      </c>
      <c r="B31" s="5" t="s">
        <v>127</v>
      </c>
      <c r="C31" s="22">
        <f>'2.0 Capex Real Dollars'!C31</f>
        <v>0</v>
      </c>
      <c r="D31" s="22">
        <f>'2.0 Capex Real Dollars'!D31</f>
        <v>0</v>
      </c>
      <c r="E31" s="6">
        <f>'2.0 Capex Real Dollars'!E31/'1.1 Input'!J$13</f>
        <v>0</v>
      </c>
      <c r="F31" s="6">
        <f>'2.0 Capex Real Dollars'!F31/'1.1 Input'!K$13</f>
        <v>0</v>
      </c>
      <c r="G31" s="6">
        <f>'2.0 Capex Real Dollars'!G31/'1.1 Input'!L$13</f>
        <v>0</v>
      </c>
      <c r="H31" s="6">
        <f>'2.0 Capex Real Dollars'!H31/'1.1 Input'!M$13</f>
        <v>0</v>
      </c>
      <c r="I31" s="6">
        <f>'2.0 Capex Real Dollars'!I31/'1.1 Input'!N$13</f>
        <v>0</v>
      </c>
      <c r="J31" s="34">
        <f t="shared" si="4"/>
        <v>0</v>
      </c>
    </row>
    <row r="32" spans="1:10">
      <c r="A32" s="22" t="str">
        <f>'2.0 Capex Real Dollars'!A32</f>
        <v/>
      </c>
      <c r="B32" s="5" t="s">
        <v>127</v>
      </c>
      <c r="C32" s="22">
        <f>'2.0 Capex Real Dollars'!C32</f>
        <v>0</v>
      </c>
      <c r="D32" s="22">
        <f>'2.0 Capex Real Dollars'!D32</f>
        <v>0</v>
      </c>
      <c r="E32" s="6">
        <f>'2.0 Capex Real Dollars'!E32/'1.1 Input'!J$13</f>
        <v>0</v>
      </c>
      <c r="F32" s="6">
        <f>'2.0 Capex Real Dollars'!F32/'1.1 Input'!K$13</f>
        <v>0</v>
      </c>
      <c r="G32" s="6">
        <f>'2.0 Capex Real Dollars'!G32/'1.1 Input'!L$13</f>
        <v>0</v>
      </c>
      <c r="H32" s="6">
        <f>'2.0 Capex Real Dollars'!H32/'1.1 Input'!M$13</f>
        <v>0</v>
      </c>
      <c r="I32" s="6">
        <f>'2.0 Capex Real Dollars'!I32/'1.1 Input'!N$13</f>
        <v>0</v>
      </c>
      <c r="J32" s="34">
        <f t="shared" si="4"/>
        <v>0</v>
      </c>
    </row>
    <row r="33" spans="1:12">
      <c r="A33" s="22" t="str">
        <f>'2.0 Capex Real Dollars'!A33</f>
        <v/>
      </c>
      <c r="B33" s="5" t="s">
        <v>127</v>
      </c>
      <c r="C33" s="22">
        <f>'2.0 Capex Real Dollars'!C33</f>
        <v>0</v>
      </c>
      <c r="D33" s="22">
        <f>'2.0 Capex Real Dollars'!D33</f>
        <v>0</v>
      </c>
      <c r="E33" s="6">
        <f>'2.0 Capex Real Dollars'!E33/'1.1 Input'!J$13</f>
        <v>0</v>
      </c>
      <c r="F33" s="6">
        <f>'2.0 Capex Real Dollars'!F33/'1.1 Input'!K$13</f>
        <v>0</v>
      </c>
      <c r="G33" s="6">
        <f>'2.0 Capex Real Dollars'!G33/'1.1 Input'!L$13</f>
        <v>0</v>
      </c>
      <c r="H33" s="6">
        <f>'2.0 Capex Real Dollars'!H33/'1.1 Input'!M$13</f>
        <v>0</v>
      </c>
      <c r="I33" s="6">
        <f>'2.0 Capex Real Dollars'!I33/'1.1 Input'!N$13</f>
        <v>0</v>
      </c>
      <c r="J33" s="34">
        <f t="shared" si="4"/>
        <v>0</v>
      </c>
    </row>
    <row r="34" spans="1:12" ht="15.75" thickBot="1">
      <c r="A34" s="22" t="str">
        <f>'2.0 Capex Real Dollars'!A34</f>
        <v/>
      </c>
      <c r="B34" s="5" t="s">
        <v>127</v>
      </c>
      <c r="C34" s="22">
        <f>'2.0 Capex Real Dollars'!C34</f>
        <v>0</v>
      </c>
      <c r="D34" s="22">
        <f>'2.0 Capex Real Dollars'!D34</f>
        <v>0</v>
      </c>
      <c r="E34" s="6">
        <f>'2.0 Capex Real Dollars'!E34/'1.1 Input'!J$13</f>
        <v>0</v>
      </c>
      <c r="F34" s="6">
        <f>'2.0 Capex Real Dollars'!F34/'1.1 Input'!K$13</f>
        <v>0</v>
      </c>
      <c r="G34" s="6">
        <f>'2.0 Capex Real Dollars'!G34/'1.1 Input'!L$13</f>
        <v>0</v>
      </c>
      <c r="H34" s="6">
        <f>'2.0 Capex Real Dollars'!H34/'1.1 Input'!M$13</f>
        <v>0</v>
      </c>
      <c r="I34" s="6">
        <f>'2.0 Capex Real Dollars'!I34/'1.1 Input'!N$13</f>
        <v>0</v>
      </c>
      <c r="J34" s="34">
        <f t="shared" si="4"/>
        <v>0</v>
      </c>
    </row>
    <row r="35" spans="1:12" ht="16.5" thickTop="1" thickBot="1">
      <c r="A35" s="22" t="str">
        <f>'2.0 Capex Real Dollars'!A35</f>
        <v/>
      </c>
      <c r="B35" s="5" t="s">
        <v>127</v>
      </c>
      <c r="C35" s="22">
        <f>'2.0 Capex Real Dollars'!C35</f>
        <v>0</v>
      </c>
      <c r="D35" s="22">
        <f>'2.0 Capex Real Dollars'!D35</f>
        <v>0</v>
      </c>
      <c r="E35" s="6">
        <f>'2.0 Capex Real Dollars'!E35/'1.1 Input'!J$13</f>
        <v>0</v>
      </c>
      <c r="F35" s="6">
        <f>'2.0 Capex Real Dollars'!F35/'1.1 Input'!K$13</f>
        <v>0</v>
      </c>
      <c r="G35" s="6">
        <f>'2.0 Capex Real Dollars'!G35/'1.1 Input'!L$13</f>
        <v>0</v>
      </c>
      <c r="H35" s="6">
        <f>'2.0 Capex Real Dollars'!H35/'1.1 Input'!M$13</f>
        <v>0</v>
      </c>
      <c r="I35" s="6">
        <f>'2.0 Capex Real Dollars'!I35/'1.1 Input'!N$13</f>
        <v>0</v>
      </c>
      <c r="J35" s="34">
        <f t="shared" si="4"/>
        <v>0</v>
      </c>
      <c r="L35" s="54">
        <f>SUM(J10:J35)-J5</f>
        <v>0</v>
      </c>
    </row>
    <row r="36" spans="1:12" ht="15.75" thickTop="1"/>
    <row r="37" spans="1:12" ht="16.5">
      <c r="A37" s="4" t="str">
        <f>'2.0 Capex Real Dollars'!A37</f>
        <v>Project by size</v>
      </c>
      <c r="B37" s="4"/>
      <c r="C37" s="4"/>
      <c r="D37" s="4"/>
      <c r="E37" s="4"/>
      <c r="F37" s="4"/>
      <c r="G37" s="4"/>
      <c r="H37" s="4"/>
      <c r="I37" s="4"/>
      <c r="J37" s="4"/>
    </row>
    <row r="38" spans="1:12">
      <c r="A38" s="3" t="str">
        <f>'2.0 Capex Real Dollars'!A38</f>
        <v>Forecast Period ($FY 2024/25 '000)</v>
      </c>
      <c r="B38" s="3"/>
      <c r="C38" s="3"/>
      <c r="D38" s="3"/>
      <c r="E38" s="3"/>
      <c r="F38" s="3"/>
      <c r="G38" s="3"/>
      <c r="H38" s="3"/>
      <c r="I38" s="3"/>
      <c r="J38" s="3"/>
    </row>
    <row r="39" spans="1:12">
      <c r="A39" s="18" t="str">
        <f>'2.0 Capex Real Dollars'!A39</f>
        <v>Project</v>
      </c>
      <c r="B39" s="18" t="str">
        <f>B8</f>
        <v>$</v>
      </c>
      <c r="C39" s="18" t="str">
        <f>'2.0 Capex Real Dollars'!C39</f>
        <v>Asset Classes (Fore)</v>
      </c>
      <c r="D39" s="18" t="str">
        <f>'2.0 Capex Real Dollars'!D39</f>
        <v>Driver</v>
      </c>
      <c r="E39" s="18" t="str">
        <f>'2.0 Capex Real Dollars'!E39</f>
        <v>2025/26</v>
      </c>
      <c r="F39" s="18" t="str">
        <f>'2.0 Capex Real Dollars'!F39</f>
        <v>2026/27</v>
      </c>
      <c r="G39" s="18" t="str">
        <f>'2.0 Capex Real Dollars'!G39</f>
        <v>2027/28</v>
      </c>
      <c r="H39" s="18" t="str">
        <f>'2.0 Capex Real Dollars'!H39</f>
        <v>2028/29</v>
      </c>
      <c r="I39" s="18" t="str">
        <f>'2.0 Capex Real Dollars'!I39</f>
        <v>2029/30</v>
      </c>
      <c r="J39" s="18" t="str">
        <f>'2.0 Capex Real Dollars'!J39</f>
        <v>Total</v>
      </c>
    </row>
    <row r="41" spans="1:12">
      <c r="A41" s="22" t="str">
        <f>'2.0 Capex Real Dollars'!A41</f>
        <v>Control &amp; Protection - System Renewal</v>
      </c>
      <c r="B41" s="22" t="str">
        <f>IF(A41="","",$B$10)</f>
        <v>nominal</v>
      </c>
      <c r="C41" s="22" t="str">
        <f>'2.0 Capex Real Dollars'!C41</f>
        <v>CONTROL SYSTEM</v>
      </c>
      <c r="D41" s="22" t="str">
        <f>'2.0 Capex Real Dollars'!D41</f>
        <v>Replacement expenditure</v>
      </c>
      <c r="E41" s="6">
        <f>'2.0 Capex Real Dollars'!E41/'1.1 Input'!J$13</f>
        <v>8.1132633585269325</v>
      </c>
      <c r="F41" s="6">
        <f>'2.0 Capex Real Dollars'!F41/'1.1 Input'!K$13</f>
        <v>6.7260197837678115</v>
      </c>
      <c r="G41" s="6">
        <f>'2.0 Capex Real Dollars'!G41/'1.1 Input'!L$13</f>
        <v>3.3321199954631338</v>
      </c>
      <c r="H41" s="6">
        <f>'2.0 Capex Real Dollars'!H41/'1.1 Input'!M$13</f>
        <v>9.4421398656168041</v>
      </c>
      <c r="I41" s="6">
        <f>'2.0 Capex Real Dollars'!I41/'1.1 Input'!N$13</f>
        <v>21.085174322027601</v>
      </c>
      <c r="J41" s="34">
        <f>SUM(E41:I41)</f>
        <v>48.698717325402285</v>
      </c>
    </row>
    <row r="42" spans="1:12">
      <c r="A42" s="22" t="str">
        <f>'2.0 Capex Real Dollars'!A42</f>
        <v>Subsea Cable Repair Strategy</v>
      </c>
      <c r="B42" s="22" t="str">
        <f t="shared" ref="B42:B62" si="5">IF(A42="","",$B$10)</f>
        <v>nominal</v>
      </c>
      <c r="C42" s="22" t="str">
        <f>'2.0 Capex Real Dollars'!C42</f>
        <v>CABLE</v>
      </c>
      <c r="D42" s="22" t="str">
        <f>'2.0 Capex Real Dollars'!D42</f>
        <v>Replacement expenditure</v>
      </c>
      <c r="E42" s="6">
        <f>'2.0 Capex Real Dollars'!E42/'1.1 Input'!J$13</f>
        <v>0</v>
      </c>
      <c r="F42" s="6">
        <f>'2.0 Capex Real Dollars'!F42/'1.1 Input'!K$13</f>
        <v>0</v>
      </c>
      <c r="G42" s="6">
        <f>'2.0 Capex Real Dollars'!G42/'1.1 Input'!L$13</f>
        <v>0</v>
      </c>
      <c r="H42" s="6">
        <f>'2.0 Capex Real Dollars'!H42/'1.1 Input'!M$13</f>
        <v>1.1039155782958885</v>
      </c>
      <c r="I42" s="6">
        <f>'2.0 Capex Real Dollars'!I42/'1.1 Input'!N$13</f>
        <v>12.38515825657308</v>
      </c>
      <c r="J42" s="34">
        <f t="shared" ref="J42:J62" si="6">SUM(E42:I42)</f>
        <v>13.489073834868968</v>
      </c>
    </row>
    <row r="43" spans="1:12">
      <c r="A43" s="22" t="str">
        <f>'2.0 Capex Real Dollars'!A43</f>
        <v>Ambient Temperature Project</v>
      </c>
      <c r="B43" s="22" t="str">
        <f t="shared" si="5"/>
        <v>nominal</v>
      </c>
      <c r="C43" s="22" t="str">
        <f>'2.0 Capex Real Dollars'!C43</f>
        <v>SWITCHYARD COMPONENTS</v>
      </c>
      <c r="D43" s="22" t="str">
        <f>'2.0 Capex Real Dollars'!D43</f>
        <v>Replacement expenditure</v>
      </c>
      <c r="E43" s="6">
        <f>'2.0 Capex Real Dollars'!E43/'1.1 Input'!J$13</f>
        <v>7.2050305570189623</v>
      </c>
      <c r="F43" s="6">
        <f>'2.0 Capex Real Dollars'!F43/'1.1 Input'!K$13</f>
        <v>0</v>
      </c>
      <c r="G43" s="6">
        <f>'2.0 Capex Real Dollars'!G43/'1.1 Input'!L$13</f>
        <v>0</v>
      </c>
      <c r="H43" s="6">
        <f>'2.0 Capex Real Dollars'!H43/'1.1 Input'!M$13</f>
        <v>0</v>
      </c>
      <c r="I43" s="6">
        <f>'2.0 Capex Real Dollars'!I43/'1.1 Input'!N$13</f>
        <v>0</v>
      </c>
      <c r="J43" s="34">
        <f t="shared" si="6"/>
        <v>7.2050305570189623</v>
      </c>
    </row>
    <row r="44" spans="1:12">
      <c r="A44" s="22" t="str">
        <f>'2.0 Capex Real Dollars'!A44</f>
        <v>Physical Security and Natural Hazards</v>
      </c>
      <c r="B44" s="22" t="str">
        <f t="shared" si="5"/>
        <v>nominal</v>
      </c>
      <c r="C44" s="22" t="str">
        <f>'2.0 Capex Real Dollars'!C44</f>
        <v>BUILDING INSTALLATION</v>
      </c>
      <c r="D44" s="22" t="str">
        <f>'2.0 Capex Real Dollars'!D44</f>
        <v>Non-network buildings and property expenditure</v>
      </c>
      <c r="E44" s="6">
        <f>'2.0 Capex Real Dollars'!E44/'1.1 Input'!J$13</f>
        <v>1.8012576392547406</v>
      </c>
      <c r="F44" s="6">
        <f>'2.0 Capex Real Dollars'!F44/'1.1 Input'!K$13</f>
        <v>1.8525934819735006</v>
      </c>
      <c r="G44" s="6">
        <f>'2.0 Capex Real Dollars'!G44/'1.1 Input'!L$13</f>
        <v>0</v>
      </c>
      <c r="H44" s="6">
        <f>'2.0 Capex Real Dollars'!H44/'1.1 Input'!M$13</f>
        <v>0</v>
      </c>
      <c r="I44" s="6">
        <f>'2.0 Capex Real Dollars'!I44/'1.1 Input'!N$13</f>
        <v>0</v>
      </c>
      <c r="J44" s="34">
        <f t="shared" si="6"/>
        <v>3.6538511212282412</v>
      </c>
    </row>
    <row r="45" spans="1:12">
      <c r="A45" s="22" t="str">
        <f>'2.0 Capex Real Dollars'!A45</f>
        <v>Cyber Security</v>
      </c>
      <c r="B45" s="22" t="str">
        <f t="shared" si="5"/>
        <v>nominal</v>
      </c>
      <c r="C45" s="22" t="str">
        <f>'2.0 Capex Real Dollars'!C45</f>
        <v>OTHER</v>
      </c>
      <c r="D45" s="22" t="str">
        <f>'2.0 Capex Real Dollars'!D45</f>
        <v>Non-network IT &amp; communications</v>
      </c>
      <c r="E45" s="6">
        <f>'2.0 Capex Real Dollars'!E45/'1.1 Input'!J$13</f>
        <v>0.93570149742832187</v>
      </c>
      <c r="F45" s="6">
        <f>'2.0 Capex Real Dollars'!F45/'1.1 Input'!K$13</f>
        <v>0.92463381722204541</v>
      </c>
      <c r="G45" s="6">
        <f>'2.0 Capex Real Dollars'!G45/'1.1 Input'!L$13</f>
        <v>0.59756279326724171</v>
      </c>
      <c r="H45" s="6">
        <f>'2.0 Capex Real Dollars'!H45/'1.1 Input'!M$13</f>
        <v>0.61319901969106783</v>
      </c>
      <c r="I45" s="6">
        <f>'2.0 Capex Real Dollars'!I45/'1.1 Input'!N$13</f>
        <v>0.62852899518334449</v>
      </c>
      <c r="J45" s="34">
        <f t="shared" si="6"/>
        <v>3.6996261227920209</v>
      </c>
    </row>
    <row r="46" spans="1:12">
      <c r="A46" s="22" t="str">
        <f>'2.0 Capex Real Dollars'!A46</f>
        <v>Reactor DC Refurbishment</v>
      </c>
      <c r="B46" s="22" t="str">
        <f t="shared" si="5"/>
        <v>nominal</v>
      </c>
      <c r="C46" s="22" t="str">
        <f>'2.0 Capex Real Dollars'!C46</f>
        <v>SMOOTHING REACTOR</v>
      </c>
      <c r="D46" s="22" t="str">
        <f>'2.0 Capex Real Dollars'!D46</f>
        <v>Replacement expenditure</v>
      </c>
      <c r="E46" s="6">
        <f>'2.0 Capex Real Dollars'!E46/'1.1 Input'!J$13</f>
        <v>0</v>
      </c>
      <c r="F46" s="6">
        <f>'2.0 Capex Real Dollars'!F46/'1.1 Input'!K$13</f>
        <v>0.83069377798425237</v>
      </c>
      <c r="G46" s="6">
        <f>'2.0 Capex Real Dollars'!G46/'1.1 Input'!L$13</f>
        <v>0</v>
      </c>
      <c r="H46" s="6">
        <f>'2.0 Capex Real Dollars'!H46/'1.1 Input'!M$13</f>
        <v>0</v>
      </c>
      <c r="I46" s="6">
        <f>'2.0 Capex Real Dollars'!I46/'1.1 Input'!N$13</f>
        <v>0</v>
      </c>
      <c r="J46" s="34">
        <f t="shared" si="6"/>
        <v>0.83069377798425237</v>
      </c>
    </row>
    <row r="47" spans="1:12">
      <c r="A47" s="22" t="str">
        <f>'2.0 Capex Real Dollars'!A47</f>
        <v>Program Management and Consultation</v>
      </c>
      <c r="B47" s="22" t="str">
        <f t="shared" si="5"/>
        <v>nominal</v>
      </c>
      <c r="C47" s="22" t="str">
        <f>'2.0 Capex Real Dollars'!C47</f>
        <v>OTHER</v>
      </c>
      <c r="D47" s="22" t="str">
        <f>'2.0 Capex Real Dollars'!D47</f>
        <v>Non-network IT &amp; communications</v>
      </c>
      <c r="E47" s="6">
        <f>'2.0 Capex Real Dollars'!E47/'1.1 Input'!J$13</f>
        <v>0</v>
      </c>
      <c r="F47" s="6">
        <f>'2.0 Capex Real Dollars'!F47/'1.1 Input'!K$13</f>
        <v>0</v>
      </c>
      <c r="G47" s="6">
        <f>'2.0 Capex Real Dollars'!G47/'1.1 Input'!L$13</f>
        <v>0.19032311640295124</v>
      </c>
      <c r="H47" s="6">
        <f>'2.0 Capex Real Dollars'!H47/'1.1 Input'!M$13</f>
        <v>0.39060644985722698</v>
      </c>
      <c r="I47" s="6">
        <f>'2.0 Capex Real Dollars'!I47/'1.1 Input'!N$13</f>
        <v>0.2001858055518288</v>
      </c>
      <c r="J47" s="34">
        <f t="shared" si="6"/>
        <v>0.78111537181200696</v>
      </c>
    </row>
    <row r="48" spans="1:12">
      <c r="A48" s="22" t="str">
        <f>'2.0 Capex Real Dollars'!A48</f>
        <v>EMS basslink integration, Reliability / predictive monitoring</v>
      </c>
      <c r="B48" s="22" t="str">
        <f t="shared" si="5"/>
        <v>nominal</v>
      </c>
      <c r="C48" s="22" t="str">
        <f>'2.0 Capex Real Dollars'!C48</f>
        <v>OTHER</v>
      </c>
      <c r="D48" s="22" t="str">
        <f>'2.0 Capex Real Dollars'!D48</f>
        <v>Non-network IT &amp; communications</v>
      </c>
      <c r="E48" s="6">
        <f>'2.0 Capex Real Dollars'!E48/'1.1 Input'!J$13</f>
        <v>0.48033537046793084</v>
      </c>
      <c r="F48" s="6">
        <f>'2.0 Capex Real Dollars'!F48/'1.1 Input'!K$13</f>
        <v>0.24701246426313345</v>
      </c>
      <c r="G48" s="6">
        <f>'2.0 Capex Real Dollars'!G48/'1.1 Input'!L$13</f>
        <v>0</v>
      </c>
      <c r="H48" s="6">
        <f>'2.0 Capex Real Dollars'!H48/'1.1 Input'!M$13</f>
        <v>0</v>
      </c>
      <c r="I48" s="6">
        <f>'2.0 Capex Real Dollars'!I48/'1.1 Input'!N$13</f>
        <v>0</v>
      </c>
      <c r="J48" s="34">
        <f t="shared" si="6"/>
        <v>0.72734783473106424</v>
      </c>
    </row>
    <row r="49" spans="1:12">
      <c r="A49" s="22" t="str">
        <f>'2.0 Capex Real Dollars'!A49</f>
        <v>Spares</v>
      </c>
      <c r="B49" s="22" t="str">
        <f t="shared" si="5"/>
        <v>nominal</v>
      </c>
      <c r="C49" s="22" t="str">
        <f>'2.0 Capex Real Dollars'!C49</f>
        <v>SWITCHYARD COMPONENTS</v>
      </c>
      <c r="D49" s="22" t="str">
        <f>'2.0 Capex Real Dollars'!D49</f>
        <v>Replacement expenditure</v>
      </c>
      <c r="E49" s="6">
        <f>'2.0 Capex Real Dollars'!E49/'1.1 Input'!J$13</f>
        <v>6.2142363948122871E-2</v>
      </c>
      <c r="F49" s="6">
        <f>'2.0 Capex Real Dollars'!F49/'1.1 Input'!K$13</f>
        <v>0.25565368528257748</v>
      </c>
      <c r="G49" s="6">
        <f>'2.0 Capex Real Dollars'!G49/'1.1 Input'!L$13</f>
        <v>0.13132077634015066</v>
      </c>
      <c r="H49" s="6">
        <f>'2.0 Capex Real Dollars'!H49/'1.1 Input'!M$13</f>
        <v>0.28298970697420761</v>
      </c>
      <c r="I49" s="6">
        <f>'2.0 Capex Real Dollars'!I49/'1.1 Input'!N$13</f>
        <v>0</v>
      </c>
      <c r="J49" s="34">
        <f t="shared" si="6"/>
        <v>0.73210653254505864</v>
      </c>
    </row>
    <row r="50" spans="1:12">
      <c r="A50" s="22" t="str">
        <f>'2.0 Capex Real Dollars'!A50</f>
        <v>Minor Plant and Equipment</v>
      </c>
      <c r="B50" s="22" t="str">
        <f t="shared" si="5"/>
        <v>nominal</v>
      </c>
      <c r="C50" s="22" t="str">
        <f>'2.0 Capex Real Dollars'!C50</f>
        <v>OTHER</v>
      </c>
      <c r="D50" s="22" t="str">
        <f>'2.0 Capex Real Dollars'!D50</f>
        <v>Replacement expenditure</v>
      </c>
      <c r="E50" s="6">
        <f>'2.0 Capex Real Dollars'!E50/'1.1 Input'!J$13</f>
        <v>5.1904787662912004E-2</v>
      </c>
      <c r="F50" s="6">
        <f>'2.0 Capex Real Dollars'!F50/'1.1 Input'!K$13</f>
        <v>5.3384074111304997E-2</v>
      </c>
      <c r="G50" s="6">
        <f>'2.0 Capex Real Dollars'!G50/'1.1 Input'!L$13</f>
        <v>5.4843238803680666E-2</v>
      </c>
      <c r="H50" s="6">
        <f>'2.0 Capex Real Dollars'!H50/'1.1 Input'!M$13</f>
        <v>5.6278303552376979E-2</v>
      </c>
      <c r="I50" s="6">
        <f>'2.0 Capex Real Dollars'!I50/'1.1 Input'!N$13</f>
        <v>5.7685261141186404E-2</v>
      </c>
      <c r="J50" s="34">
        <f t="shared" si="6"/>
        <v>0.27409566527146106</v>
      </c>
    </row>
    <row r="51" spans="1:12">
      <c r="A51" s="22" t="str">
        <f>'2.0 Capex Real Dollars'!A51</f>
        <v>Enterprise Security Governance</v>
      </c>
      <c r="B51" s="22" t="str">
        <f t="shared" si="5"/>
        <v>nominal</v>
      </c>
      <c r="C51" s="22" t="str">
        <f>'2.0 Capex Real Dollars'!C51</f>
        <v>OTHER</v>
      </c>
      <c r="D51" s="22" t="str">
        <f>'2.0 Capex Real Dollars'!D51</f>
        <v>Non-network IT &amp; communications</v>
      </c>
      <c r="E51" s="6">
        <f>'2.0 Capex Real Dollars'!E51/'1.1 Input'!J$13</f>
        <v>3.2786932813823021E-2</v>
      </c>
      <c r="F51" s="6">
        <f>'2.0 Capex Real Dollars'!F51/'1.1 Input'!K$13</f>
        <v>0</v>
      </c>
      <c r="G51" s="6">
        <f>'2.0 Capex Real Dollars'!G51/'1.1 Input'!L$13</f>
        <v>7.9675039102298895E-2</v>
      </c>
      <c r="H51" s="6">
        <f>'2.0 Capex Real Dollars'!H51/'1.1 Input'!M$13</f>
        <v>8.1759869292142379E-2</v>
      </c>
      <c r="I51" s="6">
        <f>'2.0 Capex Real Dollars'!I51/'1.1 Input'!N$13</f>
        <v>8.3803866024445936E-2</v>
      </c>
      <c r="J51" s="34">
        <f t="shared" si="6"/>
        <v>0.27802570723271025</v>
      </c>
    </row>
    <row r="52" spans="1:12">
      <c r="A52" s="22" t="str">
        <f>'2.0 Capex Real Dollars'!A52</f>
        <v>OT Technology Capability uplift</v>
      </c>
      <c r="B52" s="22" t="str">
        <f t="shared" si="5"/>
        <v>nominal</v>
      </c>
      <c r="C52" s="22" t="str">
        <f>'2.0 Capex Real Dollars'!C52</f>
        <v>OTHER</v>
      </c>
      <c r="D52" s="22" t="str">
        <f>'2.0 Capex Real Dollars'!D52</f>
        <v>Non-network IT &amp; communications</v>
      </c>
      <c r="E52" s="6">
        <f>'2.0 Capex Real Dollars'!E52/'1.1 Input'!J$13</f>
        <v>4.5243673534045438E-2</v>
      </c>
      <c r="F52" s="6">
        <f>'2.0 Capex Real Dollars'!F52/'1.1 Input'!K$13</f>
        <v>4.6533118229765733E-2</v>
      </c>
      <c r="G52" s="6">
        <f>'2.0 Capex Real Dollars'!G52/'1.1 Input'!L$13</f>
        <v>4.7805023461379333E-2</v>
      </c>
      <c r="H52" s="6">
        <f>'2.0 Capex Real Dollars'!H52/'1.1 Input'!M$13</f>
        <v>4.9055921575285426E-2</v>
      </c>
      <c r="I52" s="6">
        <f>'2.0 Capex Real Dollars'!I52/'1.1 Input'!N$13</f>
        <v>5.0282319614667559E-2</v>
      </c>
      <c r="J52" s="34">
        <f t="shared" si="6"/>
        <v>0.23892005641514349</v>
      </c>
    </row>
    <row r="53" spans="1:12">
      <c r="A53" s="22" t="str">
        <f>'2.0 Capex Real Dollars'!A53</f>
        <v>Enterprise Asset Management System Upgrade</v>
      </c>
      <c r="B53" s="22" t="str">
        <f t="shared" si="5"/>
        <v>nominal</v>
      </c>
      <c r="C53" s="22" t="str">
        <f>'2.0 Capex Real Dollars'!C53</f>
        <v>IN-HOUSE SOFTWARE</v>
      </c>
      <c r="D53" s="22" t="str">
        <f>'2.0 Capex Real Dollars'!D53</f>
        <v>Non-network IT &amp; communications</v>
      </c>
      <c r="E53" s="6">
        <f>'2.0 Capex Real Dollars'!E53/'1.1 Input'!J$13</f>
        <v>0.18851530639185599</v>
      </c>
      <c r="F53" s="6">
        <f>'2.0 Capex Real Dollars'!F53/'1.1 Input'!K$13</f>
        <v>0</v>
      </c>
      <c r="G53" s="6">
        <f>'2.0 Capex Real Dollars'!G53/'1.1 Input'!L$13</f>
        <v>0</v>
      </c>
      <c r="H53" s="6">
        <f>'2.0 Capex Real Dollars'!H53/'1.1 Input'!M$13</f>
        <v>0</v>
      </c>
      <c r="I53" s="6">
        <f>'2.0 Capex Real Dollars'!I53/'1.1 Input'!N$13</f>
        <v>0</v>
      </c>
      <c r="J53" s="34">
        <f t="shared" si="6"/>
        <v>0.18851530639185599</v>
      </c>
    </row>
    <row r="54" spans="1:12">
      <c r="A54" s="22" t="str">
        <f>'2.0 Capex Real Dollars'!A54</f>
        <v>OT initial integration and standard asset integration</v>
      </c>
      <c r="B54" s="22" t="str">
        <f t="shared" si="5"/>
        <v>nominal</v>
      </c>
      <c r="C54" s="22" t="str">
        <f>'2.0 Capex Real Dollars'!C54</f>
        <v>OTHER</v>
      </c>
      <c r="D54" s="22" t="str">
        <f>'2.0 Capex Real Dollars'!D54</f>
        <v>Non-network IT &amp; communications</v>
      </c>
      <c r="E54" s="6">
        <f>'2.0 Capex Real Dollars'!E54/'1.1 Input'!J$13</f>
        <v>0</v>
      </c>
      <c r="F54" s="6">
        <f>'2.0 Capex Real Dollars'!F54/'1.1 Input'!K$13</f>
        <v>0</v>
      </c>
      <c r="G54" s="6">
        <f>'2.0 Capex Real Dollars'!G54/'1.1 Input'!L$13</f>
        <v>0</v>
      </c>
      <c r="H54" s="6">
        <f>'2.0 Capex Real Dollars'!H54/'1.1 Input'!M$13</f>
        <v>0</v>
      </c>
      <c r="I54" s="6">
        <f>'2.0 Capex Real Dollars'!I54/'1.1 Input'!N$13</f>
        <v>0.13345720370121922</v>
      </c>
      <c r="J54" s="34">
        <f t="shared" si="6"/>
        <v>0.13345720370121922</v>
      </c>
    </row>
    <row r="55" spans="1:12">
      <c r="A55" s="22" t="str">
        <f>'2.0 Capex Real Dollars'!A55</f>
        <v>Video Conferencing Rooms</v>
      </c>
      <c r="B55" s="22" t="str">
        <f t="shared" si="5"/>
        <v>nominal</v>
      </c>
      <c r="C55" s="22" t="str">
        <f>'2.0 Capex Real Dollars'!C55</f>
        <v>OTHER</v>
      </c>
      <c r="D55" s="22" t="str">
        <f>'2.0 Capex Real Dollars'!D55</f>
        <v>Non-network IT &amp; communications</v>
      </c>
      <c r="E55" s="6">
        <f>'2.0 Capex Real Dollars'!E55/'1.1 Input'!J$13</f>
        <v>0</v>
      </c>
      <c r="F55" s="6">
        <f>'2.0 Capex Real Dollars'!F55/'1.1 Input'!K$13</f>
        <v>0</v>
      </c>
      <c r="G55" s="6">
        <f>'2.0 Capex Real Dollars'!G55/'1.1 Input'!L$13</f>
        <v>0</v>
      </c>
      <c r="H55" s="6">
        <f>'2.0 Capex Real Dollars'!H55/'1.1 Input'!M$13</f>
        <v>9.1141504966686285E-2</v>
      </c>
      <c r="I55" s="6">
        <f>'2.0 Capex Real Dollars'!I55/'1.1 Input'!N$13</f>
        <v>0</v>
      </c>
      <c r="J55" s="34">
        <f t="shared" si="6"/>
        <v>9.1141504966686285E-2</v>
      </c>
    </row>
    <row r="56" spans="1:12">
      <c r="A56" s="22" t="str">
        <f>'2.0 Capex Real Dollars'!A56</f>
        <v>Laptop</v>
      </c>
      <c r="B56" s="22" t="str">
        <f t="shared" si="5"/>
        <v>nominal</v>
      </c>
      <c r="C56" s="22" t="str">
        <f>'2.0 Capex Real Dollars'!C56</f>
        <v>OTHER</v>
      </c>
      <c r="D56" s="22" t="str">
        <f>'2.0 Capex Real Dollars'!D56</f>
        <v>Non-network IT &amp; communications</v>
      </c>
      <c r="E56" s="6">
        <f>'2.0 Capex Real Dollars'!E56/'1.1 Input'!J$13</f>
        <v>3.4704230516307999E-2</v>
      </c>
      <c r="F56" s="6">
        <f>'2.0 Capex Real Dollars'!F56/'1.1 Input'!K$13</f>
        <v>0</v>
      </c>
      <c r="G56" s="6">
        <f>'2.0 Capex Real Dollars'!G56/'1.1 Input'!L$13</f>
        <v>0</v>
      </c>
      <c r="H56" s="6">
        <f>'2.0 Capex Real Dollars'!H56/'1.1 Input'!M$13</f>
        <v>3.7628421336246193E-2</v>
      </c>
      <c r="I56" s="6">
        <f>'2.0 Capex Real Dollars'!I56/'1.1 Input'!N$13</f>
        <v>0</v>
      </c>
      <c r="J56" s="34">
        <f t="shared" si="6"/>
        <v>7.2332651852554192E-2</v>
      </c>
    </row>
    <row r="57" spans="1:12">
      <c r="A57" s="22" t="str">
        <f>'2.0 Capex Real Dollars'!A57</f>
        <v>Program Management and Material Risk</v>
      </c>
      <c r="B57" s="22" t="str">
        <f t="shared" si="5"/>
        <v>nominal</v>
      </c>
      <c r="C57" s="22" t="str">
        <f>'2.0 Capex Real Dollars'!C57</f>
        <v>OTHER</v>
      </c>
      <c r="D57" s="22" t="str">
        <f>'2.0 Capex Real Dollars'!D57</f>
        <v>Non-network IT &amp; communications</v>
      </c>
      <c r="E57" s="6">
        <f>'2.0 Capex Real Dollars'!E57/'1.1 Input'!J$13</f>
        <v>4.5589594894473916E-2</v>
      </c>
      <c r="F57" s="6">
        <f>'2.0 Capex Real Dollars'!F57/'1.1 Input'!K$13</f>
        <v>0</v>
      </c>
      <c r="G57" s="6">
        <f>'2.0 Capex Real Dollars'!G57/'1.1 Input'!L$13</f>
        <v>0</v>
      </c>
      <c r="H57" s="6">
        <f>'2.0 Capex Real Dollars'!H57/'1.1 Input'!M$13</f>
        <v>0</v>
      </c>
      <c r="I57" s="6">
        <f>'2.0 Capex Real Dollars'!I57/'1.1 Input'!N$13</f>
        <v>0</v>
      </c>
      <c r="J57" s="34">
        <f t="shared" si="6"/>
        <v>4.5589594894473916E-2</v>
      </c>
    </row>
    <row r="58" spans="1:12">
      <c r="A58" s="22" t="str">
        <f>'2.0 Capex Real Dollars'!A58</f>
        <v>Asset Integration</v>
      </c>
      <c r="B58" s="22" t="str">
        <f t="shared" si="5"/>
        <v>nominal</v>
      </c>
      <c r="C58" s="22" t="str">
        <f>'2.0 Capex Real Dollars'!C58</f>
        <v>OTHER</v>
      </c>
      <c r="D58" s="22" t="str">
        <f>'2.0 Capex Real Dollars'!D58</f>
        <v>Non-network IT &amp; communications</v>
      </c>
      <c r="E58" s="6">
        <f>'2.0 Capex Real Dollars'!E58/'1.1 Input'!J$13</f>
        <v>0</v>
      </c>
      <c r="F58" s="6">
        <f>'2.0 Capex Real Dollars'!F58/'1.1 Input'!K$13</f>
        <v>0</v>
      </c>
      <c r="G58" s="6">
        <f>'2.0 Capex Real Dollars'!G58/'1.1 Input'!L$13</f>
        <v>0</v>
      </c>
      <c r="H58" s="6">
        <f>'2.0 Capex Real Dollars'!H58/'1.1 Input'!M$13</f>
        <v>0</v>
      </c>
      <c r="I58" s="6">
        <f>'2.0 Capex Real Dollars'!I58/'1.1 Input'!N$13</f>
        <v>4.003716111036576E-2</v>
      </c>
      <c r="J58" s="34">
        <f t="shared" si="6"/>
        <v>4.003716111036576E-2</v>
      </c>
    </row>
    <row r="59" spans="1:12">
      <c r="A59" s="22" t="str">
        <f>'2.0 Capex Real Dollars'!A59</f>
        <v>Supply Chain Security</v>
      </c>
      <c r="B59" s="22" t="str">
        <f t="shared" si="5"/>
        <v>nominal</v>
      </c>
      <c r="C59" s="22" t="str">
        <f>'2.0 Capex Real Dollars'!C59</f>
        <v>OTHER</v>
      </c>
      <c r="D59" s="22" t="str">
        <f>'2.0 Capex Real Dollars'!D59</f>
        <v>Non-network IT &amp; communications</v>
      </c>
      <c r="E59" s="6">
        <f>'2.0 Capex Real Dollars'!E59/'1.1 Input'!J$13</f>
        <v>3.2744307260905638E-2</v>
      </c>
      <c r="F59" s="6">
        <f>'2.0 Capex Real Dollars'!F59/'1.1 Input'!K$13</f>
        <v>0</v>
      </c>
      <c r="G59" s="6">
        <f>'2.0 Capex Real Dollars'!G59/'1.1 Input'!L$13</f>
        <v>0</v>
      </c>
      <c r="H59" s="6">
        <f>'2.0 Capex Real Dollars'!H59/'1.1 Input'!M$13</f>
        <v>0</v>
      </c>
      <c r="I59" s="6">
        <f>'2.0 Capex Real Dollars'!I59/'1.1 Input'!N$13</f>
        <v>0</v>
      </c>
      <c r="J59" s="34">
        <f t="shared" si="6"/>
        <v>3.2744307260905638E-2</v>
      </c>
    </row>
    <row r="60" spans="1:12">
      <c r="A60" s="22" t="str">
        <f>'2.0 Capex Real Dollars'!A60</f>
        <v>Phones</v>
      </c>
      <c r="B60" s="22" t="str">
        <f t="shared" si="5"/>
        <v>nominal</v>
      </c>
      <c r="C60" s="22" t="str">
        <f>'2.0 Capex Real Dollars'!C60</f>
        <v>OTHER</v>
      </c>
      <c r="D60" s="22" t="str">
        <f>'2.0 Capex Real Dollars'!D60</f>
        <v>Non-network IT &amp; communications</v>
      </c>
      <c r="E60" s="6">
        <f>'2.0 Capex Real Dollars'!E60/'1.1 Input'!J$13</f>
        <v>8.4058689831887894E-3</v>
      </c>
      <c r="F60" s="6">
        <f>'2.0 Capex Real Dollars'!F60/'1.1 Input'!K$13</f>
        <v>0</v>
      </c>
      <c r="G60" s="6">
        <f>'2.0 Capex Real Dollars'!G60/'1.1 Input'!L$13</f>
        <v>0</v>
      </c>
      <c r="H60" s="6">
        <f>'2.0 Capex Real Dollars'!H60/'1.1 Input'!M$13</f>
        <v>9.1141504966686295E-3</v>
      </c>
      <c r="I60" s="6">
        <f>'2.0 Capex Real Dollars'!I60/'1.1 Input'!N$13</f>
        <v>0</v>
      </c>
      <c r="J60" s="34">
        <f t="shared" si="6"/>
        <v>1.7520019479857419E-2</v>
      </c>
    </row>
    <row r="61" spans="1:12" ht="15.75" thickBot="1">
      <c r="A61" s="22" t="str">
        <f>'2.0 Capex Real Dollars'!A61</f>
        <v>Printer</v>
      </c>
      <c r="B61" s="22" t="str">
        <f t="shared" si="5"/>
        <v>nominal</v>
      </c>
      <c r="C61" s="22" t="str">
        <f>'2.0 Capex Real Dollars'!C61</f>
        <v>OTHER</v>
      </c>
      <c r="D61" s="22" t="str">
        <f>'2.0 Capex Real Dollars'!D61</f>
        <v>Non-network IT &amp; communications</v>
      </c>
      <c r="E61" s="6">
        <f>'2.0 Capex Real Dollars'!E61/'1.1 Input'!J$13</f>
        <v>0</v>
      </c>
      <c r="F61" s="6">
        <f>'2.0 Capex Real Dollars'!F61/'1.1 Input'!K$13</f>
        <v>0</v>
      </c>
      <c r="G61" s="6">
        <f>'2.0 Capex Real Dollars'!G61/'1.1 Input'!L$13</f>
        <v>0</v>
      </c>
      <c r="H61" s="6">
        <f>'2.0 Capex Real Dollars'!H61/'1.1 Input'!M$13</f>
        <v>1.3020214995240899E-2</v>
      </c>
      <c r="I61" s="6">
        <f>'2.0 Capex Real Dollars'!I61/'1.1 Input'!N$13</f>
        <v>0</v>
      </c>
      <c r="J61" s="34">
        <f t="shared" si="6"/>
        <v>1.3020214995240899E-2</v>
      </c>
    </row>
    <row r="62" spans="1:12" ht="16.5" thickTop="1" thickBot="1">
      <c r="A62" s="22" t="str">
        <f>'2.0 Capex Real Dollars'!A62</f>
        <v/>
      </c>
      <c r="B62" s="22" t="str">
        <f t="shared" si="5"/>
        <v/>
      </c>
      <c r="C62" s="22">
        <f>'2.0 Capex Real Dollars'!C62</f>
        <v>0</v>
      </c>
      <c r="D62" s="22">
        <f>'2.0 Capex Real Dollars'!D62</f>
        <v>0</v>
      </c>
      <c r="E62" s="6">
        <f>'2.0 Capex Real Dollars'!E62/'1.1 Input'!J$13</f>
        <v>0</v>
      </c>
      <c r="F62" s="6">
        <f>'2.0 Capex Real Dollars'!F62/'1.1 Input'!K$13</f>
        <v>0</v>
      </c>
      <c r="G62" s="6">
        <f>'2.0 Capex Real Dollars'!G62/'1.1 Input'!L$13</f>
        <v>0</v>
      </c>
      <c r="H62" s="6">
        <f>'2.0 Capex Real Dollars'!H62/'1.1 Input'!M$13</f>
        <v>0</v>
      </c>
      <c r="I62" s="6">
        <f>'2.0 Capex Real Dollars'!I62/'1.1 Input'!N$13</f>
        <v>0</v>
      </c>
      <c r="J62" s="34">
        <f t="shared" si="6"/>
        <v>0</v>
      </c>
      <c r="L62" s="30">
        <f>SUM(J41:J62)-J5</f>
        <v>0</v>
      </c>
    </row>
    <row r="63" spans="1:12" ht="15.75" thickTop="1"/>
    <row r="64" spans="1:12" ht="16.5">
      <c r="A64" s="4" t="str">
        <f>'2.0 Capex Real Dollars'!A64</f>
        <v>Material Projects (&gt;$1m)</v>
      </c>
      <c r="B64" s="4"/>
      <c r="C64" s="4"/>
      <c r="D64" s="4"/>
      <c r="E64" s="4"/>
      <c r="F64" s="4"/>
      <c r="G64" s="4"/>
      <c r="H64" s="4"/>
      <c r="I64" s="4"/>
      <c r="J64" s="4"/>
    </row>
    <row r="65" spans="1:12">
      <c r="A65" s="3" t="str">
        <f>'2.0 Capex Real Dollars'!A65</f>
        <v>Forecast Period ($FY 2024/25 '000)</v>
      </c>
      <c r="B65" s="3"/>
      <c r="C65" s="3"/>
      <c r="D65" s="3"/>
      <c r="E65" s="3"/>
      <c r="F65" s="3"/>
      <c r="G65" s="3"/>
      <c r="H65" s="3"/>
      <c r="I65" s="3"/>
      <c r="J65" s="3"/>
    </row>
    <row r="66" spans="1:12">
      <c r="A66" s="18" t="str">
        <f>'2.0 Capex Real Dollars'!A66</f>
        <v>Project</v>
      </c>
      <c r="B66" s="18" t="str">
        <f>B39</f>
        <v>$</v>
      </c>
      <c r="C66" s="18" t="str">
        <f>'2.0 Capex Real Dollars'!C66</f>
        <v>Asset Classes (Fore)</v>
      </c>
      <c r="D66" s="18" t="str">
        <f>'2.0 Capex Real Dollars'!D66</f>
        <v>Driver</v>
      </c>
      <c r="E66" s="18" t="str">
        <f>'2.0 Capex Real Dollars'!E66</f>
        <v>2025/26</v>
      </c>
      <c r="F66" s="18" t="str">
        <f>'2.0 Capex Real Dollars'!F66</f>
        <v>2026/27</v>
      </c>
      <c r="G66" s="18" t="str">
        <f>'2.0 Capex Real Dollars'!G66</f>
        <v>2027/28</v>
      </c>
      <c r="H66" s="18" t="str">
        <f>'2.0 Capex Real Dollars'!H66</f>
        <v>2028/29</v>
      </c>
      <c r="I66" s="18" t="str">
        <f>'2.0 Capex Real Dollars'!I66</f>
        <v>2029/30</v>
      </c>
      <c r="J66" s="18" t="str">
        <f>'2.0 Capex Real Dollars'!J66</f>
        <v>Total</v>
      </c>
    </row>
    <row r="68" spans="1:12">
      <c r="A68" s="27" t="str">
        <f t="shared" ref="A68:A76" si="7">IF(J41&gt;1,A41,"")</f>
        <v>Control &amp; Protection - System Renewal</v>
      </c>
      <c r="B68" s="22" t="str">
        <f>IF(A68="","",$B$10)</f>
        <v>nominal</v>
      </c>
      <c r="C68" s="22" t="str" cm="1">
        <f t="array" ref="C68">_xlfn.IFNA(INDEX($C$41:$C$58,MATCH(A68,$A$41:$A$58,0),0),"")</f>
        <v>CONTROL SYSTEM</v>
      </c>
      <c r="D68" s="22" t="str" cm="1">
        <f t="array" ref="D68">_xlfn.IFNA(INDEX($D$41:$D$58,MATCH(A68,$A$41:$A$58,0),0),"")</f>
        <v>Replacement expenditure</v>
      </c>
      <c r="E68" s="50" cm="1">
        <f t="array" ref="E68">_xlfn.IFNA(INDEX(E$41:E$58,MATCH($A68,$A$41:$A$58,0),0),0)</f>
        <v>8.1132633585269325</v>
      </c>
      <c r="F68" s="50" cm="1">
        <f t="array" ref="F68">_xlfn.IFNA(INDEX(F$41:F$58,MATCH($A68,$A$41:$A$58,0),0),0)</f>
        <v>6.7260197837678115</v>
      </c>
      <c r="G68" s="50" cm="1">
        <f t="array" ref="G68">_xlfn.IFNA(INDEX(G$41:G$58,MATCH($A68,$A$41:$A$58,0),0),0)</f>
        <v>3.3321199954631338</v>
      </c>
      <c r="H68" s="50" cm="1">
        <f t="array" ref="H68">_xlfn.IFNA(INDEX(H$41:H$58,MATCH($A68,$A$41:$A$58,0),0),0)</f>
        <v>9.4421398656168041</v>
      </c>
      <c r="I68" s="50" cm="1">
        <f t="array" ref="I68">_xlfn.IFNA(INDEX(I$41:I$58,MATCH($A68,$A$41:$A$58,0),0),0)</f>
        <v>21.085174322027601</v>
      </c>
      <c r="J68" s="51">
        <f>SUM(E68:I68)</f>
        <v>48.698717325402285</v>
      </c>
    </row>
    <row r="69" spans="1:12">
      <c r="A69" s="27" t="str">
        <f t="shared" si="7"/>
        <v>Subsea Cable Repair Strategy</v>
      </c>
      <c r="B69" s="22" t="str">
        <f t="shared" ref="B69:B76" si="8">IF(A69="","",$B$41)</f>
        <v>nominal</v>
      </c>
      <c r="C69" s="22" t="str" cm="1">
        <f t="array" ref="C69">_xlfn.IFNA(INDEX($C$41:$C$58,MATCH(A69,$A$41:$A$58,0),0),"")</f>
        <v>CABLE</v>
      </c>
      <c r="D69" s="22" t="str" cm="1">
        <f t="array" ref="D69">_xlfn.IFNA(INDEX($D$41:$D$58,MATCH(A69,$A$41:$A$58,0),0),"")</f>
        <v>Replacement expenditure</v>
      </c>
      <c r="E69" s="50" cm="1">
        <f t="array" ref="E69">_xlfn.IFNA(INDEX(E$41:E$58,MATCH($A69,$A$41:$A$58,0),0),0)</f>
        <v>0</v>
      </c>
      <c r="F69" s="50" cm="1">
        <f t="array" ref="F69">_xlfn.IFNA(INDEX(F$41:F$58,MATCH($A69,$A$41:$A$58,0),0),0)</f>
        <v>0</v>
      </c>
      <c r="G69" s="50" cm="1">
        <f t="array" ref="G69">_xlfn.IFNA(INDEX(G$41:G$58,MATCH($A69,$A$41:$A$58,0),0),0)</f>
        <v>0</v>
      </c>
      <c r="H69" s="50" cm="1">
        <f t="array" ref="H69">_xlfn.IFNA(INDEX(H$41:H$58,MATCH($A69,$A$41:$A$58,0),0),0)</f>
        <v>1.1039155782958885</v>
      </c>
      <c r="I69" s="50" cm="1">
        <f t="array" ref="I69">_xlfn.IFNA(INDEX(I$41:I$58,MATCH($A69,$A$41:$A$58,0),0),0)</f>
        <v>12.38515825657308</v>
      </c>
      <c r="J69" s="51">
        <f t="shared" ref="J69:J72" si="9">SUM(E69:I69)</f>
        <v>13.489073834868968</v>
      </c>
    </row>
    <row r="70" spans="1:12">
      <c r="A70" s="27" t="str">
        <f t="shared" si="7"/>
        <v>Ambient Temperature Project</v>
      </c>
      <c r="B70" s="22" t="str">
        <f t="shared" si="8"/>
        <v>nominal</v>
      </c>
      <c r="C70" s="22" t="str" cm="1">
        <f t="array" ref="C70">_xlfn.IFNA(INDEX($C$41:$C$58,MATCH(A70,$A$41:$A$58,0),0),"")</f>
        <v>SWITCHYARD COMPONENTS</v>
      </c>
      <c r="D70" s="22" t="str" cm="1">
        <f t="array" ref="D70">_xlfn.IFNA(INDEX($D$41:$D$58,MATCH(A70,$A$41:$A$58,0),0),"")</f>
        <v>Replacement expenditure</v>
      </c>
      <c r="E70" s="50" cm="1">
        <f t="array" ref="E70">_xlfn.IFNA(INDEX(E$41:E$58,MATCH($A70,$A$41:$A$58,0),0),0)</f>
        <v>7.2050305570189623</v>
      </c>
      <c r="F70" s="50" cm="1">
        <f t="array" ref="F70">_xlfn.IFNA(INDEX(F$41:F$58,MATCH($A70,$A$41:$A$58,0),0),0)</f>
        <v>0</v>
      </c>
      <c r="G70" s="50" cm="1">
        <f t="array" ref="G70">_xlfn.IFNA(INDEX(G$41:G$58,MATCH($A70,$A$41:$A$58,0),0),0)</f>
        <v>0</v>
      </c>
      <c r="H70" s="50" cm="1">
        <f t="array" ref="H70">_xlfn.IFNA(INDEX(H$41:H$58,MATCH($A70,$A$41:$A$58,0),0),0)</f>
        <v>0</v>
      </c>
      <c r="I70" s="50" cm="1">
        <f t="array" ref="I70">_xlfn.IFNA(INDEX(I$41:I$58,MATCH($A70,$A$41:$A$58,0),0),0)</f>
        <v>0</v>
      </c>
      <c r="J70" s="51">
        <f t="shared" si="9"/>
        <v>7.2050305570189623</v>
      </c>
    </row>
    <row r="71" spans="1:12">
      <c r="A71" s="27" t="str">
        <f t="shared" si="7"/>
        <v>Physical Security and Natural Hazards</v>
      </c>
      <c r="B71" s="22" t="str">
        <f t="shared" si="8"/>
        <v>nominal</v>
      </c>
      <c r="C71" s="22" t="str" cm="1">
        <f t="array" ref="C71">_xlfn.IFNA(INDEX($C$41:$C$58,MATCH(A71,$A$41:$A$58,0),0),"")</f>
        <v>BUILDING INSTALLATION</v>
      </c>
      <c r="D71" s="22" t="str" cm="1">
        <f t="array" ref="D71">_xlfn.IFNA(INDEX($D$41:$D$58,MATCH(A71,$A$41:$A$58,0),0),"")</f>
        <v>Non-network buildings and property expenditure</v>
      </c>
      <c r="E71" s="50" cm="1">
        <f t="array" ref="E71">_xlfn.IFNA(INDEX(E$41:E$58,MATCH($A71,$A$41:$A$58,0),0),0)</f>
        <v>1.8012576392547406</v>
      </c>
      <c r="F71" s="50" cm="1">
        <f t="array" ref="F71">_xlfn.IFNA(INDEX(F$41:F$58,MATCH($A71,$A$41:$A$58,0),0),0)</f>
        <v>1.8525934819735006</v>
      </c>
      <c r="G71" s="50" cm="1">
        <f t="array" ref="G71">_xlfn.IFNA(INDEX(G$41:G$58,MATCH($A71,$A$41:$A$58,0),0),0)</f>
        <v>0</v>
      </c>
      <c r="H71" s="50" cm="1">
        <f t="array" ref="H71">_xlfn.IFNA(INDEX(H$41:H$58,MATCH($A71,$A$41:$A$58,0),0),0)</f>
        <v>0</v>
      </c>
      <c r="I71" s="50" cm="1">
        <f t="array" ref="I71">_xlfn.IFNA(INDEX(I$41:I$58,MATCH($A71,$A$41:$A$58,0),0),0)</f>
        <v>0</v>
      </c>
      <c r="J71" s="51">
        <f t="shared" si="9"/>
        <v>3.6538511212282412</v>
      </c>
    </row>
    <row r="72" spans="1:12">
      <c r="A72" s="27" t="str">
        <f t="shared" si="7"/>
        <v>Cyber Security</v>
      </c>
      <c r="B72" s="22" t="str">
        <f t="shared" si="8"/>
        <v>nominal</v>
      </c>
      <c r="C72" s="22" t="str" cm="1">
        <f t="array" ref="C72">_xlfn.IFNA(INDEX($C$41:$C$58,MATCH(A72,$A$41:$A$58,0),0),"")</f>
        <v>OTHER</v>
      </c>
      <c r="D72" s="22" t="str" cm="1">
        <f t="array" ref="D72">_xlfn.IFNA(INDEX($D$41:$D$58,MATCH(A72,$A$41:$A$58,0),0),"")</f>
        <v>Non-network IT &amp; communications</v>
      </c>
      <c r="E72" s="50" cm="1">
        <f t="array" ref="E72">_xlfn.IFNA(INDEX(E$41:E$58,MATCH($A72,$A$41:$A$58,0),0),0)</f>
        <v>0.93570149742832187</v>
      </c>
      <c r="F72" s="50" cm="1">
        <f t="array" ref="F72">_xlfn.IFNA(INDEX(F$41:F$58,MATCH($A72,$A$41:$A$58,0),0),0)</f>
        <v>0.92463381722204541</v>
      </c>
      <c r="G72" s="50" cm="1">
        <f t="array" ref="G72">_xlfn.IFNA(INDEX(G$41:G$58,MATCH($A72,$A$41:$A$58,0),0),0)</f>
        <v>0.59756279326724171</v>
      </c>
      <c r="H72" s="50" cm="1">
        <f t="array" ref="H72">_xlfn.IFNA(INDEX(H$41:H$58,MATCH($A72,$A$41:$A$58,0),0),0)</f>
        <v>0.61319901969106783</v>
      </c>
      <c r="I72" s="50" cm="1">
        <f t="array" ref="I72">_xlfn.IFNA(INDEX(I$41:I$58,MATCH($A72,$A$41:$A$58,0),0),0)</f>
        <v>0.62852899518334449</v>
      </c>
      <c r="J72" s="51">
        <f t="shared" si="9"/>
        <v>3.6996261227920209</v>
      </c>
    </row>
    <row r="73" spans="1:12">
      <c r="A73" s="27" t="str">
        <f t="shared" si="7"/>
        <v/>
      </c>
      <c r="B73" s="22" t="str">
        <f t="shared" si="8"/>
        <v/>
      </c>
      <c r="C73" s="22" t="str" cm="1">
        <f t="array" ref="C73">_xlfn.IFNA(INDEX($C$41:$C$58,MATCH(A73,$A$41:$A$58,0),0),"")</f>
        <v/>
      </c>
      <c r="D73" s="22" t="str" cm="1">
        <f t="array" ref="D73">_xlfn.IFNA(INDEX($D$41:$D$58,MATCH(A73,$A$41:$A$58,0),0),"")</f>
        <v/>
      </c>
      <c r="E73" s="50" cm="1">
        <f t="array" ref="E73">_xlfn.IFNA(INDEX(E$41:E$58,MATCH($A73,$A$41:$A$58,0),0),0)</f>
        <v>0</v>
      </c>
      <c r="F73" s="50" cm="1">
        <f t="array" ref="F73">_xlfn.IFNA(INDEX(F$41:F$58,MATCH($A73,$A$41:$A$58,0),0),0)</f>
        <v>0</v>
      </c>
      <c r="G73" s="50" cm="1">
        <f t="array" ref="G73">_xlfn.IFNA(INDEX(G$41:G$58,MATCH($A73,$A$41:$A$58,0),0),0)</f>
        <v>0</v>
      </c>
      <c r="H73" s="50" cm="1">
        <f t="array" ref="H73">_xlfn.IFNA(INDEX(H$41:H$58,MATCH($A73,$A$41:$A$58,0),0),0)</f>
        <v>0</v>
      </c>
      <c r="I73" s="50" cm="1">
        <f t="array" ref="I73">_xlfn.IFNA(INDEX(I$41:I$58,MATCH($A73,$A$41:$A$58,0),0),0)</f>
        <v>0</v>
      </c>
      <c r="J73" s="51">
        <f t="shared" ref="J73:J76" si="10">SUM(E73:I73)</f>
        <v>0</v>
      </c>
    </row>
    <row r="74" spans="1:12">
      <c r="A74" s="27" t="str">
        <f t="shared" si="7"/>
        <v/>
      </c>
      <c r="B74" s="22" t="str">
        <f t="shared" si="8"/>
        <v/>
      </c>
      <c r="C74" s="22" t="str" cm="1">
        <f t="array" ref="C74">_xlfn.IFNA(INDEX($C$41:$C$58,MATCH(A74,$A$41:$A$58,0),0),"")</f>
        <v/>
      </c>
      <c r="D74" s="22" t="str" cm="1">
        <f t="array" ref="D74">_xlfn.IFNA(INDEX($D$41:$D$58,MATCH(A74,$A$41:$A$58,0),0),"")</f>
        <v/>
      </c>
      <c r="E74" s="50" cm="1">
        <f t="array" ref="E74">_xlfn.IFNA(INDEX(E$41:E$58,MATCH($A74,$A$41:$A$58,0),0),0)</f>
        <v>0</v>
      </c>
      <c r="F74" s="50" cm="1">
        <f t="array" ref="F74">_xlfn.IFNA(INDEX(F$41:F$58,MATCH($A74,$A$41:$A$58,0),0),0)</f>
        <v>0</v>
      </c>
      <c r="G74" s="50" cm="1">
        <f t="array" ref="G74">_xlfn.IFNA(INDEX(G$41:G$58,MATCH($A74,$A$41:$A$58,0),0),0)</f>
        <v>0</v>
      </c>
      <c r="H74" s="50" cm="1">
        <f t="array" ref="H74">_xlfn.IFNA(INDEX(H$41:H$58,MATCH($A74,$A$41:$A$58,0),0),0)</f>
        <v>0</v>
      </c>
      <c r="I74" s="50" cm="1">
        <f t="array" ref="I74">_xlfn.IFNA(INDEX(I$41:I$58,MATCH($A74,$A$41:$A$58,0),0),0)</f>
        <v>0</v>
      </c>
      <c r="J74" s="51">
        <f t="shared" si="10"/>
        <v>0</v>
      </c>
    </row>
    <row r="75" spans="1:12">
      <c r="A75" s="27" t="str">
        <f t="shared" si="7"/>
        <v/>
      </c>
      <c r="B75" s="22" t="str">
        <f t="shared" si="8"/>
        <v/>
      </c>
      <c r="C75" s="22" t="str" cm="1">
        <f t="array" ref="C75">_xlfn.IFNA(INDEX($C$41:$C$58,MATCH(A75,$A$41:$A$58,0),0),"")</f>
        <v/>
      </c>
      <c r="D75" s="22" t="str" cm="1">
        <f t="array" ref="D75">_xlfn.IFNA(INDEX($D$41:$D$58,MATCH(A75,$A$41:$A$58,0),0),"")</f>
        <v/>
      </c>
      <c r="E75" s="50" cm="1">
        <f t="array" ref="E75">_xlfn.IFNA(INDEX(E$41:E$58,MATCH($A75,$A$41:$A$58,0),0),0)</f>
        <v>0</v>
      </c>
      <c r="F75" s="50" cm="1">
        <f t="array" ref="F75">_xlfn.IFNA(INDEX(F$41:F$58,MATCH($A75,$A$41:$A$58,0),0),0)</f>
        <v>0</v>
      </c>
      <c r="G75" s="50" cm="1">
        <f t="array" ref="G75">_xlfn.IFNA(INDEX(G$41:G$58,MATCH($A75,$A$41:$A$58,0),0),0)</f>
        <v>0</v>
      </c>
      <c r="H75" s="50" cm="1">
        <f t="array" ref="H75">_xlfn.IFNA(INDEX(H$41:H$58,MATCH($A75,$A$41:$A$58,0),0),0)</f>
        <v>0</v>
      </c>
      <c r="I75" s="50" cm="1">
        <f t="array" ref="I75">_xlfn.IFNA(INDEX(I$41:I$58,MATCH($A75,$A$41:$A$58,0),0),0)</f>
        <v>0</v>
      </c>
      <c r="J75" s="51">
        <f t="shared" ref="J75" si="11">SUM(E75:I75)</f>
        <v>0</v>
      </c>
    </row>
    <row r="76" spans="1:12">
      <c r="A76" s="27" t="str">
        <f t="shared" si="7"/>
        <v/>
      </c>
      <c r="B76" s="22" t="str">
        <f t="shared" si="8"/>
        <v/>
      </c>
      <c r="C76" s="22" t="str" cm="1">
        <f t="array" ref="C76">_xlfn.IFNA(INDEX($C$41:$C$58,MATCH(A76,$A$41:$A$58,0),0),"")</f>
        <v/>
      </c>
      <c r="D76" s="22" t="str" cm="1">
        <f t="array" ref="D76">_xlfn.IFNA(INDEX($D$41:$D$58,MATCH(A76,$A$41:$A$58,0),0),"")</f>
        <v/>
      </c>
      <c r="E76" s="50" cm="1">
        <f t="array" ref="E76">_xlfn.IFNA(INDEX(E$41:E$58,MATCH($A76,$A$41:$A$58,0),0),0)</f>
        <v>0</v>
      </c>
      <c r="F76" s="50" cm="1">
        <f t="array" ref="F76">_xlfn.IFNA(INDEX(F$41:F$58,MATCH($A76,$A$41:$A$58,0),0),0)</f>
        <v>0</v>
      </c>
      <c r="G76" s="50" cm="1">
        <f t="array" ref="G76">_xlfn.IFNA(INDEX(G$41:G$58,MATCH($A76,$A$41:$A$58,0),0),0)</f>
        <v>0</v>
      </c>
      <c r="H76" s="50" cm="1">
        <f t="array" ref="H76">_xlfn.IFNA(INDEX(H$41:H$58,MATCH($A76,$A$41:$A$58,0),0),0)</f>
        <v>0</v>
      </c>
      <c r="I76" s="50" cm="1">
        <f t="array" ref="I76">_xlfn.IFNA(INDEX(I$41:I$58,MATCH($A76,$A$41:$A$58,0),0),0)</f>
        <v>0</v>
      </c>
      <c r="J76" s="51">
        <f t="shared" si="10"/>
        <v>0</v>
      </c>
    </row>
    <row r="78" spans="1:12" ht="16.5">
      <c r="A78" s="4" t="str">
        <f>'2.0 Capex Real Dollars'!A78</f>
        <v>by Asset Class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>
      <c r="A79" s="18" t="str">
        <f>'2.0 Capex Real Dollars'!A79</f>
        <v>Asset Classes</v>
      </c>
      <c r="B79" s="18" t="str">
        <f>B66</f>
        <v>$</v>
      </c>
      <c r="C79" s="18" t="str">
        <f>'2.0 Capex Real Dollars'!C79</f>
        <v>Asset Classes (Fore)</v>
      </c>
      <c r="D79" s="18" t="str">
        <f>'2.0 Capex Real Dollars'!D79</f>
        <v>Driver</v>
      </c>
      <c r="E79" s="18" t="str">
        <f>'2.0 Capex Real Dollars'!E79</f>
        <v>2025/26</v>
      </c>
      <c r="F79" s="18" t="str">
        <f>'2.0 Capex Real Dollars'!F79</f>
        <v>2026/27</v>
      </c>
      <c r="G79" s="18" t="str">
        <f>'2.0 Capex Real Dollars'!G79</f>
        <v>2027/28</v>
      </c>
      <c r="H79" s="18" t="str">
        <f>'2.0 Capex Real Dollars'!H79</f>
        <v>2028/29</v>
      </c>
      <c r="I79" s="18" t="str">
        <f>'2.0 Capex Real Dollars'!I79</f>
        <v>2029/30</v>
      </c>
      <c r="J79" s="18" t="str">
        <f>'2.0 Capex Real Dollars'!J79</f>
        <v>Total</v>
      </c>
      <c r="K79" s="18"/>
      <c r="L79" s="18"/>
    </row>
    <row r="81" spans="1:10">
      <c r="A81" s="22" t="str">
        <f>'2.0 Capex Real Dollars'!A81</f>
        <v>AC FILTERS</v>
      </c>
      <c r="B81" s="22" t="str">
        <f>IF(A81="","",$B$10)</f>
        <v>nominal</v>
      </c>
      <c r="C81" s="22"/>
      <c r="D81" s="22"/>
      <c r="E81" s="6">
        <f>'2.0 Capex Real Dollars'!E81/'1.1 Input'!J$13</f>
        <v>0</v>
      </c>
      <c r="F81" s="6">
        <f>'2.0 Capex Real Dollars'!F81/'1.1 Input'!K$13</f>
        <v>0</v>
      </c>
      <c r="G81" s="6">
        <f>'2.0 Capex Real Dollars'!G81/'1.1 Input'!L$13</f>
        <v>0</v>
      </c>
      <c r="H81" s="6">
        <f>'2.0 Capex Real Dollars'!H81/'1.1 Input'!M$13</f>
        <v>0</v>
      </c>
      <c r="I81" s="6">
        <f>'2.0 Capex Real Dollars'!I81/'1.1 Input'!N$13</f>
        <v>0</v>
      </c>
      <c r="J81" s="34">
        <f t="shared" ref="J81" si="12">SUM(E81:I81)</f>
        <v>0</v>
      </c>
    </row>
    <row r="82" spans="1:10">
      <c r="A82" s="22" t="str">
        <f>'2.0 Capex Real Dollars'!A82</f>
        <v>AC SWITCHYARD</v>
      </c>
      <c r="B82" s="22" t="str">
        <f t="shared" ref="B82:B102" si="13">IF(A82="","",$B$10)</f>
        <v>nominal</v>
      </c>
      <c r="C82" s="22"/>
      <c r="D82" s="22"/>
      <c r="E82" s="6">
        <f>'2.0 Capex Real Dollars'!E82/'1.1 Input'!J$13</f>
        <v>0</v>
      </c>
      <c r="F82" s="6">
        <f>'2.0 Capex Real Dollars'!F82/'1.1 Input'!K$13</f>
        <v>0</v>
      </c>
      <c r="G82" s="6">
        <f>'2.0 Capex Real Dollars'!G82/'1.1 Input'!L$13</f>
        <v>0</v>
      </c>
      <c r="H82" s="6">
        <f>'2.0 Capex Real Dollars'!H82/'1.1 Input'!M$13</f>
        <v>0</v>
      </c>
      <c r="I82" s="6">
        <f>'2.0 Capex Real Dollars'!I82/'1.1 Input'!N$13</f>
        <v>0</v>
      </c>
      <c r="J82" s="34">
        <f t="shared" ref="J82:J99" si="14">SUM(E82:I82)</f>
        <v>0</v>
      </c>
    </row>
    <row r="83" spans="1:10">
      <c r="A83" s="22" t="str">
        <f>'2.0 Capex Real Dollars'!A83</f>
        <v>AUXILIARY SYSTEMS</v>
      </c>
      <c r="B83" s="22" t="str">
        <f t="shared" si="13"/>
        <v>nominal</v>
      </c>
      <c r="C83" s="22"/>
      <c r="D83" s="22"/>
      <c r="E83" s="6">
        <f>'2.0 Capex Real Dollars'!E83/'1.1 Input'!J$13</f>
        <v>0</v>
      </c>
      <c r="F83" s="6">
        <f>'2.0 Capex Real Dollars'!F83/'1.1 Input'!K$13</f>
        <v>0</v>
      </c>
      <c r="G83" s="6">
        <f>'2.0 Capex Real Dollars'!G83/'1.1 Input'!L$13</f>
        <v>0</v>
      </c>
      <c r="H83" s="6">
        <f>'2.0 Capex Real Dollars'!H83/'1.1 Input'!M$13</f>
        <v>0</v>
      </c>
      <c r="I83" s="6">
        <f>'2.0 Capex Real Dollars'!I83/'1.1 Input'!N$13</f>
        <v>0</v>
      </c>
      <c r="J83" s="34">
        <f t="shared" si="14"/>
        <v>0</v>
      </c>
    </row>
    <row r="84" spans="1:10">
      <c r="A84" s="22" t="str">
        <f>'2.0 Capex Real Dollars'!A84</f>
        <v>CABLE</v>
      </c>
      <c r="B84" s="22" t="str">
        <f t="shared" si="13"/>
        <v>nominal</v>
      </c>
      <c r="C84" s="22"/>
      <c r="D84" s="22"/>
      <c r="E84" s="6">
        <f>'2.0 Capex Real Dollars'!E84/'1.1 Input'!J$13</f>
        <v>0</v>
      </c>
      <c r="F84" s="6">
        <f>'2.0 Capex Real Dollars'!F84/'1.1 Input'!K$13</f>
        <v>0</v>
      </c>
      <c r="G84" s="6">
        <f>'2.0 Capex Real Dollars'!G84/'1.1 Input'!L$13</f>
        <v>0</v>
      </c>
      <c r="H84" s="6">
        <f>'2.0 Capex Real Dollars'!H84/'1.1 Input'!M$13</f>
        <v>1.1039155782958885</v>
      </c>
      <c r="I84" s="6">
        <f>'2.0 Capex Real Dollars'!I84/'1.1 Input'!N$13</f>
        <v>12.38515825657308</v>
      </c>
      <c r="J84" s="34">
        <f t="shared" si="14"/>
        <v>13.489073834868968</v>
      </c>
    </row>
    <row r="85" spans="1:10">
      <c r="A85" s="22" t="str">
        <f>'2.0 Capex Real Dollars'!A85</f>
        <v>CONTROL SYSTEM</v>
      </c>
      <c r="B85" s="22" t="str">
        <f t="shared" si="13"/>
        <v>nominal</v>
      </c>
      <c r="C85" s="22"/>
      <c r="D85" s="22"/>
      <c r="E85" s="6">
        <f>'2.0 Capex Real Dollars'!E85/'1.1 Input'!J$13</f>
        <v>8.1132633585269325</v>
      </c>
      <c r="F85" s="6">
        <f>'2.0 Capex Real Dollars'!F85/'1.1 Input'!K$13</f>
        <v>6.7260197837678115</v>
      </c>
      <c r="G85" s="6">
        <f>'2.0 Capex Real Dollars'!G85/'1.1 Input'!L$13</f>
        <v>3.3321199954631338</v>
      </c>
      <c r="H85" s="6">
        <f>'2.0 Capex Real Dollars'!H85/'1.1 Input'!M$13</f>
        <v>9.4421398656168041</v>
      </c>
      <c r="I85" s="6">
        <f>'2.0 Capex Real Dollars'!I85/'1.1 Input'!N$13</f>
        <v>21.085174322027601</v>
      </c>
      <c r="J85" s="34">
        <f t="shared" si="14"/>
        <v>48.698717325402285</v>
      </c>
    </row>
    <row r="86" spans="1:10">
      <c r="A86" s="22" t="str">
        <f>'2.0 Capex Real Dollars'!A86</f>
        <v>CONVERTER TRANSFORMER</v>
      </c>
      <c r="B86" s="22" t="str">
        <f t="shared" si="13"/>
        <v>nominal</v>
      </c>
      <c r="C86" s="22"/>
      <c r="D86" s="22"/>
      <c r="E86" s="6">
        <f>'2.0 Capex Real Dollars'!E86/'1.1 Input'!J$13</f>
        <v>0</v>
      </c>
      <c r="F86" s="6">
        <f>'2.0 Capex Real Dollars'!F86/'1.1 Input'!K$13</f>
        <v>0</v>
      </c>
      <c r="G86" s="6">
        <f>'2.0 Capex Real Dollars'!G86/'1.1 Input'!L$13</f>
        <v>0</v>
      </c>
      <c r="H86" s="6">
        <f>'2.0 Capex Real Dollars'!H86/'1.1 Input'!M$13</f>
        <v>0</v>
      </c>
      <c r="I86" s="6">
        <f>'2.0 Capex Real Dollars'!I86/'1.1 Input'!N$13</f>
        <v>0</v>
      </c>
      <c r="J86" s="34">
        <f t="shared" si="14"/>
        <v>0</v>
      </c>
    </row>
    <row r="87" spans="1:10">
      <c r="A87" s="22" t="str">
        <f>'2.0 Capex Real Dollars'!A87</f>
        <v>DC FILTER</v>
      </c>
      <c r="B87" s="22" t="str">
        <f t="shared" si="13"/>
        <v>nominal</v>
      </c>
      <c r="C87" s="22"/>
      <c r="D87" s="22"/>
      <c r="E87" s="6">
        <f>'2.0 Capex Real Dollars'!E87/'1.1 Input'!J$13</f>
        <v>0</v>
      </c>
      <c r="F87" s="6">
        <f>'2.0 Capex Real Dollars'!F87/'1.1 Input'!K$13</f>
        <v>0</v>
      </c>
      <c r="G87" s="6">
        <f>'2.0 Capex Real Dollars'!G87/'1.1 Input'!L$13</f>
        <v>0</v>
      </c>
      <c r="H87" s="6">
        <f>'2.0 Capex Real Dollars'!H87/'1.1 Input'!M$13</f>
        <v>0</v>
      </c>
      <c r="I87" s="6">
        <f>'2.0 Capex Real Dollars'!I87/'1.1 Input'!N$13</f>
        <v>0</v>
      </c>
      <c r="J87" s="34">
        <f t="shared" si="14"/>
        <v>0</v>
      </c>
    </row>
    <row r="88" spans="1:10">
      <c r="A88" s="22" t="str">
        <f>'2.0 Capex Real Dollars'!A88</f>
        <v>DC SWITCHYARD</v>
      </c>
      <c r="B88" s="22" t="str">
        <f t="shared" si="13"/>
        <v>nominal</v>
      </c>
      <c r="C88" s="22"/>
      <c r="D88" s="22"/>
      <c r="E88" s="6">
        <f>'2.0 Capex Real Dollars'!E88/'1.1 Input'!J$13</f>
        <v>0</v>
      </c>
      <c r="F88" s="6">
        <f>'2.0 Capex Real Dollars'!F88/'1.1 Input'!K$13</f>
        <v>0</v>
      </c>
      <c r="G88" s="6">
        <f>'2.0 Capex Real Dollars'!G88/'1.1 Input'!L$13</f>
        <v>0</v>
      </c>
      <c r="H88" s="6">
        <f>'2.0 Capex Real Dollars'!H88/'1.1 Input'!M$13</f>
        <v>0</v>
      </c>
      <c r="I88" s="6">
        <f>'2.0 Capex Real Dollars'!I88/'1.1 Input'!N$13</f>
        <v>0</v>
      </c>
      <c r="J88" s="34">
        <f t="shared" si="14"/>
        <v>0</v>
      </c>
    </row>
    <row r="89" spans="1:10">
      <c r="A89" s="22" t="str">
        <f>'2.0 Capex Real Dollars'!A89</f>
        <v>EASEMENT</v>
      </c>
      <c r="B89" s="22" t="str">
        <f t="shared" si="13"/>
        <v>nominal</v>
      </c>
      <c r="C89" s="22"/>
      <c r="D89" s="22"/>
      <c r="E89" s="6">
        <f>'2.0 Capex Real Dollars'!E89/'1.1 Input'!J$13</f>
        <v>0</v>
      </c>
      <c r="F89" s="6">
        <f>'2.0 Capex Real Dollars'!F89/'1.1 Input'!K$13</f>
        <v>0</v>
      </c>
      <c r="G89" s="6">
        <f>'2.0 Capex Real Dollars'!G89/'1.1 Input'!L$13</f>
        <v>0</v>
      </c>
      <c r="H89" s="6">
        <f>'2.0 Capex Real Dollars'!H89/'1.1 Input'!M$13</f>
        <v>0</v>
      </c>
      <c r="I89" s="6">
        <f>'2.0 Capex Real Dollars'!I89/'1.1 Input'!N$13</f>
        <v>0</v>
      </c>
      <c r="J89" s="34">
        <f t="shared" si="14"/>
        <v>0</v>
      </c>
    </row>
    <row r="90" spans="1:10">
      <c r="A90" s="22" t="str">
        <f>'2.0 Capex Real Dollars'!A90</f>
        <v>FREEHOLD LAND</v>
      </c>
      <c r="B90" s="22" t="str">
        <f t="shared" si="13"/>
        <v>nominal</v>
      </c>
      <c r="C90" s="22"/>
      <c r="D90" s="22"/>
      <c r="E90" s="6">
        <f>'2.0 Capex Real Dollars'!E90/'1.1 Input'!J$13</f>
        <v>0</v>
      </c>
      <c r="F90" s="6">
        <f>'2.0 Capex Real Dollars'!F90/'1.1 Input'!K$13</f>
        <v>0</v>
      </c>
      <c r="G90" s="6">
        <f>'2.0 Capex Real Dollars'!G90/'1.1 Input'!L$13</f>
        <v>0</v>
      </c>
      <c r="H90" s="6">
        <f>'2.0 Capex Real Dollars'!H90/'1.1 Input'!M$13</f>
        <v>0</v>
      </c>
      <c r="I90" s="6">
        <f>'2.0 Capex Real Dollars'!I90/'1.1 Input'!N$13</f>
        <v>0</v>
      </c>
      <c r="J90" s="34">
        <f t="shared" si="14"/>
        <v>0</v>
      </c>
    </row>
    <row r="91" spans="1:10">
      <c r="A91" s="22" t="str">
        <f>'2.0 Capex Real Dollars'!A91</f>
        <v>MEASURING DEVICES</v>
      </c>
      <c r="B91" s="22" t="str">
        <f t="shared" si="13"/>
        <v>nominal</v>
      </c>
      <c r="C91" s="22"/>
      <c r="D91" s="22"/>
      <c r="E91" s="6">
        <f>'2.0 Capex Real Dollars'!E91/'1.1 Input'!J$13</f>
        <v>0</v>
      </c>
      <c r="F91" s="6">
        <f>'2.0 Capex Real Dollars'!F91/'1.1 Input'!K$13</f>
        <v>0</v>
      </c>
      <c r="G91" s="6">
        <f>'2.0 Capex Real Dollars'!G91/'1.1 Input'!L$13</f>
        <v>0</v>
      </c>
      <c r="H91" s="6">
        <f>'2.0 Capex Real Dollars'!H91/'1.1 Input'!M$13</f>
        <v>0</v>
      </c>
      <c r="I91" s="6">
        <f>'2.0 Capex Real Dollars'!I91/'1.1 Input'!N$13</f>
        <v>0</v>
      </c>
      <c r="J91" s="34">
        <f t="shared" si="14"/>
        <v>0</v>
      </c>
    </row>
    <row r="92" spans="1:10">
      <c r="A92" s="22" t="str">
        <f>'2.0 Capex Real Dollars'!A92</f>
        <v>MOTOR VEHICLES</v>
      </c>
      <c r="B92" s="22" t="str">
        <f t="shared" si="13"/>
        <v>nominal</v>
      </c>
      <c r="C92" s="22"/>
      <c r="D92" s="22"/>
      <c r="E92" s="6">
        <f>'2.0 Capex Real Dollars'!E92/'1.1 Input'!J$13</f>
        <v>0</v>
      </c>
      <c r="F92" s="6">
        <f>'2.0 Capex Real Dollars'!F92/'1.1 Input'!K$13</f>
        <v>0</v>
      </c>
      <c r="G92" s="6">
        <f>'2.0 Capex Real Dollars'!G92/'1.1 Input'!L$13</f>
        <v>0</v>
      </c>
      <c r="H92" s="6">
        <f>'2.0 Capex Real Dollars'!H92/'1.1 Input'!M$13</f>
        <v>0</v>
      </c>
      <c r="I92" s="6">
        <f>'2.0 Capex Real Dollars'!I92/'1.1 Input'!N$13</f>
        <v>0</v>
      </c>
      <c r="J92" s="34">
        <f t="shared" si="14"/>
        <v>0</v>
      </c>
    </row>
    <row r="93" spans="1:10">
      <c r="A93" s="22" t="str">
        <f>'2.0 Capex Real Dollars'!A93</f>
        <v>OTHER</v>
      </c>
      <c r="B93" s="22" t="str">
        <f t="shared" si="13"/>
        <v>nominal</v>
      </c>
      <c r="C93" s="22"/>
      <c r="D93" s="22"/>
      <c r="E93" s="6">
        <f>'2.0 Capex Real Dollars'!E93/'1.1 Input'!J$13</f>
        <v>1.6674162635619096</v>
      </c>
      <c r="F93" s="6">
        <f>'2.0 Capex Real Dollars'!F93/'1.1 Input'!K$13</f>
        <v>1.2715634738262496</v>
      </c>
      <c r="G93" s="6">
        <f>'2.0 Capex Real Dollars'!G93/'1.1 Input'!L$13</f>
        <v>0.97020921103755176</v>
      </c>
      <c r="H93" s="6">
        <f>'2.0 Capex Real Dollars'!H93/'1.1 Input'!M$13</f>
        <v>1.3418038557629417</v>
      </c>
      <c r="I93" s="6">
        <f>'2.0 Capex Real Dollars'!I93/'1.1 Input'!N$13</f>
        <v>1.1939806123270582</v>
      </c>
      <c r="J93" s="34">
        <f t="shared" si="14"/>
        <v>6.4449734165157109</v>
      </c>
    </row>
    <row r="94" spans="1:10">
      <c r="A94" s="22" t="str">
        <f>'2.0 Capex Real Dollars'!A94</f>
        <v>OVERHEAD LINES</v>
      </c>
      <c r="B94" s="22" t="str">
        <f t="shared" si="13"/>
        <v>nominal</v>
      </c>
      <c r="C94" s="22"/>
      <c r="D94" s="22"/>
      <c r="E94" s="6">
        <f>'2.0 Capex Real Dollars'!E94/'1.1 Input'!J$13</f>
        <v>0</v>
      </c>
      <c r="F94" s="6">
        <f>'2.0 Capex Real Dollars'!F94/'1.1 Input'!K$13</f>
        <v>0</v>
      </c>
      <c r="G94" s="6">
        <f>'2.0 Capex Real Dollars'!G94/'1.1 Input'!L$13</f>
        <v>0</v>
      </c>
      <c r="H94" s="6">
        <f>'2.0 Capex Real Dollars'!H94/'1.1 Input'!M$13</f>
        <v>0</v>
      </c>
      <c r="I94" s="6">
        <f>'2.0 Capex Real Dollars'!I94/'1.1 Input'!N$13</f>
        <v>0</v>
      </c>
      <c r="J94" s="34">
        <f t="shared" si="14"/>
        <v>0</v>
      </c>
    </row>
    <row r="95" spans="1:10">
      <c r="A95" s="22" t="str">
        <f>'2.0 Capex Real Dollars'!A95</f>
        <v>SMOOTHING REACTOR</v>
      </c>
      <c r="B95" s="22" t="str">
        <f t="shared" si="13"/>
        <v>nominal</v>
      </c>
      <c r="C95" s="22"/>
      <c r="D95" s="22"/>
      <c r="E95" s="6">
        <f>'2.0 Capex Real Dollars'!E95/'1.1 Input'!J$13</f>
        <v>0</v>
      </c>
      <c r="F95" s="6">
        <f>'2.0 Capex Real Dollars'!F95/'1.1 Input'!K$13</f>
        <v>0.83069377798425237</v>
      </c>
      <c r="G95" s="6">
        <f>'2.0 Capex Real Dollars'!G95/'1.1 Input'!L$13</f>
        <v>0</v>
      </c>
      <c r="H95" s="6">
        <f>'2.0 Capex Real Dollars'!H95/'1.1 Input'!M$13</f>
        <v>0</v>
      </c>
      <c r="I95" s="6">
        <f>'2.0 Capex Real Dollars'!I95/'1.1 Input'!N$13</f>
        <v>0</v>
      </c>
      <c r="J95" s="34">
        <f t="shared" si="14"/>
        <v>0.83069377798425237</v>
      </c>
    </row>
    <row r="96" spans="1:10">
      <c r="A96" s="22" t="str">
        <f>'2.0 Capex Real Dollars'!A96</f>
        <v>STATION POWER SUPPLY</v>
      </c>
      <c r="B96" s="22" t="str">
        <f t="shared" si="13"/>
        <v>nominal</v>
      </c>
      <c r="C96" s="22"/>
      <c r="D96" s="22"/>
      <c r="E96" s="6">
        <f>'2.0 Capex Real Dollars'!E96/'1.1 Input'!J$13</f>
        <v>0</v>
      </c>
      <c r="F96" s="6">
        <f>'2.0 Capex Real Dollars'!F96/'1.1 Input'!K$13</f>
        <v>0</v>
      </c>
      <c r="G96" s="6">
        <f>'2.0 Capex Real Dollars'!G96/'1.1 Input'!L$13</f>
        <v>0</v>
      </c>
      <c r="H96" s="6">
        <f>'2.0 Capex Real Dollars'!H96/'1.1 Input'!M$13</f>
        <v>0</v>
      </c>
      <c r="I96" s="6">
        <f>'2.0 Capex Real Dollars'!I96/'1.1 Input'!N$13</f>
        <v>0</v>
      </c>
      <c r="J96" s="34">
        <f t="shared" si="14"/>
        <v>0</v>
      </c>
    </row>
    <row r="97" spans="1:12">
      <c r="A97" s="22" t="str">
        <f>'2.0 Capex Real Dollars'!A97</f>
        <v>SWITCHYARD COMPONENTS</v>
      </c>
      <c r="B97" s="22" t="str">
        <f t="shared" si="13"/>
        <v>nominal</v>
      </c>
      <c r="C97" s="22"/>
      <c r="D97" s="22"/>
      <c r="E97" s="6">
        <f>'2.0 Capex Real Dollars'!E97/'1.1 Input'!J$13</f>
        <v>7.2671729209670852</v>
      </c>
      <c r="F97" s="6">
        <f>'2.0 Capex Real Dollars'!F97/'1.1 Input'!K$13</f>
        <v>0.25565368528257748</v>
      </c>
      <c r="G97" s="6">
        <f>'2.0 Capex Real Dollars'!G97/'1.1 Input'!L$13</f>
        <v>0.13132077634015066</v>
      </c>
      <c r="H97" s="6">
        <f>'2.0 Capex Real Dollars'!H97/'1.1 Input'!M$13</f>
        <v>0.28298970697420761</v>
      </c>
      <c r="I97" s="6">
        <f>'2.0 Capex Real Dollars'!I97/'1.1 Input'!N$13</f>
        <v>0</v>
      </c>
      <c r="J97" s="34">
        <f t="shared" si="14"/>
        <v>7.937137089564021</v>
      </c>
    </row>
    <row r="98" spans="1:12">
      <c r="A98" s="22" t="str">
        <f>'2.0 Capex Real Dollars'!A98</f>
        <v>VALVE COOLING</v>
      </c>
      <c r="B98" s="22" t="str">
        <f t="shared" si="13"/>
        <v>nominal</v>
      </c>
      <c r="C98" s="22"/>
      <c r="D98" s="22"/>
      <c r="E98" s="6">
        <f>'2.0 Capex Real Dollars'!E98/'1.1 Input'!J$13</f>
        <v>0</v>
      </c>
      <c r="F98" s="6">
        <f>'2.0 Capex Real Dollars'!F98/'1.1 Input'!K$13</f>
        <v>0</v>
      </c>
      <c r="G98" s="6">
        <f>'2.0 Capex Real Dollars'!G98/'1.1 Input'!L$13</f>
        <v>0</v>
      </c>
      <c r="H98" s="6">
        <f>'2.0 Capex Real Dollars'!H98/'1.1 Input'!M$13</f>
        <v>0</v>
      </c>
      <c r="I98" s="6">
        <f>'2.0 Capex Real Dollars'!I98/'1.1 Input'!N$13</f>
        <v>0</v>
      </c>
      <c r="J98" s="34">
        <f t="shared" si="14"/>
        <v>0</v>
      </c>
    </row>
    <row r="99" spans="1:12">
      <c r="A99" s="22" t="str">
        <f>'2.0 Capex Real Dollars'!A99</f>
        <v>VALVE HALL</v>
      </c>
      <c r="B99" s="22" t="str">
        <f t="shared" si="13"/>
        <v>nominal</v>
      </c>
      <c r="C99" s="22"/>
      <c r="D99" s="22"/>
      <c r="E99" s="6">
        <f>'2.0 Capex Real Dollars'!E99/'1.1 Input'!J$13</f>
        <v>0</v>
      </c>
      <c r="F99" s="6">
        <f>'2.0 Capex Real Dollars'!F99/'1.1 Input'!K$13</f>
        <v>0</v>
      </c>
      <c r="G99" s="6">
        <f>'2.0 Capex Real Dollars'!G99/'1.1 Input'!L$13</f>
        <v>0</v>
      </c>
      <c r="H99" s="6">
        <f>'2.0 Capex Real Dollars'!H99/'1.1 Input'!M$13</f>
        <v>0</v>
      </c>
      <c r="I99" s="6">
        <f>'2.0 Capex Real Dollars'!I99/'1.1 Input'!N$13</f>
        <v>0</v>
      </c>
      <c r="J99" s="34">
        <f t="shared" si="14"/>
        <v>0</v>
      </c>
    </row>
    <row r="100" spans="1:12">
      <c r="A100" s="22" t="str">
        <f>'2.0 Capex Real Dollars'!A100</f>
        <v>BUILDING INSTALLATION</v>
      </c>
      <c r="B100" s="22" t="str">
        <f t="shared" ref="B100:B101" si="15">IF(A100="","",$B$10)</f>
        <v>nominal</v>
      </c>
      <c r="C100" s="22"/>
      <c r="D100" s="22"/>
      <c r="E100" s="6">
        <f>'2.0 Capex Real Dollars'!E100/'1.1 Input'!J$13</f>
        <v>1.8012576392547406</v>
      </c>
      <c r="F100" s="6">
        <f>'2.0 Capex Real Dollars'!F100/'1.1 Input'!K$13</f>
        <v>1.8525934819735006</v>
      </c>
      <c r="G100" s="6">
        <f>'2.0 Capex Real Dollars'!G100/'1.1 Input'!L$13</f>
        <v>0</v>
      </c>
      <c r="H100" s="6">
        <f>'2.0 Capex Real Dollars'!H100/'1.1 Input'!M$13</f>
        <v>0</v>
      </c>
      <c r="I100" s="6">
        <f>'2.0 Capex Real Dollars'!I100/'1.1 Input'!N$13</f>
        <v>0</v>
      </c>
      <c r="J100" s="34">
        <f t="shared" ref="J100:J101" si="16">SUM(E100:I100)</f>
        <v>3.6538511212282412</v>
      </c>
    </row>
    <row r="101" spans="1:12" ht="15.75" thickBot="1">
      <c r="A101" s="22" t="str">
        <f>'2.0 Capex Real Dollars'!A101</f>
        <v>IN-HOUSE SOFTWARE</v>
      </c>
      <c r="B101" s="22" t="str">
        <f t="shared" si="15"/>
        <v>nominal</v>
      </c>
      <c r="C101" s="22"/>
      <c r="D101" s="22"/>
      <c r="E101" s="6">
        <f>'2.0 Capex Real Dollars'!E101/'1.1 Input'!J$13</f>
        <v>0.18851530639185599</v>
      </c>
      <c r="F101" s="6">
        <f>'2.0 Capex Real Dollars'!F101/'1.1 Input'!K$13</f>
        <v>0</v>
      </c>
      <c r="G101" s="6">
        <f>'2.0 Capex Real Dollars'!G101/'1.1 Input'!L$13</f>
        <v>0</v>
      </c>
      <c r="H101" s="6">
        <f>'2.0 Capex Real Dollars'!H101/'1.1 Input'!M$13</f>
        <v>0</v>
      </c>
      <c r="I101" s="6">
        <f>'2.0 Capex Real Dollars'!I101/'1.1 Input'!N$13</f>
        <v>0</v>
      </c>
      <c r="J101" s="34">
        <f t="shared" si="16"/>
        <v>0.18851530639185599</v>
      </c>
    </row>
    <row r="102" spans="1:12" ht="16.5" thickTop="1" thickBot="1">
      <c r="A102" s="22" t="str">
        <f>'2.0 Capex Real Dollars'!A102</f>
        <v>Total</v>
      </c>
      <c r="B102" s="22" t="str">
        <f t="shared" si="13"/>
        <v>nominal</v>
      </c>
      <c r="C102" s="22"/>
      <c r="D102" s="22"/>
      <c r="E102" s="44">
        <f t="shared" ref="E102:J102" si="17">SUM(E81:E101)</f>
        <v>19.037625488702524</v>
      </c>
      <c r="F102" s="44">
        <f t="shared" si="17"/>
        <v>10.936524202834391</v>
      </c>
      <c r="G102" s="44">
        <f t="shared" si="17"/>
        <v>4.4336499828408362</v>
      </c>
      <c r="H102" s="44">
        <f t="shared" si="17"/>
        <v>12.170849006649842</v>
      </c>
      <c r="I102" s="44">
        <f t="shared" si="17"/>
        <v>34.664313190927743</v>
      </c>
      <c r="J102" s="44">
        <f t="shared" si="17"/>
        <v>81.24296187195533</v>
      </c>
      <c r="L102" s="30">
        <f>J102-J5</f>
        <v>0</v>
      </c>
    </row>
    <row r="103" spans="1:12" ht="15.75" thickTop="1"/>
    <row r="104" spans="1:12" ht="16.5">
      <c r="A104" s="4" t="str">
        <f>'2.0 Capex Real Dollars'!A104</f>
        <v>Incurred by Driver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>
      <c r="A105" s="18" t="str">
        <f>'2.0 Capex Real Dollars'!A105</f>
        <v>Driver</v>
      </c>
      <c r="B105" s="18" t="str">
        <f>'2.0 Capex Real Dollars'!B105</f>
        <v>$</v>
      </c>
      <c r="C105" s="18">
        <f>'2.0 Capex Real Dollars'!C105</f>
        <v>0</v>
      </c>
      <c r="D105" s="18">
        <f>'2.0 Capex Real Dollars'!D105</f>
        <v>0</v>
      </c>
      <c r="E105" s="18" t="str">
        <f>'2.0 Capex Real Dollars'!E105</f>
        <v>2025/26</v>
      </c>
      <c r="F105" s="18" t="str">
        <f>'2.0 Capex Real Dollars'!F105</f>
        <v>2026/27</v>
      </c>
      <c r="G105" s="18" t="str">
        <f>'2.0 Capex Real Dollars'!G105</f>
        <v>2027/28</v>
      </c>
      <c r="H105" s="18" t="str">
        <f>'2.0 Capex Real Dollars'!H105</f>
        <v>2028/29</v>
      </c>
      <c r="I105" s="18" t="str">
        <f>'2.0 Capex Real Dollars'!I105</f>
        <v>2029/30</v>
      </c>
      <c r="J105" s="18" t="str">
        <f>'2.0 Capex Real Dollars'!J105</f>
        <v>Total</v>
      </c>
      <c r="K105" s="18"/>
      <c r="L105" s="18"/>
    </row>
    <row r="107" spans="1:12">
      <c r="A107" s="22" t="str">
        <f>'1.1 Input'!B20</f>
        <v>Replacement expenditure</v>
      </c>
      <c r="B107" s="22" t="str">
        <f t="shared" ref="B107:B116" si="18">IF(A107="","",$B$10)</f>
        <v>nominal</v>
      </c>
      <c r="C107" s="22">
        <f>'2.0 Capex Real Dollars'!C107</f>
        <v>0</v>
      </c>
      <c r="D107" s="22">
        <f>'2.0 Capex Real Dollars'!D107</f>
        <v>0</v>
      </c>
      <c r="E107" s="50">
        <f>'2.0 Capex Real Dollars'!E107/'1.1 Input'!J$13</f>
        <v>15.432341067156932</v>
      </c>
      <c r="F107" s="50">
        <f>'2.0 Capex Real Dollars'!F107/'1.1 Input'!K$13</f>
        <v>7.8657513211459458</v>
      </c>
      <c r="G107" s="50">
        <f>'2.0 Capex Real Dollars'!G107/'1.1 Input'!L$13</f>
        <v>3.5182840106069651</v>
      </c>
      <c r="H107" s="50">
        <f>'2.0 Capex Real Dollars'!H107/'1.1 Input'!M$13</f>
        <v>10.885323454439277</v>
      </c>
      <c r="I107" s="50">
        <f>'2.0 Capex Real Dollars'!I107/'1.1 Input'!N$13</f>
        <v>33.528017839741871</v>
      </c>
      <c r="J107" s="51">
        <f>SUM(E107:I107)</f>
        <v>71.22971769309099</v>
      </c>
    </row>
    <row r="108" spans="1:12">
      <c r="A108" s="22" t="str">
        <f>'1.1 Input'!B21</f>
        <v>Connections</v>
      </c>
      <c r="B108" s="22" t="str">
        <f t="shared" si="18"/>
        <v>nominal</v>
      </c>
      <c r="C108" s="22">
        <f>'2.0 Capex Real Dollars'!C108</f>
        <v>0</v>
      </c>
      <c r="D108" s="22">
        <f>'2.0 Capex Real Dollars'!D108</f>
        <v>0</v>
      </c>
      <c r="E108" s="50">
        <f>'2.0 Capex Real Dollars'!E108/'1.1 Input'!J$13</f>
        <v>0</v>
      </c>
      <c r="F108" s="50">
        <f>'2.0 Capex Real Dollars'!F108/'1.1 Input'!K$13</f>
        <v>0</v>
      </c>
      <c r="G108" s="50">
        <f>'2.0 Capex Real Dollars'!G108/'1.1 Input'!L$13</f>
        <v>0</v>
      </c>
      <c r="H108" s="50">
        <f>'2.0 Capex Real Dollars'!H108/'1.1 Input'!M$13</f>
        <v>0</v>
      </c>
      <c r="I108" s="50">
        <f>'2.0 Capex Real Dollars'!I108/'1.1 Input'!N$13</f>
        <v>0</v>
      </c>
      <c r="J108" s="51">
        <f t="shared" ref="J108:J115" si="19">SUM(E108:I108)</f>
        <v>0</v>
      </c>
    </row>
    <row r="109" spans="1:12">
      <c r="A109" s="22" t="str">
        <f>'1.1 Input'!B22</f>
        <v>Augmentation Expenditure</v>
      </c>
      <c r="B109" s="22" t="str">
        <f t="shared" si="18"/>
        <v>nominal</v>
      </c>
      <c r="C109" s="22">
        <f>'2.0 Capex Real Dollars'!C109</f>
        <v>0</v>
      </c>
      <c r="D109" s="22">
        <f>'2.0 Capex Real Dollars'!D109</f>
        <v>0</v>
      </c>
      <c r="E109" s="50">
        <f>'2.0 Capex Real Dollars'!E109/'1.1 Input'!J$13</f>
        <v>0</v>
      </c>
      <c r="F109" s="50">
        <f>'2.0 Capex Real Dollars'!F109/'1.1 Input'!K$13</f>
        <v>0</v>
      </c>
      <c r="G109" s="50">
        <f>'2.0 Capex Real Dollars'!G109/'1.1 Input'!L$13</f>
        <v>0</v>
      </c>
      <c r="H109" s="50">
        <f>'2.0 Capex Real Dollars'!H109/'1.1 Input'!M$13</f>
        <v>0</v>
      </c>
      <c r="I109" s="50">
        <f>'2.0 Capex Real Dollars'!I109/'1.1 Input'!N$13</f>
        <v>0</v>
      </c>
      <c r="J109" s="51">
        <f t="shared" si="19"/>
        <v>0</v>
      </c>
    </row>
    <row r="110" spans="1:12">
      <c r="A110" s="22" t="str">
        <f>'1.1 Input'!B23</f>
        <v>Capitalised network overheads</v>
      </c>
      <c r="B110" s="22" t="str">
        <f t="shared" si="18"/>
        <v>nominal</v>
      </c>
      <c r="C110" s="22">
        <f>'2.0 Capex Real Dollars'!C110</f>
        <v>0</v>
      </c>
      <c r="D110" s="22">
        <f>'2.0 Capex Real Dollars'!D110</f>
        <v>0</v>
      </c>
      <c r="E110" s="50">
        <f>'2.0 Capex Real Dollars'!E110/'1.1 Input'!J$13</f>
        <v>0</v>
      </c>
      <c r="F110" s="50">
        <f>'2.0 Capex Real Dollars'!F110/'1.1 Input'!K$13</f>
        <v>0</v>
      </c>
      <c r="G110" s="50">
        <f>'2.0 Capex Real Dollars'!G110/'1.1 Input'!L$13</f>
        <v>0</v>
      </c>
      <c r="H110" s="50">
        <f>'2.0 Capex Real Dollars'!H110/'1.1 Input'!M$13</f>
        <v>0</v>
      </c>
      <c r="I110" s="50">
        <f>'2.0 Capex Real Dollars'!I110/'1.1 Input'!N$13</f>
        <v>0</v>
      </c>
      <c r="J110" s="51">
        <f t="shared" si="19"/>
        <v>0</v>
      </c>
    </row>
    <row r="111" spans="1:12">
      <c r="A111" s="22" t="str">
        <f>'1.1 Input'!B24</f>
        <v>Capitalised corporate overheads</v>
      </c>
      <c r="B111" s="22" t="str">
        <f t="shared" si="18"/>
        <v>nominal</v>
      </c>
      <c r="C111" s="22"/>
      <c r="D111" s="22"/>
      <c r="E111" s="50">
        <f>'2.0 Capex Real Dollars'!E111/'1.1 Input'!J$13</f>
        <v>0</v>
      </c>
      <c r="F111" s="50">
        <f>'2.0 Capex Real Dollars'!F111/'1.1 Input'!K$13</f>
        <v>0</v>
      </c>
      <c r="G111" s="50">
        <f>'2.0 Capex Real Dollars'!G111/'1.1 Input'!L$13</f>
        <v>0</v>
      </c>
      <c r="H111" s="50">
        <f>'2.0 Capex Real Dollars'!H111/'1.1 Input'!M$13</f>
        <v>0</v>
      </c>
      <c r="I111" s="50">
        <f>'2.0 Capex Real Dollars'!I111/'1.1 Input'!N$13</f>
        <v>0</v>
      </c>
      <c r="J111" s="51">
        <f t="shared" si="19"/>
        <v>0</v>
      </c>
    </row>
    <row r="112" spans="1:12">
      <c r="A112" s="22" t="str">
        <f>'1.1 Input'!B25</f>
        <v>Non-network IT &amp; communications</v>
      </c>
      <c r="B112" s="22" t="str">
        <f t="shared" si="18"/>
        <v>nominal</v>
      </c>
      <c r="C112" s="22"/>
      <c r="D112" s="22"/>
      <c r="E112" s="50">
        <f>'2.0 Capex Real Dollars'!E112/'1.1 Input'!J$13</f>
        <v>1.8040267822908536</v>
      </c>
      <c r="F112" s="50">
        <f>'2.0 Capex Real Dollars'!F112/'1.1 Input'!K$13</f>
        <v>1.2181793997149446</v>
      </c>
      <c r="G112" s="50">
        <f>'2.0 Capex Real Dollars'!G112/'1.1 Input'!L$13</f>
        <v>0.91536597223387117</v>
      </c>
      <c r="H112" s="50">
        <f>'2.0 Capex Real Dollars'!H112/'1.1 Input'!M$13</f>
        <v>1.2855255522105646</v>
      </c>
      <c r="I112" s="50">
        <f>'2.0 Capex Real Dollars'!I112/'1.1 Input'!N$13</f>
        <v>1.1362953511858718</v>
      </c>
      <c r="J112" s="51">
        <f t="shared" si="19"/>
        <v>6.3593930576361064</v>
      </c>
    </row>
    <row r="113" spans="1:12">
      <c r="A113" s="22" t="str">
        <f>'1.1 Input'!B26</f>
        <v>Non-network motor vehicle expenditure</v>
      </c>
      <c r="B113" s="22" t="str">
        <f t="shared" si="18"/>
        <v>nominal</v>
      </c>
      <c r="C113" s="22"/>
      <c r="D113" s="22"/>
      <c r="E113" s="50">
        <f>'2.0 Capex Real Dollars'!E113/'1.1 Input'!J$13</f>
        <v>0</v>
      </c>
      <c r="F113" s="50">
        <f>'2.0 Capex Real Dollars'!F113/'1.1 Input'!K$13</f>
        <v>0</v>
      </c>
      <c r="G113" s="50">
        <f>'2.0 Capex Real Dollars'!G113/'1.1 Input'!L$13</f>
        <v>0</v>
      </c>
      <c r="H113" s="50">
        <f>'2.0 Capex Real Dollars'!H113/'1.1 Input'!M$13</f>
        <v>0</v>
      </c>
      <c r="I113" s="50">
        <f>'2.0 Capex Real Dollars'!I113/'1.1 Input'!N$13</f>
        <v>0</v>
      </c>
      <c r="J113" s="51">
        <f t="shared" si="19"/>
        <v>0</v>
      </c>
    </row>
    <row r="114" spans="1:12">
      <c r="A114" s="22" t="str">
        <f>'1.1 Input'!B27</f>
        <v>Non-network buildings and property expenditure</v>
      </c>
      <c r="B114" s="22" t="str">
        <f t="shared" si="18"/>
        <v>nominal</v>
      </c>
      <c r="C114" s="22"/>
      <c r="D114" s="22"/>
      <c r="E114" s="50">
        <f>'2.0 Capex Real Dollars'!E114/'1.1 Input'!J$13</f>
        <v>1.8012576392547406</v>
      </c>
      <c r="F114" s="50">
        <f>'2.0 Capex Real Dollars'!F114/'1.1 Input'!K$13</f>
        <v>1.8525934819735006</v>
      </c>
      <c r="G114" s="50">
        <f>'2.0 Capex Real Dollars'!G114/'1.1 Input'!L$13</f>
        <v>0</v>
      </c>
      <c r="H114" s="50">
        <f>'2.0 Capex Real Dollars'!H114/'1.1 Input'!M$13</f>
        <v>0</v>
      </c>
      <c r="I114" s="50">
        <f>'2.0 Capex Real Dollars'!I114/'1.1 Input'!N$13</f>
        <v>0</v>
      </c>
      <c r="J114" s="51">
        <f t="shared" si="19"/>
        <v>3.6538511212282412</v>
      </c>
    </row>
    <row r="115" spans="1:12" ht="15.75" thickBot="1">
      <c r="A115" s="22" t="str">
        <f>'1.1 Input'!B28</f>
        <v>Non-network other</v>
      </c>
      <c r="B115" s="22" t="str">
        <f t="shared" si="18"/>
        <v>nominal</v>
      </c>
      <c r="C115" s="22"/>
      <c r="D115" s="22"/>
      <c r="E115" s="50">
        <f>'2.0 Capex Real Dollars'!E115/'1.1 Input'!J$13</f>
        <v>0</v>
      </c>
      <c r="F115" s="50">
        <f>'2.0 Capex Real Dollars'!F115/'1.1 Input'!K$13</f>
        <v>0</v>
      </c>
      <c r="G115" s="50">
        <f>'2.0 Capex Real Dollars'!G115/'1.1 Input'!L$13</f>
        <v>0</v>
      </c>
      <c r="H115" s="50">
        <f>'2.0 Capex Real Dollars'!H115/'1.1 Input'!M$13</f>
        <v>0</v>
      </c>
      <c r="I115" s="50">
        <f>'2.0 Capex Real Dollars'!I115/'1.1 Input'!N$13</f>
        <v>0</v>
      </c>
      <c r="J115" s="51">
        <f t="shared" si="19"/>
        <v>0</v>
      </c>
    </row>
    <row r="116" spans="1:12" ht="16.5" thickTop="1" thickBot="1">
      <c r="A116" s="22" t="str">
        <f>'2.0 Capex Real Dollars'!A116</f>
        <v>Total</v>
      </c>
      <c r="B116" s="22" t="str">
        <f t="shared" si="18"/>
        <v>nominal</v>
      </c>
      <c r="C116" s="22">
        <f>'2.0 Capex Real Dollars'!C116</f>
        <v>0</v>
      </c>
      <c r="D116" s="22">
        <f>'2.0 Capex Real Dollars'!D116</f>
        <v>0</v>
      </c>
      <c r="E116" s="46">
        <f>SUM(E107:E115)</f>
        <v>19.037625488702524</v>
      </c>
      <c r="F116" s="46">
        <f t="shared" ref="F116:J116" si="20">SUM(F107:F115)</f>
        <v>10.93652420283439</v>
      </c>
      <c r="G116" s="46">
        <f t="shared" si="20"/>
        <v>4.4336499828408362</v>
      </c>
      <c r="H116" s="46">
        <f t="shared" si="20"/>
        <v>12.170849006649842</v>
      </c>
      <c r="I116" s="46">
        <f t="shared" si="20"/>
        <v>34.664313190927743</v>
      </c>
      <c r="J116" s="46">
        <f t="shared" si="20"/>
        <v>81.242961871955345</v>
      </c>
      <c r="L116" s="30">
        <f>J116-J102</f>
        <v>0</v>
      </c>
    </row>
    <row r="117" spans="1:12" ht="15.75" thickTop="1"/>
    <row r="118" spans="1:12" ht="16.5">
      <c r="A118" s="4" t="s">
        <v>122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>
      <c r="A119" s="18" t="s">
        <v>3</v>
      </c>
      <c r="B119" s="18" t="str">
        <f>'2.0 Capex Real Dollars'!B119</f>
        <v>$</v>
      </c>
      <c r="C119" s="18">
        <f>'2.0 Capex Real Dollars'!C119</f>
        <v>0</v>
      </c>
      <c r="D119" s="18">
        <f>'2.0 Capex Real Dollars'!D119</f>
        <v>0</v>
      </c>
      <c r="E119" s="18" t="str">
        <f>E105</f>
        <v>2025/26</v>
      </c>
      <c r="F119" s="18" t="str">
        <f t="shared" ref="F119:J119" si="21">F105</f>
        <v>2026/27</v>
      </c>
      <c r="G119" s="18" t="str">
        <f t="shared" si="21"/>
        <v>2027/28</v>
      </c>
      <c r="H119" s="18" t="str">
        <f t="shared" si="21"/>
        <v>2028/29</v>
      </c>
      <c r="I119" s="18" t="str">
        <f t="shared" si="21"/>
        <v>2029/30</v>
      </c>
      <c r="J119" s="18" t="str">
        <f t="shared" si="21"/>
        <v>Total</v>
      </c>
      <c r="K119" s="18"/>
      <c r="L119" s="18"/>
    </row>
    <row r="121" spans="1:12">
      <c r="A121" s="6" t="str" cm="1">
        <f t="array" ref="A121">_xlfn.IFNA(INDEX('1.0 Data'!$D$9:$D$36,MATCH(0,COUNTIF($A$117:A119,'1.0 Data'!$D$9:$D$36),0)),"")</f>
        <v>End of Life Replacement</v>
      </c>
      <c r="B121" s="6" t="str">
        <f>B107</f>
        <v>nominal</v>
      </c>
      <c r="C121" s="6"/>
      <c r="D121" s="6"/>
      <c r="E121" s="50">
        <f>'2.0 Capex Real Dollars'!E121/'1.1 Input'!J$13</f>
        <v>8.1651681461898455</v>
      </c>
      <c r="F121" s="50">
        <f>'2.0 Capex Real Dollars'!F121/'1.1 Input'!K$13</f>
        <v>7.6100976358633678</v>
      </c>
      <c r="G121" s="50">
        <f>'2.0 Capex Real Dollars'!G121/'1.1 Input'!L$13</f>
        <v>3.3869632342668146</v>
      </c>
      <c r="H121" s="50">
        <f>'2.0 Capex Real Dollars'!H121/'1.1 Input'!M$13</f>
        <v>9.4984181691691809</v>
      </c>
      <c r="I121" s="50">
        <f>'2.0 Capex Real Dollars'!I121/'1.1 Input'!N$13</f>
        <v>21.142859583168789</v>
      </c>
      <c r="J121" s="51">
        <f>SUM(E121:I121)</f>
        <v>49.803506768657996</v>
      </c>
    </row>
    <row r="122" spans="1:12">
      <c r="A122" s="6" t="str" cm="1">
        <f t="array" ref="A122">_xlfn.IFNA(INDEX('1.0 Data'!$D$9:$D$36,MATCH(0,COUNTIF($A$117:A121,'1.0 Data'!$D$9:$D$36),0)),"")</f>
        <v>Stay in Business</v>
      </c>
      <c r="B122" s="6" t="str">
        <f>B121</f>
        <v>nominal</v>
      </c>
      <c r="C122" s="6"/>
      <c r="D122" s="6"/>
      <c r="E122" s="50">
        <f>'2.0 Capex Real Dollars'!E122/'1.1 Input'!J$13</f>
        <v>6.2142363948122871E-2</v>
      </c>
      <c r="F122" s="50">
        <f>'2.0 Capex Real Dollars'!F122/'1.1 Input'!K$13</f>
        <v>0.25565368528257748</v>
      </c>
      <c r="G122" s="50">
        <f>'2.0 Capex Real Dollars'!G122/'1.1 Input'!L$13</f>
        <v>0.13132077634015066</v>
      </c>
      <c r="H122" s="50">
        <f>'2.0 Capex Real Dollars'!H122/'1.1 Input'!M$13</f>
        <v>0.28298970697420761</v>
      </c>
      <c r="I122" s="50">
        <f>'2.0 Capex Real Dollars'!I122/'1.1 Input'!N$13</f>
        <v>0</v>
      </c>
      <c r="J122" s="51">
        <f t="shared" ref="J122:J129" si="22">SUM(E122:I122)</f>
        <v>0.73210653254505864</v>
      </c>
    </row>
    <row r="123" spans="1:12">
      <c r="A123" s="6" t="str" cm="1">
        <f t="array" ref="A123">_xlfn.IFNA(INDEX('1.0 Data'!$D$9:$D$36,MATCH(0,COUNTIF($A$117:A122,'1.0 Data'!$D$9:$D$36),0)),"")</f>
        <v>Subsea Cable Repair Strategy</v>
      </c>
      <c r="B123" s="6" t="str">
        <f t="shared" ref="B123:B129" si="23">B122</f>
        <v>nominal</v>
      </c>
      <c r="C123" s="6"/>
      <c r="D123" s="6"/>
      <c r="E123" s="50">
        <f>'2.0 Capex Real Dollars'!E123/'1.1 Input'!J$13</f>
        <v>0</v>
      </c>
      <c r="F123" s="50">
        <f>'2.0 Capex Real Dollars'!F123/'1.1 Input'!K$13</f>
        <v>0</v>
      </c>
      <c r="G123" s="50">
        <f>'2.0 Capex Real Dollars'!G123/'1.1 Input'!L$13</f>
        <v>0</v>
      </c>
      <c r="H123" s="50">
        <f>'2.0 Capex Real Dollars'!H123/'1.1 Input'!M$13</f>
        <v>1.1039155782958885</v>
      </c>
      <c r="I123" s="50">
        <f>'2.0 Capex Real Dollars'!I123/'1.1 Input'!N$13</f>
        <v>12.38515825657308</v>
      </c>
      <c r="J123" s="51">
        <f t="shared" si="22"/>
        <v>13.489073834868968</v>
      </c>
    </row>
    <row r="124" spans="1:12">
      <c r="A124" s="6" t="str" cm="1">
        <f t="array" ref="A124">_xlfn.IFNA(INDEX('1.0 Data'!$D$9:$D$36,MATCH(0,COUNTIF($A$117:A123,'1.0 Data'!$D$9:$D$36),0)),"")</f>
        <v>Ambient Temperature Project</v>
      </c>
      <c r="B124" s="6" t="str">
        <f t="shared" si="23"/>
        <v>nominal</v>
      </c>
      <c r="C124" s="6"/>
      <c r="D124" s="6"/>
      <c r="E124" s="50">
        <f>'2.0 Capex Real Dollars'!E124/'1.1 Input'!J$13</f>
        <v>7.2050305570189623</v>
      </c>
      <c r="F124" s="50">
        <f>'2.0 Capex Real Dollars'!F124/'1.1 Input'!K$13</f>
        <v>0</v>
      </c>
      <c r="G124" s="50">
        <f>'2.0 Capex Real Dollars'!G124/'1.1 Input'!L$13</f>
        <v>0</v>
      </c>
      <c r="H124" s="50">
        <f>'2.0 Capex Real Dollars'!H124/'1.1 Input'!M$13</f>
        <v>0</v>
      </c>
      <c r="I124" s="50">
        <f>'2.0 Capex Real Dollars'!I124/'1.1 Input'!N$13</f>
        <v>0</v>
      </c>
      <c r="J124" s="51">
        <f t="shared" si="22"/>
        <v>7.2050305570189623</v>
      </c>
    </row>
    <row r="125" spans="1:12">
      <c r="A125" s="6" t="str" cm="1">
        <f t="array" ref="A125">_xlfn.IFNA(INDEX('1.0 Data'!$D$9:$D$36,MATCH(0,COUNTIF($A$117:A124,'1.0 Data'!$D$9:$D$36),0)),"")</f>
        <v>Basslink IT/OT</v>
      </c>
      <c r="B125" s="6" t="str">
        <f t="shared" si="23"/>
        <v>nominal</v>
      </c>
      <c r="C125" s="6"/>
      <c r="D125" s="6"/>
      <c r="E125" s="50">
        <f>'2.0 Capex Real Dollars'!E125/'1.1 Input'!J$13</f>
        <v>0.52344546996742769</v>
      </c>
      <c r="F125" s="50">
        <f>'2.0 Capex Real Dollars'!F125/'1.1 Input'!K$13</f>
        <v>0.24701246426313345</v>
      </c>
      <c r="G125" s="50">
        <f>'2.0 Capex Real Dollars'!G125/'1.1 Input'!L$13</f>
        <v>0.19032311640295124</v>
      </c>
      <c r="H125" s="50">
        <f>'2.0 Capex Real Dollars'!H125/'1.1 Input'!M$13</f>
        <v>0.54151074165206903</v>
      </c>
      <c r="I125" s="50">
        <f>'2.0 Capex Real Dollars'!I125/'1.1 Input'!N$13</f>
        <v>0.37368017036341378</v>
      </c>
      <c r="J125" s="51">
        <f t="shared" si="22"/>
        <v>1.8759719626489952</v>
      </c>
    </row>
    <row r="126" spans="1:12">
      <c r="A126" s="6" t="str" cm="1">
        <f t="array" ref="A126">_xlfn.IFNA(INDEX('1.0 Data'!$D$9:$D$36,MATCH(0,COUNTIF($A$117:A125,'1.0 Data'!$D$9:$D$36),0)),"")</f>
        <v>APA IT</v>
      </c>
      <c r="B126" s="6" t="str">
        <f t="shared" si="23"/>
        <v>nominal</v>
      </c>
      <c r="C126" s="6"/>
      <c r="D126" s="6"/>
      <c r="E126" s="50">
        <f>'2.0 Capex Real Dollars'!E126/'1.1 Input'!J$13</f>
        <v>0.23375897992590142</v>
      </c>
      <c r="F126" s="50">
        <f>'2.0 Capex Real Dollars'!F126/'1.1 Input'!K$13</f>
        <v>4.6533118229765733E-2</v>
      </c>
      <c r="G126" s="50">
        <f>'2.0 Capex Real Dollars'!G126/'1.1 Input'!L$13</f>
        <v>4.7805023461379333E-2</v>
      </c>
      <c r="H126" s="50">
        <f>'2.0 Capex Real Dollars'!H126/'1.1 Input'!M$13</f>
        <v>4.9055921575285426E-2</v>
      </c>
      <c r="I126" s="50">
        <f>'2.0 Capex Real Dollars'!I126/'1.1 Input'!N$13</f>
        <v>5.0282319614667559E-2</v>
      </c>
      <c r="J126" s="51">
        <f t="shared" si="22"/>
        <v>0.42743536280699945</v>
      </c>
    </row>
    <row r="127" spans="1:12">
      <c r="A127" s="6" t="str" cm="1">
        <f t="array" ref="A127">_xlfn.IFNA(INDEX('1.0 Data'!$D$9:$D$36,MATCH(0,COUNTIF($A$117:A126,'1.0 Data'!$D$9:$D$36),0)),"")</f>
        <v>SOCI</v>
      </c>
      <c r="B127" s="6" t="str">
        <f t="shared" si="23"/>
        <v>nominal</v>
      </c>
      <c r="C127" s="6"/>
      <c r="D127" s="6"/>
      <c r="E127" s="50">
        <f>'2.0 Capex Real Dollars'!E127/'1.1 Input'!J$13</f>
        <v>1.0468223323975245</v>
      </c>
      <c r="F127" s="50">
        <f>'2.0 Capex Real Dollars'!F127/'1.1 Input'!K$13</f>
        <v>0.92463381722204541</v>
      </c>
      <c r="G127" s="50">
        <f>'2.0 Capex Real Dollars'!G127/'1.1 Input'!L$13</f>
        <v>0.6772378323695406</v>
      </c>
      <c r="H127" s="50">
        <f>'2.0 Capex Real Dollars'!H127/'1.1 Input'!M$13</f>
        <v>0.69495888898321023</v>
      </c>
      <c r="I127" s="50">
        <f>'2.0 Capex Real Dollars'!I127/'1.1 Input'!N$13</f>
        <v>0.71233286120779049</v>
      </c>
      <c r="J127" s="51">
        <f t="shared" si="22"/>
        <v>4.0559857321801118</v>
      </c>
    </row>
    <row r="128" spans="1:12">
      <c r="A128" s="6" t="str" cm="1">
        <f t="array" ref="A128">_xlfn.IFNA(INDEX('1.0 Data'!$D$9:$D$36,MATCH(0,COUNTIF($A$117:A127,'1.0 Data'!$D$9:$D$36),0)),"")</f>
        <v>Physical Security and Natural Hazards</v>
      </c>
      <c r="B128" s="6" t="str">
        <f t="shared" si="23"/>
        <v>nominal</v>
      </c>
      <c r="C128" s="6"/>
      <c r="D128" s="6"/>
      <c r="E128" s="50">
        <f>'2.0 Capex Real Dollars'!E128/'1.1 Input'!J$13</f>
        <v>1.8012576392547406</v>
      </c>
      <c r="F128" s="50">
        <f>'2.0 Capex Real Dollars'!F128/'1.1 Input'!K$13</f>
        <v>1.8525934819735006</v>
      </c>
      <c r="G128" s="50">
        <f>'2.0 Capex Real Dollars'!G128/'1.1 Input'!L$13</f>
        <v>0</v>
      </c>
      <c r="H128" s="50">
        <f>'2.0 Capex Real Dollars'!H128/'1.1 Input'!M$13</f>
        <v>0</v>
      </c>
      <c r="I128" s="50">
        <f>'2.0 Capex Real Dollars'!I128/'1.1 Input'!N$13</f>
        <v>0</v>
      </c>
      <c r="J128" s="51">
        <f t="shared" si="22"/>
        <v>3.6538511212282412</v>
      </c>
    </row>
    <row r="129" spans="1:12" ht="15.75" thickBot="1">
      <c r="A129" s="6" cm="1">
        <f t="array" ref="A129">_xlfn.IFNA(INDEX('1.0 Data'!$D$9:$D$36,MATCH(0,COUNTIF($A$117:A128,'1.0 Data'!$D$9:$D$36),0)),"")</f>
        <v>0</v>
      </c>
      <c r="B129" s="6" t="str">
        <f t="shared" si="23"/>
        <v>nominal</v>
      </c>
      <c r="C129" s="6"/>
      <c r="D129" s="6"/>
      <c r="E129" s="50">
        <f>'2.0 Capex Real Dollars'!E129/'1.1 Input'!J$13</f>
        <v>0</v>
      </c>
      <c r="F129" s="50">
        <f>'2.0 Capex Real Dollars'!F129/'1.1 Input'!K$13</f>
        <v>0</v>
      </c>
      <c r="G129" s="50">
        <f>'2.0 Capex Real Dollars'!G129/'1.1 Input'!L$13</f>
        <v>0</v>
      </c>
      <c r="H129" s="50">
        <f>'2.0 Capex Real Dollars'!H129/'1.1 Input'!M$13</f>
        <v>0</v>
      </c>
      <c r="I129" s="50">
        <f>'2.0 Capex Real Dollars'!I129/'1.1 Input'!N$13</f>
        <v>0</v>
      </c>
      <c r="J129" s="51">
        <f t="shared" si="22"/>
        <v>0</v>
      </c>
    </row>
    <row r="130" spans="1:12" ht="16.5" thickTop="1" thickBot="1">
      <c r="A130" s="20" t="s">
        <v>2</v>
      </c>
      <c r="B130" s="20" t="str">
        <f>B129</f>
        <v>nominal</v>
      </c>
      <c r="E130" s="44">
        <f>SUM(E121:E129)</f>
        <v>19.037625488702524</v>
      </c>
      <c r="F130" s="44">
        <f t="shared" ref="F130:J130" si="24">SUM(F121:F129)</f>
        <v>10.936524202834388</v>
      </c>
      <c r="G130" s="44">
        <f t="shared" si="24"/>
        <v>4.4336499828408362</v>
      </c>
      <c r="H130" s="44">
        <f t="shared" si="24"/>
        <v>12.17084900664984</v>
      </c>
      <c r="I130" s="44">
        <f t="shared" si="24"/>
        <v>34.664313190927743</v>
      </c>
      <c r="J130" s="44">
        <f t="shared" si="24"/>
        <v>81.24296187195533</v>
      </c>
      <c r="L130" s="30">
        <f>J130-J5</f>
        <v>0</v>
      </c>
    </row>
    <row r="131" spans="1:12" ht="15.75" thickTop="1"/>
    <row r="132" spans="1:12" ht="19.5">
      <c r="A132" s="2" t="s">
        <v>123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3" t="s">
        <v>6</v>
      </c>
      <c r="B133" s="3" t="s">
        <v>121</v>
      </c>
      <c r="C133" s="3" t="s">
        <v>4</v>
      </c>
      <c r="D133" s="3" t="s">
        <v>8</v>
      </c>
      <c r="E133" s="3" t="str">
        <f>E105</f>
        <v>2025/26</v>
      </c>
      <c r="F133" s="3" t="str">
        <f>F105</f>
        <v>2026/27</v>
      </c>
      <c r="G133" s="3" t="str">
        <f>G105</f>
        <v>2027/28</v>
      </c>
      <c r="H133" s="3" t="str">
        <f>H105</f>
        <v>2028/29</v>
      </c>
      <c r="I133" s="3" t="str">
        <f>I105</f>
        <v>2029/30</v>
      </c>
      <c r="J133" s="3" t="s">
        <v>2</v>
      </c>
      <c r="K133" s="3"/>
      <c r="L133" s="3"/>
    </row>
    <row r="135" spans="1:12">
      <c r="A135" s="22" t="str">
        <f>'2.0 Capex Real Dollars'!A135</f>
        <v>Reactor DC Refurbishment</v>
      </c>
      <c r="B135" s="22" t="str">
        <f t="shared" ref="B135:B156" si="25">IF(A135="","",$B$10)</f>
        <v>nominal</v>
      </c>
      <c r="C135" s="22" t="str">
        <f>'2.0 Capex Real Dollars'!C135</f>
        <v>SMOOTHING REACTOR</v>
      </c>
      <c r="D135" s="22" t="str">
        <f>'2.0 Capex Real Dollars'!D135</f>
        <v>Replacement expenditure</v>
      </c>
      <c r="E135" s="50">
        <f>IF('1.0 Data'!$T9="As incurred",E10,IF('1.0 Data'!$T9=E$133,SUM($E10:E10),0))</f>
        <v>0</v>
      </c>
      <c r="F135" s="50">
        <f>IF('1.0 Data'!$T9="As incurred",F10,IF('1.0 Data'!$T9=F$133,SUM($E10:F10),0))</f>
        <v>0.83069377798425237</v>
      </c>
      <c r="G135" s="50">
        <f>IF('1.0 Data'!$T9="As incurred",G10,IF('1.0 Data'!$T9=G$133,SUM($E10:G10),0))</f>
        <v>0</v>
      </c>
      <c r="H135" s="50">
        <f>IF('1.0 Data'!$T9="As incurred",H10,IF('1.0 Data'!$T9=H$133,SUM($E10:H10),0))</f>
        <v>0</v>
      </c>
      <c r="I135" s="50">
        <f>IF('1.0 Data'!$T9="As incurred",I10,IF('1.0 Data'!$T9=I$133,SUM($E10:I10),0))</f>
        <v>0</v>
      </c>
      <c r="J135" s="51">
        <f t="shared" ref="J135" si="26">SUM(E135:I135)</f>
        <v>0.83069377798425237</v>
      </c>
    </row>
    <row r="136" spans="1:12">
      <c r="A136" s="22" t="str">
        <f>'2.0 Capex Real Dollars'!A136</f>
        <v>Control &amp; Protection - System Renewal</v>
      </c>
      <c r="B136" s="22" t="str">
        <f t="shared" si="25"/>
        <v>nominal</v>
      </c>
      <c r="C136" s="22" t="str">
        <f>'2.0 Capex Real Dollars'!C136</f>
        <v>CONTROL SYSTEM</v>
      </c>
      <c r="D136" s="22" t="str">
        <f>'2.0 Capex Real Dollars'!D136</f>
        <v>Replacement expenditure</v>
      </c>
      <c r="E136" s="50">
        <f>IF('1.0 Data'!$T10="As incurred",E11,IF('1.0 Data'!$T10=E$133,SUM($E11:E11),0))</f>
        <v>0</v>
      </c>
      <c r="F136" s="50">
        <f>IF('1.0 Data'!$T10="As incurred",F11,IF('1.0 Data'!$T10=F$133,SUM($E11:F11),0))</f>
        <v>0</v>
      </c>
      <c r="G136" s="50">
        <f>IF('1.0 Data'!$T10="As incurred",G11,IF('1.0 Data'!$T10=G$133,SUM($E11:G11),0))</f>
        <v>0</v>
      </c>
      <c r="H136" s="50">
        <f>IF('1.0 Data'!$T10="As incurred",H11,IF('1.0 Data'!$T10=H$133,SUM($E11:H11),0))</f>
        <v>0</v>
      </c>
      <c r="I136" s="50">
        <f>IF('1.0 Data'!$T10="As incurred",I11,IF('1.0 Data'!$T10=I$133,SUM($E11:I11),0))</f>
        <v>48.698717325402285</v>
      </c>
      <c r="J136" s="51">
        <f t="shared" ref="J136:J155" si="27">SUM(E136:I136)</f>
        <v>48.698717325402285</v>
      </c>
    </row>
    <row r="137" spans="1:12">
      <c r="A137" s="22" t="str">
        <f>'2.0 Capex Real Dollars'!A137</f>
        <v>Spares</v>
      </c>
      <c r="B137" s="22" t="str">
        <f t="shared" si="25"/>
        <v>nominal</v>
      </c>
      <c r="C137" s="22" t="str">
        <f>'2.0 Capex Real Dollars'!C137</f>
        <v>SWITCHYARD COMPONENTS</v>
      </c>
      <c r="D137" s="22" t="str">
        <f>'2.0 Capex Real Dollars'!D137</f>
        <v>Replacement expenditure</v>
      </c>
      <c r="E137" s="50">
        <f>IF('1.0 Data'!$T11="As incurred",E12,IF('1.0 Data'!$T11=E$133,SUM($E12:E12),0))</f>
        <v>6.2142363948122871E-2</v>
      </c>
      <c r="F137" s="50">
        <f>IF('1.0 Data'!$T11="As incurred",F12,IF('1.0 Data'!$T11=F$133,SUM($E12:F12),0))</f>
        <v>0.25565368528257748</v>
      </c>
      <c r="G137" s="50">
        <f>IF('1.0 Data'!$T11="As incurred",G12,IF('1.0 Data'!$T11=G$133,SUM($E12:G12),0))</f>
        <v>0.13132077634015066</v>
      </c>
      <c r="H137" s="50">
        <f>IF('1.0 Data'!$T11="As incurred",H12,IF('1.0 Data'!$T11=H$133,SUM($E12:H12),0))</f>
        <v>0.28298970697420761</v>
      </c>
      <c r="I137" s="50">
        <f>IF('1.0 Data'!$T11="As incurred",I12,IF('1.0 Data'!$T11=I$133,SUM($E12:I12),0))</f>
        <v>0</v>
      </c>
      <c r="J137" s="51">
        <f t="shared" si="27"/>
        <v>0.73210653254505864</v>
      </c>
    </row>
    <row r="138" spans="1:12">
      <c r="A138" s="22" t="str">
        <f>'2.0 Capex Real Dollars'!A138</f>
        <v>Subsea Cable Repair Strategy</v>
      </c>
      <c r="B138" s="22" t="str">
        <f t="shared" si="25"/>
        <v>nominal</v>
      </c>
      <c r="C138" s="22" t="str">
        <f>'2.0 Capex Real Dollars'!C138</f>
        <v>CABLE</v>
      </c>
      <c r="D138" s="22" t="str">
        <f>'2.0 Capex Real Dollars'!D138</f>
        <v>Replacement expenditure</v>
      </c>
      <c r="E138" s="50">
        <f>IF('1.0 Data'!$T12="As incurred",E13,IF('1.0 Data'!$T12=E$133,SUM($E13:E13),0))</f>
        <v>0</v>
      </c>
      <c r="F138" s="50">
        <f>IF('1.0 Data'!$T12="As incurred",F13,IF('1.0 Data'!$T12=F$133,SUM($E13:F13),0))</f>
        <v>0</v>
      </c>
      <c r="G138" s="50">
        <f>IF('1.0 Data'!$T12="As incurred",G13,IF('1.0 Data'!$T12=G$133,SUM($E13:G13),0))</f>
        <v>0</v>
      </c>
      <c r="H138" s="50">
        <f>IF('1.0 Data'!$T12="As incurred",H13,IF('1.0 Data'!$T12=H$133,SUM($E13:H13),0))</f>
        <v>1.1039155782958885</v>
      </c>
      <c r="I138" s="50">
        <f>IF('1.0 Data'!$T12="As incurred",I13,IF('1.0 Data'!$T12=I$133,SUM($E13:I13),0))</f>
        <v>12.38515825657308</v>
      </c>
      <c r="J138" s="51">
        <f t="shared" si="27"/>
        <v>13.489073834868968</v>
      </c>
    </row>
    <row r="139" spans="1:12">
      <c r="A139" s="22" t="str">
        <f>'2.0 Capex Real Dollars'!A139</f>
        <v>Minor Plant and Equipment</v>
      </c>
      <c r="B139" s="22" t="str">
        <f t="shared" si="25"/>
        <v>nominal</v>
      </c>
      <c r="C139" s="22" t="str">
        <f>'2.0 Capex Real Dollars'!C139</f>
        <v>OTHER</v>
      </c>
      <c r="D139" s="22" t="str">
        <f>'2.0 Capex Real Dollars'!D139</f>
        <v>Replacement expenditure</v>
      </c>
      <c r="E139" s="50">
        <f>IF('1.0 Data'!$T13="As incurred",E14,IF('1.0 Data'!$T13=E$133,SUM($E14:E14),0))</f>
        <v>5.1904787662912004E-2</v>
      </c>
      <c r="F139" s="50">
        <f>IF('1.0 Data'!$T13="As incurred",F14,IF('1.0 Data'!$T13=F$133,SUM($E14:F14),0))</f>
        <v>5.3384074111304997E-2</v>
      </c>
      <c r="G139" s="50">
        <f>IF('1.0 Data'!$T13="As incurred",G14,IF('1.0 Data'!$T13=G$133,SUM($E14:G14),0))</f>
        <v>5.4843238803680666E-2</v>
      </c>
      <c r="H139" s="50">
        <f>IF('1.0 Data'!$T13="As incurred",H14,IF('1.0 Data'!$T13=H$133,SUM($E14:H14),0))</f>
        <v>5.6278303552376979E-2</v>
      </c>
      <c r="I139" s="50">
        <f>IF('1.0 Data'!$T13="As incurred",I14,IF('1.0 Data'!$T13=I$133,SUM($E14:I14),0))</f>
        <v>5.7685261141186404E-2</v>
      </c>
      <c r="J139" s="51">
        <f t="shared" si="27"/>
        <v>0.27409566527146106</v>
      </c>
    </row>
    <row r="140" spans="1:12">
      <c r="A140" s="22" t="str">
        <f>'2.0 Capex Real Dollars'!A140</f>
        <v>Ambient Temperature Project</v>
      </c>
      <c r="B140" s="22" t="str">
        <f t="shared" si="25"/>
        <v>nominal</v>
      </c>
      <c r="C140" s="22" t="str">
        <f>'2.0 Capex Real Dollars'!C140</f>
        <v>SWITCHYARD COMPONENTS</v>
      </c>
      <c r="D140" s="22" t="str">
        <f>'2.0 Capex Real Dollars'!D140</f>
        <v>Replacement expenditure</v>
      </c>
      <c r="E140" s="50">
        <f>IF('1.0 Data'!$T14="As incurred",E15,IF('1.0 Data'!$T14=E$133,SUM($E15:E15),0))</f>
        <v>7.2050305570189623</v>
      </c>
      <c r="F140" s="50">
        <f>IF('1.0 Data'!$T14="As incurred",F15,IF('1.0 Data'!$T14=F$133,SUM($E15:F15),0))</f>
        <v>0</v>
      </c>
      <c r="G140" s="50">
        <f>IF('1.0 Data'!$T14="As incurred",G15,IF('1.0 Data'!$T14=G$133,SUM($E15:G15),0))</f>
        <v>0</v>
      </c>
      <c r="H140" s="50">
        <f>IF('1.0 Data'!$T14="As incurred",H15,IF('1.0 Data'!$T14=H$133,SUM($E15:H15),0))</f>
        <v>0</v>
      </c>
      <c r="I140" s="50">
        <f>IF('1.0 Data'!$T14="As incurred",I15,IF('1.0 Data'!$T14=I$133,SUM($E15:I15),0))</f>
        <v>0</v>
      </c>
      <c r="J140" s="51">
        <f t="shared" si="27"/>
        <v>7.2050305570189623</v>
      </c>
    </row>
    <row r="141" spans="1:12">
      <c r="A141" s="22" t="str">
        <f>'2.0 Capex Real Dollars'!A141</f>
        <v>Laptop</v>
      </c>
      <c r="B141" s="22" t="str">
        <f t="shared" si="25"/>
        <v>nominal</v>
      </c>
      <c r="C141" s="22" t="str">
        <f>'2.0 Capex Real Dollars'!C141</f>
        <v>OTHER</v>
      </c>
      <c r="D141" s="22" t="str">
        <f>'2.0 Capex Real Dollars'!D141</f>
        <v>Non-network IT &amp; communications</v>
      </c>
      <c r="E141" s="50">
        <f>IF('1.0 Data'!$T15="As incurred",E16,IF('1.0 Data'!$T15=E$133,SUM($E16:E16),0))</f>
        <v>3.4704230516307999E-2</v>
      </c>
      <c r="F141" s="50">
        <f>IF('1.0 Data'!$T15="As incurred",F16,IF('1.0 Data'!$T15=F$133,SUM($E16:F16),0))</f>
        <v>0</v>
      </c>
      <c r="G141" s="50">
        <f>IF('1.0 Data'!$T15="As incurred",G16,IF('1.0 Data'!$T15=G$133,SUM($E16:G16),0))</f>
        <v>0</v>
      </c>
      <c r="H141" s="50">
        <f>IF('1.0 Data'!$T15="As incurred",H16,IF('1.0 Data'!$T15=H$133,SUM($E16:H16),0))</f>
        <v>3.7628421336246193E-2</v>
      </c>
      <c r="I141" s="50">
        <f>IF('1.0 Data'!$T15="As incurred",I16,IF('1.0 Data'!$T15=I$133,SUM($E16:I16),0))</f>
        <v>0</v>
      </c>
      <c r="J141" s="51">
        <f t="shared" si="27"/>
        <v>7.2332651852554192E-2</v>
      </c>
    </row>
    <row r="142" spans="1:12">
      <c r="A142" s="22" t="str">
        <f>'2.0 Capex Real Dollars'!A142</f>
        <v>Phones</v>
      </c>
      <c r="B142" s="22" t="str">
        <f t="shared" si="25"/>
        <v>nominal</v>
      </c>
      <c r="C142" s="22" t="str">
        <f>'2.0 Capex Real Dollars'!C142</f>
        <v>OTHER</v>
      </c>
      <c r="D142" s="22" t="str">
        <f>'2.0 Capex Real Dollars'!D142</f>
        <v>Non-network IT &amp; communications</v>
      </c>
      <c r="E142" s="50">
        <f>IF('1.0 Data'!$T16="As incurred",E17,IF('1.0 Data'!$T16=E$133,SUM($E17:E17),0))</f>
        <v>8.4058689831887894E-3</v>
      </c>
      <c r="F142" s="50">
        <f>IF('1.0 Data'!$T16="As incurred",F17,IF('1.0 Data'!$T16=F$133,SUM($E17:F17),0))</f>
        <v>0</v>
      </c>
      <c r="G142" s="50">
        <f>IF('1.0 Data'!$T16="As incurred",G17,IF('1.0 Data'!$T16=G$133,SUM($E17:G17),0))</f>
        <v>0</v>
      </c>
      <c r="H142" s="50">
        <f>IF('1.0 Data'!$T16="As incurred",H17,IF('1.0 Data'!$T16=H$133,SUM($E17:H17),0))</f>
        <v>9.1141504966686295E-3</v>
      </c>
      <c r="I142" s="50">
        <f>IF('1.0 Data'!$T16="As incurred",I17,IF('1.0 Data'!$T16=I$133,SUM($E17:I17),0))</f>
        <v>0</v>
      </c>
      <c r="J142" s="51">
        <f t="shared" si="27"/>
        <v>1.7520019479857419E-2</v>
      </c>
    </row>
    <row r="143" spans="1:12">
      <c r="A143" s="22" t="str">
        <f>'2.0 Capex Real Dollars'!A143</f>
        <v>Video Conferencing Rooms</v>
      </c>
      <c r="B143" s="22" t="str">
        <f t="shared" si="25"/>
        <v>nominal</v>
      </c>
      <c r="C143" s="22" t="str">
        <f>'2.0 Capex Real Dollars'!C143</f>
        <v>OTHER</v>
      </c>
      <c r="D143" s="22" t="str">
        <f>'2.0 Capex Real Dollars'!D143</f>
        <v>Non-network IT &amp; communications</v>
      </c>
      <c r="E143" s="50">
        <f>IF('1.0 Data'!$T17="As incurred",E18,IF('1.0 Data'!$T17=E$133,SUM($E18:E18),0))</f>
        <v>0</v>
      </c>
      <c r="F143" s="50">
        <f>IF('1.0 Data'!$T17="As incurred",F18,IF('1.0 Data'!$T17=F$133,SUM($E18:F18),0))</f>
        <v>0</v>
      </c>
      <c r="G143" s="50">
        <f>IF('1.0 Data'!$T17="As incurred",G18,IF('1.0 Data'!$T17=G$133,SUM($E18:G18),0))</f>
        <v>0</v>
      </c>
      <c r="H143" s="50">
        <f>IF('1.0 Data'!$T17="As incurred",H18,IF('1.0 Data'!$T17=H$133,SUM($E18:H18),0))</f>
        <v>9.1141504966686285E-2</v>
      </c>
      <c r="I143" s="50">
        <f>IF('1.0 Data'!$T17="As incurred",I18,IF('1.0 Data'!$T17=I$133,SUM($E18:I18),0))</f>
        <v>0</v>
      </c>
      <c r="J143" s="51">
        <f t="shared" si="27"/>
        <v>9.1141504966686285E-2</v>
      </c>
    </row>
    <row r="144" spans="1:12">
      <c r="A144" s="22" t="str">
        <f>'2.0 Capex Real Dollars'!A144</f>
        <v>Printer</v>
      </c>
      <c r="B144" s="22" t="str">
        <f t="shared" si="25"/>
        <v>nominal</v>
      </c>
      <c r="C144" s="22" t="str">
        <f>'2.0 Capex Real Dollars'!C144</f>
        <v>OTHER</v>
      </c>
      <c r="D144" s="22" t="str">
        <f>'2.0 Capex Real Dollars'!D144</f>
        <v>Non-network IT &amp; communications</v>
      </c>
      <c r="E144" s="50">
        <f>IF('1.0 Data'!$T18="As incurred",E19,IF('1.0 Data'!$T18=E$133,SUM($E19:E19),0))</f>
        <v>0</v>
      </c>
      <c r="F144" s="50">
        <f>IF('1.0 Data'!$T18="As incurred",F19,IF('1.0 Data'!$T18=F$133,SUM($E19:F19),0))</f>
        <v>0</v>
      </c>
      <c r="G144" s="50">
        <f>IF('1.0 Data'!$T18="As incurred",G19,IF('1.0 Data'!$T18=G$133,SUM($E19:G19),0))</f>
        <v>0</v>
      </c>
      <c r="H144" s="50">
        <f>IF('1.0 Data'!$T18="As incurred",H19,IF('1.0 Data'!$T18=H$133,SUM($E19:H19),0))</f>
        <v>1.3020214995240899E-2</v>
      </c>
      <c r="I144" s="50">
        <f>IF('1.0 Data'!$T18="As incurred",I19,IF('1.0 Data'!$T18=I$133,SUM($E19:I19),0))</f>
        <v>0</v>
      </c>
      <c r="J144" s="51">
        <f t="shared" si="27"/>
        <v>1.3020214995240899E-2</v>
      </c>
    </row>
    <row r="145" spans="1:12">
      <c r="A145" s="22" t="str">
        <f>'2.0 Capex Real Dollars'!A145</f>
        <v>Enterprise Asset Management System Upgrade</v>
      </c>
      <c r="B145" s="22" t="str">
        <f t="shared" si="25"/>
        <v>nominal</v>
      </c>
      <c r="C145" s="22" t="str">
        <f>'2.0 Capex Real Dollars'!C145</f>
        <v>IN-HOUSE SOFTWARE</v>
      </c>
      <c r="D145" s="22" t="str">
        <f>'2.0 Capex Real Dollars'!D145</f>
        <v>Non-network IT &amp; communications</v>
      </c>
      <c r="E145" s="50">
        <f>IF('1.0 Data'!$T19="As incurred",E20,IF('1.0 Data'!$T19=E$133,SUM($E20:E20),0))</f>
        <v>0.18851530639185599</v>
      </c>
      <c r="F145" s="50">
        <f>IF('1.0 Data'!$T19="As incurred",F20,IF('1.0 Data'!$T19=F$133,SUM($E20:F20),0))</f>
        <v>0</v>
      </c>
      <c r="G145" s="50">
        <f>IF('1.0 Data'!$T19="As incurred",G20,IF('1.0 Data'!$T19=G$133,SUM($E20:G20),0))</f>
        <v>0</v>
      </c>
      <c r="H145" s="50">
        <f>IF('1.0 Data'!$T19="As incurred",H20,IF('1.0 Data'!$T19=H$133,SUM($E20:H20),0))</f>
        <v>0</v>
      </c>
      <c r="I145" s="50">
        <f>IF('1.0 Data'!$T19="As incurred",I20,IF('1.0 Data'!$T19=I$133,SUM($E20:I20),0))</f>
        <v>0</v>
      </c>
      <c r="J145" s="51">
        <f t="shared" si="27"/>
        <v>0.18851530639185599</v>
      </c>
    </row>
    <row r="146" spans="1:12">
      <c r="A146" s="22" t="str">
        <f>'2.0 Capex Real Dollars'!A146</f>
        <v>OT initial integration and standard asset integration</v>
      </c>
      <c r="B146" s="22" t="str">
        <f t="shared" si="25"/>
        <v>nominal</v>
      </c>
      <c r="C146" s="22" t="str">
        <f>'2.0 Capex Real Dollars'!C146</f>
        <v>OTHER</v>
      </c>
      <c r="D146" s="22" t="str">
        <f>'2.0 Capex Real Dollars'!D146</f>
        <v>Non-network IT &amp; communications</v>
      </c>
      <c r="E146" s="50">
        <f>IF('1.0 Data'!$T20="As incurred",E21,IF('1.0 Data'!$T20=E$133,SUM($E21:E21),0))</f>
        <v>0</v>
      </c>
      <c r="F146" s="50">
        <f>IF('1.0 Data'!$T20="As incurred",F21,IF('1.0 Data'!$T20=F$133,SUM($E21:F21),0))</f>
        <v>0</v>
      </c>
      <c r="G146" s="50">
        <f>IF('1.0 Data'!$T20="As incurred",G21,IF('1.0 Data'!$T20=G$133,SUM($E21:G21),0))</f>
        <v>0</v>
      </c>
      <c r="H146" s="50">
        <f>IF('1.0 Data'!$T20="As incurred",H21,IF('1.0 Data'!$T20=H$133,SUM($E21:H21),0))</f>
        <v>0</v>
      </c>
      <c r="I146" s="50">
        <f>IF('1.0 Data'!$T20="As incurred",I21,IF('1.0 Data'!$T20=I$133,SUM($E21:I21),0))</f>
        <v>0.13345720370121922</v>
      </c>
      <c r="J146" s="51">
        <f t="shared" si="27"/>
        <v>0.13345720370121922</v>
      </c>
    </row>
    <row r="147" spans="1:12">
      <c r="A147" s="22" t="str">
        <f>'2.0 Capex Real Dollars'!A147</f>
        <v>EMS basslink integration, Reliability / predictive monitoring</v>
      </c>
      <c r="B147" s="22" t="str">
        <f t="shared" si="25"/>
        <v>nominal</v>
      </c>
      <c r="C147" s="22" t="str">
        <f>'2.0 Capex Real Dollars'!C147</f>
        <v>OTHER</v>
      </c>
      <c r="D147" s="22" t="str">
        <f>'2.0 Capex Real Dollars'!D147</f>
        <v>Non-network IT &amp; communications</v>
      </c>
      <c r="E147" s="50">
        <f>IF('1.0 Data'!$T21="As incurred",E22,IF('1.0 Data'!$T21=E$133,SUM($E22:E22),0))</f>
        <v>0.48033537046793084</v>
      </c>
      <c r="F147" s="50">
        <f>IF('1.0 Data'!$T21="As incurred",F22,IF('1.0 Data'!$T21=F$133,SUM($E22:F22),0))</f>
        <v>0.24701246426313345</v>
      </c>
      <c r="G147" s="50">
        <f>IF('1.0 Data'!$T21="As incurred",G22,IF('1.0 Data'!$T21=G$133,SUM($E22:G22),0))</f>
        <v>0</v>
      </c>
      <c r="H147" s="50">
        <f>IF('1.0 Data'!$T21="As incurred",H22,IF('1.0 Data'!$T21=H$133,SUM($E22:H22),0))</f>
        <v>0</v>
      </c>
      <c r="I147" s="50">
        <f>IF('1.0 Data'!$T21="As incurred",I22,IF('1.0 Data'!$T21=I$133,SUM($E22:I22),0))</f>
        <v>0</v>
      </c>
      <c r="J147" s="51">
        <f t="shared" si="27"/>
        <v>0.72734783473106424</v>
      </c>
    </row>
    <row r="148" spans="1:12">
      <c r="A148" s="22" t="str">
        <f>'2.0 Capex Real Dollars'!A148</f>
        <v>OT Technology Capability uplift</v>
      </c>
      <c r="B148" s="22" t="str">
        <f t="shared" si="25"/>
        <v>nominal</v>
      </c>
      <c r="C148" s="22" t="str">
        <f>'2.0 Capex Real Dollars'!C148</f>
        <v>OTHER</v>
      </c>
      <c r="D148" s="22" t="str">
        <f>'2.0 Capex Real Dollars'!D148</f>
        <v>Non-network IT &amp; communications</v>
      </c>
      <c r="E148" s="50">
        <f>IF('1.0 Data'!$T22="As incurred",E23,IF('1.0 Data'!$T22=E$133,SUM($E23:E23),0))</f>
        <v>4.5243673534045438E-2</v>
      </c>
      <c r="F148" s="50">
        <f>IF('1.0 Data'!$T22="As incurred",F23,IF('1.0 Data'!$T22=F$133,SUM($E23:F23),0))</f>
        <v>4.6533118229765733E-2</v>
      </c>
      <c r="G148" s="50">
        <f>IF('1.0 Data'!$T22="As incurred",G23,IF('1.0 Data'!$T22=G$133,SUM($E23:G23),0))</f>
        <v>4.7805023461379333E-2</v>
      </c>
      <c r="H148" s="50">
        <f>IF('1.0 Data'!$T22="As incurred",H23,IF('1.0 Data'!$T22=H$133,SUM($E23:H23),0))</f>
        <v>4.9055921575285426E-2</v>
      </c>
      <c r="I148" s="50">
        <f>IF('1.0 Data'!$T22="As incurred",I23,IF('1.0 Data'!$T22=I$133,SUM($E23:I23),0))</f>
        <v>5.0282319614667559E-2</v>
      </c>
      <c r="J148" s="51">
        <f t="shared" si="27"/>
        <v>0.23892005641514349</v>
      </c>
    </row>
    <row r="149" spans="1:12">
      <c r="A149" s="22" t="str">
        <f>'2.0 Capex Real Dollars'!A149</f>
        <v>Asset Integration</v>
      </c>
      <c r="B149" s="22" t="str">
        <f t="shared" si="25"/>
        <v>nominal</v>
      </c>
      <c r="C149" s="22" t="str">
        <f>'2.0 Capex Real Dollars'!C149</f>
        <v>OTHER</v>
      </c>
      <c r="D149" s="22" t="str">
        <f>'2.0 Capex Real Dollars'!D149</f>
        <v>Non-network IT &amp; communications</v>
      </c>
      <c r="E149" s="50">
        <f>IF('1.0 Data'!$T23="As incurred",E24,IF('1.0 Data'!$T23=E$133,SUM($E24:E24),0))</f>
        <v>0</v>
      </c>
      <c r="F149" s="50">
        <f>IF('1.0 Data'!$T23="As incurred",F24,IF('1.0 Data'!$T23=F$133,SUM($E24:F24),0))</f>
        <v>0</v>
      </c>
      <c r="G149" s="50">
        <f>IF('1.0 Data'!$T23="As incurred",G24,IF('1.0 Data'!$T23=G$133,SUM($E24:G24),0))</f>
        <v>0</v>
      </c>
      <c r="H149" s="50">
        <f>IF('1.0 Data'!$T23="As incurred",H24,IF('1.0 Data'!$T23=H$133,SUM($E24:H24),0))</f>
        <v>0</v>
      </c>
      <c r="I149" s="50">
        <f>IF('1.0 Data'!$T23="As incurred",I24,IF('1.0 Data'!$T23=I$133,SUM($E24:I24),0))</f>
        <v>4.003716111036576E-2</v>
      </c>
      <c r="J149" s="51">
        <f t="shared" si="27"/>
        <v>4.003716111036576E-2</v>
      </c>
    </row>
    <row r="150" spans="1:12">
      <c r="A150" s="22" t="str">
        <f>'2.0 Capex Real Dollars'!A150</f>
        <v>Program Management and Consultation</v>
      </c>
      <c r="B150" s="22" t="str">
        <f t="shared" si="25"/>
        <v>nominal</v>
      </c>
      <c r="C150" s="22" t="str">
        <f>'2.0 Capex Real Dollars'!C150</f>
        <v>OTHER</v>
      </c>
      <c r="D150" s="22" t="str">
        <f>'2.0 Capex Real Dollars'!D150</f>
        <v>Non-network IT &amp; communications</v>
      </c>
      <c r="E150" s="50">
        <f>IF('1.0 Data'!$T24="As incurred",E25,IF('1.0 Data'!$T24=E$133,SUM($E25:E25),0))</f>
        <v>0</v>
      </c>
      <c r="F150" s="50">
        <f>IF('1.0 Data'!$T24="As incurred",F25,IF('1.0 Data'!$T24=F$133,SUM($E25:F25),0))</f>
        <v>0</v>
      </c>
      <c r="G150" s="50">
        <f>IF('1.0 Data'!$T24="As incurred",G25,IF('1.0 Data'!$T24=G$133,SUM($E25:G25),0))</f>
        <v>0.19032311640295124</v>
      </c>
      <c r="H150" s="50">
        <f>IF('1.0 Data'!$T24="As incurred",H25,IF('1.0 Data'!$T24=H$133,SUM($E25:H25),0))</f>
        <v>0.39060644985722698</v>
      </c>
      <c r="I150" s="50">
        <f>IF('1.0 Data'!$T24="As incurred",I25,IF('1.0 Data'!$T24=I$133,SUM($E25:I25),0))</f>
        <v>0.2001858055518288</v>
      </c>
      <c r="J150" s="51">
        <f t="shared" si="27"/>
        <v>0.78111537181200696</v>
      </c>
    </row>
    <row r="151" spans="1:12">
      <c r="A151" s="22" t="str">
        <f>'2.0 Capex Real Dollars'!A151</f>
        <v>Cyber Security</v>
      </c>
      <c r="B151" s="22" t="str">
        <f t="shared" si="25"/>
        <v>nominal</v>
      </c>
      <c r="C151" s="22" t="str">
        <f>'2.0 Capex Real Dollars'!C151</f>
        <v>OTHER</v>
      </c>
      <c r="D151" s="22" t="str">
        <f>'2.0 Capex Real Dollars'!D151</f>
        <v>Non-network IT &amp; communications</v>
      </c>
      <c r="E151" s="50">
        <f>IF('1.0 Data'!$T25="As incurred",E26,IF('1.0 Data'!$T25=E$133,SUM($E26:E26),0))</f>
        <v>0.93570149742832187</v>
      </c>
      <c r="F151" s="50">
        <f>IF('1.0 Data'!$T25="As incurred",F26,IF('1.0 Data'!$T25=F$133,SUM($E26:F26),0))</f>
        <v>0.92463381722204541</v>
      </c>
      <c r="G151" s="50">
        <f>IF('1.0 Data'!$T25="As incurred",G26,IF('1.0 Data'!$T25=G$133,SUM($E26:G26),0))</f>
        <v>0.59756279326724171</v>
      </c>
      <c r="H151" s="50">
        <f>IF('1.0 Data'!$T25="As incurred",H26,IF('1.0 Data'!$T25=H$133,SUM($E26:H26),0))</f>
        <v>0.61319901969106783</v>
      </c>
      <c r="I151" s="50">
        <f>IF('1.0 Data'!$T25="As incurred",I26,IF('1.0 Data'!$T25=I$133,SUM($E26:I26),0))</f>
        <v>0.62852899518334449</v>
      </c>
      <c r="J151" s="51">
        <f t="shared" si="27"/>
        <v>3.6996261227920209</v>
      </c>
    </row>
    <row r="152" spans="1:12">
      <c r="A152" s="22" t="str">
        <f>'2.0 Capex Real Dollars'!A152</f>
        <v>Program Management and Material Risk</v>
      </c>
      <c r="B152" s="22" t="str">
        <f t="shared" si="25"/>
        <v>nominal</v>
      </c>
      <c r="C152" s="22" t="str">
        <f>'2.0 Capex Real Dollars'!C152</f>
        <v>OTHER</v>
      </c>
      <c r="D152" s="22" t="str">
        <f>'2.0 Capex Real Dollars'!D152</f>
        <v>Non-network IT &amp; communications</v>
      </c>
      <c r="E152" s="50">
        <f>IF('1.0 Data'!$T26="As incurred",E27,IF('1.0 Data'!$T26=E$133,SUM($E27:E27),0))</f>
        <v>4.5589594894473916E-2</v>
      </c>
      <c r="F152" s="50">
        <f>IF('1.0 Data'!$T26="As incurred",F27,IF('1.0 Data'!$T26=F$133,SUM($E27:F27),0))</f>
        <v>0</v>
      </c>
      <c r="G152" s="50">
        <f>IF('1.0 Data'!$T26="As incurred",G27,IF('1.0 Data'!$T26=G$133,SUM($E27:G27),0))</f>
        <v>0</v>
      </c>
      <c r="H152" s="50">
        <f>IF('1.0 Data'!$T26="As incurred",H27,IF('1.0 Data'!$T26=H$133,SUM($E27:H27),0))</f>
        <v>0</v>
      </c>
      <c r="I152" s="50">
        <f>IF('1.0 Data'!$T26="As incurred",I27,IF('1.0 Data'!$T26=I$133,SUM($E27:I27),0))</f>
        <v>0</v>
      </c>
      <c r="J152" s="51">
        <f t="shared" si="27"/>
        <v>4.5589594894473916E-2</v>
      </c>
    </row>
    <row r="153" spans="1:12">
      <c r="A153" s="22" t="str">
        <f>'2.0 Capex Real Dollars'!A153</f>
        <v>Enterprise Security Governance</v>
      </c>
      <c r="B153" s="22" t="str">
        <f t="shared" si="25"/>
        <v>nominal</v>
      </c>
      <c r="C153" s="22" t="str">
        <f>'2.0 Capex Real Dollars'!C153</f>
        <v>OTHER</v>
      </c>
      <c r="D153" s="22" t="str">
        <f>'2.0 Capex Real Dollars'!D153</f>
        <v>Non-network IT &amp; communications</v>
      </c>
      <c r="E153" s="50">
        <f>IF('1.0 Data'!$T27="As incurred",E28,IF('1.0 Data'!$T27=E$133,SUM($E28:E28),0))</f>
        <v>3.2786932813823021E-2</v>
      </c>
      <c r="F153" s="50">
        <f>IF('1.0 Data'!$T27="As incurred",F28,IF('1.0 Data'!$T27=F$133,SUM($E28:F28),0))</f>
        <v>0</v>
      </c>
      <c r="G153" s="50">
        <f>IF('1.0 Data'!$T27="As incurred",G28,IF('1.0 Data'!$T27=G$133,SUM($E28:G28),0))</f>
        <v>7.9675039102298895E-2</v>
      </c>
      <c r="H153" s="50">
        <f>IF('1.0 Data'!$T27="As incurred",H28,IF('1.0 Data'!$T27=H$133,SUM($E28:H28),0))</f>
        <v>8.1759869292142379E-2</v>
      </c>
      <c r="I153" s="50">
        <f>IF('1.0 Data'!$T27="As incurred",I28,IF('1.0 Data'!$T27=I$133,SUM($E28:I28),0))</f>
        <v>8.3803866024445936E-2</v>
      </c>
      <c r="J153" s="51">
        <f t="shared" si="27"/>
        <v>0.27802570723271025</v>
      </c>
    </row>
    <row r="154" spans="1:12">
      <c r="A154" s="22" t="str">
        <f>'2.0 Capex Real Dollars'!A154</f>
        <v>Supply Chain Security</v>
      </c>
      <c r="B154" s="22" t="str">
        <f t="shared" si="25"/>
        <v>nominal</v>
      </c>
      <c r="C154" s="22" t="str">
        <f>'2.0 Capex Real Dollars'!C154</f>
        <v>OTHER</v>
      </c>
      <c r="D154" s="22" t="str">
        <f>'2.0 Capex Real Dollars'!D154</f>
        <v>Non-network IT &amp; communications</v>
      </c>
      <c r="E154" s="50">
        <f>IF('1.0 Data'!$T28="As incurred",E29,IF('1.0 Data'!$T28=E$133,SUM($E29:E29),0))</f>
        <v>3.2744307260905638E-2</v>
      </c>
      <c r="F154" s="50">
        <f>IF('1.0 Data'!$T28="As incurred",F29,IF('1.0 Data'!$T28=F$133,SUM($E29:F29),0))</f>
        <v>0</v>
      </c>
      <c r="G154" s="50">
        <f>IF('1.0 Data'!$T28="As incurred",G29,IF('1.0 Data'!$T28=G$133,SUM($E29:G29),0))</f>
        <v>0</v>
      </c>
      <c r="H154" s="50">
        <f>IF('1.0 Data'!$T28="As incurred",H29,IF('1.0 Data'!$T28=H$133,SUM($E29:H29),0))</f>
        <v>0</v>
      </c>
      <c r="I154" s="50">
        <f>IF('1.0 Data'!$T28="As incurred",I29,IF('1.0 Data'!$T28=I$133,SUM($E29:I29),0))</f>
        <v>0</v>
      </c>
      <c r="J154" s="51">
        <f t="shared" si="27"/>
        <v>3.2744307260905638E-2</v>
      </c>
    </row>
    <row r="155" spans="1:12" ht="15.75" thickBot="1">
      <c r="A155" s="22" t="str">
        <f>'2.0 Capex Real Dollars'!A155</f>
        <v>Physical Security and Natural Hazards</v>
      </c>
      <c r="B155" s="22" t="str">
        <f t="shared" ref="B155" si="28">IF(A155="","",$B$10)</f>
        <v>nominal</v>
      </c>
      <c r="C155" s="22" t="str">
        <f>'2.0 Capex Real Dollars'!C155</f>
        <v>BUILDING INSTALLATION</v>
      </c>
      <c r="D155" s="22" t="str">
        <f>'2.0 Capex Real Dollars'!D155</f>
        <v>Non-network buildings and property expenditure</v>
      </c>
      <c r="E155" s="50">
        <f>IF('1.0 Data'!$T29="As incurred",E30,IF('1.0 Data'!$T29=E$133,SUM($E30:E30),0))</f>
        <v>1.8012576392547406</v>
      </c>
      <c r="F155" s="50">
        <f>IF('1.0 Data'!$T29="As incurred",F30,IF('1.0 Data'!$T29=F$133,SUM($E30:F30),0))</f>
        <v>1.8525934819735006</v>
      </c>
      <c r="G155" s="50">
        <f>IF('1.0 Data'!$T29="As incurred",G30,IF('1.0 Data'!$T29=G$133,SUM($E30:G30),0))</f>
        <v>0</v>
      </c>
      <c r="H155" s="50">
        <f>IF('1.0 Data'!$T29="As incurred",H30,IF('1.0 Data'!$T29=H$133,SUM($E30:H30),0))</f>
        <v>0</v>
      </c>
      <c r="I155" s="50">
        <f>IF('1.0 Data'!$T29="As incurred",I30,IF('1.0 Data'!$T29=I$133,SUM($E30:I30),0))</f>
        <v>0</v>
      </c>
      <c r="J155" s="51">
        <f t="shared" si="27"/>
        <v>3.6538511212282412</v>
      </c>
    </row>
    <row r="156" spans="1:12" ht="16.5" thickTop="1" thickBot="1">
      <c r="A156" s="22" t="str">
        <f>'2.0 Capex Real Dollars'!A156</f>
        <v>Total</v>
      </c>
      <c r="B156" s="22" t="str">
        <f t="shared" si="25"/>
        <v>nominal</v>
      </c>
      <c r="C156" s="22">
        <f>'2.0 Capex Real Dollars'!C156</f>
        <v>0</v>
      </c>
      <c r="D156" s="22"/>
      <c r="E156" s="46">
        <f t="shared" ref="E156:J156" si="29">SUM(E135:E155)</f>
        <v>10.924362130175593</v>
      </c>
      <c r="F156" s="46">
        <f t="shared" si="29"/>
        <v>4.2105044190665799</v>
      </c>
      <c r="G156" s="46">
        <f t="shared" si="29"/>
        <v>1.1015299873777025</v>
      </c>
      <c r="H156" s="46">
        <f t="shared" si="29"/>
        <v>2.7287091410330375</v>
      </c>
      <c r="I156" s="46">
        <f t="shared" si="29"/>
        <v>62.277856194302416</v>
      </c>
      <c r="J156" s="46">
        <f t="shared" si="29"/>
        <v>81.242961871955316</v>
      </c>
      <c r="L156" s="30">
        <f>J156-J116</f>
        <v>0</v>
      </c>
    </row>
    <row r="157" spans="1:12" ht="15.75" thickTop="1">
      <c r="E157" s="52"/>
      <c r="F157" s="52"/>
      <c r="G157" s="52"/>
      <c r="H157" s="52"/>
      <c r="I157" s="52"/>
      <c r="J157" s="52"/>
    </row>
    <row r="158" spans="1:12" ht="16.5">
      <c r="A158" s="4" t="str">
        <f>'2.0 Capex Real Dollars'!A158</f>
        <v>by Asset Class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1:12">
      <c r="A159" s="18" t="str">
        <f>'2.0 Capex Real Dollars'!A159</f>
        <v>Asset Class</v>
      </c>
      <c r="B159" s="18" t="str">
        <f>B133</f>
        <v>$</v>
      </c>
      <c r="C159" s="18"/>
      <c r="D159" s="18"/>
      <c r="E159" s="18" t="str">
        <f t="shared" ref="E159:J159" si="30">E133</f>
        <v>2025/26</v>
      </c>
      <c r="F159" s="18" t="str">
        <f t="shared" si="30"/>
        <v>2026/27</v>
      </c>
      <c r="G159" s="18" t="str">
        <f t="shared" si="30"/>
        <v>2027/28</v>
      </c>
      <c r="H159" s="18" t="str">
        <f t="shared" si="30"/>
        <v>2028/29</v>
      </c>
      <c r="I159" s="18" t="str">
        <f t="shared" si="30"/>
        <v>2029/30</v>
      </c>
      <c r="J159" s="18" t="str">
        <f t="shared" si="30"/>
        <v>Total</v>
      </c>
      <c r="K159" s="18"/>
      <c r="L159" s="18"/>
    </row>
    <row r="161" spans="1:10">
      <c r="A161" s="22" t="str">
        <f>'2.0 Capex Real Dollars'!A161</f>
        <v>AC FILTERS</v>
      </c>
      <c r="B161" s="22" t="str">
        <f t="shared" ref="B161:B175" si="31">IF(A161="","",$B$10)</f>
        <v>nominal</v>
      </c>
      <c r="C161" s="22">
        <f>'2.0 Capex Real Dollars'!C161</f>
        <v>0</v>
      </c>
      <c r="D161" s="22">
        <f>'2.0 Capex Real Dollars'!D161</f>
        <v>0</v>
      </c>
      <c r="E161" s="50">
        <f t="shared" ref="E161:I170" si="32">IF($A161="",0,SUMIF($C$135:$C$156,$A161,E$135:E$156))</f>
        <v>0</v>
      </c>
      <c r="F161" s="50">
        <f t="shared" si="32"/>
        <v>0</v>
      </c>
      <c r="G161" s="50">
        <f t="shared" si="32"/>
        <v>0</v>
      </c>
      <c r="H161" s="50">
        <f t="shared" si="32"/>
        <v>0</v>
      </c>
      <c r="I161" s="50">
        <f t="shared" si="32"/>
        <v>0</v>
      </c>
      <c r="J161" s="51">
        <f t="shared" ref="J161" si="33">SUM(E161:I161)</f>
        <v>0</v>
      </c>
    </row>
    <row r="162" spans="1:10">
      <c r="A162" s="22" t="str">
        <f>'2.0 Capex Real Dollars'!A162</f>
        <v>AC SWITCHYARD</v>
      </c>
      <c r="B162" s="22" t="str">
        <f t="shared" si="31"/>
        <v>nominal</v>
      </c>
      <c r="C162" s="22">
        <f>'2.0 Capex Real Dollars'!C162</f>
        <v>0</v>
      </c>
      <c r="D162" s="22">
        <f>'2.0 Capex Real Dollars'!D162</f>
        <v>0</v>
      </c>
      <c r="E162" s="50">
        <f t="shared" si="32"/>
        <v>0</v>
      </c>
      <c r="F162" s="50">
        <f t="shared" si="32"/>
        <v>0</v>
      </c>
      <c r="G162" s="50">
        <f t="shared" si="32"/>
        <v>0</v>
      </c>
      <c r="H162" s="50">
        <f t="shared" si="32"/>
        <v>0</v>
      </c>
      <c r="I162" s="50">
        <f t="shared" si="32"/>
        <v>0</v>
      </c>
      <c r="J162" s="51">
        <f t="shared" ref="J162:J175" si="34">SUM(E162:I162)</f>
        <v>0</v>
      </c>
    </row>
    <row r="163" spans="1:10">
      <c r="A163" s="22" t="str">
        <f>'2.0 Capex Real Dollars'!A163</f>
        <v>AUXILIARY SYSTEMS</v>
      </c>
      <c r="B163" s="22" t="str">
        <f t="shared" si="31"/>
        <v>nominal</v>
      </c>
      <c r="C163" s="22">
        <f>'2.0 Capex Real Dollars'!C163</f>
        <v>0</v>
      </c>
      <c r="D163" s="22">
        <f>'2.0 Capex Real Dollars'!D163</f>
        <v>0</v>
      </c>
      <c r="E163" s="50">
        <f t="shared" si="32"/>
        <v>0</v>
      </c>
      <c r="F163" s="50">
        <f t="shared" si="32"/>
        <v>0</v>
      </c>
      <c r="G163" s="50">
        <f t="shared" si="32"/>
        <v>0</v>
      </c>
      <c r="H163" s="50">
        <f t="shared" si="32"/>
        <v>0</v>
      </c>
      <c r="I163" s="50">
        <f t="shared" si="32"/>
        <v>0</v>
      </c>
      <c r="J163" s="51">
        <f t="shared" si="34"/>
        <v>0</v>
      </c>
    </row>
    <row r="164" spans="1:10">
      <c r="A164" s="22" t="str">
        <f>'2.0 Capex Real Dollars'!A164</f>
        <v>CABLE</v>
      </c>
      <c r="B164" s="22" t="str">
        <f t="shared" si="31"/>
        <v>nominal</v>
      </c>
      <c r="C164" s="22">
        <f>'2.0 Capex Real Dollars'!C164</f>
        <v>0</v>
      </c>
      <c r="D164" s="22">
        <f>'2.0 Capex Real Dollars'!D164</f>
        <v>0</v>
      </c>
      <c r="E164" s="50">
        <f t="shared" si="32"/>
        <v>0</v>
      </c>
      <c r="F164" s="50">
        <f t="shared" si="32"/>
        <v>0</v>
      </c>
      <c r="G164" s="50">
        <f t="shared" si="32"/>
        <v>0</v>
      </c>
      <c r="H164" s="50">
        <f t="shared" si="32"/>
        <v>1.1039155782958885</v>
      </c>
      <c r="I164" s="50">
        <f t="shared" si="32"/>
        <v>12.38515825657308</v>
      </c>
      <c r="J164" s="51">
        <f t="shared" si="34"/>
        <v>13.489073834868968</v>
      </c>
    </row>
    <row r="165" spans="1:10">
      <c r="A165" s="22" t="str">
        <f>'2.0 Capex Real Dollars'!A165</f>
        <v>CONTROL SYSTEM</v>
      </c>
      <c r="B165" s="22" t="str">
        <f t="shared" si="31"/>
        <v>nominal</v>
      </c>
      <c r="C165" s="22">
        <f>'2.0 Capex Real Dollars'!C165</f>
        <v>0</v>
      </c>
      <c r="D165" s="22">
        <f>'2.0 Capex Real Dollars'!D165</f>
        <v>0</v>
      </c>
      <c r="E165" s="50">
        <f t="shared" si="32"/>
        <v>0</v>
      </c>
      <c r="F165" s="50">
        <f t="shared" si="32"/>
        <v>0</v>
      </c>
      <c r="G165" s="50">
        <f t="shared" si="32"/>
        <v>0</v>
      </c>
      <c r="H165" s="50">
        <f t="shared" si="32"/>
        <v>0</v>
      </c>
      <c r="I165" s="50">
        <f t="shared" si="32"/>
        <v>48.698717325402285</v>
      </c>
      <c r="J165" s="51">
        <f t="shared" si="34"/>
        <v>48.698717325402285</v>
      </c>
    </row>
    <row r="166" spans="1:10">
      <c r="A166" s="22" t="str">
        <f>'2.0 Capex Real Dollars'!A166</f>
        <v>CONVERTER TRANSFORMER</v>
      </c>
      <c r="B166" s="22" t="str">
        <f t="shared" si="31"/>
        <v>nominal</v>
      </c>
      <c r="C166" s="22">
        <f>'2.0 Capex Real Dollars'!C166</f>
        <v>0</v>
      </c>
      <c r="D166" s="22">
        <f>'2.0 Capex Real Dollars'!D166</f>
        <v>0</v>
      </c>
      <c r="E166" s="50">
        <f t="shared" si="32"/>
        <v>0</v>
      </c>
      <c r="F166" s="50">
        <f t="shared" si="32"/>
        <v>0</v>
      </c>
      <c r="G166" s="50">
        <f t="shared" si="32"/>
        <v>0</v>
      </c>
      <c r="H166" s="50">
        <f t="shared" si="32"/>
        <v>0</v>
      </c>
      <c r="I166" s="50">
        <f t="shared" si="32"/>
        <v>0</v>
      </c>
      <c r="J166" s="51">
        <f t="shared" si="34"/>
        <v>0</v>
      </c>
    </row>
    <row r="167" spans="1:10">
      <c r="A167" s="22" t="str">
        <f>'2.0 Capex Real Dollars'!A167</f>
        <v>DC FILTER</v>
      </c>
      <c r="B167" s="22" t="str">
        <f t="shared" si="31"/>
        <v>nominal</v>
      </c>
      <c r="C167" s="22">
        <f>'2.0 Capex Real Dollars'!C167</f>
        <v>0</v>
      </c>
      <c r="D167" s="22">
        <f>'2.0 Capex Real Dollars'!D167</f>
        <v>0</v>
      </c>
      <c r="E167" s="50">
        <f t="shared" si="32"/>
        <v>0</v>
      </c>
      <c r="F167" s="50">
        <f t="shared" si="32"/>
        <v>0</v>
      </c>
      <c r="G167" s="50">
        <f t="shared" si="32"/>
        <v>0</v>
      </c>
      <c r="H167" s="50">
        <f t="shared" si="32"/>
        <v>0</v>
      </c>
      <c r="I167" s="50">
        <f t="shared" si="32"/>
        <v>0</v>
      </c>
      <c r="J167" s="51">
        <f t="shared" si="34"/>
        <v>0</v>
      </c>
    </row>
    <row r="168" spans="1:10">
      <c r="A168" s="22" t="str">
        <f>'2.0 Capex Real Dollars'!A168</f>
        <v>DC SWITCHYARD</v>
      </c>
      <c r="B168" s="22" t="str">
        <f t="shared" si="31"/>
        <v>nominal</v>
      </c>
      <c r="C168" s="22">
        <f>'2.0 Capex Real Dollars'!C168</f>
        <v>0</v>
      </c>
      <c r="D168" s="22">
        <f>'2.0 Capex Real Dollars'!D168</f>
        <v>0</v>
      </c>
      <c r="E168" s="50">
        <f t="shared" si="32"/>
        <v>0</v>
      </c>
      <c r="F168" s="50">
        <f t="shared" si="32"/>
        <v>0</v>
      </c>
      <c r="G168" s="50">
        <f t="shared" si="32"/>
        <v>0</v>
      </c>
      <c r="H168" s="50">
        <f t="shared" si="32"/>
        <v>0</v>
      </c>
      <c r="I168" s="50">
        <f t="shared" si="32"/>
        <v>0</v>
      </c>
      <c r="J168" s="51">
        <f t="shared" si="34"/>
        <v>0</v>
      </c>
    </row>
    <row r="169" spans="1:10">
      <c r="A169" s="22" t="str">
        <f>'2.0 Capex Real Dollars'!A169</f>
        <v>EASEMENT</v>
      </c>
      <c r="B169" s="22" t="str">
        <f t="shared" si="31"/>
        <v>nominal</v>
      </c>
      <c r="C169" s="22">
        <f>'2.0 Capex Real Dollars'!C169</f>
        <v>0</v>
      </c>
      <c r="D169" s="22">
        <f>'2.0 Capex Real Dollars'!D169</f>
        <v>0</v>
      </c>
      <c r="E169" s="50">
        <f t="shared" si="32"/>
        <v>0</v>
      </c>
      <c r="F169" s="50">
        <f t="shared" si="32"/>
        <v>0</v>
      </c>
      <c r="G169" s="50">
        <f t="shared" si="32"/>
        <v>0</v>
      </c>
      <c r="H169" s="50">
        <f t="shared" si="32"/>
        <v>0</v>
      </c>
      <c r="I169" s="50">
        <f t="shared" si="32"/>
        <v>0</v>
      </c>
      <c r="J169" s="51">
        <f t="shared" si="34"/>
        <v>0</v>
      </c>
    </row>
    <row r="170" spans="1:10">
      <c r="A170" s="22" t="str">
        <f>'2.0 Capex Real Dollars'!A170</f>
        <v>FREEHOLD LAND</v>
      </c>
      <c r="B170" s="22" t="str">
        <f t="shared" si="31"/>
        <v>nominal</v>
      </c>
      <c r="C170" s="22">
        <f>'2.0 Capex Real Dollars'!C170</f>
        <v>0</v>
      </c>
      <c r="D170" s="22">
        <f>'2.0 Capex Real Dollars'!D170</f>
        <v>0</v>
      </c>
      <c r="E170" s="50">
        <f t="shared" si="32"/>
        <v>0</v>
      </c>
      <c r="F170" s="50">
        <f t="shared" si="32"/>
        <v>0</v>
      </c>
      <c r="G170" s="50">
        <f t="shared" si="32"/>
        <v>0</v>
      </c>
      <c r="H170" s="50">
        <f t="shared" si="32"/>
        <v>0</v>
      </c>
      <c r="I170" s="50">
        <f t="shared" si="32"/>
        <v>0</v>
      </c>
      <c r="J170" s="51">
        <f t="shared" si="34"/>
        <v>0</v>
      </c>
    </row>
    <row r="171" spans="1:10">
      <c r="A171" s="22" t="str">
        <f>'2.0 Capex Real Dollars'!A171</f>
        <v>MEASURING DEVICES</v>
      </c>
      <c r="B171" s="22" t="str">
        <f t="shared" si="31"/>
        <v>nominal</v>
      </c>
      <c r="C171" s="22">
        <f>'2.0 Capex Real Dollars'!C171</f>
        <v>0</v>
      </c>
      <c r="D171" s="22">
        <f>'2.0 Capex Real Dollars'!D171</f>
        <v>0</v>
      </c>
      <c r="E171" s="50">
        <f t="shared" ref="E171:I182" si="35">IF($A171="",0,SUMIF($C$135:$C$156,$A171,E$135:E$156))</f>
        <v>0</v>
      </c>
      <c r="F171" s="50">
        <f t="shared" si="35"/>
        <v>0</v>
      </c>
      <c r="G171" s="50">
        <f t="shared" si="35"/>
        <v>0</v>
      </c>
      <c r="H171" s="50">
        <f t="shared" si="35"/>
        <v>0</v>
      </c>
      <c r="I171" s="50">
        <f t="shared" si="35"/>
        <v>0</v>
      </c>
      <c r="J171" s="51">
        <f t="shared" si="34"/>
        <v>0</v>
      </c>
    </row>
    <row r="172" spans="1:10">
      <c r="A172" s="22" t="str">
        <f>'2.0 Capex Real Dollars'!A172</f>
        <v>MOTOR VEHICLES</v>
      </c>
      <c r="B172" s="22" t="str">
        <f t="shared" si="31"/>
        <v>nominal</v>
      </c>
      <c r="C172" s="22">
        <f>'2.0 Capex Real Dollars'!C172</f>
        <v>0</v>
      </c>
      <c r="D172" s="22">
        <f>'2.0 Capex Real Dollars'!D172</f>
        <v>0</v>
      </c>
      <c r="E172" s="50">
        <f t="shared" si="35"/>
        <v>0</v>
      </c>
      <c r="F172" s="50">
        <f t="shared" si="35"/>
        <v>0</v>
      </c>
      <c r="G172" s="50">
        <f t="shared" si="35"/>
        <v>0</v>
      </c>
      <c r="H172" s="50">
        <f t="shared" si="35"/>
        <v>0</v>
      </c>
      <c r="I172" s="50">
        <f t="shared" si="35"/>
        <v>0</v>
      </c>
      <c r="J172" s="51">
        <f t="shared" si="34"/>
        <v>0</v>
      </c>
    </row>
    <row r="173" spans="1:10">
      <c r="A173" s="22" t="str">
        <f>'2.0 Capex Real Dollars'!A173</f>
        <v>OTHER</v>
      </c>
      <c r="B173" s="22" t="str">
        <f t="shared" si="31"/>
        <v>nominal</v>
      </c>
      <c r="C173" s="22"/>
      <c r="D173" s="22"/>
      <c r="E173" s="50">
        <f t="shared" si="35"/>
        <v>1.6674162635619099</v>
      </c>
      <c r="F173" s="50">
        <f t="shared" si="35"/>
        <v>1.2715634738262496</v>
      </c>
      <c r="G173" s="50">
        <f t="shared" si="35"/>
        <v>0.97020921103755187</v>
      </c>
      <c r="H173" s="50">
        <f t="shared" si="35"/>
        <v>1.3418038557629417</v>
      </c>
      <c r="I173" s="50">
        <f t="shared" si="35"/>
        <v>1.1939806123270582</v>
      </c>
      <c r="J173" s="51">
        <f t="shared" si="34"/>
        <v>6.4449734165157109</v>
      </c>
    </row>
    <row r="174" spans="1:10">
      <c r="A174" s="22" t="str">
        <f>'2.0 Capex Real Dollars'!A174</f>
        <v>OVERHEAD LINES</v>
      </c>
      <c r="B174" s="22" t="str">
        <f t="shared" si="31"/>
        <v>nominal</v>
      </c>
      <c r="C174" s="22"/>
      <c r="D174" s="22"/>
      <c r="E174" s="50">
        <f t="shared" si="35"/>
        <v>0</v>
      </c>
      <c r="F174" s="50">
        <f t="shared" si="35"/>
        <v>0</v>
      </c>
      <c r="G174" s="50">
        <f t="shared" si="35"/>
        <v>0</v>
      </c>
      <c r="H174" s="50">
        <f t="shared" si="35"/>
        <v>0</v>
      </c>
      <c r="I174" s="50">
        <f t="shared" si="35"/>
        <v>0</v>
      </c>
      <c r="J174" s="51">
        <f t="shared" si="34"/>
        <v>0</v>
      </c>
    </row>
    <row r="175" spans="1:10">
      <c r="A175" s="22" t="str">
        <f>'2.0 Capex Real Dollars'!A175</f>
        <v>SMOOTHING REACTOR</v>
      </c>
      <c r="B175" s="22" t="str">
        <f t="shared" si="31"/>
        <v>nominal</v>
      </c>
      <c r="C175" s="22"/>
      <c r="D175" s="22"/>
      <c r="E175" s="50">
        <f t="shared" si="35"/>
        <v>0</v>
      </c>
      <c r="F175" s="50">
        <f t="shared" si="35"/>
        <v>0.83069377798425237</v>
      </c>
      <c r="G175" s="50">
        <f t="shared" si="35"/>
        <v>0</v>
      </c>
      <c r="H175" s="50">
        <f t="shared" si="35"/>
        <v>0</v>
      </c>
      <c r="I175" s="50">
        <f t="shared" si="35"/>
        <v>0</v>
      </c>
      <c r="J175" s="51">
        <f t="shared" si="34"/>
        <v>0.83069377798425237</v>
      </c>
    </row>
    <row r="176" spans="1:10">
      <c r="A176" s="22" t="str">
        <f>'2.0 Capex Real Dollars'!A176</f>
        <v>STATION POWER SUPPLY</v>
      </c>
      <c r="B176" s="22" t="str">
        <f t="shared" ref="B176:B180" si="36">IF(A176="","",$B$10)</f>
        <v>nominal</v>
      </c>
      <c r="C176" s="22"/>
      <c r="D176" s="22"/>
      <c r="E176" s="50">
        <f t="shared" si="35"/>
        <v>0</v>
      </c>
      <c r="F176" s="50">
        <f t="shared" si="35"/>
        <v>0</v>
      </c>
      <c r="G176" s="50">
        <f t="shared" si="35"/>
        <v>0</v>
      </c>
      <c r="H176" s="50">
        <f t="shared" si="35"/>
        <v>0</v>
      </c>
      <c r="I176" s="50">
        <f t="shared" si="35"/>
        <v>0</v>
      </c>
      <c r="J176" s="51">
        <f t="shared" ref="J176:J180" si="37">SUM(E176:I176)</f>
        <v>0</v>
      </c>
    </row>
    <row r="177" spans="1:12">
      <c r="A177" s="22" t="str">
        <f>'2.0 Capex Real Dollars'!A177</f>
        <v>SWITCHYARD COMPONENTS</v>
      </c>
      <c r="B177" s="22" t="str">
        <f t="shared" si="36"/>
        <v>nominal</v>
      </c>
      <c r="C177" s="22"/>
      <c r="D177" s="22"/>
      <c r="E177" s="50">
        <f t="shared" si="35"/>
        <v>7.2671729209670852</v>
      </c>
      <c r="F177" s="50">
        <f t="shared" si="35"/>
        <v>0.25565368528257748</v>
      </c>
      <c r="G177" s="50">
        <f t="shared" si="35"/>
        <v>0.13132077634015066</v>
      </c>
      <c r="H177" s="50">
        <f t="shared" si="35"/>
        <v>0.28298970697420761</v>
      </c>
      <c r="I177" s="50">
        <f t="shared" si="35"/>
        <v>0</v>
      </c>
      <c r="J177" s="51">
        <f t="shared" si="37"/>
        <v>7.937137089564021</v>
      </c>
    </row>
    <row r="178" spans="1:12">
      <c r="A178" s="22" t="str">
        <f>'2.0 Capex Real Dollars'!A178</f>
        <v>VALVE COOLING</v>
      </c>
      <c r="B178" s="22" t="str">
        <f t="shared" si="36"/>
        <v>nominal</v>
      </c>
      <c r="C178" s="22"/>
      <c r="D178" s="22"/>
      <c r="E178" s="50">
        <f t="shared" si="35"/>
        <v>0</v>
      </c>
      <c r="F178" s="50">
        <f t="shared" si="35"/>
        <v>0</v>
      </c>
      <c r="G178" s="50">
        <f t="shared" si="35"/>
        <v>0</v>
      </c>
      <c r="H178" s="50">
        <f t="shared" si="35"/>
        <v>0</v>
      </c>
      <c r="I178" s="50">
        <f t="shared" si="35"/>
        <v>0</v>
      </c>
      <c r="J178" s="51">
        <f t="shared" si="37"/>
        <v>0</v>
      </c>
    </row>
    <row r="179" spans="1:12">
      <c r="A179" s="22" t="str">
        <f>'2.0 Capex Real Dollars'!A179</f>
        <v>VALVE HALL</v>
      </c>
      <c r="B179" s="22" t="str">
        <f t="shared" si="36"/>
        <v>nominal</v>
      </c>
      <c r="C179" s="22"/>
      <c r="D179" s="22"/>
      <c r="E179" s="50">
        <f t="shared" si="35"/>
        <v>0</v>
      </c>
      <c r="F179" s="50">
        <f t="shared" si="35"/>
        <v>0</v>
      </c>
      <c r="G179" s="50">
        <f t="shared" si="35"/>
        <v>0</v>
      </c>
      <c r="H179" s="50">
        <f t="shared" si="35"/>
        <v>0</v>
      </c>
      <c r="I179" s="50">
        <f t="shared" si="35"/>
        <v>0</v>
      </c>
      <c r="J179" s="51">
        <f t="shared" si="37"/>
        <v>0</v>
      </c>
    </row>
    <row r="180" spans="1:12">
      <c r="A180" s="22" t="str">
        <f>'2.0 Capex Real Dollars'!A181</f>
        <v>IN-HOUSE SOFTWARE</v>
      </c>
      <c r="B180" s="22" t="str">
        <f t="shared" si="36"/>
        <v>nominal</v>
      </c>
      <c r="C180" s="22"/>
      <c r="D180" s="22"/>
      <c r="E180" s="50">
        <f t="shared" si="35"/>
        <v>0.18851530639185599</v>
      </c>
      <c r="F180" s="50">
        <f t="shared" si="35"/>
        <v>0</v>
      </c>
      <c r="G180" s="50">
        <f t="shared" si="35"/>
        <v>0</v>
      </c>
      <c r="H180" s="50">
        <f t="shared" si="35"/>
        <v>0</v>
      </c>
      <c r="I180" s="50">
        <f t="shared" si="35"/>
        <v>0</v>
      </c>
      <c r="J180" s="51">
        <f t="shared" si="37"/>
        <v>0.18851530639185599</v>
      </c>
    </row>
    <row r="181" spans="1:12" ht="15.75" thickBot="1">
      <c r="A181" s="22" t="str">
        <f>'2.0 Capex Real Dollars'!A182</f>
        <v>Total</v>
      </c>
      <c r="B181" s="22" t="str">
        <f t="shared" ref="B181:B182" si="38">IF(A181="","",$B$10)</f>
        <v>nominal</v>
      </c>
      <c r="C181" s="22"/>
      <c r="D181" s="22"/>
      <c r="E181" s="50">
        <f t="shared" si="35"/>
        <v>0</v>
      </c>
      <c r="F181" s="50">
        <f t="shared" si="35"/>
        <v>0</v>
      </c>
      <c r="G181" s="50">
        <f t="shared" si="35"/>
        <v>0</v>
      </c>
      <c r="H181" s="50">
        <f t="shared" si="35"/>
        <v>0</v>
      </c>
      <c r="I181" s="50">
        <f t="shared" si="35"/>
        <v>0</v>
      </c>
      <c r="J181" s="51">
        <f t="shared" ref="J181:J182" si="39">SUM(E181:I181)</f>
        <v>0</v>
      </c>
    </row>
    <row r="182" spans="1:12" ht="16.5" thickTop="1" thickBot="1">
      <c r="A182" s="22">
        <f>'2.0 Capex Real Dollars'!A183</f>
        <v>0</v>
      </c>
      <c r="B182" s="22" t="str">
        <f t="shared" si="38"/>
        <v>nominal</v>
      </c>
      <c r="C182" s="22"/>
      <c r="D182" s="22"/>
      <c r="E182" s="50">
        <f t="shared" si="35"/>
        <v>10.924362130175593</v>
      </c>
      <c r="F182" s="50">
        <f t="shared" si="35"/>
        <v>4.2105044190665799</v>
      </c>
      <c r="G182" s="50">
        <f t="shared" si="35"/>
        <v>1.1015299873777025</v>
      </c>
      <c r="H182" s="50">
        <f t="shared" si="35"/>
        <v>2.7287091410330375</v>
      </c>
      <c r="I182" s="50">
        <f t="shared" si="35"/>
        <v>62.277856194302416</v>
      </c>
      <c r="J182" s="51">
        <f t="shared" si="39"/>
        <v>81.24296187195533</v>
      </c>
      <c r="L182" s="30">
        <f>J182-J156</f>
        <v>0</v>
      </c>
    </row>
    <row r="183" spans="1:12" ht="16.5" thickTop="1" thickBot="1"/>
    <row r="184" spans="1:12" ht="16.5" thickTop="1" thickBot="1">
      <c r="A184" s="23" t="str">
        <f>'2.0 Capex Real Dollars'!A184</f>
        <v>Check</v>
      </c>
      <c r="E184" s="30">
        <f t="shared" ref="E184:J184" si="40">E156-E182</f>
        <v>0</v>
      </c>
      <c r="F184" s="30">
        <f t="shared" si="40"/>
        <v>0</v>
      </c>
      <c r="G184" s="30">
        <f t="shared" si="40"/>
        <v>0</v>
      </c>
      <c r="H184" s="30">
        <f t="shared" si="40"/>
        <v>0</v>
      </c>
      <c r="I184" s="30">
        <f t="shared" si="40"/>
        <v>0</v>
      </c>
      <c r="J184" s="30">
        <f t="shared" si="40"/>
        <v>0</v>
      </c>
    </row>
    <row r="185" spans="1:12" ht="15.75" thickTop="1"/>
    <row r="186" spans="1:12" ht="19.5">
      <c r="A186" s="2" t="s">
        <v>124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3" t="s">
        <v>6</v>
      </c>
      <c r="B187" s="3" t="s">
        <v>121</v>
      </c>
      <c r="C187" s="3" t="s">
        <v>4</v>
      </c>
      <c r="D187" s="3" t="s">
        <v>125</v>
      </c>
      <c r="E187" s="3" t="str">
        <f>E159</f>
        <v>2025/26</v>
      </c>
      <c r="F187" s="3" t="str">
        <f t="shared" ref="F187:J187" si="41">F159</f>
        <v>2026/27</v>
      </c>
      <c r="G187" s="3" t="str">
        <f t="shared" si="41"/>
        <v>2027/28</v>
      </c>
      <c r="H187" s="3" t="str">
        <f t="shared" si="41"/>
        <v>2028/29</v>
      </c>
      <c r="I187" s="3" t="str">
        <f t="shared" si="41"/>
        <v>2029/30</v>
      </c>
      <c r="J187" s="3" t="str">
        <f t="shared" si="41"/>
        <v>Total</v>
      </c>
      <c r="K187" s="3"/>
      <c r="L187" s="3"/>
    </row>
    <row r="188" spans="1:12">
      <c r="A188" s="22" t="str">
        <f t="shared" ref="A188:C208" si="42">A135</f>
        <v>Reactor DC Refurbishment</v>
      </c>
      <c r="B188" s="22" t="str">
        <f t="shared" si="42"/>
        <v>nominal</v>
      </c>
      <c r="C188" s="22" t="str">
        <f t="shared" si="42"/>
        <v>SMOOTHING REACTOR</v>
      </c>
      <c r="D188" s="27" t="str" cm="1">
        <f t="array" ref="D188">INDEX('1.0 Data'!$U$9:$U$36,MATCH($A188,'1.0 Data'!$R$9:$R$36,0),0)</f>
        <v>Diminishing</v>
      </c>
      <c r="E188" s="6">
        <f t="shared" ref="E188:I197" si="43">IF($D188="Immediate",E135,0)</f>
        <v>0</v>
      </c>
      <c r="F188" s="6">
        <f t="shared" si="43"/>
        <v>0</v>
      </c>
      <c r="G188" s="6">
        <f t="shared" si="43"/>
        <v>0</v>
      </c>
      <c r="H188" s="6">
        <f t="shared" si="43"/>
        <v>0</v>
      </c>
      <c r="I188" s="6">
        <f t="shared" si="43"/>
        <v>0</v>
      </c>
      <c r="J188" s="34">
        <f>SUM(E188:I188)</f>
        <v>0</v>
      </c>
    </row>
    <row r="189" spans="1:12">
      <c r="A189" s="22" t="str">
        <f t="shared" si="42"/>
        <v>Control &amp; Protection - System Renewal</v>
      </c>
      <c r="B189" s="22" t="str">
        <f t="shared" si="42"/>
        <v>nominal</v>
      </c>
      <c r="C189" s="22" t="str">
        <f t="shared" si="42"/>
        <v>CONTROL SYSTEM</v>
      </c>
      <c r="D189" s="27" t="str" cm="1">
        <f t="array" ref="D189">INDEX('1.0 Data'!$U$9:$U$36,MATCH($A189,'1.0 Data'!$R$9:$R$36,0),0)</f>
        <v>Diminishing</v>
      </c>
      <c r="E189" s="6">
        <f t="shared" si="43"/>
        <v>0</v>
      </c>
      <c r="F189" s="6">
        <f t="shared" si="43"/>
        <v>0</v>
      </c>
      <c r="G189" s="6">
        <f t="shared" si="43"/>
        <v>0</v>
      </c>
      <c r="H189" s="6">
        <f t="shared" si="43"/>
        <v>0</v>
      </c>
      <c r="I189" s="6">
        <f t="shared" si="43"/>
        <v>0</v>
      </c>
      <c r="J189" s="34">
        <f t="shared" ref="J189:J209" si="44">SUM(E189:I189)</f>
        <v>0</v>
      </c>
    </row>
    <row r="190" spans="1:12">
      <c r="A190" s="22" t="str">
        <f t="shared" si="42"/>
        <v>Spares</v>
      </c>
      <c r="B190" s="22" t="str">
        <f t="shared" si="42"/>
        <v>nominal</v>
      </c>
      <c r="C190" s="22" t="str">
        <f t="shared" si="42"/>
        <v>SWITCHYARD COMPONENTS</v>
      </c>
      <c r="D190" s="27" t="str" cm="1">
        <f t="array" ref="D190">INDEX('1.0 Data'!$U$9:$U$36,MATCH($A190,'1.0 Data'!$R$9:$R$36,0),0)</f>
        <v>Immediate</v>
      </c>
      <c r="E190" s="6">
        <f t="shared" si="43"/>
        <v>6.2142363948122871E-2</v>
      </c>
      <c r="F190" s="6">
        <f t="shared" si="43"/>
        <v>0.25565368528257748</v>
      </c>
      <c r="G190" s="6">
        <f t="shared" si="43"/>
        <v>0.13132077634015066</v>
      </c>
      <c r="H190" s="6">
        <f t="shared" si="43"/>
        <v>0.28298970697420761</v>
      </c>
      <c r="I190" s="6">
        <f t="shared" si="43"/>
        <v>0</v>
      </c>
      <c r="J190" s="34">
        <f t="shared" si="44"/>
        <v>0.73210653254505864</v>
      </c>
    </row>
    <row r="191" spans="1:12">
      <c r="A191" s="22" t="str">
        <f t="shared" si="42"/>
        <v>Subsea Cable Repair Strategy</v>
      </c>
      <c r="B191" s="22" t="str">
        <f t="shared" si="42"/>
        <v>nominal</v>
      </c>
      <c r="C191" s="22" t="str">
        <f t="shared" si="42"/>
        <v>CABLE</v>
      </c>
      <c r="D191" s="27" t="str" cm="1">
        <f t="array" ref="D191">INDEX('1.0 Data'!$U$9:$U$36,MATCH($A191,'1.0 Data'!$R$9:$R$36,0),0)</f>
        <v>Diminishing</v>
      </c>
      <c r="E191" s="6">
        <f t="shared" si="43"/>
        <v>0</v>
      </c>
      <c r="F191" s="6">
        <f t="shared" si="43"/>
        <v>0</v>
      </c>
      <c r="G191" s="6">
        <f t="shared" si="43"/>
        <v>0</v>
      </c>
      <c r="H191" s="6">
        <f t="shared" si="43"/>
        <v>0</v>
      </c>
      <c r="I191" s="6">
        <f t="shared" si="43"/>
        <v>0</v>
      </c>
      <c r="J191" s="34">
        <f t="shared" si="44"/>
        <v>0</v>
      </c>
    </row>
    <row r="192" spans="1:12">
      <c r="A192" s="22" t="str">
        <f t="shared" si="42"/>
        <v>Minor Plant and Equipment</v>
      </c>
      <c r="B192" s="22" t="str">
        <f t="shared" si="42"/>
        <v>nominal</v>
      </c>
      <c r="C192" s="22" t="str">
        <f t="shared" si="42"/>
        <v>OTHER</v>
      </c>
      <c r="D192" s="27" t="str" cm="1">
        <f t="array" ref="D192">INDEX('1.0 Data'!$U$9:$U$36,MATCH($A192,'1.0 Data'!$R$9:$R$36,0),0)</f>
        <v>Diminishing</v>
      </c>
      <c r="E192" s="6">
        <f t="shared" si="43"/>
        <v>0</v>
      </c>
      <c r="F192" s="6">
        <f t="shared" si="43"/>
        <v>0</v>
      </c>
      <c r="G192" s="6">
        <f t="shared" si="43"/>
        <v>0</v>
      </c>
      <c r="H192" s="6">
        <f t="shared" si="43"/>
        <v>0</v>
      </c>
      <c r="I192" s="6">
        <f t="shared" si="43"/>
        <v>0</v>
      </c>
      <c r="J192" s="34">
        <f t="shared" si="44"/>
        <v>0</v>
      </c>
    </row>
    <row r="193" spans="1:10">
      <c r="A193" s="22" t="str">
        <f t="shared" si="42"/>
        <v>Ambient Temperature Project</v>
      </c>
      <c r="B193" s="22" t="str">
        <f t="shared" si="42"/>
        <v>nominal</v>
      </c>
      <c r="C193" s="22" t="str">
        <f t="shared" si="42"/>
        <v>SWITCHYARD COMPONENTS</v>
      </c>
      <c r="D193" s="27" t="str" cm="1">
        <f t="array" ref="D193">INDEX('1.0 Data'!$U$9:$U$36,MATCH($A193,'1.0 Data'!$R$9:$R$36,0),0)</f>
        <v>Diminishing</v>
      </c>
      <c r="E193" s="6">
        <f t="shared" si="43"/>
        <v>0</v>
      </c>
      <c r="F193" s="6">
        <f t="shared" si="43"/>
        <v>0</v>
      </c>
      <c r="G193" s="6">
        <f t="shared" si="43"/>
        <v>0</v>
      </c>
      <c r="H193" s="6">
        <f t="shared" si="43"/>
        <v>0</v>
      </c>
      <c r="I193" s="6">
        <f t="shared" si="43"/>
        <v>0</v>
      </c>
      <c r="J193" s="34">
        <f t="shared" si="44"/>
        <v>0</v>
      </c>
    </row>
    <row r="194" spans="1:10">
      <c r="A194" s="22" t="str">
        <f t="shared" si="42"/>
        <v>Laptop</v>
      </c>
      <c r="B194" s="22" t="str">
        <f t="shared" si="42"/>
        <v>nominal</v>
      </c>
      <c r="C194" s="22" t="str">
        <f t="shared" si="42"/>
        <v>OTHER</v>
      </c>
      <c r="D194" s="27" t="str" cm="1">
        <f t="array" ref="D194">INDEX('1.0 Data'!$U$9:$U$36,MATCH($A194,'1.0 Data'!$R$9:$R$36,0),0)</f>
        <v>Diminishing</v>
      </c>
      <c r="E194" s="6">
        <f t="shared" si="43"/>
        <v>0</v>
      </c>
      <c r="F194" s="6">
        <f t="shared" si="43"/>
        <v>0</v>
      </c>
      <c r="G194" s="6">
        <f t="shared" si="43"/>
        <v>0</v>
      </c>
      <c r="H194" s="6">
        <f t="shared" si="43"/>
        <v>0</v>
      </c>
      <c r="I194" s="6">
        <f t="shared" si="43"/>
        <v>0</v>
      </c>
      <c r="J194" s="34">
        <f t="shared" si="44"/>
        <v>0</v>
      </c>
    </row>
    <row r="195" spans="1:10">
      <c r="A195" s="22" t="str">
        <f t="shared" si="42"/>
        <v>Phones</v>
      </c>
      <c r="B195" s="22" t="str">
        <f t="shared" si="42"/>
        <v>nominal</v>
      </c>
      <c r="C195" s="22" t="str">
        <f t="shared" si="42"/>
        <v>OTHER</v>
      </c>
      <c r="D195" s="27" t="str" cm="1">
        <f t="array" ref="D195">INDEX('1.0 Data'!$U$9:$U$36,MATCH($A195,'1.0 Data'!$R$9:$R$36,0),0)</f>
        <v>Diminishing</v>
      </c>
      <c r="E195" s="6">
        <f t="shared" si="43"/>
        <v>0</v>
      </c>
      <c r="F195" s="6">
        <f t="shared" si="43"/>
        <v>0</v>
      </c>
      <c r="G195" s="6">
        <f t="shared" si="43"/>
        <v>0</v>
      </c>
      <c r="H195" s="6">
        <f t="shared" si="43"/>
        <v>0</v>
      </c>
      <c r="I195" s="6">
        <f t="shared" si="43"/>
        <v>0</v>
      </c>
      <c r="J195" s="34">
        <f t="shared" si="44"/>
        <v>0</v>
      </c>
    </row>
    <row r="196" spans="1:10">
      <c r="A196" s="22" t="str">
        <f t="shared" si="42"/>
        <v>Video Conferencing Rooms</v>
      </c>
      <c r="B196" s="22" t="str">
        <f t="shared" si="42"/>
        <v>nominal</v>
      </c>
      <c r="C196" s="22" t="str">
        <f t="shared" si="42"/>
        <v>OTHER</v>
      </c>
      <c r="D196" s="27" t="str" cm="1">
        <f t="array" ref="D196">INDEX('1.0 Data'!$U$9:$U$36,MATCH($A196,'1.0 Data'!$R$9:$R$36,0),0)</f>
        <v>Diminishing</v>
      </c>
      <c r="E196" s="6">
        <f t="shared" si="43"/>
        <v>0</v>
      </c>
      <c r="F196" s="6">
        <f t="shared" si="43"/>
        <v>0</v>
      </c>
      <c r="G196" s="6">
        <f t="shared" si="43"/>
        <v>0</v>
      </c>
      <c r="H196" s="6">
        <f t="shared" si="43"/>
        <v>0</v>
      </c>
      <c r="I196" s="6">
        <f t="shared" si="43"/>
        <v>0</v>
      </c>
      <c r="J196" s="34">
        <f t="shared" si="44"/>
        <v>0</v>
      </c>
    </row>
    <row r="197" spans="1:10">
      <c r="A197" s="22" t="str">
        <f t="shared" si="42"/>
        <v>Printer</v>
      </c>
      <c r="B197" s="22" t="str">
        <f t="shared" si="42"/>
        <v>nominal</v>
      </c>
      <c r="C197" s="22" t="str">
        <f t="shared" si="42"/>
        <v>OTHER</v>
      </c>
      <c r="D197" s="27" t="str" cm="1">
        <f t="array" ref="D197">INDEX('1.0 Data'!$U$9:$U$36,MATCH($A197,'1.0 Data'!$R$9:$R$36,0),0)</f>
        <v>Diminishing</v>
      </c>
      <c r="E197" s="6">
        <f t="shared" si="43"/>
        <v>0</v>
      </c>
      <c r="F197" s="6">
        <f t="shared" si="43"/>
        <v>0</v>
      </c>
      <c r="G197" s="6">
        <f t="shared" si="43"/>
        <v>0</v>
      </c>
      <c r="H197" s="6">
        <f t="shared" si="43"/>
        <v>0</v>
      </c>
      <c r="I197" s="6">
        <f t="shared" si="43"/>
        <v>0</v>
      </c>
      <c r="J197" s="34">
        <f t="shared" si="44"/>
        <v>0</v>
      </c>
    </row>
    <row r="198" spans="1:10">
      <c r="A198" s="22" t="str">
        <f t="shared" si="42"/>
        <v>Enterprise Asset Management System Upgrade</v>
      </c>
      <c r="B198" s="22" t="str">
        <f t="shared" si="42"/>
        <v>nominal</v>
      </c>
      <c r="C198" s="22" t="str">
        <f t="shared" si="42"/>
        <v>IN-HOUSE SOFTWARE</v>
      </c>
      <c r="D198" s="27" t="str" cm="1">
        <f t="array" ref="D198">INDEX('1.0 Data'!$U$9:$U$36,MATCH($A198,'1.0 Data'!$R$9:$R$36,0),0)</f>
        <v>Straight Line</v>
      </c>
      <c r="E198" s="6">
        <f t="shared" ref="E198:I207" si="45">IF($D198="Immediate",E145,0)</f>
        <v>0</v>
      </c>
      <c r="F198" s="6">
        <f t="shared" si="45"/>
        <v>0</v>
      </c>
      <c r="G198" s="6">
        <f t="shared" si="45"/>
        <v>0</v>
      </c>
      <c r="H198" s="6">
        <f t="shared" si="45"/>
        <v>0</v>
      </c>
      <c r="I198" s="6">
        <f t="shared" si="45"/>
        <v>0</v>
      </c>
      <c r="J198" s="34">
        <f t="shared" si="44"/>
        <v>0</v>
      </c>
    </row>
    <row r="199" spans="1:10">
      <c r="A199" s="22" t="str">
        <f t="shared" si="42"/>
        <v>OT initial integration and standard asset integration</v>
      </c>
      <c r="B199" s="22" t="str">
        <f t="shared" si="42"/>
        <v>nominal</v>
      </c>
      <c r="C199" s="22" t="str">
        <f t="shared" si="42"/>
        <v>OTHER</v>
      </c>
      <c r="D199" s="27" t="str" cm="1">
        <f t="array" ref="D199">INDEX('1.0 Data'!$U$9:$U$36,MATCH($A199,'1.0 Data'!$R$9:$R$36,0),0)</f>
        <v>Diminishing</v>
      </c>
      <c r="E199" s="6">
        <f t="shared" si="45"/>
        <v>0</v>
      </c>
      <c r="F199" s="6">
        <f t="shared" si="45"/>
        <v>0</v>
      </c>
      <c r="G199" s="6">
        <f t="shared" si="45"/>
        <v>0</v>
      </c>
      <c r="H199" s="6">
        <f t="shared" si="45"/>
        <v>0</v>
      </c>
      <c r="I199" s="6">
        <f t="shared" si="45"/>
        <v>0</v>
      </c>
      <c r="J199" s="34">
        <f t="shared" si="44"/>
        <v>0</v>
      </c>
    </row>
    <row r="200" spans="1:10">
      <c r="A200" s="22" t="str">
        <f t="shared" si="42"/>
        <v>EMS basslink integration, Reliability / predictive monitoring</v>
      </c>
      <c r="B200" s="22" t="str">
        <f t="shared" si="42"/>
        <v>nominal</v>
      </c>
      <c r="C200" s="22" t="str">
        <f t="shared" si="42"/>
        <v>OTHER</v>
      </c>
      <c r="D200" s="27" t="str" cm="1">
        <f t="array" ref="D200">INDEX('1.0 Data'!$U$9:$U$36,MATCH($A200,'1.0 Data'!$R$9:$R$36,0),0)</f>
        <v>Diminishing</v>
      </c>
      <c r="E200" s="6">
        <f t="shared" si="45"/>
        <v>0</v>
      </c>
      <c r="F200" s="6">
        <f t="shared" si="45"/>
        <v>0</v>
      </c>
      <c r="G200" s="6">
        <f t="shared" si="45"/>
        <v>0</v>
      </c>
      <c r="H200" s="6">
        <f t="shared" si="45"/>
        <v>0</v>
      </c>
      <c r="I200" s="6">
        <f t="shared" si="45"/>
        <v>0</v>
      </c>
      <c r="J200" s="34">
        <f t="shared" si="44"/>
        <v>0</v>
      </c>
    </row>
    <row r="201" spans="1:10">
      <c r="A201" s="22" t="str">
        <f t="shared" si="42"/>
        <v>OT Technology Capability uplift</v>
      </c>
      <c r="B201" s="22" t="str">
        <f t="shared" si="42"/>
        <v>nominal</v>
      </c>
      <c r="C201" s="22" t="str">
        <f t="shared" si="42"/>
        <v>OTHER</v>
      </c>
      <c r="D201" s="27" t="str" cm="1">
        <f t="array" ref="D201">INDEX('1.0 Data'!$U$9:$U$36,MATCH($A201,'1.0 Data'!$R$9:$R$36,0),0)</f>
        <v>Diminishing</v>
      </c>
      <c r="E201" s="6">
        <f t="shared" si="45"/>
        <v>0</v>
      </c>
      <c r="F201" s="6">
        <f t="shared" si="45"/>
        <v>0</v>
      </c>
      <c r="G201" s="6">
        <f t="shared" si="45"/>
        <v>0</v>
      </c>
      <c r="H201" s="6">
        <f t="shared" si="45"/>
        <v>0</v>
      </c>
      <c r="I201" s="6">
        <f t="shared" si="45"/>
        <v>0</v>
      </c>
      <c r="J201" s="34">
        <f t="shared" si="44"/>
        <v>0</v>
      </c>
    </row>
    <row r="202" spans="1:10">
      <c r="A202" s="22" t="str">
        <f t="shared" si="42"/>
        <v>Asset Integration</v>
      </c>
      <c r="B202" s="22" t="str">
        <f t="shared" si="42"/>
        <v>nominal</v>
      </c>
      <c r="C202" s="22" t="str">
        <f t="shared" si="42"/>
        <v>OTHER</v>
      </c>
      <c r="D202" s="27" t="str" cm="1">
        <f t="array" ref="D202">INDEX('1.0 Data'!$U$9:$U$36,MATCH($A202,'1.0 Data'!$R$9:$R$36,0),0)</f>
        <v>Diminishing</v>
      </c>
      <c r="E202" s="6">
        <f t="shared" si="45"/>
        <v>0</v>
      </c>
      <c r="F202" s="6">
        <f t="shared" si="45"/>
        <v>0</v>
      </c>
      <c r="G202" s="6">
        <f t="shared" si="45"/>
        <v>0</v>
      </c>
      <c r="H202" s="6">
        <f t="shared" si="45"/>
        <v>0</v>
      </c>
      <c r="I202" s="6">
        <f t="shared" si="45"/>
        <v>0</v>
      </c>
      <c r="J202" s="34">
        <f t="shared" si="44"/>
        <v>0</v>
      </c>
    </row>
    <row r="203" spans="1:10">
      <c r="A203" s="22" t="str">
        <f t="shared" si="42"/>
        <v>Program Management and Consultation</v>
      </c>
      <c r="B203" s="22" t="str">
        <f t="shared" si="42"/>
        <v>nominal</v>
      </c>
      <c r="C203" s="22" t="str">
        <f t="shared" si="42"/>
        <v>OTHER</v>
      </c>
      <c r="D203" s="27" t="str" cm="1">
        <f t="array" ref="D203">INDEX('1.0 Data'!$U$9:$U$36,MATCH($A203,'1.0 Data'!$R$9:$R$36,0),0)</f>
        <v>Diminishing</v>
      </c>
      <c r="E203" s="6">
        <f t="shared" si="45"/>
        <v>0</v>
      </c>
      <c r="F203" s="6">
        <f t="shared" si="45"/>
        <v>0</v>
      </c>
      <c r="G203" s="6">
        <f t="shared" si="45"/>
        <v>0</v>
      </c>
      <c r="H203" s="6">
        <f t="shared" si="45"/>
        <v>0</v>
      </c>
      <c r="I203" s="6">
        <f t="shared" si="45"/>
        <v>0</v>
      </c>
      <c r="J203" s="34">
        <f t="shared" si="44"/>
        <v>0</v>
      </c>
    </row>
    <row r="204" spans="1:10">
      <c r="A204" s="22" t="str">
        <f t="shared" si="42"/>
        <v>Cyber Security</v>
      </c>
      <c r="B204" s="22" t="str">
        <f t="shared" si="42"/>
        <v>nominal</v>
      </c>
      <c r="C204" s="22" t="str">
        <f t="shared" si="42"/>
        <v>OTHER</v>
      </c>
      <c r="D204" s="27" t="str" cm="1">
        <f t="array" ref="D204">INDEX('1.0 Data'!$U$9:$U$36,MATCH($A204,'1.0 Data'!$R$9:$R$36,0),0)</f>
        <v>Diminishing</v>
      </c>
      <c r="E204" s="6">
        <f t="shared" si="45"/>
        <v>0</v>
      </c>
      <c r="F204" s="6">
        <f t="shared" si="45"/>
        <v>0</v>
      </c>
      <c r="G204" s="6">
        <f t="shared" si="45"/>
        <v>0</v>
      </c>
      <c r="H204" s="6">
        <f t="shared" si="45"/>
        <v>0</v>
      </c>
      <c r="I204" s="6">
        <f t="shared" si="45"/>
        <v>0</v>
      </c>
      <c r="J204" s="34">
        <f t="shared" si="44"/>
        <v>0</v>
      </c>
    </row>
    <row r="205" spans="1:10">
      <c r="A205" s="22" t="str">
        <f t="shared" si="42"/>
        <v>Program Management and Material Risk</v>
      </c>
      <c r="B205" s="22" t="str">
        <f t="shared" si="42"/>
        <v>nominal</v>
      </c>
      <c r="C205" s="22" t="str">
        <f t="shared" si="42"/>
        <v>OTHER</v>
      </c>
      <c r="D205" s="27" t="str" cm="1">
        <f t="array" ref="D205">INDEX('1.0 Data'!$U$9:$U$36,MATCH($A205,'1.0 Data'!$R$9:$R$36,0),0)</f>
        <v>Diminishing</v>
      </c>
      <c r="E205" s="6">
        <f t="shared" si="45"/>
        <v>0</v>
      </c>
      <c r="F205" s="6">
        <f t="shared" si="45"/>
        <v>0</v>
      </c>
      <c r="G205" s="6">
        <f t="shared" si="45"/>
        <v>0</v>
      </c>
      <c r="H205" s="6">
        <f t="shared" si="45"/>
        <v>0</v>
      </c>
      <c r="I205" s="6">
        <f t="shared" si="45"/>
        <v>0</v>
      </c>
      <c r="J205" s="34">
        <f t="shared" si="44"/>
        <v>0</v>
      </c>
    </row>
    <row r="206" spans="1:10">
      <c r="A206" s="22" t="str">
        <f t="shared" si="42"/>
        <v>Enterprise Security Governance</v>
      </c>
      <c r="B206" s="22" t="str">
        <f t="shared" si="42"/>
        <v>nominal</v>
      </c>
      <c r="C206" s="22" t="str">
        <f t="shared" si="42"/>
        <v>OTHER</v>
      </c>
      <c r="D206" s="27" t="str" cm="1">
        <f t="array" ref="D206">INDEX('1.0 Data'!$U$9:$U$36,MATCH($A206,'1.0 Data'!$R$9:$R$36,0),0)</f>
        <v>Diminishing</v>
      </c>
      <c r="E206" s="6">
        <f t="shared" si="45"/>
        <v>0</v>
      </c>
      <c r="F206" s="6">
        <f t="shared" si="45"/>
        <v>0</v>
      </c>
      <c r="G206" s="6">
        <f t="shared" si="45"/>
        <v>0</v>
      </c>
      <c r="H206" s="6">
        <f t="shared" si="45"/>
        <v>0</v>
      </c>
      <c r="I206" s="6">
        <f t="shared" si="45"/>
        <v>0</v>
      </c>
      <c r="J206" s="34">
        <f t="shared" si="44"/>
        <v>0</v>
      </c>
    </row>
    <row r="207" spans="1:10">
      <c r="A207" s="22" t="str">
        <f t="shared" si="42"/>
        <v>Supply Chain Security</v>
      </c>
      <c r="B207" s="22" t="str">
        <f t="shared" si="42"/>
        <v>nominal</v>
      </c>
      <c r="C207" s="22" t="str">
        <f t="shared" si="42"/>
        <v>OTHER</v>
      </c>
      <c r="D207" s="27" t="str" cm="1">
        <f t="array" ref="D207">INDEX('1.0 Data'!$U$9:$U$36,MATCH($A207,'1.0 Data'!$R$9:$R$36,0),0)</f>
        <v>Diminishing</v>
      </c>
      <c r="E207" s="6">
        <f t="shared" si="45"/>
        <v>0</v>
      </c>
      <c r="F207" s="6">
        <f t="shared" si="45"/>
        <v>0</v>
      </c>
      <c r="G207" s="6">
        <f t="shared" si="45"/>
        <v>0</v>
      </c>
      <c r="H207" s="6">
        <f t="shared" si="45"/>
        <v>0</v>
      </c>
      <c r="I207" s="6">
        <f t="shared" si="45"/>
        <v>0</v>
      </c>
      <c r="J207" s="34">
        <f t="shared" si="44"/>
        <v>0</v>
      </c>
    </row>
    <row r="208" spans="1:10" ht="15.75" thickBot="1">
      <c r="A208" s="22" t="str">
        <f t="shared" si="42"/>
        <v>Physical Security and Natural Hazards</v>
      </c>
      <c r="B208" s="22" t="str">
        <f t="shared" si="42"/>
        <v>nominal</v>
      </c>
      <c r="C208" s="22" t="str">
        <f t="shared" si="42"/>
        <v>BUILDING INSTALLATION</v>
      </c>
      <c r="D208" s="27" t="str" cm="1">
        <f t="array" ref="D208">INDEX('1.0 Data'!$U$9:$U$36,MATCH($A208,'1.0 Data'!$R$9:$R$36,0),0)</f>
        <v>Straight Line</v>
      </c>
      <c r="E208" s="6">
        <f t="shared" ref="E208:I208" si="46">IF($D208="Immediate",E155,0)</f>
        <v>0</v>
      </c>
      <c r="F208" s="6">
        <f t="shared" si="46"/>
        <v>0</v>
      </c>
      <c r="G208" s="6">
        <f t="shared" si="46"/>
        <v>0</v>
      </c>
      <c r="H208" s="6">
        <f t="shared" si="46"/>
        <v>0</v>
      </c>
      <c r="I208" s="6">
        <f t="shared" si="46"/>
        <v>0</v>
      </c>
      <c r="J208" s="34">
        <f t="shared" si="44"/>
        <v>0</v>
      </c>
    </row>
    <row r="209" spans="1:12" ht="15.75" thickTop="1">
      <c r="A209" s="22" t="str">
        <f>A156</f>
        <v>Total</v>
      </c>
      <c r="B209" s="22" t="str">
        <f>B156</f>
        <v>nominal</v>
      </c>
      <c r="E209" s="44">
        <f>SUM(E188:E208)</f>
        <v>6.2142363948122871E-2</v>
      </c>
      <c r="F209" s="44">
        <f>SUM(F188:F208)</f>
        <v>0.25565368528257748</v>
      </c>
      <c r="G209" s="44">
        <f>SUM(G188:G208)</f>
        <v>0.13132077634015066</v>
      </c>
      <c r="H209" s="44">
        <f>SUM(H188:H208)</f>
        <v>0.28298970697420761</v>
      </c>
      <c r="I209" s="44">
        <f>SUM(I188:I208)</f>
        <v>0</v>
      </c>
      <c r="J209" s="34">
        <f t="shared" si="44"/>
        <v>0.73210653254505864</v>
      </c>
    </row>
    <row r="210" spans="1:12">
      <c r="A210" s="16"/>
    </row>
    <row r="211" spans="1:12">
      <c r="A211" s="3" t="s">
        <v>4</v>
      </c>
      <c r="B211" s="3" t="s">
        <v>121</v>
      </c>
      <c r="C211" s="3"/>
      <c r="D211" s="3"/>
      <c r="E211" s="3" t="str">
        <f t="shared" ref="E211:J211" si="47">E187</f>
        <v>2025/26</v>
      </c>
      <c r="F211" s="3" t="str">
        <f t="shared" si="47"/>
        <v>2026/27</v>
      </c>
      <c r="G211" s="3" t="str">
        <f t="shared" si="47"/>
        <v>2027/28</v>
      </c>
      <c r="H211" s="3" t="str">
        <f t="shared" si="47"/>
        <v>2028/29</v>
      </c>
      <c r="I211" s="3" t="str">
        <f t="shared" si="47"/>
        <v>2029/30</v>
      </c>
      <c r="J211" s="3" t="str">
        <f t="shared" si="47"/>
        <v>Total</v>
      </c>
      <c r="K211" s="3"/>
      <c r="L211" s="3"/>
    </row>
    <row r="212" spans="1:12">
      <c r="A212" s="22" t="str">
        <f t="shared" ref="A212:B232" si="48">A161</f>
        <v>AC FILTERS</v>
      </c>
      <c r="B212" s="22" t="str">
        <f t="shared" si="48"/>
        <v>nominal</v>
      </c>
      <c r="E212" s="6">
        <f t="shared" ref="E212:I221" si="49">SUMIF($C$188:$C$208,$A212,E$188:E$208)</f>
        <v>0</v>
      </c>
      <c r="F212" s="6">
        <f t="shared" si="49"/>
        <v>0</v>
      </c>
      <c r="G212" s="6">
        <f t="shared" si="49"/>
        <v>0</v>
      </c>
      <c r="H212" s="6">
        <f t="shared" si="49"/>
        <v>0</v>
      </c>
      <c r="I212" s="6">
        <f t="shared" si="49"/>
        <v>0</v>
      </c>
      <c r="J212" s="34">
        <f>SUM(E212:I212)</f>
        <v>0</v>
      </c>
    </row>
    <row r="213" spans="1:12">
      <c r="A213" s="22" t="str">
        <f t="shared" si="48"/>
        <v>AC SWITCHYARD</v>
      </c>
      <c r="B213" s="22" t="str">
        <f t="shared" si="48"/>
        <v>nominal</v>
      </c>
      <c r="E213" s="6">
        <f t="shared" si="49"/>
        <v>0</v>
      </c>
      <c r="F213" s="6">
        <f t="shared" si="49"/>
        <v>0</v>
      </c>
      <c r="G213" s="6">
        <f t="shared" si="49"/>
        <v>0</v>
      </c>
      <c r="H213" s="6">
        <f t="shared" si="49"/>
        <v>0</v>
      </c>
      <c r="I213" s="6">
        <f t="shared" si="49"/>
        <v>0</v>
      </c>
      <c r="J213" s="34">
        <f t="shared" ref="J213:J232" si="50">SUM(E213:I213)</f>
        <v>0</v>
      </c>
    </row>
    <row r="214" spans="1:12">
      <c r="A214" s="22" t="str">
        <f t="shared" si="48"/>
        <v>AUXILIARY SYSTEMS</v>
      </c>
      <c r="B214" s="22" t="str">
        <f t="shared" si="48"/>
        <v>nominal</v>
      </c>
      <c r="E214" s="6">
        <f t="shared" si="49"/>
        <v>0</v>
      </c>
      <c r="F214" s="6">
        <f t="shared" si="49"/>
        <v>0</v>
      </c>
      <c r="G214" s="6">
        <f t="shared" si="49"/>
        <v>0</v>
      </c>
      <c r="H214" s="6">
        <f t="shared" si="49"/>
        <v>0</v>
      </c>
      <c r="I214" s="6">
        <f t="shared" si="49"/>
        <v>0</v>
      </c>
      <c r="J214" s="34">
        <f t="shared" si="50"/>
        <v>0</v>
      </c>
    </row>
    <row r="215" spans="1:12">
      <c r="A215" s="22" t="str">
        <f t="shared" si="48"/>
        <v>CABLE</v>
      </c>
      <c r="B215" s="22" t="str">
        <f t="shared" si="48"/>
        <v>nominal</v>
      </c>
      <c r="E215" s="6">
        <f t="shared" si="49"/>
        <v>0</v>
      </c>
      <c r="F215" s="6">
        <f t="shared" si="49"/>
        <v>0</v>
      </c>
      <c r="G215" s="6">
        <f t="shared" si="49"/>
        <v>0</v>
      </c>
      <c r="H215" s="6">
        <f t="shared" si="49"/>
        <v>0</v>
      </c>
      <c r="I215" s="6">
        <f t="shared" si="49"/>
        <v>0</v>
      </c>
      <c r="J215" s="34">
        <f t="shared" si="50"/>
        <v>0</v>
      </c>
    </row>
    <row r="216" spans="1:12">
      <c r="A216" s="22" t="str">
        <f t="shared" si="48"/>
        <v>CONTROL SYSTEM</v>
      </c>
      <c r="B216" s="22" t="str">
        <f t="shared" si="48"/>
        <v>nominal</v>
      </c>
      <c r="E216" s="6">
        <f t="shared" si="49"/>
        <v>0</v>
      </c>
      <c r="F216" s="6">
        <f t="shared" si="49"/>
        <v>0</v>
      </c>
      <c r="G216" s="6">
        <f t="shared" si="49"/>
        <v>0</v>
      </c>
      <c r="H216" s="6">
        <f t="shared" si="49"/>
        <v>0</v>
      </c>
      <c r="I216" s="6">
        <f t="shared" si="49"/>
        <v>0</v>
      </c>
      <c r="J216" s="34">
        <f t="shared" si="50"/>
        <v>0</v>
      </c>
    </row>
    <row r="217" spans="1:12">
      <c r="A217" s="22" t="str">
        <f t="shared" si="48"/>
        <v>CONVERTER TRANSFORMER</v>
      </c>
      <c r="B217" s="22" t="str">
        <f t="shared" si="48"/>
        <v>nominal</v>
      </c>
      <c r="E217" s="6">
        <f t="shared" si="49"/>
        <v>0</v>
      </c>
      <c r="F217" s="6">
        <f t="shared" si="49"/>
        <v>0</v>
      </c>
      <c r="G217" s="6">
        <f t="shared" si="49"/>
        <v>0</v>
      </c>
      <c r="H217" s="6">
        <f t="shared" si="49"/>
        <v>0</v>
      </c>
      <c r="I217" s="6">
        <f t="shared" si="49"/>
        <v>0</v>
      </c>
      <c r="J217" s="34">
        <f t="shared" si="50"/>
        <v>0</v>
      </c>
    </row>
    <row r="218" spans="1:12">
      <c r="A218" s="22" t="str">
        <f t="shared" si="48"/>
        <v>DC FILTER</v>
      </c>
      <c r="B218" s="22" t="str">
        <f t="shared" si="48"/>
        <v>nominal</v>
      </c>
      <c r="E218" s="6">
        <f t="shared" si="49"/>
        <v>0</v>
      </c>
      <c r="F218" s="6">
        <f t="shared" si="49"/>
        <v>0</v>
      </c>
      <c r="G218" s="6">
        <f t="shared" si="49"/>
        <v>0</v>
      </c>
      <c r="H218" s="6">
        <f t="shared" si="49"/>
        <v>0</v>
      </c>
      <c r="I218" s="6">
        <f t="shared" si="49"/>
        <v>0</v>
      </c>
      <c r="J218" s="34">
        <f t="shared" si="50"/>
        <v>0</v>
      </c>
    </row>
    <row r="219" spans="1:12">
      <c r="A219" s="22" t="str">
        <f t="shared" si="48"/>
        <v>DC SWITCHYARD</v>
      </c>
      <c r="B219" s="22" t="str">
        <f t="shared" si="48"/>
        <v>nominal</v>
      </c>
      <c r="E219" s="6">
        <f t="shared" si="49"/>
        <v>0</v>
      </c>
      <c r="F219" s="6">
        <f t="shared" si="49"/>
        <v>0</v>
      </c>
      <c r="G219" s="6">
        <f t="shared" si="49"/>
        <v>0</v>
      </c>
      <c r="H219" s="6">
        <f t="shared" si="49"/>
        <v>0</v>
      </c>
      <c r="I219" s="6">
        <f t="shared" si="49"/>
        <v>0</v>
      </c>
      <c r="J219" s="34">
        <f t="shared" si="50"/>
        <v>0</v>
      </c>
    </row>
    <row r="220" spans="1:12">
      <c r="A220" s="22" t="str">
        <f t="shared" si="48"/>
        <v>EASEMENT</v>
      </c>
      <c r="B220" s="22" t="str">
        <f t="shared" si="48"/>
        <v>nominal</v>
      </c>
      <c r="E220" s="6">
        <f t="shared" si="49"/>
        <v>0</v>
      </c>
      <c r="F220" s="6">
        <f t="shared" si="49"/>
        <v>0</v>
      </c>
      <c r="G220" s="6">
        <f t="shared" si="49"/>
        <v>0</v>
      </c>
      <c r="H220" s="6">
        <f t="shared" si="49"/>
        <v>0</v>
      </c>
      <c r="I220" s="6">
        <f t="shared" si="49"/>
        <v>0</v>
      </c>
      <c r="J220" s="34">
        <f t="shared" si="50"/>
        <v>0</v>
      </c>
    </row>
    <row r="221" spans="1:12">
      <c r="A221" s="22" t="str">
        <f t="shared" si="48"/>
        <v>FREEHOLD LAND</v>
      </c>
      <c r="B221" s="22" t="str">
        <f t="shared" si="48"/>
        <v>nominal</v>
      </c>
      <c r="E221" s="6">
        <f t="shared" si="49"/>
        <v>0</v>
      </c>
      <c r="F221" s="6">
        <f t="shared" si="49"/>
        <v>0</v>
      </c>
      <c r="G221" s="6">
        <f t="shared" si="49"/>
        <v>0</v>
      </c>
      <c r="H221" s="6">
        <f t="shared" si="49"/>
        <v>0</v>
      </c>
      <c r="I221" s="6">
        <f t="shared" si="49"/>
        <v>0</v>
      </c>
      <c r="J221" s="34">
        <f t="shared" si="50"/>
        <v>0</v>
      </c>
    </row>
    <row r="222" spans="1:12">
      <c r="A222" s="22" t="str">
        <f t="shared" si="48"/>
        <v>MEASURING DEVICES</v>
      </c>
      <c r="B222" s="22" t="str">
        <f t="shared" si="48"/>
        <v>nominal</v>
      </c>
      <c r="E222" s="6">
        <f t="shared" ref="E222:I231" si="51">SUMIF($C$188:$C$208,$A222,E$188:E$208)</f>
        <v>0</v>
      </c>
      <c r="F222" s="6">
        <f t="shared" si="51"/>
        <v>0</v>
      </c>
      <c r="G222" s="6">
        <f t="shared" si="51"/>
        <v>0</v>
      </c>
      <c r="H222" s="6">
        <f t="shared" si="51"/>
        <v>0</v>
      </c>
      <c r="I222" s="6">
        <f t="shared" si="51"/>
        <v>0</v>
      </c>
      <c r="J222" s="34">
        <f t="shared" si="50"/>
        <v>0</v>
      </c>
    </row>
    <row r="223" spans="1:12">
      <c r="A223" s="22" t="str">
        <f t="shared" si="48"/>
        <v>MOTOR VEHICLES</v>
      </c>
      <c r="B223" s="22" t="str">
        <f t="shared" si="48"/>
        <v>nominal</v>
      </c>
      <c r="E223" s="6">
        <f t="shared" si="51"/>
        <v>0</v>
      </c>
      <c r="F223" s="6">
        <f t="shared" si="51"/>
        <v>0</v>
      </c>
      <c r="G223" s="6">
        <f t="shared" si="51"/>
        <v>0</v>
      </c>
      <c r="H223" s="6">
        <f t="shared" si="51"/>
        <v>0</v>
      </c>
      <c r="I223" s="6">
        <f t="shared" si="51"/>
        <v>0</v>
      </c>
      <c r="J223" s="34">
        <f t="shared" si="50"/>
        <v>0</v>
      </c>
    </row>
    <row r="224" spans="1:12">
      <c r="A224" s="22" t="str">
        <f t="shared" si="48"/>
        <v>OTHER</v>
      </c>
      <c r="B224" s="22" t="str">
        <f t="shared" si="48"/>
        <v>nominal</v>
      </c>
      <c r="E224" s="6">
        <f t="shared" si="51"/>
        <v>0</v>
      </c>
      <c r="F224" s="6">
        <f t="shared" si="51"/>
        <v>0</v>
      </c>
      <c r="G224" s="6">
        <f t="shared" si="51"/>
        <v>0</v>
      </c>
      <c r="H224" s="6">
        <f t="shared" si="51"/>
        <v>0</v>
      </c>
      <c r="I224" s="6">
        <f t="shared" si="51"/>
        <v>0</v>
      </c>
      <c r="J224" s="34">
        <f t="shared" si="50"/>
        <v>0</v>
      </c>
    </row>
    <row r="225" spans="1:12">
      <c r="A225" s="22" t="str">
        <f t="shared" si="48"/>
        <v>OVERHEAD LINES</v>
      </c>
      <c r="B225" s="22" t="str">
        <f t="shared" si="48"/>
        <v>nominal</v>
      </c>
      <c r="E225" s="6">
        <f t="shared" si="51"/>
        <v>0</v>
      </c>
      <c r="F225" s="6">
        <f t="shared" si="51"/>
        <v>0</v>
      </c>
      <c r="G225" s="6">
        <f t="shared" si="51"/>
        <v>0</v>
      </c>
      <c r="H225" s="6">
        <f t="shared" si="51"/>
        <v>0</v>
      </c>
      <c r="I225" s="6">
        <f t="shared" si="51"/>
        <v>0</v>
      </c>
      <c r="J225" s="34">
        <f t="shared" si="50"/>
        <v>0</v>
      </c>
    </row>
    <row r="226" spans="1:12">
      <c r="A226" s="22" t="str">
        <f t="shared" si="48"/>
        <v>SMOOTHING REACTOR</v>
      </c>
      <c r="B226" s="22" t="str">
        <f t="shared" si="48"/>
        <v>nominal</v>
      </c>
      <c r="E226" s="6">
        <f t="shared" si="51"/>
        <v>0</v>
      </c>
      <c r="F226" s="6">
        <f t="shared" si="51"/>
        <v>0</v>
      </c>
      <c r="G226" s="6">
        <f t="shared" si="51"/>
        <v>0</v>
      </c>
      <c r="H226" s="6">
        <f t="shared" si="51"/>
        <v>0</v>
      </c>
      <c r="I226" s="6">
        <f t="shared" si="51"/>
        <v>0</v>
      </c>
      <c r="J226" s="34">
        <f t="shared" si="50"/>
        <v>0</v>
      </c>
    </row>
    <row r="227" spans="1:12">
      <c r="A227" s="22" t="str">
        <f t="shared" si="48"/>
        <v>STATION POWER SUPPLY</v>
      </c>
      <c r="B227" s="22" t="str">
        <f t="shared" si="48"/>
        <v>nominal</v>
      </c>
      <c r="E227" s="6">
        <f t="shared" si="51"/>
        <v>0</v>
      </c>
      <c r="F227" s="6">
        <f t="shared" si="51"/>
        <v>0</v>
      </c>
      <c r="G227" s="6">
        <f t="shared" si="51"/>
        <v>0</v>
      </c>
      <c r="H227" s="6">
        <f t="shared" si="51"/>
        <v>0</v>
      </c>
      <c r="I227" s="6">
        <f t="shared" si="51"/>
        <v>0</v>
      </c>
      <c r="J227" s="34">
        <f t="shared" si="50"/>
        <v>0</v>
      </c>
    </row>
    <row r="228" spans="1:12">
      <c r="A228" s="22" t="str">
        <f t="shared" si="48"/>
        <v>SWITCHYARD COMPONENTS</v>
      </c>
      <c r="B228" s="22" t="str">
        <f t="shared" si="48"/>
        <v>nominal</v>
      </c>
      <c r="E228" s="6">
        <f t="shared" si="51"/>
        <v>6.2142363948122871E-2</v>
      </c>
      <c r="F228" s="6">
        <f t="shared" si="51"/>
        <v>0.25565368528257748</v>
      </c>
      <c r="G228" s="6">
        <f t="shared" si="51"/>
        <v>0.13132077634015066</v>
      </c>
      <c r="H228" s="6">
        <f t="shared" si="51"/>
        <v>0.28298970697420761</v>
      </c>
      <c r="I228" s="6">
        <f t="shared" si="51"/>
        <v>0</v>
      </c>
      <c r="J228" s="34">
        <f t="shared" si="50"/>
        <v>0.73210653254505864</v>
      </c>
    </row>
    <row r="229" spans="1:12">
      <c r="A229" s="22" t="str">
        <f t="shared" si="48"/>
        <v>VALVE COOLING</v>
      </c>
      <c r="B229" s="22" t="str">
        <f t="shared" si="48"/>
        <v>nominal</v>
      </c>
      <c r="E229" s="6">
        <f t="shared" si="51"/>
        <v>0</v>
      </c>
      <c r="F229" s="6">
        <f t="shared" si="51"/>
        <v>0</v>
      </c>
      <c r="G229" s="6">
        <f t="shared" si="51"/>
        <v>0</v>
      </c>
      <c r="H229" s="6">
        <f t="shared" si="51"/>
        <v>0</v>
      </c>
      <c r="I229" s="6">
        <f t="shared" si="51"/>
        <v>0</v>
      </c>
      <c r="J229" s="34">
        <f t="shared" si="50"/>
        <v>0</v>
      </c>
    </row>
    <row r="230" spans="1:12">
      <c r="A230" s="22" t="str">
        <f t="shared" si="48"/>
        <v>VALVE HALL</v>
      </c>
      <c r="B230" s="22" t="str">
        <f t="shared" si="48"/>
        <v>nominal</v>
      </c>
      <c r="E230" s="6">
        <f t="shared" si="51"/>
        <v>0</v>
      </c>
      <c r="F230" s="6">
        <f t="shared" si="51"/>
        <v>0</v>
      </c>
      <c r="G230" s="6">
        <f t="shared" si="51"/>
        <v>0</v>
      </c>
      <c r="H230" s="6">
        <f t="shared" si="51"/>
        <v>0</v>
      </c>
      <c r="I230" s="6">
        <f t="shared" si="51"/>
        <v>0</v>
      </c>
      <c r="J230" s="34">
        <f t="shared" si="50"/>
        <v>0</v>
      </c>
    </row>
    <row r="231" spans="1:12" ht="15.75" thickBot="1">
      <c r="A231" s="22" t="str">
        <f t="shared" si="48"/>
        <v>IN-HOUSE SOFTWARE</v>
      </c>
      <c r="B231" s="22" t="str">
        <f t="shared" si="48"/>
        <v>nominal</v>
      </c>
      <c r="E231" s="6">
        <f t="shared" si="51"/>
        <v>0</v>
      </c>
      <c r="F231" s="6">
        <f t="shared" si="51"/>
        <v>0</v>
      </c>
      <c r="G231" s="6">
        <f t="shared" si="51"/>
        <v>0</v>
      </c>
      <c r="H231" s="6">
        <f t="shared" si="51"/>
        <v>0</v>
      </c>
      <c r="I231" s="6">
        <f t="shared" si="51"/>
        <v>0</v>
      </c>
      <c r="J231" s="34">
        <f t="shared" si="50"/>
        <v>0</v>
      </c>
    </row>
    <row r="232" spans="1:12" ht="16.5" thickTop="1" thickBot="1">
      <c r="A232" s="20" t="str">
        <f t="shared" si="48"/>
        <v>Total</v>
      </c>
      <c r="B232" s="20" t="str">
        <f t="shared" si="48"/>
        <v>nominal</v>
      </c>
      <c r="E232" s="44">
        <f>SUM(E212:E231)</f>
        <v>6.2142363948122871E-2</v>
      </c>
      <c r="F232" s="44">
        <f t="shared" ref="F232:I232" si="52">SUM(F212:F231)</f>
        <v>0.25565368528257748</v>
      </c>
      <c r="G232" s="44">
        <f t="shared" si="52"/>
        <v>0.13132077634015066</v>
      </c>
      <c r="H232" s="44">
        <f t="shared" si="52"/>
        <v>0.28298970697420761</v>
      </c>
      <c r="I232" s="44">
        <f t="shared" si="52"/>
        <v>0</v>
      </c>
      <c r="J232" s="34">
        <f t="shared" si="50"/>
        <v>0.73210653254505864</v>
      </c>
      <c r="L232" s="30">
        <f>J232-J209</f>
        <v>0</v>
      </c>
    </row>
    <row r="233" spans="1:12" ht="15.75" thickTop="1"/>
  </sheetData>
  <conditionalFormatting sqref="L62">
    <cfRule type="cellIs" dxfId="7" priority="9" operator="notEqual">
      <formula>0</formula>
    </cfRule>
  </conditionalFormatting>
  <conditionalFormatting sqref="L102">
    <cfRule type="cellIs" dxfId="6" priority="8" operator="notEqual">
      <formula>0</formula>
    </cfRule>
  </conditionalFormatting>
  <conditionalFormatting sqref="L116">
    <cfRule type="cellIs" dxfId="5" priority="7" operator="notEqual">
      <formula>0</formula>
    </cfRule>
  </conditionalFormatting>
  <conditionalFormatting sqref="L156">
    <cfRule type="cellIs" dxfId="4" priority="6" operator="notEqual">
      <formula>0</formula>
    </cfRule>
  </conditionalFormatting>
  <conditionalFormatting sqref="L182">
    <cfRule type="cellIs" dxfId="3" priority="4" operator="notEqual">
      <formula>0</formula>
    </cfRule>
  </conditionalFormatting>
  <conditionalFormatting sqref="E184:J184">
    <cfRule type="cellIs" dxfId="2" priority="3" operator="notEqual">
      <formula>0</formula>
    </cfRule>
  </conditionalFormatting>
  <conditionalFormatting sqref="L130">
    <cfRule type="cellIs" dxfId="1" priority="2" operator="notEqual">
      <formula>0</formula>
    </cfRule>
  </conditionalFormatting>
  <conditionalFormatting sqref="L232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O164"/>
  <sheetViews>
    <sheetView zoomScale="115" zoomScaleNormal="115" workbookViewId="0">
      <selection activeCell="Q12" sqref="Q12"/>
    </sheetView>
  </sheetViews>
  <sheetFormatPr defaultRowHeight="15"/>
  <cols>
    <col min="1" max="2" width="3.28515625" customWidth="1"/>
    <col min="3" max="3" width="3.42578125" customWidth="1"/>
    <col min="4" max="4" width="4.42578125" customWidth="1"/>
    <col min="5" max="5" width="43" customWidth="1"/>
    <col min="6" max="9" width="11.42578125" customWidth="1"/>
    <col min="10" max="10" width="16.85546875" bestFit="1" customWidth="1"/>
    <col min="11" max="11" width="13.5703125" bestFit="1" customWidth="1"/>
    <col min="12" max="12" width="11.85546875" customWidth="1"/>
  </cols>
  <sheetData>
    <row r="1" spans="1:13" ht="22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2.5">
      <c r="A5" s="1" t="str">
        <f ca="1">RIGHT(CELL("filename"),LEN(CELL("filename"))-FIND("]",CELL("filename")))</f>
        <v>1.1 Input</v>
      </c>
      <c r="B5" s="1"/>
      <c r="C5" s="1"/>
      <c r="D5" s="1"/>
      <c r="E5" s="17">
        <v>14</v>
      </c>
      <c r="F5" s="17">
        <v>15</v>
      </c>
      <c r="G5" s="17">
        <v>16</v>
      </c>
      <c r="H5" s="17">
        <v>17</v>
      </c>
      <c r="I5" s="17">
        <v>18</v>
      </c>
      <c r="J5" s="1"/>
      <c r="K5" s="1"/>
      <c r="L5" s="1"/>
      <c r="M5" s="1"/>
    </row>
    <row r="6" spans="1:13" ht="19.5">
      <c r="A6" s="2" t="s">
        <v>128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6.5">
      <c r="A7" s="4"/>
      <c r="B7" s="4"/>
      <c r="C7" s="4"/>
      <c r="D7" s="4"/>
      <c r="E7" s="4" t="s">
        <v>129</v>
      </c>
      <c r="F7" s="4"/>
      <c r="G7" s="4"/>
      <c r="H7" s="4"/>
      <c r="I7" s="4"/>
      <c r="J7" s="4"/>
      <c r="K7" s="4"/>
      <c r="L7" s="4"/>
      <c r="M7" s="4"/>
    </row>
    <row r="8" spans="1:13">
      <c r="A8" s="3"/>
      <c r="B8" s="3"/>
      <c r="C8" s="3"/>
      <c r="D8" s="3"/>
      <c r="E8" s="3" t="s">
        <v>130</v>
      </c>
      <c r="F8" s="3" t="str">
        <f>'2.1 Capex Nominal Dollars'!E8</f>
        <v>2025/26</v>
      </c>
      <c r="G8" s="3" t="str">
        <f>'2.1 Capex Nominal Dollars'!F8</f>
        <v>2026/27</v>
      </c>
      <c r="H8" s="3" t="str">
        <f>'2.1 Capex Nominal Dollars'!G8</f>
        <v>2027/28</v>
      </c>
      <c r="I8" s="3" t="str">
        <f>'2.1 Capex Nominal Dollars'!H8</f>
        <v>2028/29</v>
      </c>
      <c r="J8" s="3" t="str">
        <f>'2.1 Capex Nominal Dollars'!I8</f>
        <v>2029/30</v>
      </c>
      <c r="K8" s="3" t="s">
        <v>2</v>
      </c>
      <c r="L8" s="3"/>
      <c r="M8" s="3" t="s">
        <v>131</v>
      </c>
    </row>
    <row r="9" spans="1:13" ht="15.75" thickBot="1"/>
    <row r="10" spans="1:13" ht="15.75" thickBot="1">
      <c r="E10" s="26"/>
      <c r="F10" s="26" t="str">
        <f>F8</f>
        <v>2025/26</v>
      </c>
      <c r="G10" s="26" t="str">
        <f>G8</f>
        <v>2026/27</v>
      </c>
      <c r="H10" s="26" t="str">
        <f>H8</f>
        <v>2027/28</v>
      </c>
      <c r="I10" s="26" t="str">
        <f>I8</f>
        <v>2028/29</v>
      </c>
      <c r="J10" s="26" t="str">
        <f>J8</f>
        <v>2029/30</v>
      </c>
      <c r="K10" s="26" t="s">
        <v>2</v>
      </c>
    </row>
    <row r="11" spans="1:13">
      <c r="E11" s="25" t="str">
        <f>'2.0 Capex Real Dollars'!A68</f>
        <v>Control &amp; Protection - System Renewal</v>
      </c>
      <c r="F11" s="28">
        <f>INDEX('2.0 Capex Real Dollars'!E$68:E$72,MATCH($E11,'2.0 Capex Real Dollars'!$A$68:$A$72,0))</f>
        <v>7.8795047185434761</v>
      </c>
      <c r="G11" s="28">
        <f>INDEX('2.0 Capex Real Dollars'!F$68:F$72,MATCH($E11,'2.0 Capex Real Dollars'!$A$68:$A$72,0))</f>
        <v>6.3512205010245975</v>
      </c>
      <c r="H11" s="28">
        <f>INDEX('2.0 Capex Real Dollars'!G$68:G$72,MATCH($E11,'2.0 Capex Real Dollars'!$A$68:$A$72,0))</f>
        <v>3.0627271149085691</v>
      </c>
      <c r="I11" s="28">
        <f>INDEX('2.0 Capex Real Dollars'!H$68:H$72,MATCH($E11,'2.0 Capex Real Dollars'!$A$68:$A$72,0))</f>
        <v>8.4574647590765863</v>
      </c>
      <c r="J11" s="28">
        <f>INDEX('2.0 Capex Real Dollars'!I$68:I$72,MATCH($E11,'2.0 Capex Real Dollars'!$A$68:$A$72,0))</f>
        <v>18.425661907414522</v>
      </c>
      <c r="K11" s="38">
        <f>SUM(F11:J11)</f>
        <v>44.176579000967749</v>
      </c>
      <c r="M11" s="43">
        <f>K11/$K$37</f>
        <v>0.59629534142515295</v>
      </c>
    </row>
    <row r="12" spans="1:13" ht="15.75" thickBot="1"/>
    <row r="13" spans="1:13" ht="15.75" thickBot="1">
      <c r="E13" s="26"/>
      <c r="F13" s="26" t="str">
        <f t="shared" ref="F13:K13" si="0">F$8</f>
        <v>2025/26</v>
      </c>
      <c r="G13" s="26" t="str">
        <f t="shared" si="0"/>
        <v>2026/27</v>
      </c>
      <c r="H13" s="26" t="str">
        <f t="shared" si="0"/>
        <v>2027/28</v>
      </c>
      <c r="I13" s="26" t="str">
        <f t="shared" si="0"/>
        <v>2028/29</v>
      </c>
      <c r="J13" s="26" t="str">
        <f t="shared" si="0"/>
        <v>2029/30</v>
      </c>
      <c r="K13" s="26" t="str">
        <f t="shared" si="0"/>
        <v>Total</v>
      </c>
    </row>
    <row r="14" spans="1:13">
      <c r="E14" s="25" t="str">
        <f>'2.0 Capex Real Dollars'!A69</f>
        <v>Subsea Cable Repair Strategy</v>
      </c>
      <c r="F14" s="28">
        <f>INDEX('2.0 Capex Real Dollars'!E$68:E$72,MATCH($E14,'2.0 Capex Real Dollars'!$A$68:$A$72,0))</f>
        <v>0</v>
      </c>
      <c r="G14" s="28">
        <f>INDEX('2.0 Capex Real Dollars'!F$68:F$72,MATCH($E14,'2.0 Capex Real Dollars'!$A$68:$A$72,0))</f>
        <v>0</v>
      </c>
      <c r="H14" s="28">
        <f>INDEX('2.0 Capex Real Dollars'!G$68:G$72,MATCH($E14,'2.0 Capex Real Dollars'!$A$68:$A$72,0))</f>
        <v>0</v>
      </c>
      <c r="I14" s="28">
        <f>INDEX('2.0 Capex Real Dollars'!H$68:H$72,MATCH($E14,'2.0 Capex Real Dollars'!$A$68:$A$72,0))</f>
        <v>0.98879356092055048</v>
      </c>
      <c r="J14" s="28">
        <f>INDEX('2.0 Capex Real Dollars'!I$68:I$72,MATCH($E14,'2.0 Capex Real Dollars'!$A$68:$A$72,0))</f>
        <v>10.822995115911107</v>
      </c>
      <c r="K14" s="38">
        <f>SUM(F14:J14)</f>
        <v>11.811788676831657</v>
      </c>
      <c r="M14" s="43">
        <f>K14/$K$37</f>
        <v>0.15943549095865472</v>
      </c>
    </row>
    <row r="15" spans="1:13" ht="15.75" thickBot="1"/>
    <row r="16" spans="1:13" ht="15.75" thickBot="1">
      <c r="E16" s="26"/>
      <c r="F16" s="26" t="str">
        <f t="shared" ref="F16:K16" si="1">F$8</f>
        <v>2025/26</v>
      </c>
      <c r="G16" s="26" t="str">
        <f t="shared" si="1"/>
        <v>2026/27</v>
      </c>
      <c r="H16" s="26" t="str">
        <f t="shared" si="1"/>
        <v>2027/28</v>
      </c>
      <c r="I16" s="26" t="str">
        <f t="shared" si="1"/>
        <v>2028/29</v>
      </c>
      <c r="J16" s="26" t="str">
        <f t="shared" si="1"/>
        <v>2029/30</v>
      </c>
      <c r="K16" s="26" t="str">
        <f t="shared" si="1"/>
        <v>Total</v>
      </c>
    </row>
    <row r="17" spans="5:15">
      <c r="E17" s="25" t="str">
        <f>'2.0 Capex Real Dollars'!A70</f>
        <v>Ambient Temperature Project</v>
      </c>
      <c r="F17" s="28">
        <f>INDEX('2.0 Capex Real Dollars'!E$68:E$72,MATCH($E17,'2.0 Capex Real Dollars'!$A$68:$A$72,0))</f>
        <v>6.9974398417147574</v>
      </c>
      <c r="G17" s="28">
        <f>INDEX('2.0 Capex Real Dollars'!F$68:F$72,MATCH($E17,'2.0 Capex Real Dollars'!$A$68:$A$72,0))</f>
        <v>0</v>
      </c>
      <c r="H17" s="28">
        <f>INDEX('2.0 Capex Real Dollars'!G$68:G$72,MATCH($E17,'2.0 Capex Real Dollars'!$A$68:$A$72,0))</f>
        <v>0</v>
      </c>
      <c r="I17" s="28">
        <f>INDEX('2.0 Capex Real Dollars'!H$68:H$72,MATCH($E17,'2.0 Capex Real Dollars'!$A$68:$A$72,0))</f>
        <v>0</v>
      </c>
      <c r="J17" s="28">
        <f>INDEX('2.0 Capex Real Dollars'!I$68:I$72,MATCH($E17,'2.0 Capex Real Dollars'!$A$68:$A$72,0))</f>
        <v>0</v>
      </c>
      <c r="K17" s="38">
        <f>SUM(F17:J17)</f>
        <v>6.9974398417147574</v>
      </c>
      <c r="M17" s="43">
        <f>K17/$K$37</f>
        <v>9.4451423670127668E-2</v>
      </c>
    </row>
    <row r="18" spans="5:15" ht="15.75" thickBot="1"/>
    <row r="19" spans="5:15" ht="15.75" thickBot="1">
      <c r="E19" s="26"/>
      <c r="F19" s="26" t="str">
        <f t="shared" ref="F19:K19" si="2">F$8</f>
        <v>2025/26</v>
      </c>
      <c r="G19" s="26" t="str">
        <f t="shared" si="2"/>
        <v>2026/27</v>
      </c>
      <c r="H19" s="26" t="str">
        <f t="shared" si="2"/>
        <v>2027/28</v>
      </c>
      <c r="I19" s="26" t="str">
        <f t="shared" si="2"/>
        <v>2028/29</v>
      </c>
      <c r="J19" s="26" t="str">
        <f t="shared" si="2"/>
        <v>2029/30</v>
      </c>
      <c r="K19" s="26" t="str">
        <f t="shared" si="2"/>
        <v>Total</v>
      </c>
    </row>
    <row r="20" spans="5:15">
      <c r="E20" s="25" t="str">
        <f>'2.0 Capex Real Dollars'!A71</f>
        <v>Physical Security and Natural Hazards</v>
      </c>
      <c r="F20" s="28">
        <f>INDEX('2.0 Capex Real Dollars'!E$68:E$72,MATCH($E20,'2.0 Capex Real Dollars'!$A$68:$A$72,0))</f>
        <v>1.7493599604286894</v>
      </c>
      <c r="G20" s="28">
        <f>INDEX('2.0 Capex Real Dollars'!F$68:F$72,MATCH($E20,'2.0 Capex Real Dollars'!$A$68:$A$72,0))</f>
        <v>1.7493599604286894</v>
      </c>
      <c r="H20" s="28">
        <f>INDEX('2.0 Capex Real Dollars'!G$68:G$72,MATCH($E20,'2.0 Capex Real Dollars'!$A$68:$A$72,0))</f>
        <v>0</v>
      </c>
      <c r="I20" s="28">
        <f>INDEX('2.0 Capex Real Dollars'!H$68:H$72,MATCH($E20,'2.0 Capex Real Dollars'!$A$68:$A$72,0))</f>
        <v>0</v>
      </c>
      <c r="J20" s="28">
        <f>INDEX('2.0 Capex Real Dollars'!I$68:I$72,MATCH($E20,'2.0 Capex Real Dollars'!$A$68:$A$72,0))</f>
        <v>0</v>
      </c>
      <c r="K20" s="38">
        <f>SUM(F20:J20)</f>
        <v>3.4987199208573787</v>
      </c>
      <c r="M20" s="43">
        <f>K20/$K$37</f>
        <v>4.7225711835063834E-2</v>
      </c>
    </row>
    <row r="21" spans="5:15" ht="15.75" thickBot="1"/>
    <row r="22" spans="5:15" ht="15.75" thickBot="1">
      <c r="E22" s="26"/>
      <c r="F22" s="26" t="str">
        <f t="shared" ref="F22:K22" si="3">F$8</f>
        <v>2025/26</v>
      </c>
      <c r="G22" s="26" t="str">
        <f t="shared" si="3"/>
        <v>2026/27</v>
      </c>
      <c r="H22" s="26" t="str">
        <f t="shared" si="3"/>
        <v>2027/28</v>
      </c>
      <c r="I22" s="26" t="str">
        <f t="shared" si="3"/>
        <v>2028/29</v>
      </c>
      <c r="J22" s="26" t="str">
        <f t="shared" si="3"/>
        <v>2029/30</v>
      </c>
      <c r="K22" s="26" t="str">
        <f t="shared" si="3"/>
        <v>Total</v>
      </c>
    </row>
    <row r="23" spans="5:15">
      <c r="E23" s="25" t="str">
        <f>'2.0 Capex Real Dollars'!A72</f>
        <v>Cyber Security</v>
      </c>
      <c r="F23" s="28">
        <f>INDEX('2.0 Capex Real Dollars'!E$68:E$72,MATCH($E23,'2.0 Capex Real Dollars'!$A$68:$A$72,0))</f>
        <v>0.90874214706538214</v>
      </c>
      <c r="G23" s="28">
        <f>INDEX('2.0 Capex Real Dollars'!F$68:F$72,MATCH($E23,'2.0 Capex Real Dollars'!$A$68:$A$72,0))</f>
        <v>0.87310972085657057</v>
      </c>
      <c r="H23" s="28">
        <f>INDEX('2.0 Capex Real Dollars'!G$68:G$72,MATCH($E23,'2.0 Capex Real Dollars'!$A$68:$A$72,0))</f>
        <v>0.54925145921874519</v>
      </c>
      <c r="I23" s="28">
        <f>INDEX('2.0 Capex Real Dollars'!H$68:H$72,MATCH($E23,'2.0 Capex Real Dollars'!$A$68:$A$72,0))</f>
        <v>0.54925145921874519</v>
      </c>
      <c r="J23" s="28">
        <f>INDEX('2.0 Capex Real Dollars'!I$68:I$72,MATCH($E23,'2.0 Capex Real Dollars'!$A$68:$A$72,0))</f>
        <v>0.54925145921874519</v>
      </c>
      <c r="K23" s="49">
        <f>SUM(F23:J23)</f>
        <v>3.4296062455781882</v>
      </c>
      <c r="M23" s="43">
        <f>K23/$K$37</f>
        <v>4.6292815636903052E-2</v>
      </c>
    </row>
    <row r="24" spans="5:15" ht="15.75" thickBot="1"/>
    <row r="25" spans="5:15" ht="15.75" thickBot="1">
      <c r="E25" s="26" t="s">
        <v>132</v>
      </c>
      <c r="F25" s="26" t="str">
        <f t="shared" ref="F25:K25" si="4">F$8</f>
        <v>2025/26</v>
      </c>
      <c r="G25" s="26" t="str">
        <f t="shared" si="4"/>
        <v>2026/27</v>
      </c>
      <c r="H25" s="26" t="str">
        <f t="shared" si="4"/>
        <v>2027/28</v>
      </c>
      <c r="I25" s="26" t="str">
        <f t="shared" si="4"/>
        <v>2028/29</v>
      </c>
      <c r="J25" s="26" t="str">
        <f t="shared" si="4"/>
        <v>2029/30</v>
      </c>
      <c r="K25" s="26" t="str">
        <f t="shared" si="4"/>
        <v>Total</v>
      </c>
    </row>
    <row r="26" spans="5:15">
      <c r="E26" s="25" t="str">
        <f>'1.1 Input'!B22</f>
        <v>Augmentation Expenditure</v>
      </c>
      <c r="F26" s="28">
        <f>SUMIF('2.0 Capex Real Dollars'!$D$10:$D$37,'3.0 Outputs'!$E26,'2.0 Capex Real Dollars'!E$10:E$37)</f>
        <v>0</v>
      </c>
      <c r="G26" s="28">
        <f>SUMIF('2.0 Capex Real Dollars'!$D$10:$D$37,'3.0 Outputs'!$E26,'2.0 Capex Real Dollars'!F$10:F$37)</f>
        <v>0</v>
      </c>
      <c r="H26" s="28">
        <f>SUMIF('2.0 Capex Real Dollars'!$D$10:$D$37,'3.0 Outputs'!$E26,'2.0 Capex Real Dollars'!G$10:G$37)</f>
        <v>0</v>
      </c>
      <c r="I26" s="28">
        <f>SUMIF('2.0 Capex Real Dollars'!$D$10:$D$37,'3.0 Outputs'!$E26,'2.0 Capex Real Dollars'!H$10:H$37)</f>
        <v>0</v>
      </c>
      <c r="J26" s="28">
        <f>SUMIF('2.0 Capex Real Dollars'!$D$10:$D$37,'3.0 Outputs'!$E26,'2.0 Capex Real Dollars'!I$10:I$37)</f>
        <v>0</v>
      </c>
      <c r="K26" s="38">
        <f>SUM(F26:J26)</f>
        <v>0</v>
      </c>
    </row>
    <row r="27" spans="5:15">
      <c r="E27" s="25" t="str">
        <f>'1.1 Input'!B20</f>
        <v>Replacement expenditure</v>
      </c>
      <c r="F27" s="28">
        <f>SUMIF('2.0 Capex Real Dollars'!$D$10:$D$37,'3.0 Outputs'!$E27,'2.0 Capex Real Dollars'!E$10:E$37)</f>
        <v>14.987705795231722</v>
      </c>
      <c r="G27" s="28">
        <f>SUMIF('2.0 Capex Real Dollars'!$D$10:$D$37,'3.0 Outputs'!$E27,'2.0 Capex Real Dollars'!F$10:F$37)</f>
        <v>7.4274418828483197</v>
      </c>
      <c r="H27" s="28">
        <f>SUMIF('2.0 Capex Real Dollars'!$D$10:$D$37,'3.0 Outputs'!$E27,'2.0 Capex Real Dollars'!G$10:G$37)</f>
        <v>3.2338402734315452</v>
      </c>
      <c r="I27" s="28">
        <f>SUMIF('2.0 Capex Real Dollars'!$D$10:$D$37,'3.0 Outputs'!$E27,'2.0 Capex Real Dollars'!H$10:H$37)</f>
        <v>9.7501457103289866</v>
      </c>
      <c r="J27" s="28">
        <f>SUMIF('2.0 Capex Real Dollars'!$D$10:$D$37,'3.0 Outputs'!$E27,'2.0 Capex Real Dollars'!I$10:I$37)</f>
        <v>29.299066334749629</v>
      </c>
      <c r="K27" s="38">
        <f>SUM(F27:J27)</f>
        <v>64.698199996590205</v>
      </c>
    </row>
    <row r="28" spans="5:15">
      <c r="E28" s="25" t="str">
        <f>'1.1 Input'!B23</f>
        <v>Capitalised network overheads</v>
      </c>
      <c r="F28" s="28">
        <f>SUMIF('2.0 Capex Real Dollars'!$D$10:$D$37,'3.0 Outputs'!$E28,'2.0 Capex Real Dollars'!E$10:E$37)</f>
        <v>0</v>
      </c>
      <c r="G28" s="28">
        <f>SUMIF('2.0 Capex Real Dollars'!$D$10:$D$37,'3.0 Outputs'!$E28,'2.0 Capex Real Dollars'!F$10:F$37)</f>
        <v>0</v>
      </c>
      <c r="H28" s="28">
        <f>SUMIF('2.0 Capex Real Dollars'!$D$10:$D$37,'3.0 Outputs'!$E28,'2.0 Capex Real Dollars'!G$10:G$37)</f>
        <v>0</v>
      </c>
      <c r="I28" s="28">
        <f>SUMIF('2.0 Capex Real Dollars'!$D$10:$D$37,'3.0 Outputs'!$E28,'2.0 Capex Real Dollars'!H$10:H$37)</f>
        <v>0</v>
      </c>
      <c r="J28" s="28">
        <f>SUMIF('2.0 Capex Real Dollars'!$D$10:$D$37,'3.0 Outputs'!$E28,'2.0 Capex Real Dollars'!I$10:I$37)</f>
        <v>0</v>
      </c>
      <c r="K28" s="38">
        <f t="shared" ref="K28:K33" si="5">SUM(F28:J28)</f>
        <v>0</v>
      </c>
    </row>
    <row r="29" spans="5:15">
      <c r="E29" s="25" t="str">
        <f>'1.1 Input'!B24</f>
        <v>Capitalised corporate overheads</v>
      </c>
      <c r="F29" s="28">
        <f>SUMIF('2.0 Capex Real Dollars'!$D$10:$D$37,'3.0 Outputs'!$E29,'2.0 Capex Real Dollars'!E$10:E$37)</f>
        <v>0</v>
      </c>
      <c r="G29" s="28">
        <f>SUMIF('2.0 Capex Real Dollars'!$D$10:$D$37,'3.0 Outputs'!$E29,'2.0 Capex Real Dollars'!F$10:F$37)</f>
        <v>0</v>
      </c>
      <c r="H29" s="28">
        <f>SUMIF('2.0 Capex Real Dollars'!$D$10:$D$37,'3.0 Outputs'!$E29,'2.0 Capex Real Dollars'!G$10:G$37)</f>
        <v>0</v>
      </c>
      <c r="I29" s="28">
        <f>SUMIF('2.0 Capex Real Dollars'!$D$10:$D$37,'3.0 Outputs'!$E29,'2.0 Capex Real Dollars'!H$10:H$37)</f>
        <v>0</v>
      </c>
      <c r="J29" s="28">
        <f>SUMIF('2.0 Capex Real Dollars'!$D$10:$D$37,'3.0 Outputs'!$E29,'2.0 Capex Real Dollars'!I$10:I$37)</f>
        <v>0</v>
      </c>
      <c r="K29" s="38">
        <f t="shared" si="5"/>
        <v>0</v>
      </c>
    </row>
    <row r="30" spans="5:15">
      <c r="E30" s="25" t="str">
        <f>'1.1 Input'!B25</f>
        <v>Non-network IT &amp; communications</v>
      </c>
      <c r="F30" s="28">
        <f>SUMIF('2.0 Capex Real Dollars'!$D$10:$D$37,'3.0 Outputs'!$E30,'2.0 Capex Real Dollars'!E$10:E$37)</f>
        <v>1.7520493191558952</v>
      </c>
      <c r="G30" s="28">
        <f>SUMIF('2.0 Capex Real Dollars'!$D$10:$D$37,'3.0 Outputs'!$E30,'2.0 Capex Real Dollars'!F$10:F$37)</f>
        <v>1.1502978323178954</v>
      </c>
      <c r="H30" s="28">
        <f>SUMIF('2.0 Capex Real Dollars'!$D$10:$D$37,'3.0 Outputs'!$E30,'2.0 Capex Real Dollars'!G$10:G$37)</f>
        <v>0.84136111155734616</v>
      </c>
      <c r="I30" s="28">
        <f>SUMIF('2.0 Capex Real Dollars'!$D$10:$D$37,'3.0 Outputs'!$E30,'2.0 Capex Real Dollars'!H$10:H$37)</f>
        <v>1.1514643088802721</v>
      </c>
      <c r="J30" s="28">
        <f>SUMIF('2.0 Capex Real Dollars'!$D$10:$D$37,'3.0 Outputs'!$E30,'2.0 Capex Real Dollars'!I$10:I$37)</f>
        <v>0.99297229646543284</v>
      </c>
      <c r="K30" s="38">
        <f t="shared" si="5"/>
        <v>5.8881448683768411</v>
      </c>
    </row>
    <row r="31" spans="5:15">
      <c r="E31" s="25" t="str">
        <f>'1.1 Input'!B26</f>
        <v>Non-network motor vehicle expenditure</v>
      </c>
      <c r="F31" s="28">
        <f>SUMIF('2.0 Capex Real Dollars'!$D$10:$D$37,'3.0 Outputs'!$E31,'2.0 Capex Real Dollars'!E$10:E$37)</f>
        <v>0</v>
      </c>
      <c r="G31" s="28">
        <f>SUMIF('2.0 Capex Real Dollars'!$D$10:$D$37,'3.0 Outputs'!$E31,'2.0 Capex Real Dollars'!F$10:F$37)</f>
        <v>0</v>
      </c>
      <c r="H31" s="28">
        <f>SUMIF('2.0 Capex Real Dollars'!$D$10:$D$37,'3.0 Outputs'!$E31,'2.0 Capex Real Dollars'!G$10:G$37)</f>
        <v>0</v>
      </c>
      <c r="I31" s="28">
        <f>SUMIF('2.0 Capex Real Dollars'!$D$10:$D$37,'3.0 Outputs'!$E31,'2.0 Capex Real Dollars'!H$10:H$37)</f>
        <v>0</v>
      </c>
      <c r="J31" s="28">
        <f>SUMIF('2.0 Capex Real Dollars'!$D$10:$D$37,'3.0 Outputs'!$E31,'2.0 Capex Real Dollars'!I$10:I$37)</f>
        <v>0</v>
      </c>
      <c r="K31" s="38">
        <f t="shared" si="5"/>
        <v>0</v>
      </c>
      <c r="O31" s="65">
        <f>29.9/55.5</f>
        <v>0.53873873873873868</v>
      </c>
    </row>
    <row r="32" spans="5:15" ht="28.5">
      <c r="E32" s="25" t="str">
        <f>'1.1 Input'!B27</f>
        <v>Non-network buildings and property expenditure</v>
      </c>
      <c r="F32" s="28">
        <f>SUMIF('2.0 Capex Real Dollars'!$D$10:$D$37,'3.0 Outputs'!$E32,'2.0 Capex Real Dollars'!E$10:E$37)</f>
        <v>1.7493599604286894</v>
      </c>
      <c r="G32" s="28">
        <f>SUMIF('2.0 Capex Real Dollars'!$D$10:$D$37,'3.0 Outputs'!$E32,'2.0 Capex Real Dollars'!F$10:F$37)</f>
        <v>1.7493599604286894</v>
      </c>
      <c r="H32" s="28">
        <f>SUMIF('2.0 Capex Real Dollars'!$D$10:$D$37,'3.0 Outputs'!$E32,'2.0 Capex Real Dollars'!G$10:G$37)</f>
        <v>0</v>
      </c>
      <c r="I32" s="28">
        <f>SUMIF('2.0 Capex Real Dollars'!$D$10:$D$37,'3.0 Outputs'!$E32,'2.0 Capex Real Dollars'!H$10:H$37)</f>
        <v>0</v>
      </c>
      <c r="J32" s="28">
        <f>SUMIF('2.0 Capex Real Dollars'!$D$10:$D$37,'3.0 Outputs'!$E32,'2.0 Capex Real Dollars'!I$10:I$37)</f>
        <v>0</v>
      </c>
      <c r="K32" s="38">
        <f t="shared" si="5"/>
        <v>3.4987199208573787</v>
      </c>
    </row>
    <row r="33" spans="1:13" ht="15.75" thickBot="1">
      <c r="E33" s="25" t="str">
        <f>'1.1 Input'!B28</f>
        <v>Non-network other</v>
      </c>
      <c r="F33" s="28">
        <f>SUMIF('2.0 Capex Real Dollars'!$D$10:$D$37,'3.0 Outputs'!$E33,'2.0 Capex Real Dollars'!E$10:E$37)</f>
        <v>0</v>
      </c>
      <c r="G33" s="28">
        <f>SUMIF('2.0 Capex Real Dollars'!$D$10:$D$37,'3.0 Outputs'!$E33,'2.0 Capex Real Dollars'!F$10:F$37)</f>
        <v>0</v>
      </c>
      <c r="H33" s="28">
        <f>SUMIF('2.0 Capex Real Dollars'!$D$10:$D$37,'3.0 Outputs'!$E33,'2.0 Capex Real Dollars'!G$10:G$37)</f>
        <v>0</v>
      </c>
      <c r="I33" s="28">
        <f>SUMIF('2.0 Capex Real Dollars'!$D$10:$D$37,'3.0 Outputs'!$E33,'2.0 Capex Real Dollars'!H$10:H$37)</f>
        <v>0</v>
      </c>
      <c r="J33" s="28">
        <f>SUMIF('2.0 Capex Real Dollars'!$D$10:$D$37,'3.0 Outputs'!$E33,'2.0 Capex Real Dollars'!I$10:I$37)</f>
        <v>0</v>
      </c>
      <c r="K33" s="38">
        <f t="shared" si="5"/>
        <v>0</v>
      </c>
    </row>
    <row r="34" spans="1:13" ht="15.75" thickTop="1">
      <c r="E34" s="31" t="s">
        <v>2</v>
      </c>
      <c r="F34" s="40">
        <f>SUM(F26:F33)</f>
        <v>18.489115074816304</v>
      </c>
      <c r="G34" s="40">
        <f t="shared" ref="G34:K34" si="6">SUM(G26:G33)</f>
        <v>10.327099675594905</v>
      </c>
      <c r="H34" s="40">
        <f t="shared" si="6"/>
        <v>4.0752013849888913</v>
      </c>
      <c r="I34" s="40">
        <f t="shared" si="6"/>
        <v>10.901610019209258</v>
      </c>
      <c r="J34" s="40">
        <f t="shared" si="6"/>
        <v>30.29203863121506</v>
      </c>
      <c r="K34" s="40">
        <f t="shared" si="6"/>
        <v>74.085064785824429</v>
      </c>
      <c r="M34" s="16">
        <f>K34-K11</f>
        <v>29.90848578485668</v>
      </c>
    </row>
    <row r="35" spans="1:13" ht="15.75" thickBot="1">
      <c r="E35" s="13"/>
      <c r="F35" s="14"/>
      <c r="G35" s="14"/>
      <c r="H35" s="14"/>
      <c r="I35" s="14"/>
      <c r="J35" s="14"/>
      <c r="K35" s="15"/>
    </row>
    <row r="36" spans="1:13" ht="15.75" thickBot="1">
      <c r="E36" s="26" t="s">
        <v>133</v>
      </c>
      <c r="F36" s="26" t="str">
        <f t="shared" ref="F36:K36" si="7">F$8</f>
        <v>2025/26</v>
      </c>
      <c r="G36" s="26" t="str">
        <f t="shared" si="7"/>
        <v>2026/27</v>
      </c>
      <c r="H36" s="26" t="str">
        <f t="shared" si="7"/>
        <v>2027/28</v>
      </c>
      <c r="I36" s="26" t="str">
        <f t="shared" si="7"/>
        <v>2028/29</v>
      </c>
      <c r="J36" s="26" t="str">
        <f t="shared" si="7"/>
        <v>2029/30</v>
      </c>
      <c r="K36" s="26" t="str">
        <f t="shared" si="7"/>
        <v>Total</v>
      </c>
    </row>
    <row r="37" spans="1:13" ht="16.5" thickTop="1" thickBot="1">
      <c r="E37" s="25" t="s">
        <v>134</v>
      </c>
      <c r="F37" s="28">
        <f>F34</f>
        <v>18.489115074816304</v>
      </c>
      <c r="G37" s="28">
        <f>G34</f>
        <v>10.327099675594905</v>
      </c>
      <c r="H37" s="28">
        <f>H34</f>
        <v>4.0752013849888913</v>
      </c>
      <c r="I37" s="28">
        <f>I34</f>
        <v>10.901610019209258</v>
      </c>
      <c r="J37" s="28">
        <f>J34</f>
        <v>30.29203863121506</v>
      </c>
      <c r="K37" s="38">
        <f>SUM(F37:J37)</f>
        <v>74.085064785824414</v>
      </c>
      <c r="M37" s="23">
        <f>K37-'2.0 Capex Real Dollars'!J5</f>
        <v>0</v>
      </c>
    </row>
    <row r="38" spans="1:13" ht="15.75" thickTop="1"/>
    <row r="39" spans="1:13">
      <c r="A39" s="3" t="s">
        <v>135</v>
      </c>
      <c r="B39" s="3"/>
      <c r="C39" s="3"/>
      <c r="D39" s="3"/>
      <c r="E39" s="3" t="str">
        <f>E7</f>
        <v>Forecast Period ($'000 real FY 23)</v>
      </c>
      <c r="F39" s="3"/>
      <c r="G39" s="3"/>
      <c r="H39" s="3"/>
      <c r="I39" s="3"/>
      <c r="J39" s="3"/>
      <c r="K39" s="3"/>
      <c r="L39" s="3"/>
      <c r="M39" s="3"/>
    </row>
    <row r="40" spans="1:13" ht="15.75" thickBot="1"/>
    <row r="41" spans="1:13" ht="15.75" thickBot="1">
      <c r="E41" s="26" t="s">
        <v>4</v>
      </c>
      <c r="F41" s="26" t="str">
        <f t="shared" ref="F41:K41" si="8">F$8</f>
        <v>2025/26</v>
      </c>
      <c r="G41" s="26" t="str">
        <f t="shared" si="8"/>
        <v>2026/27</v>
      </c>
      <c r="H41" s="26" t="str">
        <f t="shared" si="8"/>
        <v>2027/28</v>
      </c>
      <c r="I41" s="26" t="str">
        <f t="shared" si="8"/>
        <v>2028/29</v>
      </c>
      <c r="J41" s="26" t="str">
        <f t="shared" si="8"/>
        <v>2029/30</v>
      </c>
      <c r="K41" s="26" t="str">
        <f t="shared" si="8"/>
        <v>Total</v>
      </c>
    </row>
    <row r="42" spans="1:13">
      <c r="E42" s="25" t="str">
        <f>'1.1 Input'!C20</f>
        <v>AC FILTERS</v>
      </c>
      <c r="F42" s="28">
        <f>SUMIF('2.0 Capex Real Dollars'!$C$10:$C$36,$E42,'2.0 Capex Real Dollars'!E$10:E$36)</f>
        <v>0</v>
      </c>
      <c r="G42" s="28">
        <f>SUMIF('2.0 Capex Real Dollars'!$C$10:$C$36,$E42,'2.0 Capex Real Dollars'!F$10:F$36)</f>
        <v>0</v>
      </c>
      <c r="H42" s="28">
        <f>SUMIF('2.0 Capex Real Dollars'!$C$10:$C$36,$E42,'2.0 Capex Real Dollars'!G$10:G$36)</f>
        <v>0</v>
      </c>
      <c r="I42" s="28">
        <f>SUMIF('2.0 Capex Real Dollars'!$C$10:$C$36,$E42,'2.0 Capex Real Dollars'!H$10:H$36)</f>
        <v>0</v>
      </c>
      <c r="J42" s="28">
        <f>SUMIF('2.0 Capex Real Dollars'!$C$10:$C$36,$E42,'2.0 Capex Real Dollars'!I$10:I$36)</f>
        <v>0</v>
      </c>
      <c r="K42" s="38">
        <f>SUM(F42:J42)</f>
        <v>0</v>
      </c>
    </row>
    <row r="43" spans="1:13">
      <c r="E43" s="25" t="str">
        <f>'1.1 Input'!C21</f>
        <v>AC SWITCHYARD</v>
      </c>
      <c r="F43" s="28">
        <f>SUMIF('2.0 Capex Real Dollars'!$C$10:$C$36,$E43,'2.0 Capex Real Dollars'!E$10:E$36)</f>
        <v>0</v>
      </c>
      <c r="G43" s="28">
        <f>SUMIF('2.0 Capex Real Dollars'!$C$10:$C$36,$E43,'2.0 Capex Real Dollars'!F$10:F$36)</f>
        <v>0</v>
      </c>
      <c r="H43" s="28">
        <f>SUMIF('2.0 Capex Real Dollars'!$C$10:$C$36,$E43,'2.0 Capex Real Dollars'!G$10:G$36)</f>
        <v>0</v>
      </c>
      <c r="I43" s="28">
        <f>SUMIF('2.0 Capex Real Dollars'!$C$10:$C$36,$E43,'2.0 Capex Real Dollars'!H$10:H$36)</f>
        <v>0</v>
      </c>
      <c r="J43" s="28">
        <f>SUMIF('2.0 Capex Real Dollars'!$C$10:$C$36,$E43,'2.0 Capex Real Dollars'!I$10:I$36)</f>
        <v>0</v>
      </c>
      <c r="K43" s="38">
        <f t="shared" ref="K43:K52" si="9">SUM(F43:J43)</f>
        <v>0</v>
      </c>
    </row>
    <row r="44" spans="1:13">
      <c r="E44" s="25" t="str">
        <f>'1.1 Input'!C22</f>
        <v>AUXILIARY SYSTEMS</v>
      </c>
      <c r="F44" s="28">
        <f>SUMIF('2.0 Capex Real Dollars'!$C$10:$C$36,$E44,'2.0 Capex Real Dollars'!E$10:E$36)</f>
        <v>0</v>
      </c>
      <c r="G44" s="28">
        <f>SUMIF('2.0 Capex Real Dollars'!$C$10:$C$36,$E44,'2.0 Capex Real Dollars'!F$10:F$36)</f>
        <v>0</v>
      </c>
      <c r="H44" s="28">
        <f>SUMIF('2.0 Capex Real Dollars'!$C$10:$C$36,$E44,'2.0 Capex Real Dollars'!G$10:G$36)</f>
        <v>0</v>
      </c>
      <c r="I44" s="28">
        <f>SUMIF('2.0 Capex Real Dollars'!$C$10:$C$36,$E44,'2.0 Capex Real Dollars'!H$10:H$36)</f>
        <v>0</v>
      </c>
      <c r="J44" s="28">
        <f>SUMIF('2.0 Capex Real Dollars'!$C$10:$C$36,$E44,'2.0 Capex Real Dollars'!I$10:I$36)</f>
        <v>0</v>
      </c>
      <c r="K44" s="38">
        <f t="shared" si="9"/>
        <v>0</v>
      </c>
    </row>
    <row r="45" spans="1:13">
      <c r="E45" s="25" t="str">
        <f>'1.1 Input'!C23</f>
        <v>CABLE</v>
      </c>
      <c r="F45" s="28">
        <f>SUMIF('2.0 Capex Real Dollars'!$C$10:$C$36,$E45,'2.0 Capex Real Dollars'!E$10:E$36)</f>
        <v>0</v>
      </c>
      <c r="G45" s="28">
        <f>SUMIF('2.0 Capex Real Dollars'!$C$10:$C$36,$E45,'2.0 Capex Real Dollars'!F$10:F$36)</f>
        <v>0</v>
      </c>
      <c r="H45" s="28">
        <f>SUMIF('2.0 Capex Real Dollars'!$C$10:$C$36,$E45,'2.0 Capex Real Dollars'!G$10:G$36)</f>
        <v>0</v>
      </c>
      <c r="I45" s="28">
        <f>SUMIF('2.0 Capex Real Dollars'!$C$10:$C$36,$E45,'2.0 Capex Real Dollars'!H$10:H$36)</f>
        <v>0.98879356092055048</v>
      </c>
      <c r="J45" s="28">
        <f>SUMIF('2.0 Capex Real Dollars'!$C$10:$C$36,$E45,'2.0 Capex Real Dollars'!I$10:I$36)</f>
        <v>10.822995115911107</v>
      </c>
      <c r="K45" s="38">
        <f t="shared" si="9"/>
        <v>11.811788676831657</v>
      </c>
    </row>
    <row r="46" spans="1:13">
      <c r="E46" s="25" t="str">
        <f>'1.1 Input'!C24</f>
        <v>CONTROL SYSTEM</v>
      </c>
      <c r="F46" s="28">
        <f>SUMIF('2.0 Capex Real Dollars'!$C$10:$C$36,$E46,'2.0 Capex Real Dollars'!E$10:E$36)</f>
        <v>7.8795047185434761</v>
      </c>
      <c r="G46" s="28">
        <f>SUMIF('2.0 Capex Real Dollars'!$C$10:$C$36,$E46,'2.0 Capex Real Dollars'!F$10:F$36)</f>
        <v>6.3512205010245975</v>
      </c>
      <c r="H46" s="28">
        <f>SUMIF('2.0 Capex Real Dollars'!$C$10:$C$36,$E46,'2.0 Capex Real Dollars'!G$10:G$36)</f>
        <v>3.0627271149085691</v>
      </c>
      <c r="I46" s="28">
        <f>SUMIF('2.0 Capex Real Dollars'!$C$10:$C$36,$E46,'2.0 Capex Real Dollars'!H$10:H$36)</f>
        <v>8.4574647590765863</v>
      </c>
      <c r="J46" s="28">
        <f>SUMIF('2.0 Capex Real Dollars'!$C$10:$C$36,$E46,'2.0 Capex Real Dollars'!I$10:I$36)</f>
        <v>18.425661907414522</v>
      </c>
      <c r="K46" s="38">
        <f t="shared" si="9"/>
        <v>44.176579000967749</v>
      </c>
    </row>
    <row r="47" spans="1:13">
      <c r="E47" s="25" t="str">
        <f>'1.1 Input'!C25</f>
        <v>CONVERTER TRANSFORMER</v>
      </c>
      <c r="F47" s="28">
        <f>SUMIF('2.0 Capex Real Dollars'!$C$10:$C$36,$E47,'2.0 Capex Real Dollars'!E$10:E$36)</f>
        <v>0</v>
      </c>
      <c r="G47" s="28">
        <f>SUMIF('2.0 Capex Real Dollars'!$C$10:$C$36,$E47,'2.0 Capex Real Dollars'!F$10:F$36)</f>
        <v>0</v>
      </c>
      <c r="H47" s="28">
        <f>SUMIF('2.0 Capex Real Dollars'!$C$10:$C$36,$E47,'2.0 Capex Real Dollars'!G$10:G$36)</f>
        <v>0</v>
      </c>
      <c r="I47" s="28">
        <f>SUMIF('2.0 Capex Real Dollars'!$C$10:$C$36,$E47,'2.0 Capex Real Dollars'!H$10:H$36)</f>
        <v>0</v>
      </c>
      <c r="J47" s="28">
        <f>SUMIF('2.0 Capex Real Dollars'!$C$10:$C$36,$E47,'2.0 Capex Real Dollars'!I$10:I$36)</f>
        <v>0</v>
      </c>
      <c r="K47" s="38">
        <f t="shared" si="9"/>
        <v>0</v>
      </c>
    </row>
    <row r="48" spans="1:13">
      <c r="E48" s="25" t="str">
        <f>'1.1 Input'!C26</f>
        <v>DC FILTER</v>
      </c>
      <c r="F48" s="28">
        <f>SUMIF('2.0 Capex Real Dollars'!$C$10:$C$36,$E48,'2.0 Capex Real Dollars'!E$10:E$36)</f>
        <v>0</v>
      </c>
      <c r="G48" s="28">
        <f>SUMIF('2.0 Capex Real Dollars'!$C$10:$C$36,$E48,'2.0 Capex Real Dollars'!F$10:F$36)</f>
        <v>0</v>
      </c>
      <c r="H48" s="28">
        <f>SUMIF('2.0 Capex Real Dollars'!$C$10:$C$36,$E48,'2.0 Capex Real Dollars'!G$10:G$36)</f>
        <v>0</v>
      </c>
      <c r="I48" s="28">
        <f>SUMIF('2.0 Capex Real Dollars'!$C$10:$C$36,$E48,'2.0 Capex Real Dollars'!H$10:H$36)</f>
        <v>0</v>
      </c>
      <c r="J48" s="28">
        <f>SUMIF('2.0 Capex Real Dollars'!$C$10:$C$36,$E48,'2.0 Capex Real Dollars'!I$10:I$36)</f>
        <v>0</v>
      </c>
      <c r="K48" s="38">
        <f t="shared" si="9"/>
        <v>0</v>
      </c>
    </row>
    <row r="49" spans="5:13">
      <c r="E49" s="25" t="str">
        <f>'1.1 Input'!C27</f>
        <v>DC SWITCHYARD</v>
      </c>
      <c r="F49" s="28">
        <f>SUMIF('2.0 Capex Real Dollars'!$C$10:$C$36,$E49,'2.0 Capex Real Dollars'!E$10:E$36)</f>
        <v>0</v>
      </c>
      <c r="G49" s="28">
        <f>SUMIF('2.0 Capex Real Dollars'!$C$10:$C$36,$E49,'2.0 Capex Real Dollars'!F$10:F$36)</f>
        <v>0</v>
      </c>
      <c r="H49" s="28">
        <f>SUMIF('2.0 Capex Real Dollars'!$C$10:$C$36,$E49,'2.0 Capex Real Dollars'!G$10:G$36)</f>
        <v>0</v>
      </c>
      <c r="I49" s="28">
        <f>SUMIF('2.0 Capex Real Dollars'!$C$10:$C$36,$E49,'2.0 Capex Real Dollars'!H$10:H$36)</f>
        <v>0</v>
      </c>
      <c r="J49" s="28">
        <f>SUMIF('2.0 Capex Real Dollars'!$C$10:$C$36,$E49,'2.0 Capex Real Dollars'!I$10:I$36)</f>
        <v>0</v>
      </c>
      <c r="K49" s="38">
        <f t="shared" si="9"/>
        <v>0</v>
      </c>
    </row>
    <row r="50" spans="5:13">
      <c r="E50" s="25" t="str">
        <f>'1.1 Input'!C28</f>
        <v>EASEMENT</v>
      </c>
      <c r="F50" s="28">
        <f>SUMIF('2.0 Capex Real Dollars'!$C$10:$C$36,$E50,'2.0 Capex Real Dollars'!E$10:E$36)</f>
        <v>0</v>
      </c>
      <c r="G50" s="28">
        <f>SUMIF('2.0 Capex Real Dollars'!$C$10:$C$36,$E50,'2.0 Capex Real Dollars'!F$10:F$36)</f>
        <v>0</v>
      </c>
      <c r="H50" s="28">
        <f>SUMIF('2.0 Capex Real Dollars'!$C$10:$C$36,$E50,'2.0 Capex Real Dollars'!G$10:G$36)</f>
        <v>0</v>
      </c>
      <c r="I50" s="28">
        <f>SUMIF('2.0 Capex Real Dollars'!$C$10:$C$36,$E50,'2.0 Capex Real Dollars'!H$10:H$36)</f>
        <v>0</v>
      </c>
      <c r="J50" s="28">
        <f>SUMIF('2.0 Capex Real Dollars'!$C$10:$C$36,$E50,'2.0 Capex Real Dollars'!I$10:I$36)</f>
        <v>0</v>
      </c>
      <c r="K50" s="38">
        <f t="shared" si="9"/>
        <v>0</v>
      </c>
    </row>
    <row r="51" spans="5:13">
      <c r="E51" s="25" t="str">
        <f>'1.1 Input'!C29</f>
        <v>FREEHOLD LAND</v>
      </c>
      <c r="F51" s="28">
        <f>SUMIF('2.0 Capex Real Dollars'!$C$10:$C$36,$E51,'2.0 Capex Real Dollars'!E$10:E$36)</f>
        <v>0</v>
      </c>
      <c r="G51" s="28">
        <f>SUMIF('2.0 Capex Real Dollars'!$C$10:$C$36,$E51,'2.0 Capex Real Dollars'!F$10:F$36)</f>
        <v>0</v>
      </c>
      <c r="H51" s="28">
        <f>SUMIF('2.0 Capex Real Dollars'!$C$10:$C$36,$E51,'2.0 Capex Real Dollars'!G$10:G$36)</f>
        <v>0</v>
      </c>
      <c r="I51" s="28">
        <f>SUMIF('2.0 Capex Real Dollars'!$C$10:$C$36,$E51,'2.0 Capex Real Dollars'!H$10:H$36)</f>
        <v>0</v>
      </c>
      <c r="J51" s="28">
        <f>SUMIF('2.0 Capex Real Dollars'!$C$10:$C$36,$E51,'2.0 Capex Real Dollars'!I$10:I$36)</f>
        <v>0</v>
      </c>
      <c r="K51" s="38">
        <f t="shared" si="9"/>
        <v>0</v>
      </c>
    </row>
    <row r="52" spans="5:13">
      <c r="E52" s="25" t="str">
        <f>'1.1 Input'!C30</f>
        <v>MEASURING DEVICES</v>
      </c>
      <c r="F52" s="28">
        <f>SUMIF('2.0 Capex Real Dollars'!$C$10:$C$36,$E52,'2.0 Capex Real Dollars'!E$10:E$36)</f>
        <v>0</v>
      </c>
      <c r="G52" s="28">
        <f>SUMIF('2.0 Capex Real Dollars'!$C$10:$C$36,$E52,'2.0 Capex Real Dollars'!F$10:F$36)</f>
        <v>0</v>
      </c>
      <c r="H52" s="28">
        <f>SUMIF('2.0 Capex Real Dollars'!$C$10:$C$36,$E52,'2.0 Capex Real Dollars'!G$10:G$36)</f>
        <v>0</v>
      </c>
      <c r="I52" s="28">
        <f>SUMIF('2.0 Capex Real Dollars'!$C$10:$C$36,$E52,'2.0 Capex Real Dollars'!H$10:H$36)</f>
        <v>0</v>
      </c>
      <c r="J52" s="28">
        <f>SUMIF('2.0 Capex Real Dollars'!$C$10:$C$36,$E52,'2.0 Capex Real Dollars'!I$10:I$36)</f>
        <v>0</v>
      </c>
      <c r="K52" s="38">
        <f t="shared" si="9"/>
        <v>0</v>
      </c>
    </row>
    <row r="53" spans="5:13">
      <c r="E53" s="25" t="str">
        <f>'1.1 Input'!C31</f>
        <v>MOTOR VEHICLES</v>
      </c>
      <c r="F53" s="28">
        <f>SUMIF('2.0 Capex Real Dollars'!$C$10:$C$36,$E53,'2.0 Capex Real Dollars'!E$10:E$36)</f>
        <v>0</v>
      </c>
      <c r="G53" s="28">
        <f>SUMIF('2.0 Capex Real Dollars'!$C$10:$C$36,$E53,'2.0 Capex Real Dollars'!F$10:F$36)</f>
        <v>0</v>
      </c>
      <c r="H53" s="28">
        <f>SUMIF('2.0 Capex Real Dollars'!$C$10:$C$36,$E53,'2.0 Capex Real Dollars'!G$10:G$36)</f>
        <v>0</v>
      </c>
      <c r="I53" s="28">
        <f>SUMIF('2.0 Capex Real Dollars'!$C$10:$C$36,$E53,'2.0 Capex Real Dollars'!H$10:H$36)</f>
        <v>0</v>
      </c>
      <c r="J53" s="28">
        <f>SUMIF('2.0 Capex Real Dollars'!$C$10:$C$36,$E53,'2.0 Capex Real Dollars'!I$10:I$36)</f>
        <v>0</v>
      </c>
      <c r="K53" s="38">
        <f t="shared" ref="K53:K59" si="10">SUM(F53:J53)</f>
        <v>0</v>
      </c>
    </row>
    <row r="54" spans="5:13">
      <c r="E54" s="25" t="str">
        <f>'1.1 Input'!C32</f>
        <v>OTHER</v>
      </c>
      <c r="F54" s="28">
        <f>SUMIF('2.0 Capex Real Dollars'!$C$10:$C$36,$E54,'2.0 Capex Real Dollars'!E$10:E$36)</f>
        <v>1.6193748108403134</v>
      </c>
      <c r="G54" s="28">
        <f>SUMIF('2.0 Capex Real Dollars'!$C$10:$C$36,$E54,'2.0 Capex Real Dollars'!F$10:F$36)</f>
        <v>1.2007071437418955</v>
      </c>
      <c r="H54" s="28">
        <f>SUMIF('2.0 Capex Real Dollars'!$C$10:$C$36,$E54,'2.0 Capex Real Dollars'!G$10:G$36)</f>
        <v>0.89177042298134612</v>
      </c>
      <c r="I54" s="28">
        <f>SUMIF('2.0 Capex Real Dollars'!$C$10:$C$36,$E54,'2.0 Capex Real Dollars'!H$10:H$36)</f>
        <v>1.2018736203042721</v>
      </c>
      <c r="J54" s="28">
        <f>SUMIF('2.0 Capex Real Dollars'!$C$10:$C$36,$E54,'2.0 Capex Real Dollars'!I$10:I$36)</f>
        <v>1.0433816078894329</v>
      </c>
      <c r="K54" s="38">
        <f t="shared" si="10"/>
        <v>5.9571076057572601</v>
      </c>
    </row>
    <row r="55" spans="5:13">
      <c r="E55" s="25" t="str">
        <f>'1.1 Input'!C33</f>
        <v>OVERHEAD LINES</v>
      </c>
      <c r="F55" s="28">
        <f>SUMIF('2.0 Capex Real Dollars'!$C$10:$C$36,$E55,'2.0 Capex Real Dollars'!E$10:E$36)</f>
        <v>0</v>
      </c>
      <c r="G55" s="28">
        <f>SUMIF('2.0 Capex Real Dollars'!$C$10:$C$36,$E55,'2.0 Capex Real Dollars'!F$10:F$36)</f>
        <v>0</v>
      </c>
      <c r="H55" s="28">
        <f>SUMIF('2.0 Capex Real Dollars'!$C$10:$C$36,$E55,'2.0 Capex Real Dollars'!G$10:G$36)</f>
        <v>0</v>
      </c>
      <c r="I55" s="28">
        <f>SUMIF('2.0 Capex Real Dollars'!$C$10:$C$36,$E55,'2.0 Capex Real Dollars'!H$10:H$36)</f>
        <v>0</v>
      </c>
      <c r="J55" s="28">
        <f>SUMIF('2.0 Capex Real Dollars'!$C$10:$C$36,$E55,'2.0 Capex Real Dollars'!I$10:I$36)</f>
        <v>0</v>
      </c>
      <c r="K55" s="38">
        <f t="shared" si="10"/>
        <v>0</v>
      </c>
    </row>
    <row r="56" spans="5:13">
      <c r="E56" s="25" t="str">
        <f>'1.1 Input'!C34</f>
        <v>SMOOTHING REACTOR</v>
      </c>
      <c r="F56" s="28">
        <f>SUMIF('2.0 Capex Real Dollars'!$C$10:$C$36,$E56,'2.0 Capex Real Dollars'!E$10:E$36)</f>
        <v>0</v>
      </c>
      <c r="G56" s="28">
        <f>SUMIF('2.0 Capex Real Dollars'!$C$10:$C$36,$E56,'2.0 Capex Real Dollars'!F$10:F$36)</f>
        <v>0.78440437620177073</v>
      </c>
      <c r="H56" s="28">
        <f>SUMIF('2.0 Capex Real Dollars'!$C$10:$C$36,$E56,'2.0 Capex Real Dollars'!G$10:G$36)</f>
        <v>0</v>
      </c>
      <c r="I56" s="28">
        <f>SUMIF('2.0 Capex Real Dollars'!$C$10:$C$36,$E56,'2.0 Capex Real Dollars'!H$10:H$36)</f>
        <v>0</v>
      </c>
      <c r="J56" s="28">
        <f>SUMIF('2.0 Capex Real Dollars'!$C$10:$C$36,$E56,'2.0 Capex Real Dollars'!I$10:I$36)</f>
        <v>0</v>
      </c>
      <c r="K56" s="38">
        <f t="shared" si="10"/>
        <v>0.78440437620177073</v>
      </c>
    </row>
    <row r="57" spans="5:13">
      <c r="E57" s="25" t="str">
        <f>'1.1 Input'!C35</f>
        <v>STATION POWER SUPPLY</v>
      </c>
      <c r="F57" s="28">
        <f>SUMIF('2.0 Capex Real Dollars'!$C$10:$C$36,$E57,'2.0 Capex Real Dollars'!E$10:E$36)</f>
        <v>0</v>
      </c>
      <c r="G57" s="28">
        <f>SUMIF('2.0 Capex Real Dollars'!$C$10:$C$36,$E57,'2.0 Capex Real Dollars'!F$10:F$36)</f>
        <v>0</v>
      </c>
      <c r="H57" s="28">
        <f>SUMIF('2.0 Capex Real Dollars'!$C$10:$C$36,$E57,'2.0 Capex Real Dollars'!G$10:G$36)</f>
        <v>0</v>
      </c>
      <c r="I57" s="28">
        <f>SUMIF('2.0 Capex Real Dollars'!$C$10:$C$36,$E57,'2.0 Capex Real Dollars'!H$10:H$36)</f>
        <v>0</v>
      </c>
      <c r="J57" s="28">
        <f>SUMIF('2.0 Capex Real Dollars'!$C$10:$C$36,$E57,'2.0 Capex Real Dollars'!I$10:I$36)</f>
        <v>0</v>
      </c>
      <c r="K57" s="38">
        <f t="shared" si="10"/>
        <v>0</v>
      </c>
    </row>
    <row r="58" spans="5:13">
      <c r="E58" s="25" t="str">
        <f>'1.1 Input'!C36</f>
        <v>SWITCHYARD COMPONENTS</v>
      </c>
      <c r="F58" s="28">
        <f>SUMIF('2.0 Capex Real Dollars'!$C$10:$C$36,$E58,'2.0 Capex Real Dollars'!E$10:E$36)</f>
        <v>7.0577917652642457</v>
      </c>
      <c r="G58" s="28">
        <f>SUMIF('2.0 Capex Real Dollars'!$C$10:$C$36,$E58,'2.0 Capex Real Dollars'!F$10:F$36)</f>
        <v>0.24140769419795222</v>
      </c>
      <c r="H58" s="28">
        <f>SUMIF('2.0 Capex Real Dollars'!$C$10:$C$36,$E58,'2.0 Capex Real Dollars'!G$10:G$36)</f>
        <v>0.12070384709897611</v>
      </c>
      <c r="I58" s="28">
        <f>SUMIF('2.0 Capex Real Dollars'!$C$10:$C$36,$E58,'2.0 Capex Real Dollars'!H$10:H$36)</f>
        <v>0.25347807890784979</v>
      </c>
      <c r="J58" s="28">
        <f>SUMIF('2.0 Capex Real Dollars'!$C$10:$C$36,$E58,'2.0 Capex Real Dollars'!I$10:I$36)</f>
        <v>0</v>
      </c>
      <c r="K58" s="38">
        <f t="shared" si="10"/>
        <v>7.6733813854690238</v>
      </c>
    </row>
    <row r="59" spans="5:13">
      <c r="E59" s="25" t="str">
        <f>'1.1 Input'!C37</f>
        <v>VALVE COOLING</v>
      </c>
      <c r="F59" s="28">
        <f>SUMIF('2.0 Capex Real Dollars'!$C$10:$C$36,$E59,'2.0 Capex Real Dollars'!E$10:E$36)</f>
        <v>0</v>
      </c>
      <c r="G59" s="28">
        <f>SUMIF('2.0 Capex Real Dollars'!$C$10:$C$36,$E59,'2.0 Capex Real Dollars'!F$10:F$36)</f>
        <v>0</v>
      </c>
      <c r="H59" s="28">
        <f>SUMIF('2.0 Capex Real Dollars'!$C$10:$C$36,$E59,'2.0 Capex Real Dollars'!G$10:G$36)</f>
        <v>0</v>
      </c>
      <c r="I59" s="28">
        <f>SUMIF('2.0 Capex Real Dollars'!$C$10:$C$36,$E59,'2.0 Capex Real Dollars'!H$10:H$36)</f>
        <v>0</v>
      </c>
      <c r="J59" s="28">
        <f>SUMIF('2.0 Capex Real Dollars'!$C$10:$C$36,$E59,'2.0 Capex Real Dollars'!I$10:I$36)</f>
        <v>0</v>
      </c>
      <c r="K59" s="38">
        <f t="shared" si="10"/>
        <v>0</v>
      </c>
    </row>
    <row r="60" spans="5:13">
      <c r="E60" s="25" t="str">
        <f>'1.1 Input'!C38</f>
        <v>VALVE HALL</v>
      </c>
      <c r="F60" s="28">
        <f>SUMIF('2.0 Capex Real Dollars'!$C$10:$C$36,$E60,'2.0 Capex Real Dollars'!E$10:E$36)</f>
        <v>0</v>
      </c>
      <c r="G60" s="28">
        <f>SUMIF('2.0 Capex Real Dollars'!$C$10:$C$36,$E60,'2.0 Capex Real Dollars'!F$10:F$36)</f>
        <v>0</v>
      </c>
      <c r="H60" s="28">
        <f>SUMIF('2.0 Capex Real Dollars'!$C$10:$C$36,$E60,'2.0 Capex Real Dollars'!G$10:G$36)</f>
        <v>0</v>
      </c>
      <c r="I60" s="28">
        <f>SUMIF('2.0 Capex Real Dollars'!$C$10:$C$36,$E60,'2.0 Capex Real Dollars'!H$10:H$36)</f>
        <v>0</v>
      </c>
      <c r="J60" s="28">
        <f>SUMIF('2.0 Capex Real Dollars'!$C$10:$C$36,$E60,'2.0 Capex Real Dollars'!I$10:I$36)</f>
        <v>0</v>
      </c>
      <c r="K60" s="38">
        <f t="shared" ref="K60:K62" si="11">SUM(F60:J60)</f>
        <v>0</v>
      </c>
    </row>
    <row r="61" spans="5:13">
      <c r="E61" s="25" t="str">
        <f>'1.1 Input'!C39</f>
        <v>BUILDING INSTALLATION</v>
      </c>
      <c r="F61" s="28">
        <f>SUMIF('2.0 Capex Real Dollars'!$C$10:$C$36,$E61,'2.0 Capex Real Dollars'!E$10:E$36)</f>
        <v>1.7493599604286894</v>
      </c>
      <c r="G61" s="28">
        <f>SUMIF('2.0 Capex Real Dollars'!$C$10:$C$36,$E61,'2.0 Capex Real Dollars'!F$10:F$36)</f>
        <v>1.7493599604286894</v>
      </c>
      <c r="H61" s="28">
        <f>SUMIF('2.0 Capex Real Dollars'!$C$10:$C$36,$E61,'2.0 Capex Real Dollars'!G$10:G$36)</f>
        <v>0</v>
      </c>
      <c r="I61" s="28">
        <f>SUMIF('2.0 Capex Real Dollars'!$C$10:$C$36,$E61,'2.0 Capex Real Dollars'!H$10:H$36)</f>
        <v>0</v>
      </c>
      <c r="J61" s="28">
        <f>SUMIF('2.0 Capex Real Dollars'!$C$10:$C$36,$E61,'2.0 Capex Real Dollars'!I$10:I$36)</f>
        <v>0</v>
      </c>
      <c r="K61" s="38">
        <f t="shared" si="11"/>
        <v>3.4987199208573787</v>
      </c>
    </row>
    <row r="62" spans="5:13" ht="15.75" thickBot="1">
      <c r="E62" s="25" t="str">
        <f>'1.1 Input'!C40</f>
        <v>IN-HOUSE SOFTWARE</v>
      </c>
      <c r="F62" s="28">
        <f>SUMIF('2.0 Capex Real Dollars'!$C$10:$C$36,$E62,'2.0 Capex Real Dollars'!E$10:E$36)</f>
        <v>0.18308381973958171</v>
      </c>
      <c r="G62" s="28">
        <f>SUMIF('2.0 Capex Real Dollars'!$C$10:$C$36,$E62,'2.0 Capex Real Dollars'!F$10:F$36)</f>
        <v>0</v>
      </c>
      <c r="H62" s="28">
        <f>SUMIF('2.0 Capex Real Dollars'!$C$10:$C$36,$E62,'2.0 Capex Real Dollars'!G$10:G$36)</f>
        <v>0</v>
      </c>
      <c r="I62" s="28">
        <f>SUMIF('2.0 Capex Real Dollars'!$C$10:$C$36,$E62,'2.0 Capex Real Dollars'!H$10:H$36)</f>
        <v>0</v>
      </c>
      <c r="J62" s="28">
        <f>SUMIF('2.0 Capex Real Dollars'!$C$10:$C$36,$E62,'2.0 Capex Real Dollars'!I$10:I$36)</f>
        <v>0</v>
      </c>
      <c r="K62" s="38">
        <f t="shared" si="11"/>
        <v>0.18308381973958171</v>
      </c>
    </row>
    <row r="63" spans="5:13" ht="16.5" thickTop="1" thickBot="1">
      <c r="E63" s="31" t="s">
        <v>2</v>
      </c>
      <c r="F63" s="39">
        <f t="shared" ref="F63:K63" si="12">SUM(F42:F62)</f>
        <v>18.489115074816304</v>
      </c>
      <c r="G63" s="39">
        <f t="shared" si="12"/>
        <v>10.327099675594907</v>
      </c>
      <c r="H63" s="39">
        <f t="shared" si="12"/>
        <v>4.0752013849888913</v>
      </c>
      <c r="I63" s="39">
        <f t="shared" si="12"/>
        <v>10.90161001920926</v>
      </c>
      <c r="J63" s="39">
        <f t="shared" si="12"/>
        <v>30.29203863121506</v>
      </c>
      <c r="K63" s="39">
        <f t="shared" si="12"/>
        <v>74.085064785824414</v>
      </c>
      <c r="M63" s="54">
        <f>K63-'2.0 Capex Real Dollars'!J5</f>
        <v>0</v>
      </c>
    </row>
    <row r="64" spans="5:13" ht="15.75" thickTop="1"/>
    <row r="65" spans="1:13">
      <c r="A65" s="3" t="s">
        <v>136</v>
      </c>
      <c r="B65" s="3"/>
      <c r="C65" s="3"/>
      <c r="D65" s="3"/>
      <c r="E65" s="3" t="str">
        <f>E39</f>
        <v>Forecast Period ($'000 real FY 23)</v>
      </c>
      <c r="F65" s="3"/>
      <c r="G65" s="3"/>
      <c r="H65" s="3"/>
      <c r="I65" s="3"/>
      <c r="J65" s="3"/>
      <c r="K65" s="3"/>
      <c r="L65" s="3"/>
      <c r="M65" s="3"/>
    </row>
    <row r="66" spans="1:13" ht="15.75" thickBot="1"/>
    <row r="67" spans="1:13" ht="15.75" thickBot="1">
      <c r="E67" s="26" t="str">
        <f t="shared" ref="E67:E88" si="13">E41</f>
        <v>Asset Class</v>
      </c>
      <c r="F67" s="26" t="str">
        <f t="shared" ref="F67:K67" si="14">F$8</f>
        <v>2025/26</v>
      </c>
      <c r="G67" s="26" t="str">
        <f t="shared" si="14"/>
        <v>2026/27</v>
      </c>
      <c r="H67" s="26" t="str">
        <f t="shared" si="14"/>
        <v>2027/28</v>
      </c>
      <c r="I67" s="26" t="str">
        <f t="shared" si="14"/>
        <v>2028/29</v>
      </c>
      <c r="J67" s="26" t="str">
        <f t="shared" si="14"/>
        <v>2029/30</v>
      </c>
      <c r="K67" s="26" t="str">
        <f t="shared" si="14"/>
        <v>Total</v>
      </c>
    </row>
    <row r="68" spans="1:13">
      <c r="E68" s="25" t="str">
        <f t="shared" si="13"/>
        <v>AC FILTERS</v>
      </c>
      <c r="F68" s="28">
        <f>SUMIF('2.0 Capex Real Dollars'!$A$161:$A$182,$E68,'2.0 Capex Real Dollars'!E$161:E$182)</f>
        <v>0</v>
      </c>
      <c r="G68" s="28">
        <f>SUMIF('2.0 Capex Real Dollars'!$A$161:$A$182,$E68,'2.0 Capex Real Dollars'!F$161:F$182)</f>
        <v>0</v>
      </c>
      <c r="H68" s="28">
        <f>SUMIF('2.0 Capex Real Dollars'!$A$161:$A$182,$E68,'2.0 Capex Real Dollars'!G$161:G$182)</f>
        <v>0</v>
      </c>
      <c r="I68" s="28">
        <f>SUMIF('2.0 Capex Real Dollars'!$A$161:$A$182,$E68,'2.0 Capex Real Dollars'!H$161:H$182)</f>
        <v>0</v>
      </c>
      <c r="J68" s="28">
        <f>SUMIF('2.0 Capex Real Dollars'!$A$161:$A$182,$E68,'2.0 Capex Real Dollars'!I$161:I$182)</f>
        <v>0</v>
      </c>
      <c r="K68" s="41">
        <f t="shared" ref="K68" si="15">SUM(F68:J68)</f>
        <v>0</v>
      </c>
    </row>
    <row r="69" spans="1:13">
      <c r="E69" s="25" t="str">
        <f t="shared" si="13"/>
        <v>AC SWITCHYARD</v>
      </c>
      <c r="F69" s="28">
        <f>SUMIF('2.0 Capex Real Dollars'!$A$161:$A$182,$E69,'2.0 Capex Real Dollars'!E$161:E$182)</f>
        <v>0</v>
      </c>
      <c r="G69" s="28">
        <f>SUMIF('2.0 Capex Real Dollars'!$A$161:$A$182,$E69,'2.0 Capex Real Dollars'!F$161:F$182)</f>
        <v>0</v>
      </c>
      <c r="H69" s="28">
        <f>SUMIF('2.0 Capex Real Dollars'!$A$161:$A$182,$E69,'2.0 Capex Real Dollars'!G$161:G$182)</f>
        <v>0</v>
      </c>
      <c r="I69" s="28">
        <f>SUMIF('2.0 Capex Real Dollars'!$A$161:$A$182,$E69,'2.0 Capex Real Dollars'!H$161:H$182)</f>
        <v>0</v>
      </c>
      <c r="J69" s="28">
        <f>SUMIF('2.0 Capex Real Dollars'!$A$161:$A$182,$E69,'2.0 Capex Real Dollars'!I$161:I$182)</f>
        <v>0</v>
      </c>
      <c r="K69" s="41">
        <f t="shared" ref="K69:K85" si="16">SUM(F69:J69)</f>
        <v>0</v>
      </c>
    </row>
    <row r="70" spans="1:13">
      <c r="E70" s="25" t="str">
        <f t="shared" si="13"/>
        <v>AUXILIARY SYSTEMS</v>
      </c>
      <c r="F70" s="28">
        <f>SUMIF('2.0 Capex Real Dollars'!$A$161:$A$182,$E70,'2.0 Capex Real Dollars'!E$161:E$182)</f>
        <v>0</v>
      </c>
      <c r="G70" s="28">
        <f>SUMIF('2.0 Capex Real Dollars'!$A$161:$A$182,$E70,'2.0 Capex Real Dollars'!F$161:F$182)</f>
        <v>0</v>
      </c>
      <c r="H70" s="28">
        <f>SUMIF('2.0 Capex Real Dollars'!$A$161:$A$182,$E70,'2.0 Capex Real Dollars'!G$161:G$182)</f>
        <v>0</v>
      </c>
      <c r="I70" s="28">
        <f>SUMIF('2.0 Capex Real Dollars'!$A$161:$A$182,$E70,'2.0 Capex Real Dollars'!H$161:H$182)</f>
        <v>0</v>
      </c>
      <c r="J70" s="28">
        <f>SUMIF('2.0 Capex Real Dollars'!$A$161:$A$182,$E70,'2.0 Capex Real Dollars'!I$161:I$182)</f>
        <v>0</v>
      </c>
      <c r="K70" s="41">
        <f t="shared" si="16"/>
        <v>0</v>
      </c>
    </row>
    <row r="71" spans="1:13">
      <c r="E71" s="25" t="str">
        <f t="shared" si="13"/>
        <v>CABLE</v>
      </c>
      <c r="F71" s="28">
        <f>SUMIF('2.0 Capex Real Dollars'!$A$161:$A$182,$E71,'2.0 Capex Real Dollars'!E$161:E$182)</f>
        <v>0</v>
      </c>
      <c r="G71" s="28">
        <f>SUMIF('2.0 Capex Real Dollars'!$A$161:$A$182,$E71,'2.0 Capex Real Dollars'!F$161:F$182)</f>
        <v>0</v>
      </c>
      <c r="H71" s="28">
        <f>SUMIF('2.0 Capex Real Dollars'!$A$161:$A$182,$E71,'2.0 Capex Real Dollars'!G$161:G$182)</f>
        <v>0</v>
      </c>
      <c r="I71" s="28">
        <f>SUMIF('2.0 Capex Real Dollars'!$A$161:$A$182,$E71,'2.0 Capex Real Dollars'!H$161:H$182)</f>
        <v>0.98879356092055048</v>
      </c>
      <c r="J71" s="28">
        <f>SUMIF('2.0 Capex Real Dollars'!$A$161:$A$182,$E71,'2.0 Capex Real Dollars'!I$161:I$182)</f>
        <v>10.822995115911107</v>
      </c>
      <c r="K71" s="41">
        <f t="shared" si="16"/>
        <v>11.811788676831657</v>
      </c>
    </row>
    <row r="72" spans="1:13">
      <c r="E72" s="25" t="str">
        <f t="shared" si="13"/>
        <v>CONTROL SYSTEM</v>
      </c>
      <c r="F72" s="28">
        <f>SUMIF('2.0 Capex Real Dollars'!$A$161:$A$182,$E72,'2.0 Capex Real Dollars'!E$161:E$182)</f>
        <v>0</v>
      </c>
      <c r="G72" s="28">
        <f>SUMIF('2.0 Capex Real Dollars'!$A$161:$A$182,$E72,'2.0 Capex Real Dollars'!F$161:F$182)</f>
        <v>0</v>
      </c>
      <c r="H72" s="28">
        <f>SUMIF('2.0 Capex Real Dollars'!$A$161:$A$182,$E72,'2.0 Capex Real Dollars'!G$161:G$182)</f>
        <v>0</v>
      </c>
      <c r="I72" s="28">
        <f>SUMIF('2.0 Capex Real Dollars'!$A$161:$A$182,$E72,'2.0 Capex Real Dollars'!H$161:H$182)</f>
        <v>0</v>
      </c>
      <c r="J72" s="28">
        <f>SUMIF('2.0 Capex Real Dollars'!$A$161:$A$182,$E72,'2.0 Capex Real Dollars'!I$161:I$182)</f>
        <v>44.176579000967749</v>
      </c>
      <c r="K72" s="41">
        <f t="shared" si="16"/>
        <v>44.176579000967749</v>
      </c>
    </row>
    <row r="73" spans="1:13">
      <c r="E73" s="25" t="str">
        <f t="shared" si="13"/>
        <v>CONVERTER TRANSFORMER</v>
      </c>
      <c r="F73" s="28">
        <f>SUMIF('2.0 Capex Real Dollars'!$A$161:$A$182,$E73,'2.0 Capex Real Dollars'!E$161:E$182)</f>
        <v>0</v>
      </c>
      <c r="G73" s="28">
        <f>SUMIF('2.0 Capex Real Dollars'!$A$161:$A$182,$E73,'2.0 Capex Real Dollars'!F$161:F$182)</f>
        <v>0</v>
      </c>
      <c r="H73" s="28">
        <f>SUMIF('2.0 Capex Real Dollars'!$A$161:$A$182,$E73,'2.0 Capex Real Dollars'!G$161:G$182)</f>
        <v>0</v>
      </c>
      <c r="I73" s="28">
        <f>SUMIF('2.0 Capex Real Dollars'!$A$161:$A$182,$E73,'2.0 Capex Real Dollars'!H$161:H$182)</f>
        <v>0</v>
      </c>
      <c r="J73" s="28">
        <f>SUMIF('2.0 Capex Real Dollars'!$A$161:$A$182,$E73,'2.0 Capex Real Dollars'!I$161:I$182)</f>
        <v>0</v>
      </c>
      <c r="K73" s="41">
        <f t="shared" si="16"/>
        <v>0</v>
      </c>
    </row>
    <row r="74" spans="1:13">
      <c r="E74" s="25" t="str">
        <f t="shared" si="13"/>
        <v>DC FILTER</v>
      </c>
      <c r="F74" s="28">
        <f>SUMIF('2.0 Capex Real Dollars'!$A$161:$A$182,$E74,'2.0 Capex Real Dollars'!E$161:E$182)</f>
        <v>0</v>
      </c>
      <c r="G74" s="28">
        <f>SUMIF('2.0 Capex Real Dollars'!$A$161:$A$182,$E74,'2.0 Capex Real Dollars'!F$161:F$182)</f>
        <v>0</v>
      </c>
      <c r="H74" s="28">
        <f>SUMIF('2.0 Capex Real Dollars'!$A$161:$A$182,$E74,'2.0 Capex Real Dollars'!G$161:G$182)</f>
        <v>0</v>
      </c>
      <c r="I74" s="28">
        <f>SUMIF('2.0 Capex Real Dollars'!$A$161:$A$182,$E74,'2.0 Capex Real Dollars'!H$161:H$182)</f>
        <v>0</v>
      </c>
      <c r="J74" s="28">
        <f>SUMIF('2.0 Capex Real Dollars'!$A$161:$A$182,$E74,'2.0 Capex Real Dollars'!I$161:I$182)</f>
        <v>0</v>
      </c>
      <c r="K74" s="41">
        <f t="shared" si="16"/>
        <v>0</v>
      </c>
    </row>
    <row r="75" spans="1:13">
      <c r="E75" s="25" t="str">
        <f t="shared" si="13"/>
        <v>DC SWITCHYARD</v>
      </c>
      <c r="F75" s="28">
        <f>SUMIF('2.0 Capex Real Dollars'!$A$161:$A$182,$E75,'2.0 Capex Real Dollars'!E$161:E$182)</f>
        <v>0</v>
      </c>
      <c r="G75" s="28">
        <f>SUMIF('2.0 Capex Real Dollars'!$A$161:$A$182,$E75,'2.0 Capex Real Dollars'!F$161:F$182)</f>
        <v>0</v>
      </c>
      <c r="H75" s="28">
        <f>SUMIF('2.0 Capex Real Dollars'!$A$161:$A$182,$E75,'2.0 Capex Real Dollars'!G$161:G$182)</f>
        <v>0</v>
      </c>
      <c r="I75" s="28">
        <f>SUMIF('2.0 Capex Real Dollars'!$A$161:$A$182,$E75,'2.0 Capex Real Dollars'!H$161:H$182)</f>
        <v>0</v>
      </c>
      <c r="J75" s="28">
        <f>SUMIF('2.0 Capex Real Dollars'!$A$161:$A$182,$E75,'2.0 Capex Real Dollars'!I$161:I$182)</f>
        <v>0</v>
      </c>
      <c r="K75" s="41">
        <f t="shared" si="16"/>
        <v>0</v>
      </c>
    </row>
    <row r="76" spans="1:13">
      <c r="E76" s="25" t="str">
        <f t="shared" si="13"/>
        <v>EASEMENT</v>
      </c>
      <c r="F76" s="28">
        <f>SUMIF('2.0 Capex Real Dollars'!$A$161:$A$182,$E76,'2.0 Capex Real Dollars'!E$161:E$182)</f>
        <v>0</v>
      </c>
      <c r="G76" s="28">
        <f>SUMIF('2.0 Capex Real Dollars'!$A$161:$A$182,$E76,'2.0 Capex Real Dollars'!F$161:F$182)</f>
        <v>0</v>
      </c>
      <c r="H76" s="28">
        <f>SUMIF('2.0 Capex Real Dollars'!$A$161:$A$182,$E76,'2.0 Capex Real Dollars'!G$161:G$182)</f>
        <v>0</v>
      </c>
      <c r="I76" s="28">
        <f>SUMIF('2.0 Capex Real Dollars'!$A$161:$A$182,$E76,'2.0 Capex Real Dollars'!H$161:H$182)</f>
        <v>0</v>
      </c>
      <c r="J76" s="28">
        <f>SUMIF('2.0 Capex Real Dollars'!$A$161:$A$182,$E76,'2.0 Capex Real Dollars'!I$161:I$182)</f>
        <v>0</v>
      </c>
      <c r="K76" s="41">
        <f t="shared" si="16"/>
        <v>0</v>
      </c>
    </row>
    <row r="77" spans="1:13">
      <c r="E77" s="25" t="str">
        <f t="shared" si="13"/>
        <v>FREEHOLD LAND</v>
      </c>
      <c r="F77" s="28">
        <f>SUMIF('2.0 Capex Real Dollars'!$A$161:$A$182,$E77,'2.0 Capex Real Dollars'!E$161:E$182)</f>
        <v>0</v>
      </c>
      <c r="G77" s="28">
        <f>SUMIF('2.0 Capex Real Dollars'!$A$161:$A$182,$E77,'2.0 Capex Real Dollars'!F$161:F$182)</f>
        <v>0</v>
      </c>
      <c r="H77" s="28">
        <f>SUMIF('2.0 Capex Real Dollars'!$A$161:$A$182,$E77,'2.0 Capex Real Dollars'!G$161:G$182)</f>
        <v>0</v>
      </c>
      <c r="I77" s="28">
        <f>SUMIF('2.0 Capex Real Dollars'!$A$161:$A$182,$E77,'2.0 Capex Real Dollars'!H$161:H$182)</f>
        <v>0</v>
      </c>
      <c r="J77" s="28">
        <f>SUMIF('2.0 Capex Real Dollars'!$A$161:$A$182,$E77,'2.0 Capex Real Dollars'!I$161:I$182)</f>
        <v>0</v>
      </c>
      <c r="K77" s="41">
        <f t="shared" si="16"/>
        <v>0</v>
      </c>
    </row>
    <row r="78" spans="1:13">
      <c r="E78" s="25" t="str">
        <f t="shared" si="13"/>
        <v>MEASURING DEVICES</v>
      </c>
      <c r="F78" s="28">
        <f>SUMIF('2.0 Capex Real Dollars'!$A$161:$A$182,$E78,'2.0 Capex Real Dollars'!E$161:E$182)</f>
        <v>0</v>
      </c>
      <c r="G78" s="28">
        <f>SUMIF('2.0 Capex Real Dollars'!$A$161:$A$182,$E78,'2.0 Capex Real Dollars'!F$161:F$182)</f>
        <v>0</v>
      </c>
      <c r="H78" s="28">
        <f>SUMIF('2.0 Capex Real Dollars'!$A$161:$A$182,$E78,'2.0 Capex Real Dollars'!G$161:G$182)</f>
        <v>0</v>
      </c>
      <c r="I78" s="28">
        <f>SUMIF('2.0 Capex Real Dollars'!$A$161:$A$182,$E78,'2.0 Capex Real Dollars'!H$161:H$182)</f>
        <v>0</v>
      </c>
      <c r="J78" s="28">
        <f>SUMIF('2.0 Capex Real Dollars'!$A$161:$A$182,$E78,'2.0 Capex Real Dollars'!I$161:I$182)</f>
        <v>0</v>
      </c>
      <c r="K78" s="41">
        <f t="shared" si="16"/>
        <v>0</v>
      </c>
    </row>
    <row r="79" spans="1:13">
      <c r="E79" s="25" t="str">
        <f t="shared" si="13"/>
        <v>MOTOR VEHICLES</v>
      </c>
      <c r="F79" s="28">
        <f>SUMIF('2.0 Capex Real Dollars'!$A$161:$A$182,$E79,'2.0 Capex Real Dollars'!E$161:E$182)</f>
        <v>0</v>
      </c>
      <c r="G79" s="28">
        <f>SUMIF('2.0 Capex Real Dollars'!$A$161:$A$182,$E79,'2.0 Capex Real Dollars'!F$161:F$182)</f>
        <v>0</v>
      </c>
      <c r="H79" s="28">
        <f>SUMIF('2.0 Capex Real Dollars'!$A$161:$A$182,$E79,'2.0 Capex Real Dollars'!G$161:G$182)</f>
        <v>0</v>
      </c>
      <c r="I79" s="28">
        <f>SUMIF('2.0 Capex Real Dollars'!$A$161:$A$182,$E79,'2.0 Capex Real Dollars'!H$161:H$182)</f>
        <v>0</v>
      </c>
      <c r="J79" s="28">
        <f>SUMIF('2.0 Capex Real Dollars'!$A$161:$A$182,$E79,'2.0 Capex Real Dollars'!I$161:I$182)</f>
        <v>0</v>
      </c>
      <c r="K79" s="41">
        <f t="shared" si="16"/>
        <v>0</v>
      </c>
    </row>
    <row r="80" spans="1:13">
      <c r="E80" s="25" t="str">
        <f t="shared" si="13"/>
        <v>OTHER</v>
      </c>
      <c r="F80" s="28">
        <f>SUMIF('2.0 Capex Real Dollars'!$A$161:$A$182,$E80,'2.0 Capex Real Dollars'!E$161:E$182)</f>
        <v>1.6193748108403134</v>
      </c>
      <c r="G80" s="28">
        <f>SUMIF('2.0 Capex Real Dollars'!$A$161:$A$182,$E80,'2.0 Capex Real Dollars'!F$161:F$182)</f>
        <v>1.2007071437418955</v>
      </c>
      <c r="H80" s="28">
        <f>SUMIF('2.0 Capex Real Dollars'!$A$161:$A$182,$E80,'2.0 Capex Real Dollars'!G$161:G$182)</f>
        <v>0.89177042298134612</v>
      </c>
      <c r="I80" s="28">
        <f>SUMIF('2.0 Capex Real Dollars'!$A$161:$A$182,$E80,'2.0 Capex Real Dollars'!H$161:H$182)</f>
        <v>1.2018736203042721</v>
      </c>
      <c r="J80" s="28">
        <f>SUMIF('2.0 Capex Real Dollars'!$A$161:$A$182,$E80,'2.0 Capex Real Dollars'!I$161:I$182)</f>
        <v>1.0433816078894329</v>
      </c>
      <c r="K80" s="41">
        <f t="shared" si="16"/>
        <v>5.9571076057572601</v>
      </c>
    </row>
    <row r="81" spans="1:13">
      <c r="E81" s="25" t="str">
        <f t="shared" si="13"/>
        <v>OVERHEAD LINES</v>
      </c>
      <c r="F81" s="28">
        <f>SUMIF('2.0 Capex Real Dollars'!$A$161:$A$182,$E81,'2.0 Capex Real Dollars'!E$161:E$182)</f>
        <v>0</v>
      </c>
      <c r="G81" s="28">
        <f>SUMIF('2.0 Capex Real Dollars'!$A$161:$A$182,$E81,'2.0 Capex Real Dollars'!F$161:F$182)</f>
        <v>0</v>
      </c>
      <c r="H81" s="28">
        <f>SUMIF('2.0 Capex Real Dollars'!$A$161:$A$182,$E81,'2.0 Capex Real Dollars'!G$161:G$182)</f>
        <v>0</v>
      </c>
      <c r="I81" s="28">
        <f>SUMIF('2.0 Capex Real Dollars'!$A$161:$A$182,$E81,'2.0 Capex Real Dollars'!H$161:H$182)</f>
        <v>0</v>
      </c>
      <c r="J81" s="28">
        <f>SUMIF('2.0 Capex Real Dollars'!$A$161:$A$182,$E81,'2.0 Capex Real Dollars'!I$161:I$182)</f>
        <v>0</v>
      </c>
      <c r="K81" s="41">
        <f t="shared" si="16"/>
        <v>0</v>
      </c>
    </row>
    <row r="82" spans="1:13">
      <c r="E82" s="25" t="str">
        <f t="shared" si="13"/>
        <v>SMOOTHING REACTOR</v>
      </c>
      <c r="F82" s="28">
        <f>SUMIF('2.0 Capex Real Dollars'!$A$161:$A$182,$E82,'2.0 Capex Real Dollars'!E$161:E$182)</f>
        <v>0</v>
      </c>
      <c r="G82" s="28">
        <f>SUMIF('2.0 Capex Real Dollars'!$A$161:$A$182,$E82,'2.0 Capex Real Dollars'!F$161:F$182)</f>
        <v>0.78440437620177073</v>
      </c>
      <c r="H82" s="28">
        <f>SUMIF('2.0 Capex Real Dollars'!$A$161:$A$182,$E82,'2.0 Capex Real Dollars'!G$161:G$182)</f>
        <v>0</v>
      </c>
      <c r="I82" s="28">
        <f>SUMIF('2.0 Capex Real Dollars'!$A$161:$A$182,$E82,'2.0 Capex Real Dollars'!H$161:H$182)</f>
        <v>0</v>
      </c>
      <c r="J82" s="28">
        <f>SUMIF('2.0 Capex Real Dollars'!$A$161:$A$182,$E82,'2.0 Capex Real Dollars'!I$161:I$182)</f>
        <v>0</v>
      </c>
      <c r="K82" s="41">
        <f t="shared" si="16"/>
        <v>0.78440437620177073</v>
      </c>
    </row>
    <row r="83" spans="1:13">
      <c r="E83" s="25" t="str">
        <f t="shared" si="13"/>
        <v>STATION POWER SUPPLY</v>
      </c>
      <c r="F83" s="28">
        <f>SUMIF('2.0 Capex Real Dollars'!$A$161:$A$182,$E83,'2.0 Capex Real Dollars'!E$161:E$182)</f>
        <v>0</v>
      </c>
      <c r="G83" s="28">
        <f>SUMIF('2.0 Capex Real Dollars'!$A$161:$A$182,$E83,'2.0 Capex Real Dollars'!F$161:F$182)</f>
        <v>0</v>
      </c>
      <c r="H83" s="28">
        <f>SUMIF('2.0 Capex Real Dollars'!$A$161:$A$182,$E83,'2.0 Capex Real Dollars'!G$161:G$182)</f>
        <v>0</v>
      </c>
      <c r="I83" s="28">
        <f>SUMIF('2.0 Capex Real Dollars'!$A$161:$A$182,$E83,'2.0 Capex Real Dollars'!H$161:H$182)</f>
        <v>0</v>
      </c>
      <c r="J83" s="28">
        <f>SUMIF('2.0 Capex Real Dollars'!$A$161:$A$182,$E83,'2.0 Capex Real Dollars'!I$161:I$182)</f>
        <v>0</v>
      </c>
      <c r="K83" s="41">
        <f t="shared" si="16"/>
        <v>0</v>
      </c>
    </row>
    <row r="84" spans="1:13">
      <c r="E84" s="25" t="str">
        <f t="shared" si="13"/>
        <v>SWITCHYARD COMPONENTS</v>
      </c>
      <c r="F84" s="28">
        <f>SUMIF('2.0 Capex Real Dollars'!$A$161:$A$182,$E84,'2.0 Capex Real Dollars'!E$161:E$182)</f>
        <v>7.0577917652642457</v>
      </c>
      <c r="G84" s="28">
        <f>SUMIF('2.0 Capex Real Dollars'!$A$161:$A$182,$E84,'2.0 Capex Real Dollars'!F$161:F$182)</f>
        <v>0.24140769419795222</v>
      </c>
      <c r="H84" s="28">
        <f>SUMIF('2.0 Capex Real Dollars'!$A$161:$A$182,$E84,'2.0 Capex Real Dollars'!G$161:G$182)</f>
        <v>0.12070384709897611</v>
      </c>
      <c r="I84" s="28">
        <f>SUMIF('2.0 Capex Real Dollars'!$A$161:$A$182,$E84,'2.0 Capex Real Dollars'!H$161:H$182)</f>
        <v>0.25347807890784979</v>
      </c>
      <c r="J84" s="28">
        <f>SUMIF('2.0 Capex Real Dollars'!$A$161:$A$182,$E84,'2.0 Capex Real Dollars'!I$161:I$182)</f>
        <v>0</v>
      </c>
      <c r="K84" s="41">
        <f t="shared" si="16"/>
        <v>7.6733813854690238</v>
      </c>
    </row>
    <row r="85" spans="1:13">
      <c r="E85" s="25" t="str">
        <f t="shared" si="13"/>
        <v>VALVE COOLING</v>
      </c>
      <c r="F85" s="28">
        <f>SUMIF('2.0 Capex Real Dollars'!$A$161:$A$182,$E85,'2.0 Capex Real Dollars'!E$161:E$182)</f>
        <v>0</v>
      </c>
      <c r="G85" s="28">
        <f>SUMIF('2.0 Capex Real Dollars'!$A$161:$A$182,$E85,'2.0 Capex Real Dollars'!F$161:F$182)</f>
        <v>0</v>
      </c>
      <c r="H85" s="28">
        <f>SUMIF('2.0 Capex Real Dollars'!$A$161:$A$182,$E85,'2.0 Capex Real Dollars'!G$161:G$182)</f>
        <v>0</v>
      </c>
      <c r="I85" s="28">
        <f>SUMIF('2.0 Capex Real Dollars'!$A$161:$A$182,$E85,'2.0 Capex Real Dollars'!H$161:H$182)</f>
        <v>0</v>
      </c>
      <c r="J85" s="28">
        <f>SUMIF('2.0 Capex Real Dollars'!$A$161:$A$182,$E85,'2.0 Capex Real Dollars'!I$161:I$182)</f>
        <v>0</v>
      </c>
      <c r="K85" s="41">
        <f t="shared" si="16"/>
        <v>0</v>
      </c>
    </row>
    <row r="86" spans="1:13">
      <c r="E86" s="25" t="str">
        <f t="shared" si="13"/>
        <v>VALVE HALL</v>
      </c>
      <c r="F86" s="28">
        <f>SUMIF('2.0 Capex Real Dollars'!$A$161:$A$182,$E86,'2.0 Capex Real Dollars'!E$161:E$182)</f>
        <v>0</v>
      </c>
      <c r="G86" s="28">
        <f>SUMIF('2.0 Capex Real Dollars'!$A$161:$A$182,$E86,'2.0 Capex Real Dollars'!F$161:F$182)</f>
        <v>0</v>
      </c>
      <c r="H86" s="28">
        <f>SUMIF('2.0 Capex Real Dollars'!$A$161:$A$182,$E86,'2.0 Capex Real Dollars'!G$161:G$182)</f>
        <v>0</v>
      </c>
      <c r="I86" s="28">
        <f>SUMIF('2.0 Capex Real Dollars'!$A$161:$A$182,$E86,'2.0 Capex Real Dollars'!H$161:H$182)</f>
        <v>0</v>
      </c>
      <c r="J86" s="28">
        <f>SUMIF('2.0 Capex Real Dollars'!$A$161:$A$182,$E86,'2.0 Capex Real Dollars'!I$161:I$182)</f>
        <v>0</v>
      </c>
      <c r="K86" s="41">
        <f t="shared" ref="K86:K88" si="17">SUM(F86:J86)</f>
        <v>0</v>
      </c>
    </row>
    <row r="87" spans="1:13">
      <c r="E87" s="25" t="str">
        <f t="shared" si="13"/>
        <v>BUILDING INSTALLATION</v>
      </c>
      <c r="F87" s="28">
        <f>SUMIF('2.0 Capex Real Dollars'!$A$161:$A$182,$E87,'2.0 Capex Real Dollars'!E$161:E$182)</f>
        <v>1.7493599604286894</v>
      </c>
      <c r="G87" s="28">
        <f>SUMIF('2.0 Capex Real Dollars'!$A$161:$A$182,$E87,'2.0 Capex Real Dollars'!F$161:F$182)</f>
        <v>1.7493599604286894</v>
      </c>
      <c r="H87" s="28">
        <f>SUMIF('2.0 Capex Real Dollars'!$A$161:$A$182,$E87,'2.0 Capex Real Dollars'!G$161:G$182)</f>
        <v>0</v>
      </c>
      <c r="I87" s="28">
        <f>SUMIF('2.0 Capex Real Dollars'!$A$161:$A$182,$E87,'2.0 Capex Real Dollars'!H$161:H$182)</f>
        <v>0</v>
      </c>
      <c r="J87" s="28">
        <f>SUMIF('2.0 Capex Real Dollars'!$A$161:$A$182,$E87,'2.0 Capex Real Dollars'!I$161:I$182)</f>
        <v>0</v>
      </c>
      <c r="K87" s="41">
        <f t="shared" si="17"/>
        <v>3.4987199208573787</v>
      </c>
    </row>
    <row r="88" spans="1:13" ht="15.75" thickBot="1">
      <c r="E88" s="25" t="str">
        <f t="shared" si="13"/>
        <v>IN-HOUSE SOFTWARE</v>
      </c>
      <c r="F88" s="28">
        <f>SUMIF('2.0 Capex Real Dollars'!$A$161:$A$182,$E88,'2.0 Capex Real Dollars'!E$161:E$182)</f>
        <v>0.18308381973958171</v>
      </c>
      <c r="G88" s="28">
        <f>SUMIF('2.0 Capex Real Dollars'!$A$161:$A$182,$E88,'2.0 Capex Real Dollars'!F$161:F$182)</f>
        <v>0</v>
      </c>
      <c r="H88" s="28">
        <f>SUMIF('2.0 Capex Real Dollars'!$A$161:$A$182,$E88,'2.0 Capex Real Dollars'!G$161:G$182)</f>
        <v>0</v>
      </c>
      <c r="I88" s="28">
        <f>SUMIF('2.0 Capex Real Dollars'!$A$161:$A$182,$E88,'2.0 Capex Real Dollars'!H$161:H$182)</f>
        <v>0</v>
      </c>
      <c r="J88" s="28">
        <f>SUMIF('2.0 Capex Real Dollars'!$A$161:$A$182,$E88,'2.0 Capex Real Dollars'!I$161:I$182)</f>
        <v>0</v>
      </c>
      <c r="K88" s="41">
        <f t="shared" si="17"/>
        <v>0.18308381973958171</v>
      </c>
    </row>
    <row r="89" spans="1:13" ht="16.5" thickTop="1" thickBot="1">
      <c r="E89" s="31" t="s">
        <v>2</v>
      </c>
      <c r="F89" s="40">
        <f t="shared" ref="F89:K89" si="18">SUM(F68:F88)</f>
        <v>10.60961035627283</v>
      </c>
      <c r="G89" s="40">
        <f t="shared" si="18"/>
        <v>3.9758791745703075</v>
      </c>
      <c r="H89" s="40">
        <f t="shared" si="18"/>
        <v>1.0124742700803222</v>
      </c>
      <c r="I89" s="40">
        <f t="shared" si="18"/>
        <v>2.4441452601326725</v>
      </c>
      <c r="J89" s="40">
        <f t="shared" si="18"/>
        <v>56.042955724768284</v>
      </c>
      <c r="K89" s="40">
        <f t="shared" si="18"/>
        <v>74.085064785824414</v>
      </c>
      <c r="M89" s="55">
        <f>K89-'2.0 Capex Real Dollars'!J156</f>
        <v>0</v>
      </c>
    </row>
    <row r="90" spans="1:13" ht="15.75" thickTop="1"/>
    <row r="91" spans="1:13">
      <c r="A91" s="3" t="s">
        <v>137</v>
      </c>
      <c r="B91" s="3"/>
      <c r="C91" s="3"/>
      <c r="D91" s="3"/>
      <c r="E91" s="3" t="s">
        <v>138</v>
      </c>
      <c r="F91" s="3"/>
      <c r="G91" s="3"/>
      <c r="H91" s="3"/>
      <c r="I91" s="3"/>
      <c r="J91" s="3"/>
      <c r="K91" s="3"/>
      <c r="L91" s="3"/>
      <c r="M91" s="3"/>
    </row>
    <row r="92" spans="1:13" ht="15.75" thickBot="1"/>
    <row r="93" spans="1:13" ht="15.75" thickBot="1">
      <c r="E93" s="26" t="s">
        <v>3</v>
      </c>
      <c r="F93" s="26" t="str">
        <f t="shared" ref="F93:K93" si="19">F$8</f>
        <v>2025/26</v>
      </c>
      <c r="G93" s="26" t="str">
        <f t="shared" si="19"/>
        <v>2026/27</v>
      </c>
      <c r="H93" s="26" t="str">
        <f t="shared" si="19"/>
        <v>2027/28</v>
      </c>
      <c r="I93" s="26" t="str">
        <f t="shared" si="19"/>
        <v>2028/29</v>
      </c>
      <c r="J93" s="26" t="str">
        <f t="shared" si="19"/>
        <v>2029/30</v>
      </c>
      <c r="K93" s="26" t="str">
        <f t="shared" si="19"/>
        <v>Total</v>
      </c>
    </row>
    <row r="94" spans="1:13">
      <c r="E94" s="25" t="str" cm="1">
        <f t="array" ref="E94">_xlfn.IFNA(INDEX('1.0 Data'!$D$9:$D$36,MATCH(0,COUNTIF($E$91:E93,'1.0 Data'!$D$9:$D$36),0)),"")</f>
        <v>End of Life Replacement</v>
      </c>
      <c r="F94" s="28">
        <f>SUMIF('2.0 Capex Real Dollars'!$L$10:$L$35,$E94,'2.0 Capex Real Dollars'!E$10:E$35)</f>
        <v>7.9299140299674757</v>
      </c>
      <c r="G94" s="28">
        <f>SUMIF('2.0 Capex Real Dollars'!$L$10:$L$35,$E94,'2.0 Capex Real Dollars'!F$10:F$35)</f>
        <v>7.1860341886503676</v>
      </c>
      <c r="H94" s="28">
        <f>SUMIF('2.0 Capex Real Dollars'!$L$10:$L$35,$E94,'2.0 Capex Real Dollars'!G$10:G$35)</f>
        <v>3.1131364263325692</v>
      </c>
      <c r="I94" s="28">
        <f>SUMIF('2.0 Capex Real Dollars'!$L$10:$L$35,$E94,'2.0 Capex Real Dollars'!H$10:H$35)</f>
        <v>8.507874070500586</v>
      </c>
      <c r="J94" s="28">
        <f>SUMIF('2.0 Capex Real Dollars'!$L$10:$L$35,$E94,'2.0 Capex Real Dollars'!I$10:I$35)</f>
        <v>18.476071218838523</v>
      </c>
      <c r="K94" s="62">
        <f>SUM(F94:J94)</f>
        <v>45.213029934289523</v>
      </c>
    </row>
    <row r="95" spans="1:13">
      <c r="E95" s="25" t="str" cm="1">
        <f t="array" ref="E95">_xlfn.IFNA(INDEX('1.0 Data'!$D$9:$D$36,MATCH(0,COUNTIF($E$91:E94,'1.0 Data'!$D$9:$D$36),0)),"")</f>
        <v>Stay in Business</v>
      </c>
      <c r="F95" s="28">
        <f>SUMIF('2.0 Capex Real Dollars'!$L$10:$L$35,$E95,'2.0 Capex Real Dollars'!E$10:E$35)</f>
        <v>6.0351923549488054E-2</v>
      </c>
      <c r="G95" s="28">
        <f>SUMIF('2.0 Capex Real Dollars'!$L$10:$L$35,$E95,'2.0 Capex Real Dollars'!F$10:F$35)</f>
        <v>0.24140769419795222</v>
      </c>
      <c r="H95" s="28">
        <f>SUMIF('2.0 Capex Real Dollars'!$L$10:$L$35,$E95,'2.0 Capex Real Dollars'!G$10:G$35)</f>
        <v>0.12070384709897611</v>
      </c>
      <c r="I95" s="28">
        <f>SUMIF('2.0 Capex Real Dollars'!$L$10:$L$35,$E95,'2.0 Capex Real Dollars'!H$10:H$35)</f>
        <v>0.25347807890784979</v>
      </c>
      <c r="J95" s="28">
        <f>SUMIF('2.0 Capex Real Dollars'!$L$10:$L$35,$E95,'2.0 Capex Real Dollars'!I$10:I$35)</f>
        <v>0</v>
      </c>
      <c r="K95" s="62">
        <f t="shared" ref="K95:K103" si="20">SUM(F95:J95)</f>
        <v>0.67594154375426618</v>
      </c>
    </row>
    <row r="96" spans="1:13">
      <c r="E96" s="25" t="str" cm="1">
        <f t="array" ref="E96">_xlfn.IFNA(INDEX('1.0 Data'!$D$9:$D$36,MATCH(0,COUNTIF($E$91:E95,'1.0 Data'!$D$9:$D$36),0)),"")</f>
        <v>Subsea Cable Repair Strategy</v>
      </c>
      <c r="F96" s="28">
        <f>SUMIF('2.0 Capex Real Dollars'!$L$10:$L$35,$E96,'2.0 Capex Real Dollars'!E$10:E$35)</f>
        <v>0</v>
      </c>
      <c r="G96" s="28">
        <f>SUMIF('2.0 Capex Real Dollars'!$L$10:$L$35,$E96,'2.0 Capex Real Dollars'!F$10:F$35)</f>
        <v>0</v>
      </c>
      <c r="H96" s="28">
        <f>SUMIF('2.0 Capex Real Dollars'!$L$10:$L$35,$E96,'2.0 Capex Real Dollars'!G$10:G$35)</f>
        <v>0</v>
      </c>
      <c r="I96" s="28">
        <f>SUMIF('2.0 Capex Real Dollars'!$L$10:$L$35,$E96,'2.0 Capex Real Dollars'!H$10:H$35)</f>
        <v>0.98879356092055048</v>
      </c>
      <c r="J96" s="28">
        <f>SUMIF('2.0 Capex Real Dollars'!$L$10:$L$35,$E96,'2.0 Capex Real Dollars'!I$10:I$35)</f>
        <v>10.822995115911107</v>
      </c>
      <c r="K96" s="62">
        <f t="shared" si="20"/>
        <v>11.811788676831657</v>
      </c>
    </row>
    <row r="97" spans="1:13">
      <c r="E97" s="25" t="str" cm="1">
        <f t="array" ref="E97">_xlfn.IFNA(INDEX('1.0 Data'!$D$9:$D$36,MATCH(0,COUNTIF($E$91:E96,'1.0 Data'!$D$9:$D$36),0)),"")</f>
        <v>Ambient Temperature Project</v>
      </c>
      <c r="F97" s="28">
        <f>SUMIF('2.0 Capex Real Dollars'!$L$10:$L$35,$E97,'2.0 Capex Real Dollars'!E$10:E$35)</f>
        <v>6.9974398417147574</v>
      </c>
      <c r="G97" s="28">
        <f>SUMIF('2.0 Capex Real Dollars'!$L$10:$L$35,$E97,'2.0 Capex Real Dollars'!F$10:F$35)</f>
        <v>0</v>
      </c>
      <c r="H97" s="28">
        <f>SUMIF('2.0 Capex Real Dollars'!$L$10:$L$35,$E97,'2.0 Capex Real Dollars'!G$10:G$35)</f>
        <v>0</v>
      </c>
      <c r="I97" s="28">
        <f>SUMIF('2.0 Capex Real Dollars'!$L$10:$L$35,$E97,'2.0 Capex Real Dollars'!H$10:H$35)</f>
        <v>0</v>
      </c>
      <c r="J97" s="28">
        <f>SUMIF('2.0 Capex Real Dollars'!$L$10:$L$35,$E97,'2.0 Capex Real Dollars'!I$10:I$35)</f>
        <v>0</v>
      </c>
      <c r="K97" s="62">
        <f t="shared" si="20"/>
        <v>6.9974398417147574</v>
      </c>
    </row>
    <row r="98" spans="1:13">
      <c r="E98" s="25" t="str" cm="1">
        <f t="array" ref="E98">_xlfn.IFNA(INDEX('1.0 Data'!$D$9:$D$36,MATCH(0,COUNTIF($E$91:E97,'1.0 Data'!$D$9:$D$36),0)),"")</f>
        <v>Basslink IT/OT</v>
      </c>
      <c r="F98" s="28">
        <f>SUMIF('2.0 Capex Real Dollars'!$L$10:$L$35,$E98,'2.0 Capex Real Dollars'!E$10:E$35)</f>
        <v>0.50836400450057717</v>
      </c>
      <c r="G98" s="28">
        <f>SUMIF('2.0 Capex Real Dollars'!$L$10:$L$35,$E98,'2.0 Capex Real Dollars'!F$10:F$35)</f>
        <v>0.23324799472382526</v>
      </c>
      <c r="H98" s="28">
        <f>SUMIF('2.0 Capex Real Dollars'!$L$10:$L$35,$E98,'2.0 Capex Real Dollars'!G$10:G$35)</f>
        <v>0.17493600770526868</v>
      </c>
      <c r="I98" s="28">
        <f>SUMIF('2.0 Capex Real Dollars'!$L$10:$L$35,$E98,'2.0 Capex Real Dollars'!H$10:H$35)</f>
        <v>0.48503920502819464</v>
      </c>
      <c r="J98" s="28">
        <f>SUMIF('2.0 Capex Real Dollars'!$L$10:$L$35,$E98,'2.0 Capex Real Dollars'!I$10:I$35)</f>
        <v>0.32654719261335535</v>
      </c>
      <c r="K98" s="62">
        <f t="shared" si="20"/>
        <v>1.7281344045712212</v>
      </c>
    </row>
    <row r="99" spans="1:13">
      <c r="E99" s="25" t="str" cm="1">
        <f t="array" ref="E99">_xlfn.IFNA(INDEX('1.0 Data'!$D$9:$D$36,MATCH(0,COUNTIF($E$91:E98,'1.0 Data'!$D$9:$D$36),0)),"")</f>
        <v>APA IT</v>
      </c>
      <c r="F99" s="28">
        <f>SUMIF('2.0 Capex Real Dollars'!$L$10:$L$35,$E99,'2.0 Capex Real Dollars'!E$10:E$35)</f>
        <v>0.22702393647708133</v>
      </c>
      <c r="G99" s="28">
        <f>SUMIF('2.0 Capex Real Dollars'!$L$10:$L$35,$E99,'2.0 Capex Real Dollars'!F$10:F$35)</f>
        <v>4.3940116737499611E-2</v>
      </c>
      <c r="H99" s="28">
        <f>SUMIF('2.0 Capex Real Dollars'!$L$10:$L$35,$E99,'2.0 Capex Real Dollars'!G$10:G$35)</f>
        <v>4.3940116737499611E-2</v>
      </c>
      <c r="I99" s="28">
        <f>SUMIF('2.0 Capex Real Dollars'!$L$10:$L$35,$E99,'2.0 Capex Real Dollars'!H$10:H$35)</f>
        <v>4.3940116737499611E-2</v>
      </c>
      <c r="J99" s="28">
        <f>SUMIF('2.0 Capex Real Dollars'!$L$10:$L$35,$E99,'2.0 Capex Real Dollars'!I$10:I$35)</f>
        <v>4.3940116737499611E-2</v>
      </c>
      <c r="K99" s="62">
        <f t="shared" si="20"/>
        <v>0.40278440342707972</v>
      </c>
    </row>
    <row r="100" spans="1:13">
      <c r="E100" s="25" t="str" cm="1">
        <f t="array" ref="E100">_xlfn.IFNA(INDEX('1.0 Data'!$D$9:$D$36,MATCH(0,COUNTIF($E$91:E99,'1.0 Data'!$D$9:$D$36),0)),"")</f>
        <v>SOCI</v>
      </c>
      <c r="F100" s="28">
        <f>SUMIF('2.0 Capex Real Dollars'!$L$10:$L$35,$E100,'2.0 Capex Real Dollars'!E$10:E$35)</f>
        <v>1.0166613781782368</v>
      </c>
      <c r="G100" s="28">
        <f>SUMIF('2.0 Capex Real Dollars'!$L$10:$L$35,$E100,'2.0 Capex Real Dollars'!F$10:F$35)</f>
        <v>0.87310972085657057</v>
      </c>
      <c r="H100" s="28">
        <f>SUMIF('2.0 Capex Real Dollars'!$L$10:$L$35,$E100,'2.0 Capex Real Dollars'!G$10:G$35)</f>
        <v>0.62248498711457789</v>
      </c>
      <c r="I100" s="28">
        <f>SUMIF('2.0 Capex Real Dollars'!$L$10:$L$35,$E100,'2.0 Capex Real Dollars'!H$10:H$35)</f>
        <v>0.62248498711457789</v>
      </c>
      <c r="J100" s="28">
        <f>SUMIF('2.0 Capex Real Dollars'!$L$10:$L$35,$E100,'2.0 Capex Real Dollars'!I$10:I$35)</f>
        <v>0.62248498711457789</v>
      </c>
      <c r="K100" s="62">
        <f t="shared" si="20"/>
        <v>3.7572260603785406</v>
      </c>
    </row>
    <row r="101" spans="1:13">
      <c r="E101" s="25" t="str" cm="1">
        <f t="array" ref="E101">_xlfn.IFNA(INDEX('1.0 Data'!$D$9:$D$36,MATCH(0,COUNTIF($E$91:E100,'1.0 Data'!$D$9:$D$36),0)),"")</f>
        <v>Physical Security and Natural Hazards</v>
      </c>
      <c r="F101" s="28">
        <f>SUMIF('2.0 Capex Real Dollars'!$L$10:$L$35,$E101,'2.0 Capex Real Dollars'!E$10:E$35)</f>
        <v>1.7493599604286894</v>
      </c>
      <c r="G101" s="28">
        <f>SUMIF('2.0 Capex Real Dollars'!$L$10:$L$35,$E101,'2.0 Capex Real Dollars'!F$10:F$35)</f>
        <v>1.7493599604286894</v>
      </c>
      <c r="H101" s="28">
        <f>SUMIF('2.0 Capex Real Dollars'!$L$10:$L$35,$E101,'2.0 Capex Real Dollars'!G$10:G$35)</f>
        <v>0</v>
      </c>
      <c r="I101" s="28">
        <f>SUMIF('2.0 Capex Real Dollars'!$L$10:$L$35,$E101,'2.0 Capex Real Dollars'!H$10:H$35)</f>
        <v>0</v>
      </c>
      <c r="J101" s="28">
        <f>SUMIF('2.0 Capex Real Dollars'!$L$10:$L$35,$E101,'2.0 Capex Real Dollars'!I$10:I$35)</f>
        <v>0</v>
      </c>
      <c r="K101" s="62">
        <f t="shared" si="20"/>
        <v>3.4987199208573787</v>
      </c>
    </row>
    <row r="102" spans="1:13">
      <c r="E102" s="25" cm="1">
        <f t="array" ref="E102">_xlfn.IFNA(INDEX('1.0 Data'!$D$9:$D$36,MATCH(0,COUNTIF($E$91:E101,'1.0 Data'!$D$9:$D$36),0)),"")</f>
        <v>0</v>
      </c>
      <c r="F102" s="28">
        <f>SUMIF('2.0 Capex Real Dollars'!$L$10:$L$35,$E102,'2.0 Capex Real Dollars'!E$10:E$35)</f>
        <v>0</v>
      </c>
      <c r="G102" s="28">
        <f>SUMIF('2.0 Capex Real Dollars'!$L$10:$L$35,$E102,'2.0 Capex Real Dollars'!F$10:F$35)</f>
        <v>0</v>
      </c>
      <c r="H102" s="28">
        <f>SUMIF('2.0 Capex Real Dollars'!$L$10:$L$35,$E102,'2.0 Capex Real Dollars'!G$10:G$35)</f>
        <v>0</v>
      </c>
      <c r="I102" s="28">
        <f>SUMIF('2.0 Capex Real Dollars'!$L$10:$L$35,$E102,'2.0 Capex Real Dollars'!H$10:H$35)</f>
        <v>0</v>
      </c>
      <c r="J102" s="28">
        <f>SUMIF('2.0 Capex Real Dollars'!$L$10:$L$35,$E102,'2.0 Capex Real Dollars'!I$10:I$35)</f>
        <v>0</v>
      </c>
      <c r="K102" s="62">
        <f t="shared" si="20"/>
        <v>0</v>
      </c>
    </row>
    <row r="103" spans="1:13" ht="15.75" thickBot="1">
      <c r="E103" s="25" t="str" cm="1">
        <f t="array" ref="E103">_xlfn.IFNA(INDEX('1.0 Data'!$D$9:$D$36,MATCH(0,COUNTIF($E$91:E102,'1.0 Data'!$D$9:$D$36),0)),"")</f>
        <v/>
      </c>
      <c r="F103" s="28">
        <f>SUMIF('2.0 Capex Real Dollars'!$L$10:$L$35,$E103,'2.0 Capex Real Dollars'!E$10:E$35)</f>
        <v>0</v>
      </c>
      <c r="G103" s="28">
        <f>SUMIF('2.0 Capex Real Dollars'!$L$10:$L$35,$E103,'2.0 Capex Real Dollars'!F$10:F$35)</f>
        <v>0</v>
      </c>
      <c r="H103" s="28">
        <f>SUMIF('2.0 Capex Real Dollars'!$L$10:$L$35,$E103,'2.0 Capex Real Dollars'!G$10:G$35)</f>
        <v>0</v>
      </c>
      <c r="I103" s="28">
        <f>SUMIF('2.0 Capex Real Dollars'!$L$10:$L$35,$E103,'2.0 Capex Real Dollars'!H$10:H$35)</f>
        <v>0</v>
      </c>
      <c r="J103" s="28">
        <f>SUMIF('2.0 Capex Real Dollars'!$L$10:$L$35,$E103,'2.0 Capex Real Dollars'!I$10:I$35)</f>
        <v>0</v>
      </c>
      <c r="K103" s="62">
        <f t="shared" si="20"/>
        <v>0</v>
      </c>
    </row>
    <row r="104" spans="1:13" ht="16.5" thickTop="1" thickBot="1">
      <c r="E104" s="31" t="s">
        <v>2</v>
      </c>
      <c r="F104" s="40">
        <f>SUM(F94:F103)</f>
        <v>18.489115074816308</v>
      </c>
      <c r="G104" s="40">
        <f t="shared" ref="G104:K104" si="21">SUM(G94:G103)</f>
        <v>10.327099675594905</v>
      </c>
      <c r="H104" s="40">
        <f t="shared" si="21"/>
        <v>4.0752013849888913</v>
      </c>
      <c r="I104" s="40">
        <f t="shared" si="21"/>
        <v>10.901610019209258</v>
      </c>
      <c r="J104" s="40">
        <f t="shared" si="21"/>
        <v>30.292038631215064</v>
      </c>
      <c r="K104" s="40">
        <f t="shared" si="21"/>
        <v>74.085064785824414</v>
      </c>
      <c r="M104" s="55">
        <f>K104-K37</f>
        <v>0</v>
      </c>
    </row>
    <row r="105" spans="1:13" ht="15.75" thickTop="1"/>
    <row r="106" spans="1:13">
      <c r="A106" s="3" t="s">
        <v>139</v>
      </c>
      <c r="B106" s="3"/>
      <c r="C106" s="3"/>
      <c r="D106" s="3"/>
      <c r="E106" s="3" t="str">
        <f>A106</f>
        <v>Immdiate Expensing Assets</v>
      </c>
      <c r="F106" s="3"/>
      <c r="G106" s="3"/>
      <c r="H106" s="3"/>
      <c r="I106" s="3"/>
      <c r="J106" s="3"/>
      <c r="K106" s="3"/>
      <c r="L106" s="3"/>
      <c r="M106" s="3"/>
    </row>
    <row r="107" spans="1:13" ht="15.75" thickBot="1"/>
    <row r="108" spans="1:13" ht="15.75" thickBot="1">
      <c r="E108" s="26" t="str">
        <f>E67</f>
        <v>Asset Class</v>
      </c>
      <c r="F108" s="26" t="str">
        <f t="shared" ref="F108:K108" si="22">F$8</f>
        <v>2025/26</v>
      </c>
      <c r="G108" s="26" t="str">
        <f t="shared" si="22"/>
        <v>2026/27</v>
      </c>
      <c r="H108" s="26" t="str">
        <f t="shared" si="22"/>
        <v>2027/28</v>
      </c>
      <c r="I108" s="26" t="str">
        <f t="shared" si="22"/>
        <v>2028/29</v>
      </c>
      <c r="J108" s="26" t="str">
        <f t="shared" si="22"/>
        <v>2029/30</v>
      </c>
      <c r="K108" s="26" t="str">
        <f t="shared" si="22"/>
        <v>Total</v>
      </c>
    </row>
    <row r="109" spans="1:13">
      <c r="E109" s="25" t="str">
        <f>E68</f>
        <v>AC FILTERS</v>
      </c>
      <c r="F109" s="28" cm="1">
        <f t="array" ref="F109">INDEX('2.0 Capex Real Dollars'!E$212:E$233,MATCH($E109,'2.0 Capex Real Dollars'!$A$212:$A$233,0),0)</f>
        <v>0</v>
      </c>
      <c r="G109" s="28" cm="1">
        <f t="array" ref="G109">INDEX('2.0 Capex Real Dollars'!F$212:F$233,MATCH($E109,'2.0 Capex Real Dollars'!$A$212:$A$233,0),0)</f>
        <v>0</v>
      </c>
      <c r="H109" s="28" cm="1">
        <f t="array" ref="H109">INDEX('2.0 Capex Real Dollars'!G$212:G$233,MATCH($E109,'2.0 Capex Real Dollars'!$A$212:$A$233,0),0)</f>
        <v>0</v>
      </c>
      <c r="I109" s="28" cm="1">
        <f t="array" ref="I109">INDEX('2.0 Capex Real Dollars'!H$212:H$233,MATCH($E109,'2.0 Capex Real Dollars'!$A$212:$A$233,0),0)</f>
        <v>0</v>
      </c>
      <c r="J109" s="28" cm="1">
        <f t="array" ref="J109">INDEX('2.0 Capex Real Dollars'!I$212:I$233,MATCH($E109,'2.0 Capex Real Dollars'!$A$212:$A$233,0),0)</f>
        <v>0</v>
      </c>
      <c r="K109" s="41">
        <f t="shared" ref="K109" si="23">SUM(F109:J109)</f>
        <v>0</v>
      </c>
    </row>
    <row r="110" spans="1:13">
      <c r="E110" s="25" t="str">
        <f t="shared" ref="E110:E129" si="24">E69</f>
        <v>AC SWITCHYARD</v>
      </c>
      <c r="F110" s="28" cm="1">
        <f t="array" ref="F110">INDEX('2.0 Capex Real Dollars'!E$212:E$233,MATCH($E110,'2.0 Capex Real Dollars'!$A$212:$A$233,0),0)</f>
        <v>0</v>
      </c>
      <c r="G110" s="28" cm="1">
        <f t="array" ref="G110">INDEX('2.0 Capex Real Dollars'!F$212:F$233,MATCH($E110,'2.0 Capex Real Dollars'!$A$212:$A$233,0),0)</f>
        <v>0</v>
      </c>
      <c r="H110" s="28" cm="1">
        <f t="array" ref="H110">INDEX('2.0 Capex Real Dollars'!G$212:G$233,MATCH($E110,'2.0 Capex Real Dollars'!$A$212:$A$233,0),0)</f>
        <v>0</v>
      </c>
      <c r="I110" s="28" cm="1">
        <f t="array" ref="I110">INDEX('2.0 Capex Real Dollars'!H$212:H$233,MATCH($E110,'2.0 Capex Real Dollars'!$A$212:$A$233,0),0)</f>
        <v>0</v>
      </c>
      <c r="J110" s="28" cm="1">
        <f t="array" ref="J110">INDEX('2.0 Capex Real Dollars'!I$212:I$233,MATCH($E110,'2.0 Capex Real Dollars'!$A$212:$A$233,0),0)</f>
        <v>0</v>
      </c>
      <c r="K110" s="41">
        <f t="shared" ref="K110:K126" si="25">SUM(F110:J110)</f>
        <v>0</v>
      </c>
    </row>
    <row r="111" spans="1:13">
      <c r="E111" s="25" t="str">
        <f t="shared" si="24"/>
        <v>AUXILIARY SYSTEMS</v>
      </c>
      <c r="F111" s="28" cm="1">
        <f t="array" ref="F111">INDEX('2.0 Capex Real Dollars'!E$212:E$233,MATCH($E111,'2.0 Capex Real Dollars'!$A$212:$A$233,0),0)</f>
        <v>0</v>
      </c>
      <c r="G111" s="28" cm="1">
        <f t="array" ref="G111">INDEX('2.0 Capex Real Dollars'!F$212:F$233,MATCH($E111,'2.0 Capex Real Dollars'!$A$212:$A$233,0),0)</f>
        <v>0</v>
      </c>
      <c r="H111" s="28" cm="1">
        <f t="array" ref="H111">INDEX('2.0 Capex Real Dollars'!G$212:G$233,MATCH($E111,'2.0 Capex Real Dollars'!$A$212:$A$233,0),0)</f>
        <v>0</v>
      </c>
      <c r="I111" s="28" cm="1">
        <f t="array" ref="I111">INDEX('2.0 Capex Real Dollars'!H$212:H$233,MATCH($E111,'2.0 Capex Real Dollars'!$A$212:$A$233,0),0)</f>
        <v>0</v>
      </c>
      <c r="J111" s="28" cm="1">
        <f t="array" ref="J111">INDEX('2.0 Capex Real Dollars'!I$212:I$233,MATCH($E111,'2.0 Capex Real Dollars'!$A$212:$A$233,0),0)</f>
        <v>0</v>
      </c>
      <c r="K111" s="41">
        <f t="shared" si="25"/>
        <v>0</v>
      </c>
    </row>
    <row r="112" spans="1:13">
      <c r="E112" s="25" t="str">
        <f t="shared" si="24"/>
        <v>CABLE</v>
      </c>
      <c r="F112" s="28" cm="1">
        <f t="array" ref="F112">INDEX('2.0 Capex Real Dollars'!E$212:E$233,MATCH($E112,'2.0 Capex Real Dollars'!$A$212:$A$233,0),0)</f>
        <v>0</v>
      </c>
      <c r="G112" s="28" cm="1">
        <f t="array" ref="G112">INDEX('2.0 Capex Real Dollars'!F$212:F$233,MATCH($E112,'2.0 Capex Real Dollars'!$A$212:$A$233,0),0)</f>
        <v>0</v>
      </c>
      <c r="H112" s="28" cm="1">
        <f t="array" ref="H112">INDEX('2.0 Capex Real Dollars'!G$212:G$233,MATCH($E112,'2.0 Capex Real Dollars'!$A$212:$A$233,0),0)</f>
        <v>0</v>
      </c>
      <c r="I112" s="28" cm="1">
        <f t="array" ref="I112">INDEX('2.0 Capex Real Dollars'!H$212:H$233,MATCH($E112,'2.0 Capex Real Dollars'!$A$212:$A$233,0),0)</f>
        <v>0</v>
      </c>
      <c r="J112" s="28" cm="1">
        <f t="array" ref="J112">INDEX('2.0 Capex Real Dollars'!I$212:I$233,MATCH($E112,'2.0 Capex Real Dollars'!$A$212:$A$233,0),0)</f>
        <v>0</v>
      </c>
      <c r="K112" s="41">
        <f t="shared" si="25"/>
        <v>0</v>
      </c>
    </row>
    <row r="113" spans="5:11">
      <c r="E113" s="25" t="str">
        <f t="shared" si="24"/>
        <v>CONTROL SYSTEM</v>
      </c>
      <c r="F113" s="28" cm="1">
        <f t="array" ref="F113">INDEX('2.0 Capex Real Dollars'!E$212:E$233,MATCH($E113,'2.0 Capex Real Dollars'!$A$212:$A$233,0),0)</f>
        <v>0</v>
      </c>
      <c r="G113" s="28" cm="1">
        <f t="array" ref="G113">INDEX('2.0 Capex Real Dollars'!F$212:F$233,MATCH($E113,'2.0 Capex Real Dollars'!$A$212:$A$233,0),0)</f>
        <v>0</v>
      </c>
      <c r="H113" s="28" cm="1">
        <f t="array" ref="H113">INDEX('2.0 Capex Real Dollars'!G$212:G$233,MATCH($E113,'2.0 Capex Real Dollars'!$A$212:$A$233,0),0)</f>
        <v>0</v>
      </c>
      <c r="I113" s="28" cm="1">
        <f t="array" ref="I113">INDEX('2.0 Capex Real Dollars'!H$212:H$233,MATCH($E113,'2.0 Capex Real Dollars'!$A$212:$A$233,0),0)</f>
        <v>0</v>
      </c>
      <c r="J113" s="28" cm="1">
        <f t="array" ref="J113">INDEX('2.0 Capex Real Dollars'!I$212:I$233,MATCH($E113,'2.0 Capex Real Dollars'!$A$212:$A$233,0),0)</f>
        <v>0</v>
      </c>
      <c r="K113" s="41">
        <f t="shared" si="25"/>
        <v>0</v>
      </c>
    </row>
    <row r="114" spans="5:11">
      <c r="E114" s="25" t="str">
        <f t="shared" si="24"/>
        <v>CONVERTER TRANSFORMER</v>
      </c>
      <c r="F114" s="28" cm="1">
        <f t="array" ref="F114">INDEX('2.0 Capex Real Dollars'!E$212:E$233,MATCH($E114,'2.0 Capex Real Dollars'!$A$212:$A$233,0),0)</f>
        <v>0</v>
      </c>
      <c r="G114" s="28" cm="1">
        <f t="array" ref="G114">INDEX('2.0 Capex Real Dollars'!F$212:F$233,MATCH($E114,'2.0 Capex Real Dollars'!$A$212:$A$233,0),0)</f>
        <v>0</v>
      </c>
      <c r="H114" s="28" cm="1">
        <f t="array" ref="H114">INDEX('2.0 Capex Real Dollars'!G$212:G$233,MATCH($E114,'2.0 Capex Real Dollars'!$A$212:$A$233,0),0)</f>
        <v>0</v>
      </c>
      <c r="I114" s="28" cm="1">
        <f t="array" ref="I114">INDEX('2.0 Capex Real Dollars'!H$212:H$233,MATCH($E114,'2.0 Capex Real Dollars'!$A$212:$A$233,0),0)</f>
        <v>0</v>
      </c>
      <c r="J114" s="28" cm="1">
        <f t="array" ref="J114">INDEX('2.0 Capex Real Dollars'!I$212:I$233,MATCH($E114,'2.0 Capex Real Dollars'!$A$212:$A$233,0),0)</f>
        <v>0</v>
      </c>
      <c r="K114" s="41">
        <f t="shared" si="25"/>
        <v>0</v>
      </c>
    </row>
    <row r="115" spans="5:11">
      <c r="E115" s="25" t="str">
        <f t="shared" si="24"/>
        <v>DC FILTER</v>
      </c>
      <c r="F115" s="28" cm="1">
        <f t="array" ref="F115">INDEX('2.0 Capex Real Dollars'!E$212:E$233,MATCH($E115,'2.0 Capex Real Dollars'!$A$212:$A$233,0),0)</f>
        <v>0</v>
      </c>
      <c r="G115" s="28" cm="1">
        <f t="array" ref="G115">INDEX('2.0 Capex Real Dollars'!F$212:F$233,MATCH($E115,'2.0 Capex Real Dollars'!$A$212:$A$233,0),0)</f>
        <v>0</v>
      </c>
      <c r="H115" s="28" cm="1">
        <f t="array" ref="H115">INDEX('2.0 Capex Real Dollars'!G$212:G$233,MATCH($E115,'2.0 Capex Real Dollars'!$A$212:$A$233,0),0)</f>
        <v>0</v>
      </c>
      <c r="I115" s="28" cm="1">
        <f t="array" ref="I115">INDEX('2.0 Capex Real Dollars'!H$212:H$233,MATCH($E115,'2.0 Capex Real Dollars'!$A$212:$A$233,0),0)</f>
        <v>0</v>
      </c>
      <c r="J115" s="28" cm="1">
        <f t="array" ref="J115">INDEX('2.0 Capex Real Dollars'!I$212:I$233,MATCH($E115,'2.0 Capex Real Dollars'!$A$212:$A$233,0),0)</f>
        <v>0</v>
      </c>
      <c r="K115" s="41">
        <f t="shared" si="25"/>
        <v>0</v>
      </c>
    </row>
    <row r="116" spans="5:11">
      <c r="E116" s="25" t="str">
        <f t="shared" si="24"/>
        <v>DC SWITCHYARD</v>
      </c>
      <c r="F116" s="28" cm="1">
        <f t="array" ref="F116">INDEX('2.0 Capex Real Dollars'!E$212:E$233,MATCH($E116,'2.0 Capex Real Dollars'!$A$212:$A$233,0),0)</f>
        <v>0</v>
      </c>
      <c r="G116" s="28" cm="1">
        <f t="array" ref="G116">INDEX('2.0 Capex Real Dollars'!F$212:F$233,MATCH($E116,'2.0 Capex Real Dollars'!$A$212:$A$233,0),0)</f>
        <v>0</v>
      </c>
      <c r="H116" s="28" cm="1">
        <f t="array" ref="H116">INDEX('2.0 Capex Real Dollars'!G$212:G$233,MATCH($E116,'2.0 Capex Real Dollars'!$A$212:$A$233,0),0)</f>
        <v>0</v>
      </c>
      <c r="I116" s="28" cm="1">
        <f t="array" ref="I116">INDEX('2.0 Capex Real Dollars'!H$212:H$233,MATCH($E116,'2.0 Capex Real Dollars'!$A$212:$A$233,0),0)</f>
        <v>0</v>
      </c>
      <c r="J116" s="28" cm="1">
        <f t="array" ref="J116">INDEX('2.0 Capex Real Dollars'!I$212:I$233,MATCH($E116,'2.0 Capex Real Dollars'!$A$212:$A$233,0),0)</f>
        <v>0</v>
      </c>
      <c r="K116" s="41">
        <f t="shared" si="25"/>
        <v>0</v>
      </c>
    </row>
    <row r="117" spans="5:11">
      <c r="E117" s="25" t="str">
        <f t="shared" si="24"/>
        <v>EASEMENT</v>
      </c>
      <c r="F117" s="28" cm="1">
        <f t="array" ref="F117">INDEX('2.0 Capex Real Dollars'!E$212:E$233,MATCH($E117,'2.0 Capex Real Dollars'!$A$212:$A$233,0),0)</f>
        <v>0</v>
      </c>
      <c r="G117" s="28" cm="1">
        <f t="array" ref="G117">INDEX('2.0 Capex Real Dollars'!F$212:F$233,MATCH($E117,'2.0 Capex Real Dollars'!$A$212:$A$233,0),0)</f>
        <v>0</v>
      </c>
      <c r="H117" s="28" cm="1">
        <f t="array" ref="H117">INDEX('2.0 Capex Real Dollars'!G$212:G$233,MATCH($E117,'2.0 Capex Real Dollars'!$A$212:$A$233,0),0)</f>
        <v>0</v>
      </c>
      <c r="I117" s="28" cm="1">
        <f t="array" ref="I117">INDEX('2.0 Capex Real Dollars'!H$212:H$233,MATCH($E117,'2.0 Capex Real Dollars'!$A$212:$A$233,0),0)</f>
        <v>0</v>
      </c>
      <c r="J117" s="28" cm="1">
        <f t="array" ref="J117">INDEX('2.0 Capex Real Dollars'!I$212:I$233,MATCH($E117,'2.0 Capex Real Dollars'!$A$212:$A$233,0),0)</f>
        <v>0</v>
      </c>
      <c r="K117" s="41">
        <f t="shared" si="25"/>
        <v>0</v>
      </c>
    </row>
    <row r="118" spans="5:11">
      <c r="E118" s="25" t="str">
        <f t="shared" si="24"/>
        <v>FREEHOLD LAND</v>
      </c>
      <c r="F118" s="28" cm="1">
        <f t="array" ref="F118">INDEX('2.0 Capex Real Dollars'!E$212:E$233,MATCH($E118,'2.0 Capex Real Dollars'!$A$212:$A$233,0),0)</f>
        <v>0</v>
      </c>
      <c r="G118" s="28" cm="1">
        <f t="array" ref="G118">INDEX('2.0 Capex Real Dollars'!F$212:F$233,MATCH($E118,'2.0 Capex Real Dollars'!$A$212:$A$233,0),0)</f>
        <v>0</v>
      </c>
      <c r="H118" s="28" cm="1">
        <f t="array" ref="H118">INDEX('2.0 Capex Real Dollars'!G$212:G$233,MATCH($E118,'2.0 Capex Real Dollars'!$A$212:$A$233,0),0)</f>
        <v>0</v>
      </c>
      <c r="I118" s="28" cm="1">
        <f t="array" ref="I118">INDEX('2.0 Capex Real Dollars'!H$212:H$233,MATCH($E118,'2.0 Capex Real Dollars'!$A$212:$A$233,0),0)</f>
        <v>0</v>
      </c>
      <c r="J118" s="28" cm="1">
        <f t="array" ref="J118">INDEX('2.0 Capex Real Dollars'!I$212:I$233,MATCH($E118,'2.0 Capex Real Dollars'!$A$212:$A$233,0),0)</f>
        <v>0</v>
      </c>
      <c r="K118" s="41">
        <f t="shared" si="25"/>
        <v>0</v>
      </c>
    </row>
    <row r="119" spans="5:11">
      <c r="E119" s="25" t="str">
        <f t="shared" si="24"/>
        <v>MEASURING DEVICES</v>
      </c>
      <c r="F119" s="28" cm="1">
        <f t="array" ref="F119">INDEX('2.0 Capex Real Dollars'!E$212:E$233,MATCH($E119,'2.0 Capex Real Dollars'!$A$212:$A$233,0),0)</f>
        <v>0</v>
      </c>
      <c r="G119" s="28" cm="1">
        <f t="array" ref="G119">INDEX('2.0 Capex Real Dollars'!F$212:F$233,MATCH($E119,'2.0 Capex Real Dollars'!$A$212:$A$233,0),0)</f>
        <v>0</v>
      </c>
      <c r="H119" s="28" cm="1">
        <f t="array" ref="H119">INDEX('2.0 Capex Real Dollars'!G$212:G$233,MATCH($E119,'2.0 Capex Real Dollars'!$A$212:$A$233,0),0)</f>
        <v>0</v>
      </c>
      <c r="I119" s="28" cm="1">
        <f t="array" ref="I119">INDEX('2.0 Capex Real Dollars'!H$212:H$233,MATCH($E119,'2.0 Capex Real Dollars'!$A$212:$A$233,0),0)</f>
        <v>0</v>
      </c>
      <c r="J119" s="28" cm="1">
        <f t="array" ref="J119">INDEX('2.0 Capex Real Dollars'!I$212:I$233,MATCH($E119,'2.0 Capex Real Dollars'!$A$212:$A$233,0),0)</f>
        <v>0</v>
      </c>
      <c r="K119" s="41">
        <f t="shared" si="25"/>
        <v>0</v>
      </c>
    </row>
    <row r="120" spans="5:11">
      <c r="E120" s="25" t="str">
        <f t="shared" si="24"/>
        <v>MOTOR VEHICLES</v>
      </c>
      <c r="F120" s="28" cm="1">
        <f t="array" ref="F120">INDEX('2.0 Capex Real Dollars'!E$212:E$233,MATCH($E120,'2.0 Capex Real Dollars'!$A$212:$A$233,0),0)</f>
        <v>0</v>
      </c>
      <c r="G120" s="28" cm="1">
        <f t="array" ref="G120">INDEX('2.0 Capex Real Dollars'!F$212:F$233,MATCH($E120,'2.0 Capex Real Dollars'!$A$212:$A$233,0),0)</f>
        <v>0</v>
      </c>
      <c r="H120" s="28" cm="1">
        <f t="array" ref="H120">INDEX('2.0 Capex Real Dollars'!G$212:G$233,MATCH($E120,'2.0 Capex Real Dollars'!$A$212:$A$233,0),0)</f>
        <v>0</v>
      </c>
      <c r="I120" s="28" cm="1">
        <f t="array" ref="I120">INDEX('2.0 Capex Real Dollars'!H$212:H$233,MATCH($E120,'2.0 Capex Real Dollars'!$A$212:$A$233,0),0)</f>
        <v>0</v>
      </c>
      <c r="J120" s="28" cm="1">
        <f t="array" ref="J120">INDEX('2.0 Capex Real Dollars'!I$212:I$233,MATCH($E120,'2.0 Capex Real Dollars'!$A$212:$A$233,0),0)</f>
        <v>0</v>
      </c>
      <c r="K120" s="41">
        <f t="shared" si="25"/>
        <v>0</v>
      </c>
    </row>
    <row r="121" spans="5:11">
      <c r="E121" s="25" t="str">
        <f t="shared" si="24"/>
        <v>OTHER</v>
      </c>
      <c r="F121" s="28" cm="1">
        <f t="array" ref="F121">INDEX('2.0 Capex Real Dollars'!E$212:E$233,MATCH($E121,'2.0 Capex Real Dollars'!$A$212:$A$233,0),0)</f>
        <v>0</v>
      </c>
      <c r="G121" s="28" cm="1">
        <f t="array" ref="G121">INDEX('2.0 Capex Real Dollars'!F$212:F$233,MATCH($E121,'2.0 Capex Real Dollars'!$A$212:$A$233,0),0)</f>
        <v>0</v>
      </c>
      <c r="H121" s="28" cm="1">
        <f t="array" ref="H121">INDEX('2.0 Capex Real Dollars'!G$212:G$233,MATCH($E121,'2.0 Capex Real Dollars'!$A$212:$A$233,0),0)</f>
        <v>0</v>
      </c>
      <c r="I121" s="28" cm="1">
        <f t="array" ref="I121">INDEX('2.0 Capex Real Dollars'!H$212:H$233,MATCH($E121,'2.0 Capex Real Dollars'!$A$212:$A$233,0),0)</f>
        <v>0</v>
      </c>
      <c r="J121" s="28" cm="1">
        <f t="array" ref="J121">INDEX('2.0 Capex Real Dollars'!I$212:I$233,MATCH($E121,'2.0 Capex Real Dollars'!$A$212:$A$233,0),0)</f>
        <v>0</v>
      </c>
      <c r="K121" s="41">
        <f t="shared" si="25"/>
        <v>0</v>
      </c>
    </row>
    <row r="122" spans="5:11">
      <c r="E122" s="25" t="str">
        <f t="shared" si="24"/>
        <v>OVERHEAD LINES</v>
      </c>
      <c r="F122" s="28" cm="1">
        <f t="array" ref="F122">INDEX('2.0 Capex Real Dollars'!E$212:E$233,MATCH($E122,'2.0 Capex Real Dollars'!$A$212:$A$233,0),0)</f>
        <v>0</v>
      </c>
      <c r="G122" s="28" cm="1">
        <f t="array" ref="G122">INDEX('2.0 Capex Real Dollars'!F$212:F$233,MATCH($E122,'2.0 Capex Real Dollars'!$A$212:$A$233,0),0)</f>
        <v>0</v>
      </c>
      <c r="H122" s="28" cm="1">
        <f t="array" ref="H122">INDEX('2.0 Capex Real Dollars'!G$212:G$233,MATCH($E122,'2.0 Capex Real Dollars'!$A$212:$A$233,0),0)</f>
        <v>0</v>
      </c>
      <c r="I122" s="28" cm="1">
        <f t="array" ref="I122">INDEX('2.0 Capex Real Dollars'!H$212:H$233,MATCH($E122,'2.0 Capex Real Dollars'!$A$212:$A$233,0),0)</f>
        <v>0</v>
      </c>
      <c r="J122" s="28" cm="1">
        <f t="array" ref="J122">INDEX('2.0 Capex Real Dollars'!I$212:I$233,MATCH($E122,'2.0 Capex Real Dollars'!$A$212:$A$233,0),0)</f>
        <v>0</v>
      </c>
      <c r="K122" s="41">
        <f t="shared" si="25"/>
        <v>0</v>
      </c>
    </row>
    <row r="123" spans="5:11">
      <c r="E123" s="25" t="str">
        <f t="shared" si="24"/>
        <v>SMOOTHING REACTOR</v>
      </c>
      <c r="F123" s="28" cm="1">
        <f t="array" ref="F123">INDEX('2.0 Capex Real Dollars'!E$212:E$233,MATCH($E123,'2.0 Capex Real Dollars'!$A$212:$A$233,0),0)</f>
        <v>0</v>
      </c>
      <c r="G123" s="28" cm="1">
        <f t="array" ref="G123">INDEX('2.0 Capex Real Dollars'!F$212:F$233,MATCH($E123,'2.0 Capex Real Dollars'!$A$212:$A$233,0),0)</f>
        <v>0</v>
      </c>
      <c r="H123" s="28" cm="1">
        <f t="array" ref="H123">INDEX('2.0 Capex Real Dollars'!G$212:G$233,MATCH($E123,'2.0 Capex Real Dollars'!$A$212:$A$233,0),0)</f>
        <v>0</v>
      </c>
      <c r="I123" s="28" cm="1">
        <f t="array" ref="I123">INDEX('2.0 Capex Real Dollars'!H$212:H$233,MATCH($E123,'2.0 Capex Real Dollars'!$A$212:$A$233,0),0)</f>
        <v>0</v>
      </c>
      <c r="J123" s="28" cm="1">
        <f t="array" ref="J123">INDEX('2.0 Capex Real Dollars'!I$212:I$233,MATCH($E123,'2.0 Capex Real Dollars'!$A$212:$A$233,0),0)</f>
        <v>0</v>
      </c>
      <c r="K123" s="41">
        <f t="shared" si="25"/>
        <v>0</v>
      </c>
    </row>
    <row r="124" spans="5:11">
      <c r="E124" s="25" t="str">
        <f t="shared" si="24"/>
        <v>STATION POWER SUPPLY</v>
      </c>
      <c r="F124" s="28" cm="1">
        <f t="array" ref="F124">INDEX('2.0 Capex Real Dollars'!E$212:E$233,MATCH($E124,'2.0 Capex Real Dollars'!$A$212:$A$233,0),0)</f>
        <v>0</v>
      </c>
      <c r="G124" s="28" cm="1">
        <f t="array" ref="G124">INDEX('2.0 Capex Real Dollars'!F$212:F$233,MATCH($E124,'2.0 Capex Real Dollars'!$A$212:$A$233,0),0)</f>
        <v>0</v>
      </c>
      <c r="H124" s="28" cm="1">
        <f t="array" ref="H124">INDEX('2.0 Capex Real Dollars'!G$212:G$233,MATCH($E124,'2.0 Capex Real Dollars'!$A$212:$A$233,0),0)</f>
        <v>0</v>
      </c>
      <c r="I124" s="28" cm="1">
        <f t="array" ref="I124">INDEX('2.0 Capex Real Dollars'!H$212:H$233,MATCH($E124,'2.0 Capex Real Dollars'!$A$212:$A$233,0),0)</f>
        <v>0</v>
      </c>
      <c r="J124" s="28" cm="1">
        <f t="array" ref="J124">INDEX('2.0 Capex Real Dollars'!I$212:I$233,MATCH($E124,'2.0 Capex Real Dollars'!$A$212:$A$233,0),0)</f>
        <v>0</v>
      </c>
      <c r="K124" s="41">
        <f t="shared" si="25"/>
        <v>0</v>
      </c>
    </row>
    <row r="125" spans="5:11">
      <c r="E125" s="25" t="str">
        <f t="shared" si="24"/>
        <v>SWITCHYARD COMPONENTS</v>
      </c>
      <c r="F125" s="28" cm="1">
        <f t="array" ref="F125">INDEX('2.0 Capex Real Dollars'!E$212:E$233,MATCH($E125,'2.0 Capex Real Dollars'!$A$212:$A$233,0),0)</f>
        <v>6.0351923549488054E-2</v>
      </c>
      <c r="G125" s="28" cm="1">
        <f t="array" ref="G125">INDEX('2.0 Capex Real Dollars'!F$212:F$233,MATCH($E125,'2.0 Capex Real Dollars'!$A$212:$A$233,0),0)</f>
        <v>0.24140769419795222</v>
      </c>
      <c r="H125" s="28" cm="1">
        <f t="array" ref="H125">INDEX('2.0 Capex Real Dollars'!G$212:G$233,MATCH($E125,'2.0 Capex Real Dollars'!$A$212:$A$233,0),0)</f>
        <v>0.12070384709897611</v>
      </c>
      <c r="I125" s="28" cm="1">
        <f t="array" ref="I125">INDEX('2.0 Capex Real Dollars'!H$212:H$233,MATCH($E125,'2.0 Capex Real Dollars'!$A$212:$A$233,0),0)</f>
        <v>0.25347807890784979</v>
      </c>
      <c r="J125" s="28" cm="1">
        <f t="array" ref="J125">INDEX('2.0 Capex Real Dollars'!I$212:I$233,MATCH($E125,'2.0 Capex Real Dollars'!$A$212:$A$233,0),0)</f>
        <v>0</v>
      </c>
      <c r="K125" s="41">
        <f t="shared" si="25"/>
        <v>0.67594154375426618</v>
      </c>
    </row>
    <row r="126" spans="5:11">
      <c r="E126" s="25" t="str">
        <f t="shared" si="24"/>
        <v>VALVE COOLING</v>
      </c>
      <c r="F126" s="28" cm="1">
        <f t="array" ref="F126">INDEX('2.0 Capex Real Dollars'!E$212:E$233,MATCH($E126,'2.0 Capex Real Dollars'!$A$212:$A$233,0),0)</f>
        <v>0</v>
      </c>
      <c r="G126" s="28" cm="1">
        <f t="array" ref="G126">INDEX('2.0 Capex Real Dollars'!F$212:F$233,MATCH($E126,'2.0 Capex Real Dollars'!$A$212:$A$233,0),0)</f>
        <v>0</v>
      </c>
      <c r="H126" s="28" cm="1">
        <f t="array" ref="H126">INDEX('2.0 Capex Real Dollars'!G$212:G$233,MATCH($E126,'2.0 Capex Real Dollars'!$A$212:$A$233,0),0)</f>
        <v>0</v>
      </c>
      <c r="I126" s="28" cm="1">
        <f t="array" ref="I126">INDEX('2.0 Capex Real Dollars'!H$212:H$233,MATCH($E126,'2.0 Capex Real Dollars'!$A$212:$A$233,0),0)</f>
        <v>0</v>
      </c>
      <c r="J126" s="28" cm="1">
        <f t="array" ref="J126">INDEX('2.0 Capex Real Dollars'!I$212:I$233,MATCH($E126,'2.0 Capex Real Dollars'!$A$212:$A$233,0),0)</f>
        <v>0</v>
      </c>
      <c r="K126" s="41">
        <f t="shared" si="25"/>
        <v>0</v>
      </c>
    </row>
    <row r="127" spans="5:11">
      <c r="E127" s="25" t="str">
        <f t="shared" si="24"/>
        <v>VALVE HALL</v>
      </c>
      <c r="F127" s="28" cm="1">
        <f t="array" ref="F127">INDEX('2.0 Capex Real Dollars'!E$212:E$233,MATCH($E127,'2.0 Capex Real Dollars'!$A$212:$A$233,0),0)</f>
        <v>0</v>
      </c>
      <c r="G127" s="28" cm="1">
        <f t="array" ref="G127">INDEX('2.0 Capex Real Dollars'!F$212:F$233,MATCH($E127,'2.0 Capex Real Dollars'!$A$212:$A$233,0),0)</f>
        <v>0</v>
      </c>
      <c r="H127" s="28" cm="1">
        <f t="array" ref="H127">INDEX('2.0 Capex Real Dollars'!G$212:G$233,MATCH($E127,'2.0 Capex Real Dollars'!$A$212:$A$233,0),0)</f>
        <v>0</v>
      </c>
      <c r="I127" s="28" cm="1">
        <f t="array" ref="I127">INDEX('2.0 Capex Real Dollars'!H$212:H$233,MATCH($E127,'2.0 Capex Real Dollars'!$A$212:$A$233,0),0)</f>
        <v>0</v>
      </c>
      <c r="J127" s="28" cm="1">
        <f t="array" ref="J127">INDEX('2.0 Capex Real Dollars'!I$212:I$233,MATCH($E127,'2.0 Capex Real Dollars'!$A$212:$A$233,0),0)</f>
        <v>0</v>
      </c>
      <c r="K127" s="41">
        <f t="shared" ref="K127:K129" si="26">SUM(F127:J127)</f>
        <v>0</v>
      </c>
    </row>
    <row r="128" spans="5:11">
      <c r="E128" s="25" t="str">
        <f t="shared" si="24"/>
        <v>BUILDING INSTALLATION</v>
      </c>
      <c r="F128" s="28" cm="1">
        <f t="array" ref="F128">INDEX('2.0 Capex Real Dollars'!E$212:E$233,MATCH($E128,'2.0 Capex Real Dollars'!$A$212:$A$233,0),0)</f>
        <v>0</v>
      </c>
      <c r="G128" s="28" cm="1">
        <f t="array" ref="G128">INDEX('2.0 Capex Real Dollars'!F$212:F$233,MATCH($E128,'2.0 Capex Real Dollars'!$A$212:$A$233,0),0)</f>
        <v>0</v>
      </c>
      <c r="H128" s="28" cm="1">
        <f t="array" ref="H128">INDEX('2.0 Capex Real Dollars'!G$212:G$233,MATCH($E128,'2.0 Capex Real Dollars'!$A$212:$A$233,0),0)</f>
        <v>0</v>
      </c>
      <c r="I128" s="28" cm="1">
        <f t="array" ref="I128">INDEX('2.0 Capex Real Dollars'!H$212:H$233,MATCH($E128,'2.0 Capex Real Dollars'!$A$212:$A$233,0),0)</f>
        <v>0</v>
      </c>
      <c r="J128" s="28" cm="1">
        <f t="array" ref="J128">INDEX('2.0 Capex Real Dollars'!I$212:I$233,MATCH($E128,'2.0 Capex Real Dollars'!$A$212:$A$233,0),0)</f>
        <v>0</v>
      </c>
      <c r="K128" s="41">
        <f t="shared" si="26"/>
        <v>0</v>
      </c>
    </row>
    <row r="129" spans="1:13" ht="15.75" thickBot="1">
      <c r="E129" s="25" t="str">
        <f t="shared" si="24"/>
        <v>IN-HOUSE SOFTWARE</v>
      </c>
      <c r="F129" s="28" cm="1">
        <f t="array" ref="F129">INDEX('2.0 Capex Real Dollars'!E$212:E$233,MATCH($E129,'2.0 Capex Real Dollars'!$A$212:$A$233,0),0)</f>
        <v>0</v>
      </c>
      <c r="G129" s="28" cm="1">
        <f t="array" ref="G129">INDEX('2.0 Capex Real Dollars'!F$212:F$233,MATCH($E129,'2.0 Capex Real Dollars'!$A$212:$A$233,0),0)</f>
        <v>0</v>
      </c>
      <c r="H129" s="28" cm="1">
        <f t="array" ref="H129">INDEX('2.0 Capex Real Dollars'!G$212:G$233,MATCH($E129,'2.0 Capex Real Dollars'!$A$212:$A$233,0),0)</f>
        <v>0</v>
      </c>
      <c r="I129" s="28" cm="1">
        <f t="array" ref="I129">INDEX('2.0 Capex Real Dollars'!H$212:H$233,MATCH($E129,'2.0 Capex Real Dollars'!$A$212:$A$233,0),0)</f>
        <v>0</v>
      </c>
      <c r="J129" s="28" cm="1">
        <f t="array" ref="J129">INDEX('2.0 Capex Real Dollars'!I$212:I$233,MATCH($E129,'2.0 Capex Real Dollars'!$A$212:$A$233,0),0)</f>
        <v>0</v>
      </c>
      <c r="K129" s="41">
        <f t="shared" si="26"/>
        <v>0</v>
      </c>
    </row>
    <row r="130" spans="1:13" ht="16.5" thickTop="1" thickBot="1">
      <c r="E130" s="31" t="s">
        <v>2</v>
      </c>
      <c r="F130" s="40">
        <f t="shared" ref="F130:K130" si="27">SUM(F109:F129)</f>
        <v>6.0351923549488054E-2</v>
      </c>
      <c r="G130" s="40">
        <f t="shared" si="27"/>
        <v>0.24140769419795222</v>
      </c>
      <c r="H130" s="40">
        <f t="shared" si="27"/>
        <v>0.12070384709897611</v>
      </c>
      <c r="I130" s="40">
        <f t="shared" si="27"/>
        <v>0.25347807890784979</v>
      </c>
      <c r="J130" s="40">
        <f t="shared" si="27"/>
        <v>0</v>
      </c>
      <c r="K130" s="40">
        <f t="shared" si="27"/>
        <v>0.67594154375426618</v>
      </c>
      <c r="M130" s="55">
        <f>K130-'2.0 Capex Real Dollars'!J197</f>
        <v>0.67594154375426618</v>
      </c>
    </row>
    <row r="131" spans="1:13" ht="15.75" thickTop="1"/>
    <row r="132" spans="1:13" ht="16.5">
      <c r="A132" s="4" t="s">
        <v>140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15.75" thickBot="1"/>
    <row r="135" spans="1:13" ht="15.75" thickBot="1">
      <c r="E135" s="26" t="s">
        <v>3</v>
      </c>
      <c r="F135" s="26" t="str">
        <f t="shared" ref="F135:K135" si="28">F$8</f>
        <v>2025/26</v>
      </c>
      <c r="G135" s="26" t="str">
        <f t="shared" si="28"/>
        <v>2026/27</v>
      </c>
      <c r="H135" s="26" t="str">
        <f t="shared" si="28"/>
        <v>2027/28</v>
      </c>
      <c r="I135" s="26" t="str">
        <f t="shared" si="28"/>
        <v>2028/29</v>
      </c>
      <c r="J135" s="26" t="str">
        <f t="shared" si="28"/>
        <v>2029/30</v>
      </c>
      <c r="K135" s="26" t="str">
        <f t="shared" si="28"/>
        <v>Total</v>
      </c>
    </row>
    <row r="136" spans="1:13">
      <c r="E136" s="25" t="str">
        <f>E98</f>
        <v>Basslink IT/OT</v>
      </c>
      <c r="F136" s="59">
        <f>SUMIF('2.0 Capex Real Dollars'!$L$10:$L$35,$E136,'2.0 Capex Real Dollars'!E$10:E$35)*1000000</f>
        <v>508364.00450057717</v>
      </c>
      <c r="G136" s="59">
        <f>SUMIF('2.0 Capex Real Dollars'!$L$10:$L$35,$E136,'2.0 Capex Real Dollars'!F$10:F$35)*1000000</f>
        <v>233247.99472382525</v>
      </c>
      <c r="H136" s="59">
        <f>SUMIF('2.0 Capex Real Dollars'!$L$10:$L$35,$E136,'2.0 Capex Real Dollars'!G$10:G$35)*1000000</f>
        <v>174936.00770526868</v>
      </c>
      <c r="I136" s="59">
        <f>SUMIF('2.0 Capex Real Dollars'!$L$10:$L$35,$E136,'2.0 Capex Real Dollars'!H$10:H$35)*1000000</f>
        <v>485039.20502819464</v>
      </c>
      <c r="J136" s="59">
        <f>SUMIF('2.0 Capex Real Dollars'!$L$10:$L$35,$E136,'2.0 Capex Real Dollars'!I$10:I$35)*1000000</f>
        <v>326547.19261335535</v>
      </c>
      <c r="K136" s="60">
        <f>SUM(F136:J136)</f>
        <v>1728134.4045712212</v>
      </c>
    </row>
    <row r="137" spans="1:13" ht="15.75" thickBot="1">
      <c r="E137" s="25" t="str">
        <f>E99</f>
        <v>APA IT</v>
      </c>
      <c r="F137" s="59">
        <f>SUMIF('2.0 Capex Real Dollars'!$L$10:$L$35,$E137,'2.0 Capex Real Dollars'!E$10:E$35)*1000000</f>
        <v>227023.93647708133</v>
      </c>
      <c r="G137" s="59">
        <f>SUMIF('2.0 Capex Real Dollars'!$L$10:$L$35,$E137,'2.0 Capex Real Dollars'!F$10:F$35)*1000000</f>
        <v>43940.116737499615</v>
      </c>
      <c r="H137" s="59">
        <f>SUMIF('2.0 Capex Real Dollars'!$L$10:$L$35,$E137,'2.0 Capex Real Dollars'!G$10:G$35)*1000000</f>
        <v>43940.116737499615</v>
      </c>
      <c r="I137" s="59">
        <f>SUMIF('2.0 Capex Real Dollars'!$L$10:$L$35,$E137,'2.0 Capex Real Dollars'!H$10:H$35)*1000000</f>
        <v>43940.116737499615</v>
      </c>
      <c r="J137" s="59">
        <f>SUMIF('2.0 Capex Real Dollars'!$L$10:$L$35,$E137,'2.0 Capex Real Dollars'!I$10:I$35)*1000000</f>
        <v>43940.116737499615</v>
      </c>
      <c r="K137" s="60">
        <f>SUM(F137:J137)</f>
        <v>402784.40342707973</v>
      </c>
    </row>
    <row r="138" spans="1:13" ht="15.75" thickTop="1">
      <c r="E138" s="31" t="s">
        <v>2</v>
      </c>
      <c r="F138" s="61">
        <f>SUM(F136:F137)</f>
        <v>735387.94097765849</v>
      </c>
      <c r="G138" s="61">
        <f t="shared" ref="G138:K138" si="29">SUM(G136:G137)</f>
        <v>277188.11146132485</v>
      </c>
      <c r="H138" s="61">
        <f t="shared" si="29"/>
        <v>218876.12444276828</v>
      </c>
      <c r="I138" s="61">
        <f t="shared" si="29"/>
        <v>528979.3217656943</v>
      </c>
      <c r="J138" s="61">
        <f t="shared" si="29"/>
        <v>370487.30935085495</v>
      </c>
      <c r="K138" s="61">
        <f t="shared" si="29"/>
        <v>2130918.807998301</v>
      </c>
    </row>
    <row r="140" spans="1:13" ht="16.5">
      <c r="A140" s="4" t="s">
        <v>140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5.75" thickBot="1"/>
    <row r="143" spans="1:13" ht="15.75" thickBot="1">
      <c r="E143" s="26" t="s">
        <v>3</v>
      </c>
      <c r="F143" s="26" t="str">
        <f t="shared" ref="F143:K143" si="30">F$8</f>
        <v>2025/26</v>
      </c>
      <c r="G143" s="26" t="str">
        <f t="shared" si="30"/>
        <v>2026/27</v>
      </c>
      <c r="H143" s="26" t="str">
        <f t="shared" si="30"/>
        <v>2027/28</v>
      </c>
      <c r="I143" s="26" t="str">
        <f t="shared" si="30"/>
        <v>2028/29</v>
      </c>
      <c r="J143" s="26" t="str">
        <f t="shared" si="30"/>
        <v>2029/30</v>
      </c>
      <c r="K143" s="26" t="str">
        <f t="shared" si="30"/>
        <v>Total</v>
      </c>
    </row>
    <row r="144" spans="1:13">
      <c r="E144" s="25" t="str">
        <f>'2.0 Capex Real Dollars'!A16</f>
        <v>Laptop</v>
      </c>
      <c r="F144" s="59">
        <f>'2.0 Capex Real Dollars'!E16*1000000</f>
        <v>33704.335237592742</v>
      </c>
      <c r="G144" s="59">
        <f>'2.0 Capex Real Dollars'!F16*1000000</f>
        <v>0</v>
      </c>
      <c r="H144" s="59">
        <f>'2.0 Capex Real Dollars'!G16*1000000</f>
        <v>0</v>
      </c>
      <c r="I144" s="59">
        <f>'2.0 Capex Real Dollars'!H16*1000000</f>
        <v>33704.335237592742</v>
      </c>
      <c r="J144" s="59">
        <f>'2.0 Capex Real Dollars'!I16*1000000</f>
        <v>0</v>
      </c>
      <c r="K144" s="60">
        <f>SUM(F144:J144)</f>
        <v>67408.670475185485</v>
      </c>
    </row>
    <row r="145" spans="1:13">
      <c r="E145" s="25" t="str">
        <f>'2.0 Capex Real Dollars'!A17</f>
        <v>Phones</v>
      </c>
      <c r="F145" s="59">
        <f>'2.0 Capex Real Dollars'!E17*1000000</f>
        <v>8163.6798153338841</v>
      </c>
      <c r="G145" s="59">
        <f>'2.0 Capex Real Dollars'!F17*1000000</f>
        <v>0</v>
      </c>
      <c r="H145" s="59">
        <f>'2.0 Capex Real Dollars'!G17*1000000</f>
        <v>0</v>
      </c>
      <c r="I145" s="59">
        <f>'2.0 Capex Real Dollars'!H17*1000000</f>
        <v>8163.6798153338841</v>
      </c>
      <c r="J145" s="59">
        <f>'2.0 Capex Real Dollars'!I17*1000000</f>
        <v>0</v>
      </c>
      <c r="K145" s="60">
        <f t="shared" ref="K145:K158" si="31">SUM(F145:J145)</f>
        <v>16327.359630667768</v>
      </c>
    </row>
    <row r="146" spans="1:13">
      <c r="E146" s="25" t="str">
        <f>'2.0 Capex Real Dollars'!A18</f>
        <v>Video Conferencing Rooms</v>
      </c>
      <c r="F146" s="59">
        <f>'2.0 Capex Real Dollars'!E18*1000000</f>
        <v>0</v>
      </c>
      <c r="G146" s="59">
        <f>'2.0 Capex Real Dollars'!F18*1000000</f>
        <v>0</v>
      </c>
      <c r="H146" s="59">
        <f>'2.0 Capex Real Dollars'!G18*1000000</f>
        <v>0</v>
      </c>
      <c r="I146" s="59">
        <f>'2.0 Capex Real Dollars'!H18*1000000</f>
        <v>81636.798153338837</v>
      </c>
      <c r="J146" s="59">
        <f>'2.0 Capex Real Dollars'!I18*1000000</f>
        <v>0</v>
      </c>
      <c r="K146" s="60">
        <f t="shared" si="31"/>
        <v>81636.798153338837</v>
      </c>
    </row>
    <row r="147" spans="1:13">
      <c r="E147" s="25" t="str">
        <f>'2.0 Capex Real Dollars'!A19</f>
        <v>Printer</v>
      </c>
      <c r="F147" s="59">
        <f>'2.0 Capex Real Dollars'!E19*1000000</f>
        <v>0</v>
      </c>
      <c r="G147" s="59">
        <f>'2.0 Capex Real Dollars'!F19*1000000</f>
        <v>0</v>
      </c>
      <c r="H147" s="59">
        <f>'2.0 Capex Real Dollars'!G19*1000000</f>
        <v>0</v>
      </c>
      <c r="I147" s="59">
        <f>'2.0 Capex Real Dollars'!H19*1000000</f>
        <v>11662.399736191262</v>
      </c>
      <c r="J147" s="59">
        <f>'2.0 Capex Real Dollars'!I19*1000000</f>
        <v>0</v>
      </c>
      <c r="K147" s="60">
        <f t="shared" si="31"/>
        <v>11662.399736191262</v>
      </c>
    </row>
    <row r="148" spans="1:13" ht="28.5">
      <c r="E148" s="25" t="str">
        <f>'2.0 Capex Real Dollars'!A20</f>
        <v>Enterprise Asset Management System Upgrade</v>
      </c>
      <c r="F148" s="59">
        <f>'2.0 Capex Real Dollars'!E20*1000000</f>
        <v>183083.8197395817</v>
      </c>
      <c r="G148" s="59">
        <f>'2.0 Capex Real Dollars'!F20*1000000</f>
        <v>0</v>
      </c>
      <c r="H148" s="59">
        <f>'2.0 Capex Real Dollars'!G20*1000000</f>
        <v>0</v>
      </c>
      <c r="I148" s="59">
        <f>'2.0 Capex Real Dollars'!H20*1000000</f>
        <v>0</v>
      </c>
      <c r="J148" s="59">
        <f>'2.0 Capex Real Dollars'!I20*1000000</f>
        <v>0</v>
      </c>
      <c r="K148" s="60">
        <f t="shared" si="31"/>
        <v>183083.8197395817</v>
      </c>
    </row>
    <row r="149" spans="1:13" ht="28.5">
      <c r="E149" s="25" t="str">
        <f>'2.0 Capex Real Dollars'!A21</f>
        <v>OT initial integration and standard asset integration</v>
      </c>
      <c r="F149" s="59">
        <f>'2.0 Capex Real Dollars'!E21*1000000</f>
        <v>0</v>
      </c>
      <c r="G149" s="59">
        <f>'2.0 Capex Real Dollars'!F21*1000000</f>
        <v>0</v>
      </c>
      <c r="H149" s="59">
        <f>'2.0 Capex Real Dollars'!G21*1000000</f>
        <v>0</v>
      </c>
      <c r="I149" s="59">
        <f>'2.0 Capex Real Dollars'!H21*1000000</f>
        <v>0</v>
      </c>
      <c r="J149" s="59">
        <f>'2.0 Capex Real Dollars'!I21*1000000</f>
        <v>116623.99736191262</v>
      </c>
      <c r="K149" s="60">
        <f t="shared" si="31"/>
        <v>116623.99736191262</v>
      </c>
    </row>
    <row r="150" spans="1:13" ht="28.5">
      <c r="E150" s="25" t="str">
        <f>'2.0 Capex Real Dollars'!A22</f>
        <v>EMS basslink integration, Reliability / predictive monitoring</v>
      </c>
      <c r="F150" s="59">
        <f>'2.0 Capex Real Dollars'!E22*1000000</f>
        <v>466495.9894476505</v>
      </c>
      <c r="G150" s="59">
        <f>'2.0 Capex Real Dollars'!F22*1000000</f>
        <v>233247.99472382525</v>
      </c>
      <c r="H150" s="59">
        <f>'2.0 Capex Real Dollars'!G22*1000000</f>
        <v>0</v>
      </c>
      <c r="I150" s="59">
        <f>'2.0 Capex Real Dollars'!H22*1000000</f>
        <v>0</v>
      </c>
      <c r="J150" s="59">
        <f>'2.0 Capex Real Dollars'!I22*1000000</f>
        <v>0</v>
      </c>
      <c r="K150" s="60">
        <f t="shared" si="31"/>
        <v>699743.98417147575</v>
      </c>
    </row>
    <row r="151" spans="1:13">
      <c r="E151" s="25" t="str">
        <f>'2.0 Capex Real Dollars'!A23</f>
        <v>OT Technology Capability uplift</v>
      </c>
      <c r="F151" s="59">
        <f>'2.0 Capex Real Dollars'!E23*1000000</f>
        <v>43940.116737499615</v>
      </c>
      <c r="G151" s="59">
        <f>'2.0 Capex Real Dollars'!F23*1000000</f>
        <v>43940.116737499615</v>
      </c>
      <c r="H151" s="59">
        <f>'2.0 Capex Real Dollars'!G23*1000000</f>
        <v>43940.116737499615</v>
      </c>
      <c r="I151" s="59">
        <f>'2.0 Capex Real Dollars'!H23*1000000</f>
        <v>43940.116737499615</v>
      </c>
      <c r="J151" s="59">
        <f>'2.0 Capex Real Dollars'!I23*1000000</f>
        <v>43940.116737499615</v>
      </c>
      <c r="K151" s="60">
        <f t="shared" si="31"/>
        <v>219700.58368749806</v>
      </c>
    </row>
    <row r="152" spans="1:13">
      <c r="E152" s="25" t="str">
        <f>'2.0 Capex Real Dollars'!A24</f>
        <v>Asset Integration</v>
      </c>
      <c r="F152" s="59">
        <f>'2.0 Capex Real Dollars'!E24*1000000</f>
        <v>0</v>
      </c>
      <c r="G152" s="59">
        <f>'2.0 Capex Real Dollars'!F24*1000000</f>
        <v>0</v>
      </c>
      <c r="H152" s="59">
        <f>'2.0 Capex Real Dollars'!G24*1000000</f>
        <v>0</v>
      </c>
      <c r="I152" s="59">
        <f>'2.0 Capex Real Dollars'!H24*1000000</f>
        <v>0</v>
      </c>
      <c r="J152" s="59">
        <f>'2.0 Capex Real Dollars'!I24*1000000</f>
        <v>34987.199208573787</v>
      </c>
      <c r="K152" s="60">
        <f t="shared" si="31"/>
        <v>34987.199208573787</v>
      </c>
    </row>
    <row r="153" spans="1:13">
      <c r="E153" s="25" t="str">
        <f>'2.0 Capex Real Dollars'!A25</f>
        <v>Program Management and Consultation</v>
      </c>
      <c r="F153" s="59">
        <f>'2.0 Capex Real Dollars'!E25*1000000</f>
        <v>0</v>
      </c>
      <c r="G153" s="59">
        <f>'2.0 Capex Real Dollars'!F25*1000000</f>
        <v>0</v>
      </c>
      <c r="H153" s="59">
        <f>'2.0 Capex Real Dollars'!G25*1000000</f>
        <v>174936.00770526868</v>
      </c>
      <c r="I153" s="59">
        <f>'2.0 Capex Real Dollars'!H25*1000000</f>
        <v>349871.99208573787</v>
      </c>
      <c r="J153" s="59">
        <f>'2.0 Capex Real Dollars'!I25*1000000</f>
        <v>174935.99604286894</v>
      </c>
      <c r="K153" s="60">
        <f t="shared" si="31"/>
        <v>699743.9958338755</v>
      </c>
    </row>
    <row r="154" spans="1:13">
      <c r="E154" s="25" t="str">
        <f>'2.0 Capex Real Dollars'!A26</f>
        <v>Cyber Security</v>
      </c>
      <c r="F154" s="59">
        <f>'2.0 Capex Real Dollars'!E26*1000000</f>
        <v>908742.1470653821</v>
      </c>
      <c r="G154" s="59">
        <f>'2.0 Capex Real Dollars'!F26*1000000</f>
        <v>873109.72085657052</v>
      </c>
      <c r="H154" s="59">
        <f>'2.0 Capex Real Dollars'!G26*1000000</f>
        <v>549251.45921874524</v>
      </c>
      <c r="I154" s="59">
        <f>'2.0 Capex Real Dollars'!H26*1000000</f>
        <v>549251.45921874524</v>
      </c>
      <c r="J154" s="59">
        <f>'2.0 Capex Real Dollars'!I26*1000000</f>
        <v>549251.45921874524</v>
      </c>
      <c r="K154" s="60">
        <f t="shared" si="31"/>
        <v>3429606.245578188</v>
      </c>
    </row>
    <row r="155" spans="1:13">
      <c r="E155" s="25" t="str">
        <f>'2.0 Capex Real Dollars'!A27</f>
        <v>Program Management and Material Risk</v>
      </c>
      <c r="F155" s="59">
        <f>'2.0 Capex Real Dollars'!E27*1000000</f>
        <v>44276.071441703374</v>
      </c>
      <c r="G155" s="59">
        <f>'2.0 Capex Real Dollars'!F27*1000000</f>
        <v>0</v>
      </c>
      <c r="H155" s="59">
        <f>'2.0 Capex Real Dollars'!G27*1000000</f>
        <v>0</v>
      </c>
      <c r="I155" s="59">
        <f>'2.0 Capex Real Dollars'!H27*1000000</f>
        <v>0</v>
      </c>
      <c r="J155" s="59">
        <f>'2.0 Capex Real Dollars'!I27*1000000</f>
        <v>0</v>
      </c>
      <c r="K155" s="60">
        <f t="shared" si="31"/>
        <v>44276.071441703374</v>
      </c>
    </row>
    <row r="156" spans="1:13">
      <c r="E156" s="25" t="str">
        <f>'2.0 Capex Real Dollars'!A28</f>
        <v>Enterprise Security Governance</v>
      </c>
      <c r="F156" s="59">
        <f>'2.0 Capex Real Dollars'!E28*1000000</f>
        <v>31842.27855016803</v>
      </c>
      <c r="G156" s="59">
        <f>'2.0 Capex Real Dollars'!F28*1000000</f>
        <v>0</v>
      </c>
      <c r="H156" s="59">
        <f>'2.0 Capex Real Dollars'!G28*1000000</f>
        <v>73233.527895832696</v>
      </c>
      <c r="I156" s="59">
        <f>'2.0 Capex Real Dollars'!H28*1000000</f>
        <v>73233.527895832696</v>
      </c>
      <c r="J156" s="59">
        <f>'2.0 Capex Real Dollars'!I28*1000000</f>
        <v>73233.527895832696</v>
      </c>
      <c r="K156" s="60">
        <f t="shared" si="31"/>
        <v>251542.86223766612</v>
      </c>
    </row>
    <row r="157" spans="1:13">
      <c r="E157" s="25" t="str">
        <f>'2.0 Capex Real Dollars'!A29</f>
        <v>Supply Chain Security</v>
      </c>
      <c r="F157" s="59">
        <f>'2.0 Capex Real Dollars'!E29*1000000</f>
        <v>31800.881120983136</v>
      </c>
      <c r="G157" s="59">
        <f>'2.0 Capex Real Dollars'!F29*1000000</f>
        <v>0</v>
      </c>
      <c r="H157" s="59">
        <f>'2.0 Capex Real Dollars'!G29*1000000</f>
        <v>0</v>
      </c>
      <c r="I157" s="59">
        <f>'2.0 Capex Real Dollars'!H29*1000000</f>
        <v>0</v>
      </c>
      <c r="J157" s="59">
        <f>'2.0 Capex Real Dollars'!I29*1000000</f>
        <v>0</v>
      </c>
      <c r="K157" s="60">
        <f t="shared" si="31"/>
        <v>31800.881120983136</v>
      </c>
    </row>
    <row r="158" spans="1:13">
      <c r="E158" s="25" t="str">
        <f>'2.0 Capex Real Dollars'!A30</f>
        <v>Physical Security and Natural Hazards</v>
      </c>
      <c r="F158" s="59">
        <f>'2.0 Capex Real Dollars'!E30*1000000</f>
        <v>1749359.9604286894</v>
      </c>
      <c r="G158" s="59">
        <f>'2.0 Capex Real Dollars'!F30*1000000</f>
        <v>1749359.9604286894</v>
      </c>
      <c r="H158" s="59">
        <f>'2.0 Capex Real Dollars'!G30*1000000</f>
        <v>0</v>
      </c>
      <c r="I158" s="59">
        <f>'2.0 Capex Real Dollars'!H30*1000000</f>
        <v>0</v>
      </c>
      <c r="J158" s="59">
        <f>'2.0 Capex Real Dollars'!I30*1000000</f>
        <v>0</v>
      </c>
      <c r="K158" s="60">
        <f t="shared" si="31"/>
        <v>3498719.9208573787</v>
      </c>
    </row>
    <row r="160" spans="1:13" ht="16.5">
      <c r="A160" s="4" t="s">
        <v>141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5.75" thickBot="1"/>
    <row r="163" spans="1:13" ht="15.75" thickBot="1">
      <c r="E163" s="26" t="s">
        <v>0</v>
      </c>
      <c r="F163" s="26"/>
      <c r="G163" s="26"/>
      <c r="H163" s="26"/>
      <c r="I163" s="26"/>
      <c r="J163" s="26"/>
      <c r="K163" s="26" t="str">
        <f t="shared" ref="K163" si="32">K$8</f>
        <v>Total</v>
      </c>
    </row>
    <row r="164" spans="1:13" ht="15.75" thickTop="1">
      <c r="E164" s="31" t="s">
        <v>0</v>
      </c>
      <c r="F164" s="63">
        <f>'1.1 Input'!D64*'1.1 Input'!E13</f>
        <v>5.6715211509619721</v>
      </c>
      <c r="G164" s="63">
        <f>'1.1 Input'!E64*'1.1 Input'!F13</f>
        <v>6.0978860037830707</v>
      </c>
      <c r="H164" s="63">
        <f>'1.1 Input'!F64*'1.1 Input'!G13</f>
        <v>7.7283910025411648</v>
      </c>
      <c r="I164" s="63">
        <f>'1.1 Input'!G64*'1.1 Input'!H13</f>
        <v>29.077500736073766</v>
      </c>
      <c r="J164" s="63">
        <f>'1.1 Input'!H64*'1.1 Input'!I13</f>
        <v>4.4696184005347277</v>
      </c>
      <c r="K164" s="63">
        <f>SUM(F164:J164)</f>
        <v>53.044917293894699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I30"/>
  <sheetViews>
    <sheetView topLeftCell="A7" workbookViewId="0">
      <selection activeCell="O7" sqref="O7"/>
    </sheetView>
  </sheetViews>
  <sheetFormatPr defaultRowHeight="15"/>
  <cols>
    <col min="1" max="1" width="27.42578125" customWidth="1"/>
    <col min="2" max="2" width="12.5703125" bestFit="1" customWidth="1"/>
    <col min="3" max="3" width="11.42578125" bestFit="1" customWidth="1"/>
    <col min="4" max="4" width="10.42578125" customWidth="1"/>
    <col min="5" max="6" width="11.42578125" bestFit="1" customWidth="1"/>
    <col min="7" max="7" width="10.42578125" customWidth="1"/>
    <col min="8" max="8" width="11.42578125" bestFit="1" customWidth="1"/>
    <col min="9" max="16" width="10.42578125" customWidth="1"/>
    <col min="18" max="18" width="10.42578125" bestFit="1" customWidth="1"/>
  </cols>
  <sheetData>
    <row r="1" spans="1:9" ht="22.5">
      <c r="A1" s="1"/>
      <c r="B1" s="1"/>
      <c r="C1" s="1"/>
      <c r="D1" s="1"/>
      <c r="E1" s="1"/>
      <c r="F1" s="1"/>
      <c r="G1" s="1"/>
      <c r="H1" s="1"/>
      <c r="I1" s="1"/>
    </row>
    <row r="2" spans="1:9" ht="22.5">
      <c r="A2" s="1"/>
      <c r="B2" s="1"/>
      <c r="C2" s="1"/>
      <c r="D2" s="1"/>
      <c r="E2" s="1"/>
      <c r="F2" s="1"/>
      <c r="G2" s="1"/>
      <c r="H2" s="1"/>
      <c r="I2" s="1"/>
    </row>
    <row r="3" spans="1:9" ht="22.5">
      <c r="A3" s="1"/>
      <c r="B3" s="1"/>
      <c r="C3" s="1"/>
      <c r="D3" s="1"/>
      <c r="E3" s="1"/>
      <c r="F3" s="1"/>
      <c r="G3" s="1"/>
      <c r="H3" s="1"/>
      <c r="I3" s="1"/>
    </row>
    <row r="4" spans="1:9" ht="22.5">
      <c r="A4" s="1"/>
      <c r="B4" s="1"/>
      <c r="C4" s="1"/>
      <c r="D4" s="1"/>
      <c r="E4" s="1"/>
      <c r="F4" s="1"/>
      <c r="G4" s="1"/>
      <c r="H4" s="1"/>
      <c r="I4" s="1"/>
    </row>
    <row r="5" spans="1:9" ht="22.5">
      <c r="A5" s="1" t="str">
        <f ca="1">RIGHT(CELL("filename"),LEN(CELL("filename"))-FIND("]",CELL("filename")))</f>
        <v>1.1 Input</v>
      </c>
      <c r="B5" s="1"/>
      <c r="C5" s="1"/>
      <c r="D5" s="1"/>
      <c r="E5" s="1"/>
      <c r="F5" s="1"/>
      <c r="G5" s="1"/>
      <c r="H5" s="1"/>
      <c r="I5" s="1"/>
    </row>
    <row r="6" spans="1:9" ht="19.5">
      <c r="A6" s="2" t="s">
        <v>151</v>
      </c>
      <c r="B6" s="2"/>
      <c r="C6" s="2"/>
      <c r="D6" s="2"/>
      <c r="E6" s="2"/>
      <c r="F6" s="2"/>
      <c r="G6" s="2"/>
      <c r="H6" s="2"/>
      <c r="I6" s="2"/>
    </row>
    <row r="7" spans="1:9" ht="16.5">
      <c r="A7" s="4"/>
      <c r="B7" s="4"/>
      <c r="C7" s="4"/>
      <c r="D7" s="4"/>
      <c r="E7" s="4"/>
      <c r="F7" s="4"/>
      <c r="G7" s="4"/>
      <c r="H7" s="4"/>
      <c r="I7" s="4"/>
    </row>
    <row r="8" spans="1:9" ht="15.75" thickBot="1">
      <c r="A8" s="3"/>
      <c r="B8" s="3" t="s">
        <v>152</v>
      </c>
      <c r="C8" s="3" t="s">
        <v>153</v>
      </c>
      <c r="D8" s="3" t="s">
        <v>154</v>
      </c>
      <c r="E8" s="3" t="s">
        <v>155</v>
      </c>
      <c r="F8" s="3" t="s">
        <v>156</v>
      </c>
      <c r="G8" s="3"/>
      <c r="H8" s="3" t="s">
        <v>2</v>
      </c>
      <c r="I8" s="3"/>
    </row>
    <row r="9" spans="1:9" ht="15.75" thickBot="1">
      <c r="A9" s="58" t="s">
        <v>14</v>
      </c>
      <c r="B9" s="58">
        <f>'2.0 Capex Real Dollars'!E107*1000000</f>
        <v>14987705.795231722</v>
      </c>
      <c r="C9" s="58">
        <f>'2.0 Capex Real Dollars'!F107*1000000</f>
        <v>7427441.8828483196</v>
      </c>
      <c r="D9" s="58">
        <f>'2.0 Capex Real Dollars'!G107*1000000</f>
        <v>3233840.2734315451</v>
      </c>
      <c r="E9" s="58">
        <f>'2.0 Capex Real Dollars'!H107*1000000</f>
        <v>9750145.7103289869</v>
      </c>
      <c r="F9" s="58">
        <f>'2.0 Capex Real Dollars'!I107*1000000</f>
        <v>29299066.334749628</v>
      </c>
      <c r="H9" s="29">
        <f>SUM(B9:G9)</f>
        <v>64698199.996590197</v>
      </c>
    </row>
    <row r="10" spans="1:9" ht="15.75" thickBot="1">
      <c r="A10" s="58" t="s">
        <v>75</v>
      </c>
      <c r="B10" s="58">
        <f>'2.0 Capex Real Dollars'!E108*1000000</f>
        <v>0</v>
      </c>
      <c r="C10" s="58">
        <f>'2.0 Capex Real Dollars'!F108*1000000</f>
        <v>0</v>
      </c>
      <c r="D10" s="58">
        <f>'2.0 Capex Real Dollars'!G108*1000000</f>
        <v>0</v>
      </c>
      <c r="E10" s="58">
        <f>'2.0 Capex Real Dollars'!H108*1000000</f>
        <v>0</v>
      </c>
      <c r="F10" s="58">
        <f>'2.0 Capex Real Dollars'!I108*1000000</f>
        <v>0</v>
      </c>
      <c r="H10" s="29">
        <f t="shared" ref="H10:H14" si="0">SUM(B10:G10)</f>
        <v>0</v>
      </c>
    </row>
    <row r="11" spans="1:9" ht="15.75" thickBot="1">
      <c r="A11" s="58" t="s">
        <v>77</v>
      </c>
      <c r="B11" s="58">
        <f>'2.0 Capex Real Dollars'!E109*1000000</f>
        <v>0</v>
      </c>
      <c r="C11" s="58">
        <f>'2.0 Capex Real Dollars'!F109*1000000</f>
        <v>0</v>
      </c>
      <c r="D11" s="58">
        <f>'2.0 Capex Real Dollars'!G109*1000000</f>
        <v>0</v>
      </c>
      <c r="E11" s="58">
        <f>'2.0 Capex Real Dollars'!H109*1000000</f>
        <v>0</v>
      </c>
      <c r="F11" s="58">
        <f>'2.0 Capex Real Dollars'!I109*1000000</f>
        <v>0</v>
      </c>
      <c r="H11" s="29">
        <f t="shared" si="0"/>
        <v>0</v>
      </c>
    </row>
    <row r="12" spans="1:9" ht="15.75" thickBot="1">
      <c r="A12" s="58" t="s">
        <v>157</v>
      </c>
      <c r="B12" s="58">
        <f>SUM('2.0 Capex Real Dollars'!E112:E115)*1000000</f>
        <v>3501409.2795845848</v>
      </c>
      <c r="C12" s="58">
        <f>SUM('2.0 Capex Real Dollars'!F112:F115)*1000000</f>
        <v>2899657.7927465849</v>
      </c>
      <c r="D12" s="58">
        <f>SUM('2.0 Capex Real Dollars'!G112:G115)*1000000</f>
        <v>841361.11155734619</v>
      </c>
      <c r="E12" s="58">
        <f>SUM('2.0 Capex Real Dollars'!H112:H115)*1000000</f>
        <v>1151464.3088802721</v>
      </c>
      <c r="F12" s="58">
        <f>SUM('2.0 Capex Real Dollars'!I112:I115)*1000000</f>
        <v>992972.29646543285</v>
      </c>
      <c r="H12" s="29">
        <f t="shared" si="0"/>
        <v>9386864.7892342191</v>
      </c>
    </row>
    <row r="13" spans="1:9" ht="15.75" thickBot="1">
      <c r="A13" s="58" t="s">
        <v>79</v>
      </c>
      <c r="B13" s="58"/>
      <c r="C13" s="58"/>
      <c r="D13" s="58"/>
      <c r="E13" s="58"/>
      <c r="F13" s="58"/>
      <c r="H13" s="29">
        <f t="shared" si="0"/>
        <v>0</v>
      </c>
    </row>
    <row r="14" spans="1:9" ht="15.75" thickBot="1">
      <c r="A14" s="58" t="s">
        <v>80</v>
      </c>
      <c r="B14" s="58"/>
      <c r="C14" s="58"/>
      <c r="D14" s="58"/>
      <c r="E14" s="58"/>
      <c r="F14" s="58"/>
      <c r="H14" s="29">
        <f t="shared" si="0"/>
        <v>0</v>
      </c>
    </row>
    <row r="15" spans="1:9" ht="16.5" thickTop="1" thickBot="1">
      <c r="A15" s="20" t="s">
        <v>158</v>
      </c>
      <c r="B15" s="20">
        <f>SUM(B9:B14)</f>
        <v>18489115.074816309</v>
      </c>
      <c r="C15" s="20">
        <f t="shared" ref="C15:F15" si="1">SUM(C9:C14)</f>
        <v>10327099.675594904</v>
      </c>
      <c r="D15" s="20">
        <f t="shared" si="1"/>
        <v>4075201.3849888914</v>
      </c>
      <c r="E15" s="20">
        <f t="shared" si="1"/>
        <v>10901610.019209258</v>
      </c>
      <c r="F15" s="20">
        <f t="shared" si="1"/>
        <v>30292038.631215062</v>
      </c>
      <c r="H15" s="30">
        <f>SUM(B15:G15)-'2.0 Capex Real Dollars'!J5*1000000</f>
        <v>0</v>
      </c>
    </row>
    <row r="16" spans="1:9" ht="16.5" thickTop="1" thickBot="1"/>
    <row r="17" spans="1:9" ht="16.5" thickTop="1" thickBot="1">
      <c r="A17" s="12" t="s">
        <v>142</v>
      </c>
      <c r="B17" s="30">
        <v>-127933.76441423967</v>
      </c>
      <c r="C17" s="30">
        <v>-94333.86122388579</v>
      </c>
      <c r="D17" s="30">
        <v>-68552.929934351239</v>
      </c>
      <c r="E17" s="30">
        <v>-68552.929934352636</v>
      </c>
      <c r="F17" s="30">
        <v>-68552.929934348911</v>
      </c>
    </row>
    <row r="18" spans="1:9" ht="15.75" thickTop="1"/>
    <row r="20" spans="1:9" ht="19.5">
      <c r="A20" s="2" t="s">
        <v>159</v>
      </c>
      <c r="B20" s="2"/>
      <c r="C20" s="2"/>
      <c r="D20" s="2"/>
      <c r="E20" s="2"/>
      <c r="F20" s="2"/>
      <c r="G20" s="2"/>
      <c r="H20" s="2"/>
      <c r="I20" s="2"/>
    </row>
    <row r="21" spans="1:9" ht="16.5">
      <c r="A21" s="4"/>
      <c r="B21" s="4"/>
      <c r="C21" s="4"/>
      <c r="D21" s="4"/>
      <c r="E21" s="4"/>
      <c r="F21" s="4"/>
      <c r="G21" s="4"/>
      <c r="H21" s="4"/>
      <c r="I21" s="4"/>
    </row>
    <row r="22" spans="1:9" ht="15.75" thickBot="1">
      <c r="A22" s="3"/>
      <c r="B22" s="3" t="str">
        <f>B8</f>
        <v>2025-26</v>
      </c>
      <c r="C22" s="3" t="str">
        <f t="shared" ref="C22:F22" si="2">C8</f>
        <v>2026-27</v>
      </c>
      <c r="D22" s="3" t="str">
        <f t="shared" si="2"/>
        <v>2027-28</v>
      </c>
      <c r="E22" s="3" t="str">
        <f t="shared" si="2"/>
        <v>2028-29</v>
      </c>
      <c r="F22" s="3" t="str">
        <f t="shared" si="2"/>
        <v>2029-30</v>
      </c>
      <c r="G22" s="3"/>
      <c r="H22" s="3" t="s">
        <v>2</v>
      </c>
      <c r="I22" s="3"/>
    </row>
    <row r="23" spans="1:9" ht="15.75" thickBot="1">
      <c r="A23" s="58" t="s">
        <v>160</v>
      </c>
      <c r="B23" s="58">
        <f>'2.0 Capex Real Dollars'!E112*1000000</f>
        <v>1752049.3191558952</v>
      </c>
      <c r="C23" s="58">
        <f>'2.0 Capex Real Dollars'!F112*1000000</f>
        <v>1150297.8323178955</v>
      </c>
      <c r="D23" s="58">
        <f>'2.0 Capex Real Dollars'!G112*1000000</f>
        <v>841361.11155734619</v>
      </c>
      <c r="E23" s="58">
        <f>'2.0 Capex Real Dollars'!H112*1000000</f>
        <v>1151464.3088802721</v>
      </c>
      <c r="F23" s="58">
        <f>'2.0 Capex Real Dollars'!I112*1000000</f>
        <v>992972.29646543285</v>
      </c>
      <c r="H23" s="29">
        <f t="shared" ref="H23:H26" si="3">SUM(B23:G23)</f>
        <v>5888144.8683768418</v>
      </c>
    </row>
    <row r="24" spans="1:9" ht="15.75" thickBot="1">
      <c r="A24" s="58" t="s">
        <v>161</v>
      </c>
      <c r="B24" s="58">
        <f>'2.0 Capex Real Dollars'!E113*1000000</f>
        <v>0</v>
      </c>
      <c r="C24" s="58">
        <f>'2.0 Capex Real Dollars'!F113*1000000</f>
        <v>0</v>
      </c>
      <c r="D24" s="58">
        <f>'2.0 Capex Real Dollars'!G113*1000000</f>
        <v>0</v>
      </c>
      <c r="E24" s="58">
        <f>'2.0 Capex Real Dollars'!H113*1000000</f>
        <v>0</v>
      </c>
      <c r="F24" s="58">
        <f>'2.0 Capex Real Dollars'!I113*1000000</f>
        <v>0</v>
      </c>
      <c r="H24" s="29">
        <f t="shared" si="3"/>
        <v>0</v>
      </c>
    </row>
    <row r="25" spans="1:9" ht="15.75" thickBot="1">
      <c r="A25" s="58" t="s">
        <v>162</v>
      </c>
      <c r="B25" s="58">
        <f>'2.0 Capex Real Dollars'!E114*1000000</f>
        <v>1749359.9604286894</v>
      </c>
      <c r="C25" s="58">
        <f>'2.0 Capex Real Dollars'!F114*1000000</f>
        <v>1749359.9604286894</v>
      </c>
      <c r="D25" s="58">
        <f>'2.0 Capex Real Dollars'!G114*1000000</f>
        <v>0</v>
      </c>
      <c r="E25" s="58">
        <f>'2.0 Capex Real Dollars'!H114*1000000</f>
        <v>0</v>
      </c>
      <c r="F25" s="58">
        <f>'2.0 Capex Real Dollars'!I114*1000000</f>
        <v>0</v>
      </c>
      <c r="H25" s="29">
        <f t="shared" si="3"/>
        <v>3498719.9208573787</v>
      </c>
    </row>
    <row r="26" spans="1:9" ht="15.75" thickBot="1">
      <c r="A26" s="58" t="s">
        <v>163</v>
      </c>
      <c r="B26" s="58">
        <f>'2.0 Capex Real Dollars'!E115*1000000</f>
        <v>0</v>
      </c>
      <c r="C26" s="58">
        <f>'2.0 Capex Real Dollars'!F115*1000000</f>
        <v>0</v>
      </c>
      <c r="D26" s="58">
        <f>'2.0 Capex Real Dollars'!G115*1000000</f>
        <v>0</v>
      </c>
      <c r="E26" s="58">
        <f>'2.0 Capex Real Dollars'!H115*1000000</f>
        <v>0</v>
      </c>
      <c r="F26" s="58">
        <f>'2.0 Capex Real Dollars'!I115*1000000</f>
        <v>0</v>
      </c>
      <c r="H26" s="29">
        <f t="shared" si="3"/>
        <v>0</v>
      </c>
    </row>
    <row r="27" spans="1:9" ht="15.75" thickTop="1">
      <c r="A27" s="20" t="s">
        <v>2</v>
      </c>
      <c r="B27" s="20">
        <f>SUM(B23:B26)</f>
        <v>3501409.2795845848</v>
      </c>
      <c r="C27" s="20">
        <f t="shared" ref="C27:F27" si="4">SUM(C23:C26)</f>
        <v>2899657.7927465849</v>
      </c>
      <c r="D27" s="20">
        <f t="shared" si="4"/>
        <v>841361.11155734619</v>
      </c>
      <c r="E27" s="20">
        <f t="shared" si="4"/>
        <v>1151464.3088802721</v>
      </c>
      <c r="F27" s="20">
        <f t="shared" si="4"/>
        <v>992972.29646543285</v>
      </c>
      <c r="H27" s="20">
        <f>SUM(H23:H26)</f>
        <v>9386864.789234221</v>
      </c>
    </row>
    <row r="28" spans="1:9" ht="15.75" thickBot="1"/>
    <row r="29" spans="1:9" ht="16.5" thickTop="1" thickBot="1">
      <c r="A29" s="12" t="s">
        <v>1</v>
      </c>
      <c r="B29" s="30">
        <f>B12-B27</f>
        <v>0</v>
      </c>
      <c r="C29" s="30">
        <f t="shared" ref="C29:F29" si="5">C12-C27</f>
        <v>0</v>
      </c>
      <c r="D29" s="30">
        <f t="shared" si="5"/>
        <v>0</v>
      </c>
      <c r="E29" s="30">
        <f t="shared" si="5"/>
        <v>0</v>
      </c>
      <c r="F29" s="30">
        <f t="shared" si="5"/>
        <v>0</v>
      </c>
      <c r="H29" s="30">
        <f>H27-H12</f>
        <v>0</v>
      </c>
    </row>
    <row r="30" spans="1:9" ht="15.75" thickTop="1"/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C7002-7B4F-479B-A7AF-AB1DC1D48932}">
  <dimension ref="C34:G34"/>
  <sheetViews>
    <sheetView workbookViewId="0">
      <selection activeCell="AC26" sqref="AC26"/>
    </sheetView>
  </sheetViews>
  <sheetFormatPr defaultRowHeight="15"/>
  <sheetData>
    <row r="34" spans="3:7">
      <c r="C34">
        <v>2026</v>
      </c>
      <c r="D34">
        <f>C34+1</f>
        <v>2027</v>
      </c>
      <c r="E34">
        <f t="shared" ref="E34:G34" si="0">D34+1</f>
        <v>2028</v>
      </c>
      <c r="F34">
        <f t="shared" si="0"/>
        <v>2029</v>
      </c>
      <c r="G34">
        <f t="shared" si="0"/>
        <v>2030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8ae7821-a946-4260-8774-bcebb4263047">
      <UserInfo>
        <DisplayName>SharingLinks.80474b73-cfa3-49b6-8852-783da06746df.Flexible.8629fde2-2c1e-4d3c-ad6b-7c4c3d2f1e19</DisplayName>
        <AccountId>52</AccountId>
        <AccountType/>
      </UserInfo>
      <UserInfo>
        <DisplayName>Basslink Revenue Proposal External Members</DisplayName>
        <AccountId>78</AccountId>
        <AccountType/>
      </UserInfo>
      <UserInfo>
        <DisplayName>SharingLinks.7550e002-1330-46b4-8a5c-7d329017d69e.Flexible.749590d8-5bc5-4c55-b283-a27a9524b0d3</DisplayName>
        <AccountId>60</AccountId>
        <AccountType/>
      </UserInfo>
      <UserInfo>
        <DisplayName>Lopez, Harold</DisplayName>
        <AccountId>27</AccountId>
        <AccountType/>
      </UserInfo>
      <UserInfo>
        <DisplayName>Horwood, Jamie</DisplayName>
        <AccountId>13</AccountId>
        <AccountType/>
      </UserInfo>
      <UserInfo>
        <DisplayName>Mahati, Joe</DisplayName>
        <AccountId>163</AccountId>
        <AccountType/>
      </UserInfo>
      <UserInfo>
        <DisplayName>Gittani, Joseph</DisplayName>
        <AccountId>155</AccountId>
        <AccountType/>
      </UserInfo>
      <UserInfo>
        <DisplayName>Matosin, Nives</DisplayName>
        <AccountId>16</AccountId>
        <AccountType/>
      </UserInfo>
    </SharedWithUsers>
    <lcf76f155ced4ddcb4097134ff3c332f xmlns="22f559db-fd0e-4983-bd46-a36235db0ac7">
      <Terms xmlns="http://schemas.microsoft.com/office/infopath/2007/PartnerControls"/>
    </lcf76f155ced4ddcb4097134ff3c332f>
    <TaxCatchAll xmlns="58ae7821-a946-4260-8774-bcebb426304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99E2DDF31A04D94AF06A952899FAD" ma:contentTypeVersion="13" ma:contentTypeDescription="Create a new document." ma:contentTypeScope="" ma:versionID="eb8329e6f51c47c074eb9adb21d8117c">
  <xsd:schema xmlns:xsd="http://www.w3.org/2001/XMLSchema" xmlns:xs="http://www.w3.org/2001/XMLSchema" xmlns:p="http://schemas.microsoft.com/office/2006/metadata/properties" xmlns:ns2="22f559db-fd0e-4983-bd46-a36235db0ac7" xmlns:ns3="58ae7821-a946-4260-8774-bcebb4263047" targetNamespace="http://schemas.microsoft.com/office/2006/metadata/properties" ma:root="true" ma:fieldsID="665ae54d857d571fcf3a6b854076310a" ns2:_="" ns3:_="">
    <xsd:import namespace="22f559db-fd0e-4983-bd46-a36235db0ac7"/>
    <xsd:import namespace="58ae7821-a946-4260-8774-bcebb42630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559db-fd0e-4983-bd46-a36235db0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e7821-a946-4260-8774-bcebb4263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8deec0-9267-4e67-90eb-7f96019f899e}" ma:internalName="TaxCatchAll" ma:showField="CatchAllData" ma:web="58ae7821-a946-4260-8774-bcebb4263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A87929-7DD9-4185-92FA-070C7C906E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92F750-444E-48D8-8B0E-0948CCF790EB}">
  <ds:schemaRefs>
    <ds:schemaRef ds:uri="http://schemas.microsoft.com/office/2006/metadata/properties"/>
    <ds:schemaRef ds:uri="http://schemas.microsoft.com/office/infopath/2007/PartnerControls"/>
    <ds:schemaRef ds:uri="58ae7821-a946-4260-8774-bcebb4263047"/>
    <ds:schemaRef ds:uri="22f559db-fd0e-4983-bd46-a36235db0ac7"/>
  </ds:schemaRefs>
</ds:datastoreItem>
</file>

<file path=customXml/itemProps3.xml><?xml version="1.0" encoding="utf-8"?>
<ds:datastoreItem xmlns:ds="http://schemas.openxmlformats.org/officeDocument/2006/customXml" ds:itemID="{C29073DE-2211-4D50-8512-36872692D4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f559db-fd0e-4983-bd46-a36235db0ac7"/>
    <ds:schemaRef ds:uri="58ae7821-a946-4260-8774-bcebb42630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1.1 Input</vt:lpstr>
      <vt:lpstr>1.0 Data</vt:lpstr>
      <vt:lpstr>1.1 Indexation</vt:lpstr>
      <vt:lpstr>2.0 Capex Real Dollars</vt:lpstr>
      <vt:lpstr>2.1 Capex Nominal Dollars</vt:lpstr>
      <vt:lpstr>3.0 Outputs</vt:lpstr>
      <vt:lpstr>3.1 AER Worksheets</vt:lpstr>
      <vt:lpstr>Graphs</vt:lpstr>
    </vt:vector>
  </TitlesOfParts>
  <Manager/>
  <Company>APA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Allen, Mark</dc:creator>
  <cp:keywords/>
  <dc:description/>
  <cp:lastModifiedBy>Allen, Mark</cp:lastModifiedBy>
  <cp:revision/>
  <dcterms:created xsi:type="dcterms:W3CDTF">2017-01-05T03:36:14Z</dcterms:created>
  <dcterms:modified xsi:type="dcterms:W3CDTF">2023-09-15T05:15:22Z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0x01010044999E2DDF31A04D94AF06A952899FAD</vt:lpwstr>
  </property>
  <property fmtid="{D5CDD505-2E9C-101B-9397-08002B2CF9AE}" pid="3" name="MediaServiceImageTags">
    <vt:lpwstr/>
  </property>
  <property fmtid="{D5CDD505-2E9C-101B-9397-08002B2CF9AE}" pid="4" name="MSIP_Label_a9c42b93-5bd2-48fe-a993-78d6016bf3ce_Enabled">
    <vt:lpwstr>true</vt:lpwstr>
  </property>
  <property fmtid="{D5CDD505-2E9C-101B-9397-08002B2CF9AE}" pid="5" name="MSIP_Label_a9c42b93-5bd2-48fe-a993-78d6016bf3ce_SetDate">
    <vt:lpwstr>2023-08-07T05:38:55Z</vt:lpwstr>
  </property>
  <property fmtid="{D5CDD505-2E9C-101B-9397-08002B2CF9AE}" pid="6" name="MSIP_Label_a9c42b93-5bd2-48fe-a993-78d6016bf3ce_Method">
    <vt:lpwstr>Privileged</vt:lpwstr>
  </property>
  <property fmtid="{D5CDD505-2E9C-101B-9397-08002B2CF9AE}" pid="7" name="MSIP_Label_a9c42b93-5bd2-48fe-a993-78d6016bf3ce_Name">
    <vt:lpwstr>APA-Confidential</vt:lpwstr>
  </property>
  <property fmtid="{D5CDD505-2E9C-101B-9397-08002B2CF9AE}" pid="8" name="MSIP_Label_a9c42b93-5bd2-48fe-a993-78d6016bf3ce_SiteId">
    <vt:lpwstr>234ac309-c216-4661-a5ba-18879f6c4c75</vt:lpwstr>
  </property>
  <property fmtid="{D5CDD505-2E9C-101B-9397-08002B2CF9AE}" pid="9" name="MSIP_Label_a9c42b93-5bd2-48fe-a993-78d6016bf3ce_ActionId">
    <vt:lpwstr>67202e69-e186-4856-926f-4446654cdd46</vt:lpwstr>
  </property>
  <property fmtid="{D5CDD505-2E9C-101B-9397-08002B2CF9AE}" pid="10" name="MSIP_Label_a9c42b93-5bd2-48fe-a993-78d6016bf3ce_ContentBits">
    <vt:lpwstr>0</vt:lpwstr>
  </property>
</Properties>
</file>