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Evoenergy\2. Draft decision\Publication\"/>
    </mc:Choice>
  </mc:AlternateContent>
  <xr:revisionPtr revIDLastSave="0" documentId="13_ncr:1_{A4AE50E4-6B71-4F9F-8701-B6D5D35BCC4F}" xr6:coauthVersionLast="47" xr6:coauthVersionMax="47" xr10:uidLastSave="{00000000-0000-0000-0000-000000000000}"/>
  <bookViews>
    <workbookView xWindow="-120" yWindow="-120" windowWidth="29040" windowHeight="15840" tabRatio="88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Input|Dx Tx split" sheetId="61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6" l="1"/>
  <c r="C22" i="44" l="1"/>
  <c r="E27" i="44"/>
  <c r="E26" i="44"/>
  <c r="E25" i="44"/>
  <c r="E24" i="44"/>
  <c r="E23" i="44"/>
  <c r="E22" i="44"/>
  <c r="S8" i="61" l="1"/>
  <c r="S13" i="61" s="1"/>
  <c r="R8" i="61"/>
  <c r="R13" i="61" s="1"/>
  <c r="Q8" i="61"/>
  <c r="Q13" i="61" s="1"/>
  <c r="P8" i="61"/>
  <c r="P13" i="61" s="1"/>
  <c r="O8" i="61"/>
  <c r="O13" i="61" s="1"/>
  <c r="W13" i="61" s="1"/>
  <c r="S1" i="61" s="1"/>
  <c r="G15" i="16" s="1"/>
  <c r="C70" i="42" l="1"/>
  <c r="O40" i="2" l="1"/>
  <c r="O42" i="2" s="1"/>
  <c r="N40" i="2"/>
  <c r="N42" i="2" s="1"/>
  <c r="V29" i="58" l="1"/>
  <c r="B2" i="55" l="1"/>
  <c r="T40" i="2" l="1"/>
  <c r="S40" i="2"/>
  <c r="R40" i="2"/>
  <c r="Q40" i="2"/>
  <c r="P40" i="2"/>
  <c r="P42" i="2" l="1"/>
  <c r="Q42" i="2"/>
  <c r="R42" i="2"/>
  <c r="S42" i="2"/>
  <c r="T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4" i="55" s="1"/>
  <c r="H78" i="55" s="1"/>
  <c r="H82" i="55" s="1"/>
  <c r="I82" i="55" s="1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J96" i="2"/>
  <c r="J97" i="2"/>
  <c r="J98" i="2"/>
  <c r="J99" i="2"/>
  <c r="J100" i="2"/>
  <c r="J95" i="2"/>
  <c r="E100" i="2"/>
  <c r="E99" i="2"/>
  <c r="E98" i="2"/>
  <c r="E97" i="2"/>
  <c r="E96" i="2"/>
  <c r="E95" i="2"/>
  <c r="C87" i="2"/>
  <c r="C88" i="2"/>
  <c r="C89" i="2"/>
  <c r="C90" i="2"/>
  <c r="C91" i="2"/>
  <c r="C86" i="2"/>
  <c r="K93" i="2"/>
  <c r="L93" i="2"/>
  <c r="M93" i="2"/>
  <c r="J93" i="2"/>
  <c r="I65" i="55" l="1"/>
  <c r="V65" i="55" s="1"/>
  <c r="I57" i="55"/>
  <c r="V57" i="55" s="1"/>
  <c r="I49" i="55"/>
  <c r="V49" i="55" s="1"/>
  <c r="I41" i="55"/>
  <c r="V41" i="55" s="1"/>
  <c r="I33" i="55"/>
  <c r="V33" i="55" s="1"/>
  <c r="I36" i="55"/>
  <c r="V36" i="55" s="1"/>
  <c r="I60" i="55"/>
  <c r="V60" i="55" s="1"/>
  <c r="I52" i="55"/>
  <c r="V52" i="55" s="1"/>
  <c r="I44" i="55"/>
  <c r="V44" i="55" s="1"/>
  <c r="I66" i="55"/>
  <c r="V66" i="55" s="1"/>
  <c r="I58" i="55"/>
  <c r="V58" i="55" s="1"/>
  <c r="I50" i="55"/>
  <c r="V50" i="55" s="1"/>
  <c r="I42" i="55"/>
  <c r="V42" i="55" s="1"/>
  <c r="I34" i="55"/>
  <c r="V34" i="55" s="1"/>
  <c r="I26" i="55"/>
  <c r="I25" i="55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78" i="55"/>
  <c r="V78" i="55" s="1"/>
  <c r="I68" i="55"/>
  <c r="V68" i="55" s="1"/>
  <c r="I74" i="55"/>
  <c r="V74" i="55" s="1"/>
  <c r="T115" i="2" l="1"/>
  <c r="S52" i="42" s="1"/>
  <c r="S115" i="2"/>
  <c r="R115" i="2"/>
  <c r="Q115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13" i="58"/>
  <c r="F24" i="58" s="1"/>
  <c r="F67" i="58"/>
  <c r="F34" i="42" s="1"/>
  <c r="F66" i="58"/>
  <c r="F31" i="42" s="1"/>
  <c r="F65" i="58"/>
  <c r="F28" i="42" s="1"/>
  <c r="F64" i="58"/>
  <c r="F25" i="42" s="1"/>
  <c r="E67" i="58"/>
  <c r="E34" i="42" s="1"/>
  <c r="E66" i="58"/>
  <c r="E31" i="42" s="1"/>
  <c r="E65" i="58"/>
  <c r="E28" i="42" s="1"/>
  <c r="E64" i="58"/>
  <c r="E25" i="42" s="1"/>
  <c r="E63" i="58"/>
  <c r="E22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K4" i="42"/>
  <c r="K96" i="42" s="1"/>
  <c r="L4" i="42"/>
  <c r="M4" i="42"/>
  <c r="N4" i="42"/>
  <c r="O4" i="42"/>
  <c r="P4" i="42"/>
  <c r="Q4" i="42"/>
  <c r="R4" i="42"/>
  <c r="S4" i="42"/>
  <c r="S10" i="42" s="1"/>
  <c r="T4" i="42"/>
  <c r="J4" i="58"/>
  <c r="F8" i="42"/>
  <c r="F82" i="42" s="1"/>
  <c r="E18" i="44"/>
  <c r="C81" i="42"/>
  <c r="E81" i="42"/>
  <c r="C82" i="42"/>
  <c r="E82" i="42"/>
  <c r="E16" i="44"/>
  <c r="C80" i="42"/>
  <c r="C79" i="42"/>
  <c r="T4" i="44"/>
  <c r="T11" i="44" s="1"/>
  <c r="T49" i="42"/>
  <c r="T52" i="42"/>
  <c r="U79" i="2"/>
  <c r="U80" i="2"/>
  <c r="U4" i="2"/>
  <c r="H78" i="4"/>
  <c r="G78" i="4" s="1"/>
  <c r="T4" i="53"/>
  <c r="T38" i="53" s="1"/>
  <c r="T42" i="53" s="1"/>
  <c r="T4" i="58"/>
  <c r="T61" i="58" s="1"/>
  <c r="J102" i="2" a="1"/>
  <c r="J102" i="2" s="1"/>
  <c r="K102" i="2" a="1"/>
  <c r="K102" i="2" s="1"/>
  <c r="L102" i="2" a="1"/>
  <c r="L102" i="2" s="1"/>
  <c r="M102" i="2" a="1"/>
  <c r="M102" i="2" s="1"/>
  <c r="U78" i="2"/>
  <c r="C17" i="16"/>
  <c r="D17" i="16" s="1"/>
  <c r="C16" i="16"/>
  <c r="D16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T102" i="2" a="1"/>
  <c r="T102" i="2" s="1"/>
  <c r="S102" i="2" a="1"/>
  <c r="S102" i="2" s="1"/>
  <c r="R102" i="2" a="1"/>
  <c r="R102" i="2" s="1"/>
  <c r="Q102" i="2" a="1"/>
  <c r="Q102" i="2" s="1"/>
  <c r="P102" i="2" a="1"/>
  <c r="P102" i="2" s="1"/>
  <c r="O102" i="2" a="1"/>
  <c r="O102" i="2" s="1"/>
  <c r="N102" i="2" a="1"/>
  <c r="N102" i="2" s="1"/>
  <c r="C100" i="2"/>
  <c r="C99" i="2"/>
  <c r="C98" i="2"/>
  <c r="C97" i="2"/>
  <c r="C96" i="2"/>
  <c r="C95" i="2"/>
  <c r="F15" i="42"/>
  <c r="F8" i="44"/>
  <c r="E16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0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18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8" i="53" s="1"/>
  <c r="R42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10" i="53" s="1"/>
  <c r="M22" i="53" s="1"/>
  <c r="L4" i="53"/>
  <c r="L38" i="53" s="1"/>
  <c r="L42" i="53" s="1"/>
  <c r="K4" i="53"/>
  <c r="J4" i="53"/>
  <c r="J26" i="53" s="1"/>
  <c r="J34" i="53" s="1"/>
  <c r="J4" i="2"/>
  <c r="T4" i="2"/>
  <c r="S4" i="2"/>
  <c r="R4" i="2"/>
  <c r="Q4" i="2"/>
  <c r="P4" i="2"/>
  <c r="O4" i="2"/>
  <c r="N4" i="2"/>
  <c r="M4" i="2"/>
  <c r="L4" i="2"/>
  <c r="K4" i="2"/>
  <c r="S4" i="58"/>
  <c r="R4" i="58"/>
  <c r="R61" i="58" s="1"/>
  <c r="Q4" i="58"/>
  <c r="P4" i="58"/>
  <c r="P61" i="58" s="1"/>
  <c r="O4" i="58"/>
  <c r="O61" i="58" s="1"/>
  <c r="N4" i="58"/>
  <c r="N61" i="58" s="1"/>
  <c r="M4" i="58"/>
  <c r="M61" i="58" s="1"/>
  <c r="L4" i="58"/>
  <c r="L61" i="58" s="1"/>
  <c r="K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12" i="42"/>
  <c r="N10" i="42"/>
  <c r="S8" i="54"/>
  <c r="C34" i="42"/>
  <c r="C35" i="42" s="1"/>
  <c r="C31" i="42"/>
  <c r="C32" i="42" s="1"/>
  <c r="C28" i="42"/>
  <c r="C29" i="42" s="1"/>
  <c r="C25" i="42"/>
  <c r="C26" i="42" s="1"/>
  <c r="F22" i="42"/>
  <c r="C22" i="42"/>
  <c r="C23" i="42" s="1"/>
  <c r="F12" i="42"/>
  <c r="C2" i="58"/>
  <c r="C1" i="58"/>
  <c r="E17" i="44"/>
  <c r="E15" i="44"/>
  <c r="E14" i="44"/>
  <c r="C13" i="44"/>
  <c r="E90" i="42"/>
  <c r="F79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35" i="42"/>
  <c r="E32" i="42"/>
  <c r="E29" i="42"/>
  <c r="E26" i="42"/>
  <c r="E23" i="42"/>
  <c r="E72" i="42"/>
  <c r="E96" i="42"/>
  <c r="C63" i="42"/>
  <c r="C64" i="42"/>
  <c r="C65" i="42"/>
  <c r="C66" i="42"/>
  <c r="C67" i="42"/>
  <c r="C68" i="42"/>
  <c r="C69" i="42"/>
  <c r="C78" i="42"/>
  <c r="E39" i="42"/>
  <c r="E37" i="42"/>
  <c r="E13" i="42"/>
  <c r="E13" i="44"/>
  <c r="E93" i="42"/>
  <c r="E62" i="42"/>
  <c r="E63" i="42"/>
  <c r="E64" i="42"/>
  <c r="E65" i="42"/>
  <c r="E66" i="42"/>
  <c r="E67" i="42"/>
  <c r="E68" i="42"/>
  <c r="E69" i="42"/>
  <c r="E70" i="42"/>
  <c r="E78" i="42"/>
  <c r="E79" i="42"/>
  <c r="E80" i="42"/>
  <c r="E84" i="42"/>
  <c r="S11" i="54"/>
  <c r="S14" i="54"/>
  <c r="G16" i="16"/>
  <c r="G17" i="16"/>
  <c r="B1" i="55"/>
  <c r="E12" i="2"/>
  <c r="O49" i="42"/>
  <c r="O52" i="42"/>
  <c r="J49" i="42"/>
  <c r="J52" i="42"/>
  <c r="K49" i="42"/>
  <c r="K52" i="42"/>
  <c r="L49" i="42"/>
  <c r="L52" i="42"/>
  <c r="M49" i="42"/>
  <c r="M52" i="42"/>
  <c r="N49" i="42"/>
  <c r="N52" i="42"/>
  <c r="P49" i="42"/>
  <c r="Q49" i="42"/>
  <c r="R49" i="42"/>
  <c r="S49" i="42"/>
  <c r="C62" i="42"/>
  <c r="P52" i="42"/>
  <c r="Q52" i="42"/>
  <c r="R52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57" i="58"/>
  <c r="V57" i="58"/>
  <c r="F18" i="44" l="1"/>
  <c r="F27" i="44"/>
  <c r="F24" i="44"/>
  <c r="F23" i="44"/>
  <c r="F26" i="44"/>
  <c r="F22" i="44"/>
  <c r="F25" i="44"/>
  <c r="S12" i="42"/>
  <c r="L15" i="42"/>
  <c r="K12" i="42"/>
  <c r="K93" i="42"/>
  <c r="K15" i="42"/>
  <c r="K90" i="42"/>
  <c r="S15" i="42"/>
  <c r="Q113" i="2"/>
  <c r="Q117" i="2" s="1"/>
  <c r="Q36" i="2"/>
  <c r="Q47" i="2" s="1"/>
  <c r="Q104" i="2"/>
  <c r="Q75" i="2"/>
  <c r="Q49" i="2"/>
  <c r="Q60" i="2" s="1"/>
  <c r="Q60" i="42"/>
  <c r="Q43" i="42"/>
  <c r="Q50" i="42" s="1" a="1"/>
  <c r="Q50" i="42" s="1"/>
  <c r="Q76" i="42"/>
  <c r="R12" i="42"/>
  <c r="R76" i="42"/>
  <c r="R60" i="42"/>
  <c r="R43" i="42"/>
  <c r="R113" i="2"/>
  <c r="R117" i="2" s="1"/>
  <c r="R49" i="2"/>
  <c r="R60" i="2" s="1"/>
  <c r="R36" i="2"/>
  <c r="R47" i="2" s="1"/>
  <c r="R104" i="2"/>
  <c r="R75" i="2"/>
  <c r="U113" i="2"/>
  <c r="U75" i="2"/>
  <c r="U49" i="2"/>
  <c r="U36" i="2"/>
  <c r="U47" i="2" s="1"/>
  <c r="P60" i="42"/>
  <c r="P43" i="42"/>
  <c r="P53" i="42" s="1" a="1"/>
  <c r="P53" i="42" s="1"/>
  <c r="P76" i="42"/>
  <c r="J43" i="42"/>
  <c r="J47" i="42" s="1" a="1"/>
  <c r="J47" i="42" s="1"/>
  <c r="J76" i="42"/>
  <c r="J60" i="42"/>
  <c r="K113" i="2"/>
  <c r="K75" i="2"/>
  <c r="K49" i="2"/>
  <c r="K60" i="2" s="1"/>
  <c r="K36" i="2"/>
  <c r="K47" i="2" s="1"/>
  <c r="K104" i="2"/>
  <c r="S113" i="2"/>
  <c r="S117" i="2" s="1"/>
  <c r="S75" i="2"/>
  <c r="S49" i="2"/>
  <c r="S36" i="2"/>
  <c r="S47" i="2" s="1"/>
  <c r="S104" i="2"/>
  <c r="O60" i="42"/>
  <c r="O43" i="42"/>
  <c r="O50" i="42" s="1" a="1"/>
  <c r="O50" i="42" s="1"/>
  <c r="O76" i="42"/>
  <c r="L113" i="2"/>
  <c r="L117" i="2" s="1"/>
  <c r="L75" i="2"/>
  <c r="L49" i="2"/>
  <c r="L36" i="2"/>
  <c r="L47" i="2" s="1"/>
  <c r="L104" i="2"/>
  <c r="T113" i="2"/>
  <c r="T117" i="2" s="1"/>
  <c r="T75" i="2"/>
  <c r="T49" i="2"/>
  <c r="T60" i="2" s="1"/>
  <c r="T36" i="2"/>
  <c r="T47" i="2" s="1"/>
  <c r="T104" i="2"/>
  <c r="F23" i="42"/>
  <c r="N43" i="42"/>
  <c r="N76" i="42"/>
  <c r="N60" i="42"/>
  <c r="M113" i="2"/>
  <c r="M117" i="2" s="1"/>
  <c r="M75" i="2"/>
  <c r="M49" i="2"/>
  <c r="M36" i="2"/>
  <c r="M47" i="2" s="1"/>
  <c r="M104" i="2"/>
  <c r="J113" i="2"/>
  <c r="J49" i="2"/>
  <c r="J75" i="2"/>
  <c r="J104" i="2"/>
  <c r="J106" i="2" s="1"/>
  <c r="J36" i="2"/>
  <c r="J47" i="2" s="1"/>
  <c r="M43" i="42"/>
  <c r="M76" i="42"/>
  <c r="M60" i="42"/>
  <c r="M66" i="2"/>
  <c r="N113" i="2"/>
  <c r="N117" i="2" s="1"/>
  <c r="N75" i="2"/>
  <c r="N49" i="2"/>
  <c r="N60" i="2" s="1"/>
  <c r="N36" i="2"/>
  <c r="N47" i="2" s="1"/>
  <c r="N104" i="2"/>
  <c r="T76" i="42"/>
  <c r="T60" i="42"/>
  <c r="T43" i="42"/>
  <c r="L43" i="42"/>
  <c r="L53" i="42" s="1" a="1"/>
  <c r="L53" i="42" s="1"/>
  <c r="L76" i="42"/>
  <c r="L60" i="42"/>
  <c r="P113" i="2"/>
  <c r="P117" i="2" s="1"/>
  <c r="P36" i="2"/>
  <c r="P104" i="2"/>
  <c r="P75" i="2"/>
  <c r="P49" i="2"/>
  <c r="O113" i="2"/>
  <c r="O117" i="2" s="1"/>
  <c r="O36" i="2"/>
  <c r="O104" i="2"/>
  <c r="O75" i="2"/>
  <c r="O49" i="2"/>
  <c r="S43" i="42"/>
  <c r="S50" i="42" s="1" a="1"/>
  <c r="S50" i="42" s="1"/>
  <c r="S76" i="42"/>
  <c r="S60" i="42"/>
  <c r="K43" i="42"/>
  <c r="K76" i="42"/>
  <c r="K60" i="42"/>
  <c r="Q31" i="42"/>
  <c r="Q22" i="42"/>
  <c r="Q28" i="42"/>
  <c r="Q20" i="42"/>
  <c r="Q34" i="42"/>
  <c r="Q25" i="42"/>
  <c r="R10" i="42"/>
  <c r="P31" i="42"/>
  <c r="P22" i="42"/>
  <c r="P28" i="42"/>
  <c r="P20" i="42"/>
  <c r="P34" i="42"/>
  <c r="P25" i="42"/>
  <c r="O22" i="42"/>
  <c r="O25" i="42"/>
  <c r="O28" i="42"/>
  <c r="O20" i="42"/>
  <c r="O34" i="42"/>
  <c r="O31" i="42"/>
  <c r="J28" i="42"/>
  <c r="J20" i="42"/>
  <c r="J34" i="42"/>
  <c r="J31" i="42"/>
  <c r="J25" i="42"/>
  <c r="J22" i="42"/>
  <c r="N28" i="42"/>
  <c r="N20" i="42"/>
  <c r="N34" i="42"/>
  <c r="N25" i="42"/>
  <c r="N31" i="42"/>
  <c r="N22" i="42"/>
  <c r="M28" i="42"/>
  <c r="M20" i="42"/>
  <c r="M31" i="42"/>
  <c r="M34" i="42"/>
  <c r="M25" i="42"/>
  <c r="M22" i="42"/>
  <c r="T34" i="42"/>
  <c r="T22" i="42"/>
  <c r="T25" i="42"/>
  <c r="T31" i="42"/>
  <c r="T28" i="42"/>
  <c r="T20" i="42"/>
  <c r="L34" i="42"/>
  <c r="L25" i="42"/>
  <c r="L22" i="42"/>
  <c r="L31" i="42"/>
  <c r="L28" i="42"/>
  <c r="R25" i="42"/>
  <c r="R28" i="42"/>
  <c r="R31" i="42"/>
  <c r="R22" i="42"/>
  <c r="R20" i="42"/>
  <c r="R34" i="42"/>
  <c r="R15" i="42"/>
  <c r="S34" i="42"/>
  <c r="S25" i="42"/>
  <c r="S31" i="42"/>
  <c r="S22" i="42"/>
  <c r="S28" i="42"/>
  <c r="S20" i="42"/>
  <c r="K34" i="42"/>
  <c r="K25" i="42"/>
  <c r="K31" i="42"/>
  <c r="K22" i="42"/>
  <c r="K28" i="42"/>
  <c r="K20" i="42"/>
  <c r="Q10" i="58"/>
  <c r="Q61" i="58"/>
  <c r="K34" i="58"/>
  <c r="K61" i="58"/>
  <c r="S34" i="58"/>
  <c r="S61" i="58"/>
  <c r="J10" i="58"/>
  <c r="J61" i="58"/>
  <c r="P15" i="42"/>
  <c r="P12" i="42"/>
  <c r="F70" i="42"/>
  <c r="F18" i="42"/>
  <c r="L93" i="42"/>
  <c r="F35" i="42"/>
  <c r="F69" i="42"/>
  <c r="L96" i="42"/>
  <c r="F80" i="42"/>
  <c r="F14" i="44"/>
  <c r="F29" i="42"/>
  <c r="F62" i="42"/>
  <c r="F96" i="42"/>
  <c r="F64" i="42"/>
  <c r="N15" i="42"/>
  <c r="F65" i="42"/>
  <c r="F32" i="42"/>
  <c r="F13" i="42"/>
  <c r="F66" i="42"/>
  <c r="F78" i="42"/>
  <c r="F81" i="42"/>
  <c r="F37" i="42"/>
  <c r="F67" i="42"/>
  <c r="F84" i="42"/>
  <c r="F39" i="42"/>
  <c r="F26" i="42"/>
  <c r="F68" i="42"/>
  <c r="F93" i="42"/>
  <c r="F20" i="42"/>
  <c r="F63" i="42"/>
  <c r="F72" i="42"/>
  <c r="F90" i="42"/>
  <c r="F16" i="42"/>
  <c r="P10" i="42"/>
  <c r="O12" i="42"/>
  <c r="O10" i="42"/>
  <c r="R10" i="53"/>
  <c r="J10" i="53"/>
  <c r="J22" i="53" s="1"/>
  <c r="N26" i="53"/>
  <c r="N34" i="53" s="1"/>
  <c r="E15" i="42"/>
  <c r="R26" i="53"/>
  <c r="R34" i="53" s="1"/>
  <c r="F13" i="44"/>
  <c r="F15" i="44"/>
  <c r="F17" i="44"/>
  <c r="O64" i="2"/>
  <c r="O73" i="2" s="1"/>
  <c r="O60" i="2"/>
  <c r="Q88" i="42"/>
  <c r="P10" i="2"/>
  <c r="P12" i="2" s="1"/>
  <c r="P60" i="2"/>
  <c r="P64" i="2"/>
  <c r="P73" i="2" s="1"/>
  <c r="P47" i="2"/>
  <c r="U64" i="2"/>
  <c r="U73" i="2" s="1"/>
  <c r="U117" i="2"/>
  <c r="U60" i="2"/>
  <c r="U104" i="2"/>
  <c r="U107" i="2" s="1"/>
  <c r="Q108" i="2"/>
  <c r="Q64" i="2"/>
  <c r="Q73" i="2" s="1"/>
  <c r="O88" i="42"/>
  <c r="R64" i="2"/>
  <c r="R73" i="2" s="1"/>
  <c r="N88" i="42"/>
  <c r="N53" i="42" a="1"/>
  <c r="N53" i="42" s="1"/>
  <c r="K64" i="2"/>
  <c r="K73" i="2" s="1"/>
  <c r="K117" i="2"/>
  <c r="S64" i="2"/>
  <c r="S73" i="2" s="1"/>
  <c r="S60" i="2"/>
  <c r="L64" i="2"/>
  <c r="L73" i="2" s="1"/>
  <c r="L60" i="2"/>
  <c r="T64" i="2"/>
  <c r="T73" i="2" s="1"/>
  <c r="T53" i="42" a="1"/>
  <c r="T53" i="42" s="1"/>
  <c r="L88" i="42"/>
  <c r="S88" i="42"/>
  <c r="K88" i="42"/>
  <c r="M64" i="2"/>
  <c r="M60" i="2"/>
  <c r="M106" i="2"/>
  <c r="J64" i="2"/>
  <c r="J73" i="2" s="1"/>
  <c r="J117" i="2"/>
  <c r="J60" i="2"/>
  <c r="N64" i="2"/>
  <c r="N73" i="2" s="1"/>
  <c r="R88" i="42"/>
  <c r="R50" i="42" a="1"/>
  <c r="R50" i="42" s="1"/>
  <c r="L10" i="42"/>
  <c r="J34" i="58"/>
  <c r="T24" i="2"/>
  <c r="M24" i="2"/>
  <c r="M12" i="42"/>
  <c r="L12" i="42"/>
  <c r="L90" i="42"/>
  <c r="O10" i="53"/>
  <c r="S24" i="2"/>
  <c r="M26" i="53"/>
  <c r="M34" i="53" s="1"/>
  <c r="M38" i="53"/>
  <c r="M42" i="53" s="1"/>
  <c r="F20" i="58"/>
  <c r="T12" i="42"/>
  <c r="F19" i="58"/>
  <c r="F21" i="58"/>
  <c r="J38" i="53"/>
  <c r="J42" i="53" s="1"/>
  <c r="Q34" i="58"/>
  <c r="O15" i="42"/>
  <c r="F23" i="58"/>
  <c r="S10" i="2"/>
  <c r="S12" i="2" s="1"/>
  <c r="T10" i="53"/>
  <c r="T22" i="53" s="1"/>
  <c r="O26" i="53"/>
  <c r="O34" i="53" s="1"/>
  <c r="F16" i="44"/>
  <c r="G79" i="4"/>
  <c r="J14" i="2"/>
  <c r="L14" i="2"/>
  <c r="N10" i="58"/>
  <c r="Q12" i="42"/>
  <c r="J88" i="42"/>
  <c r="J10" i="42"/>
  <c r="J15" i="42"/>
  <c r="J96" i="42"/>
  <c r="J10" i="2"/>
  <c r="J12" i="2" s="1"/>
  <c r="J12" i="42"/>
  <c r="Q15" i="42"/>
  <c r="J93" i="42"/>
  <c r="Q10" i="42"/>
  <c r="F25" i="58"/>
  <c r="J90" i="42"/>
  <c r="J13" i="44"/>
  <c r="J24" i="2"/>
  <c r="P88" i="42"/>
  <c r="M34" i="58"/>
  <c r="M14" i="2"/>
  <c r="N34" i="58"/>
  <c r="F29" i="58"/>
  <c r="M10" i="2"/>
  <c r="M12" i="2" s="1"/>
  <c r="C106" i="2"/>
  <c r="R10" i="2"/>
  <c r="R12" i="2" s="1"/>
  <c r="P14" i="2"/>
  <c r="S1" i="58"/>
  <c r="G12" i="16" s="1"/>
  <c r="C107" i="2"/>
  <c r="K15" i="44"/>
  <c r="L16" i="44"/>
  <c r="L15" i="44"/>
  <c r="L18" i="44"/>
  <c r="L17" i="44"/>
  <c r="L14" i="44"/>
  <c r="L13" i="44"/>
  <c r="F26" i="58"/>
  <c r="J17" i="44"/>
  <c r="L10" i="53"/>
  <c r="L22" i="53" s="1"/>
  <c r="O10" i="2"/>
  <c r="O12" i="2" s="1"/>
  <c r="F27" i="58"/>
  <c r="J15" i="44"/>
  <c r="N38" i="53"/>
  <c r="N42" i="53" s="1"/>
  <c r="T88" i="42"/>
  <c r="R10" i="58"/>
  <c r="F15" i="58"/>
  <c r="K13" i="44"/>
  <c r="S26" i="53"/>
  <c r="S34" i="53" s="1"/>
  <c r="F22" i="58"/>
  <c r="K14" i="44"/>
  <c r="S38" i="53"/>
  <c r="S42" i="53" s="1"/>
  <c r="R34" i="58"/>
  <c r="L26" i="53"/>
  <c r="L34" i="53" s="1"/>
  <c r="K18" i="44"/>
  <c r="K10" i="42"/>
  <c r="Q24" i="2"/>
  <c r="Q10" i="2"/>
  <c r="Q12" i="2" s="1"/>
  <c r="Q14" i="2"/>
  <c r="O10" i="58"/>
  <c r="O34" i="58"/>
  <c r="P38" i="53"/>
  <c r="P42" i="53" s="1"/>
  <c r="P10" i="53"/>
  <c r="P26" i="53"/>
  <c r="P34" i="53" s="1"/>
  <c r="N24" i="2"/>
  <c r="N14" i="2"/>
  <c r="N10" i="2"/>
  <c r="N12" i="2" s="1"/>
  <c r="P10" i="58"/>
  <c r="P34" i="58"/>
  <c r="K26" i="53"/>
  <c r="K34" i="53" s="1"/>
  <c r="K10" i="53"/>
  <c r="K22" i="53" s="1"/>
  <c r="K38" i="53"/>
  <c r="K42" i="53" s="1"/>
  <c r="Q109" i="2"/>
  <c r="S1" i="54"/>
  <c r="G10" i="16" s="1"/>
  <c r="K10" i="58"/>
  <c r="S10" i="58"/>
  <c r="R24" i="2"/>
  <c r="R14" i="2"/>
  <c r="L10" i="58"/>
  <c r="L34" i="58"/>
  <c r="K10" i="2"/>
  <c r="K14" i="2"/>
  <c r="K24" i="2"/>
  <c r="X102" i="2"/>
  <c r="M88" i="42"/>
  <c r="M15" i="42"/>
  <c r="M10" i="42"/>
  <c r="C108" i="2"/>
  <c r="T26" i="53"/>
  <c r="T34" i="53" s="1"/>
  <c r="J14" i="44"/>
  <c r="L10" i="2"/>
  <c r="L12" i="2" s="1"/>
  <c r="M10" i="58"/>
  <c r="O24" i="2"/>
  <c r="S14" i="2"/>
  <c r="Q10" i="53"/>
  <c r="P24" i="2"/>
  <c r="T10" i="2"/>
  <c r="T12" i="2" s="1"/>
  <c r="O14" i="2"/>
  <c r="K16" i="44"/>
  <c r="J18" i="44"/>
  <c r="O47" i="2"/>
  <c r="Q26" i="53"/>
  <c r="Q34" i="53" s="1"/>
  <c r="L24" i="2"/>
  <c r="T14" i="2"/>
  <c r="M73" i="2" l="1"/>
  <c r="N77" i="2"/>
  <c r="N107" i="2" s="1"/>
  <c r="U108" i="2"/>
  <c r="U109" i="2"/>
  <c r="T13" i="42"/>
  <c r="T16" i="42"/>
  <c r="S53" i="42" a="1"/>
  <c r="S53" i="42" s="1"/>
  <c r="L50" i="42" a="1"/>
  <c r="L50" i="42" s="1"/>
  <c r="J108" i="2"/>
  <c r="J109" i="2"/>
  <c r="M109" i="2"/>
  <c r="P50" i="42" a="1"/>
  <c r="P50" i="42" s="1"/>
  <c r="U106" i="2"/>
  <c r="J107" i="2"/>
  <c r="M107" i="2"/>
  <c r="Q107" i="2"/>
  <c r="M108" i="2"/>
  <c r="Q106" i="2"/>
  <c r="J53" i="42" a="1"/>
  <c r="J53" i="42" s="1"/>
  <c r="J56" i="42" a="1"/>
  <c r="J56" i="42" s="1"/>
  <c r="J46" i="42"/>
  <c r="J50" i="42" a="1"/>
  <c r="J50" i="42" s="1"/>
  <c r="O53" i="42" a="1"/>
  <c r="O53" i="42" s="1"/>
  <c r="Q53" i="42" a="1"/>
  <c r="Q53" i="42" s="1"/>
  <c r="N50" i="42" a="1"/>
  <c r="N50" i="42" s="1"/>
  <c r="T46" i="42"/>
  <c r="T55" i="42" s="1"/>
  <c r="T50" i="42" a="1"/>
  <c r="T50" i="42" s="1"/>
  <c r="R53" i="42" a="1"/>
  <c r="R53" i="42" s="1"/>
  <c r="K47" i="42" a="1"/>
  <c r="K47" i="42" s="1"/>
  <c r="K46" i="42"/>
  <c r="K56" i="42" a="1"/>
  <c r="K56" i="42" s="1"/>
  <c r="K50" i="42" a="1"/>
  <c r="K50" i="42" s="1"/>
  <c r="K53" i="42" a="1"/>
  <c r="K53" i="42" s="1"/>
  <c r="W42" i="53"/>
  <c r="X60" i="2"/>
  <c r="L106" i="2"/>
  <c r="L108" i="2"/>
  <c r="L109" i="2"/>
  <c r="L107" i="2"/>
  <c r="K108" i="2"/>
  <c r="K107" i="2"/>
  <c r="K106" i="2"/>
  <c r="K109" i="2"/>
  <c r="C16" i="2" a="1"/>
  <c r="K12" i="2"/>
  <c r="C26" i="2" a="1"/>
  <c r="W34" i="53"/>
  <c r="P109" i="2"/>
  <c r="P108" i="2"/>
  <c r="P107" i="2"/>
  <c r="P106" i="2"/>
  <c r="S108" i="2"/>
  <c r="S107" i="2"/>
  <c r="S106" i="2"/>
  <c r="S109" i="2"/>
  <c r="X47" i="2"/>
  <c r="N106" i="2"/>
  <c r="O109" i="2"/>
  <c r="O107" i="2"/>
  <c r="O108" i="2"/>
  <c r="O106" i="2"/>
  <c r="M50" i="42" a="1"/>
  <c r="M50" i="42" s="1"/>
  <c r="M53" i="42" a="1"/>
  <c r="M53" i="42" s="1"/>
  <c r="X117" i="2"/>
  <c r="R108" i="2"/>
  <c r="R106" i="2"/>
  <c r="R107" i="2"/>
  <c r="R109" i="2"/>
  <c r="T107" i="2"/>
  <c r="T108" i="2"/>
  <c r="T109" i="2"/>
  <c r="T106" i="2"/>
  <c r="X73" i="2"/>
  <c r="N109" i="2" l="1"/>
  <c r="N108" i="2"/>
  <c r="P46" i="42"/>
  <c r="L46" i="42"/>
  <c r="L55" i="42" s="1"/>
  <c r="J55" i="42"/>
  <c r="M46" i="42"/>
  <c r="N46" i="42"/>
  <c r="K55" i="42"/>
  <c r="R46" i="42"/>
  <c r="S46" i="42"/>
  <c r="Q46" i="42"/>
  <c r="O46" i="42"/>
  <c r="T1" i="2"/>
  <c r="G13" i="16" s="1"/>
  <c r="C31" i="2"/>
  <c r="C27" i="2"/>
  <c r="C26" i="2"/>
  <c r="C29" i="2"/>
  <c r="C32" i="2"/>
  <c r="C30" i="2"/>
  <c r="C28" i="2"/>
  <c r="C16" i="2"/>
  <c r="C17" i="2"/>
  <c r="C18" i="2"/>
  <c r="C21" i="2"/>
  <c r="C19" i="2"/>
  <c r="C20" i="2"/>
  <c r="C22" i="2"/>
  <c r="P55" i="42" l="1"/>
  <c r="N55" i="42"/>
  <c r="M47" i="42" a="1"/>
  <c r="M47" i="42" s="1"/>
  <c r="L47" i="42" a="1"/>
  <c r="L47" i="42" s="1"/>
  <c r="L56" i="42" a="1"/>
  <c r="L56" i="42" s="1"/>
  <c r="M55" i="42"/>
  <c r="N47" i="42" a="1"/>
  <c r="N47" i="42" s="1"/>
  <c r="T47" i="42" a="1"/>
  <c r="T47" i="42" s="1"/>
  <c r="Q55" i="42"/>
  <c r="R55" i="42"/>
  <c r="S55" i="42"/>
  <c r="O55" i="42"/>
  <c r="Q47" i="42" a="1"/>
  <c r="Q47" i="42" s="1"/>
  <c r="S47" i="42" a="1"/>
  <c r="S47" i="42" s="1"/>
  <c r="R47" i="42" a="1"/>
  <c r="R47" i="42" s="1"/>
  <c r="P47" i="42" a="1"/>
  <c r="P47" i="42" s="1"/>
  <c r="O47" i="42" a="1"/>
  <c r="O47" i="42" s="1"/>
  <c r="Q27" i="2"/>
  <c r="T27" i="2"/>
  <c r="E27" i="2"/>
  <c r="D27" i="2"/>
  <c r="S27" i="2"/>
  <c r="R27" i="2"/>
  <c r="O21" i="2"/>
  <c r="P21" i="2" s="1"/>
  <c r="P31" i="2" s="1"/>
  <c r="E21" i="2"/>
  <c r="D21" i="2"/>
  <c r="E31" i="2"/>
  <c r="T31" i="2"/>
  <c r="D31" i="2"/>
  <c r="Q31" i="2"/>
  <c r="S31" i="2"/>
  <c r="R31" i="2"/>
  <c r="D18" i="2"/>
  <c r="L18" i="2"/>
  <c r="M18" i="2" s="1"/>
  <c r="M28" i="2" s="1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Q30" i="2"/>
  <c r="T30" i="2"/>
  <c r="E30" i="2"/>
  <c r="D30" i="2"/>
  <c r="S30" i="2"/>
  <c r="R30" i="2"/>
  <c r="E19" i="2"/>
  <c r="M19" i="2"/>
  <c r="N19" i="2" s="1"/>
  <c r="D19" i="2"/>
  <c r="Q32" i="2"/>
  <c r="D32" i="2"/>
  <c r="E32" i="2"/>
  <c r="S32" i="2"/>
  <c r="T32" i="2"/>
  <c r="R32" i="2"/>
  <c r="D22" i="2"/>
  <c r="E22" i="2"/>
  <c r="P22" i="2"/>
  <c r="O22" i="2" s="1"/>
  <c r="E29" i="2"/>
  <c r="D29" i="2"/>
  <c r="Q29" i="2"/>
  <c r="T29" i="2"/>
  <c r="S29" i="2"/>
  <c r="R29" i="2"/>
  <c r="N20" i="2"/>
  <c r="N30" i="2" s="1"/>
  <c r="D20" i="2"/>
  <c r="E20" i="2"/>
  <c r="D26" i="2"/>
  <c r="E26" i="2"/>
  <c r="Q26" i="2"/>
  <c r="T26" i="2"/>
  <c r="S26" i="2"/>
  <c r="R26" i="2"/>
  <c r="N56" i="42" l="1" a="1"/>
  <c r="N56" i="42" s="1"/>
  <c r="M56" i="42" a="1"/>
  <c r="M56" i="42" s="1"/>
  <c r="N22" i="2"/>
  <c r="O32" i="2"/>
  <c r="P32" i="2"/>
  <c r="T56" i="42" a="1"/>
  <c r="T56" i="42" s="1"/>
  <c r="S56" i="42" a="1"/>
  <c r="S56" i="42" s="1"/>
  <c r="O56" i="42" a="1"/>
  <c r="O56" i="42" s="1"/>
  <c r="R56" i="42" a="1"/>
  <c r="R56" i="42" s="1"/>
  <c r="P56" i="42" a="1"/>
  <c r="P56" i="42" s="1"/>
  <c r="Q56" i="42" a="1"/>
  <c r="Q56" i="42" s="1"/>
  <c r="T68" i="42"/>
  <c r="Q32" i="42"/>
  <c r="J32" i="42"/>
  <c r="N82" i="42"/>
  <c r="N18" i="44" s="1"/>
  <c r="R68" i="42"/>
  <c r="O68" i="42"/>
  <c r="P68" i="42"/>
  <c r="K81" i="42"/>
  <c r="T32" i="42"/>
  <c r="N26" i="42"/>
  <c r="O80" i="42"/>
  <c r="L82" i="42"/>
  <c r="R32" i="42"/>
  <c r="J70" i="42"/>
  <c r="T23" i="42"/>
  <c r="K78" i="42"/>
  <c r="O26" i="42"/>
  <c r="Q23" i="42"/>
  <c r="S79" i="42"/>
  <c r="N32" i="42"/>
  <c r="P32" i="42"/>
  <c r="P82" i="42"/>
  <c r="Q82" i="42"/>
  <c r="O29" i="42"/>
  <c r="L29" i="42"/>
  <c r="M81" i="42"/>
  <c r="M17" i="44" s="1"/>
  <c r="L79" i="42"/>
  <c r="L78" i="42"/>
  <c r="N69" i="42"/>
  <c r="L26" i="42"/>
  <c r="N35" i="42"/>
  <c r="L35" i="42"/>
  <c r="N68" i="42"/>
  <c r="M68" i="42"/>
  <c r="R82" i="42"/>
  <c r="J29" i="42"/>
  <c r="S35" i="42"/>
  <c r="S82" i="42"/>
  <c r="K29" i="42"/>
  <c r="L81" i="42"/>
  <c r="T70" i="42"/>
  <c r="P78" i="42"/>
  <c r="S23" i="42"/>
  <c r="R35" i="42"/>
  <c r="P79" i="42"/>
  <c r="K32" i="42"/>
  <c r="T82" i="42"/>
  <c r="T18" i="44" s="1"/>
  <c r="R29" i="42"/>
  <c r="S29" i="42"/>
  <c r="R79" i="42"/>
  <c r="K79" i="42"/>
  <c r="T81" i="42"/>
  <c r="T17" i="44" s="1"/>
  <c r="S69" i="42"/>
  <c r="O81" i="42"/>
  <c r="J82" i="42"/>
  <c r="P81" i="42"/>
  <c r="J68" i="42"/>
  <c r="M79" i="42"/>
  <c r="M15" i="44" s="1"/>
  <c r="M32" i="42"/>
  <c r="M26" i="42"/>
  <c r="Q29" i="42"/>
  <c r="M82" i="42"/>
  <c r="M18" i="44" s="1"/>
  <c r="N29" i="42"/>
  <c r="K82" i="42"/>
  <c r="K68" i="42"/>
  <c r="J78" i="42"/>
  <c r="M35" i="42"/>
  <c r="L68" i="42"/>
  <c r="M29" i="42"/>
  <c r="S68" i="42"/>
  <c r="O82" i="42"/>
  <c r="P29" i="42"/>
  <c r="N79" i="42"/>
  <c r="N15" i="44" s="1"/>
  <c r="Q79" i="42"/>
  <c r="N80" i="42"/>
  <c r="N16" i="44" s="1"/>
  <c r="Q69" i="42"/>
  <c r="R81" i="42"/>
  <c r="J17" i="2"/>
  <c r="J27" i="2" s="1"/>
  <c r="M20" i="2"/>
  <c r="L20" i="2" s="1"/>
  <c r="K20" i="2" s="1"/>
  <c r="L19" i="2"/>
  <c r="K19" i="2" s="1"/>
  <c r="K29" i="2" s="1"/>
  <c r="S81" i="42"/>
  <c r="N78" i="42"/>
  <c r="N14" i="44" s="1"/>
  <c r="N81" i="42"/>
  <c r="N17" i="44" s="1"/>
  <c r="S78" i="42"/>
  <c r="T26" i="42"/>
  <c r="M69" i="42"/>
  <c r="R26" i="42"/>
  <c r="T35" i="42"/>
  <c r="L32" i="42"/>
  <c r="R78" i="42"/>
  <c r="K35" i="42"/>
  <c r="Q80" i="42"/>
  <c r="O35" i="42"/>
  <c r="K80" i="42"/>
  <c r="N70" i="42"/>
  <c r="S32" i="42"/>
  <c r="M78" i="42"/>
  <c r="M14" i="44" s="1"/>
  <c r="K69" i="42"/>
  <c r="M80" i="42"/>
  <c r="L70" i="42"/>
  <c r="Q35" i="42"/>
  <c r="O78" i="42"/>
  <c r="Q81" i="42"/>
  <c r="J81" i="42"/>
  <c r="S80" i="42"/>
  <c r="O32" i="42"/>
  <c r="T29" i="42"/>
  <c r="T69" i="42"/>
  <c r="R23" i="42"/>
  <c r="O23" i="42"/>
  <c r="P26" i="42"/>
  <c r="O31" i="2"/>
  <c r="N16" i="42" s="1"/>
  <c r="J26" i="2"/>
  <c r="J79" i="42"/>
  <c r="O79" i="42"/>
  <c r="Q78" i="42"/>
  <c r="K26" i="42"/>
  <c r="M70" i="42"/>
  <c r="T80" i="42"/>
  <c r="T16" i="44" s="1"/>
  <c r="T78" i="42"/>
  <c r="T14" i="44" s="1"/>
  <c r="P35" i="42"/>
  <c r="O69" i="42"/>
  <c r="Q26" i="42"/>
  <c r="Q68" i="42"/>
  <c r="L69" i="42"/>
  <c r="J69" i="42"/>
  <c r="R69" i="42"/>
  <c r="L80" i="42"/>
  <c r="J80" i="42"/>
  <c r="K70" i="42"/>
  <c r="P80" i="42"/>
  <c r="R80" i="42"/>
  <c r="S26" i="42"/>
  <c r="J35" i="42"/>
  <c r="T79" i="42"/>
  <c r="T15" i="44" s="1"/>
  <c r="P23" i="42"/>
  <c r="J26" i="42"/>
  <c r="P69" i="42"/>
  <c r="K18" i="2"/>
  <c r="J18" i="2" s="1"/>
  <c r="J28" i="2" s="1"/>
  <c r="L28" i="2"/>
  <c r="K26" i="2"/>
  <c r="L16" i="2"/>
  <c r="O20" i="2"/>
  <c r="M29" i="2"/>
  <c r="L17" i="2"/>
  <c r="N29" i="2"/>
  <c r="O19" i="2"/>
  <c r="N62" i="42" s="1"/>
  <c r="R13" i="42"/>
  <c r="R18" i="42" s="1"/>
  <c r="R16" i="42"/>
  <c r="P16" i="42"/>
  <c r="P13" i="42"/>
  <c r="P18" i="42" s="1"/>
  <c r="N18" i="2"/>
  <c r="O16" i="42"/>
  <c r="O13" i="42"/>
  <c r="O18" i="42" s="1"/>
  <c r="S13" i="42"/>
  <c r="S18" i="42" s="1"/>
  <c r="S16" i="42"/>
  <c r="N21" i="2"/>
  <c r="Q16" i="42"/>
  <c r="Q13" i="42"/>
  <c r="Q18" i="42" s="1"/>
  <c r="O14" i="44" l="1"/>
  <c r="O23" i="44"/>
  <c r="O17" i="44"/>
  <c r="O26" i="44"/>
  <c r="S18" i="44"/>
  <c r="S27" i="44"/>
  <c r="P27" i="44"/>
  <c r="P18" i="44"/>
  <c r="R26" i="44"/>
  <c r="R17" i="44"/>
  <c r="P24" i="44"/>
  <c r="P15" i="44"/>
  <c r="R25" i="44"/>
  <c r="R16" i="44"/>
  <c r="Q14" i="44"/>
  <c r="Q23" i="44"/>
  <c r="Q16" i="44"/>
  <c r="Q25" i="44"/>
  <c r="S23" i="44"/>
  <c r="S14" i="44"/>
  <c r="Q27" i="44"/>
  <c r="Q18" i="44"/>
  <c r="P25" i="44"/>
  <c r="P16" i="44"/>
  <c r="O24" i="44"/>
  <c r="O15" i="44"/>
  <c r="R27" i="44"/>
  <c r="R18" i="44"/>
  <c r="S15" i="44"/>
  <c r="S24" i="44"/>
  <c r="O25" i="44"/>
  <c r="O16" i="44"/>
  <c r="R14" i="44"/>
  <c r="R23" i="44"/>
  <c r="Q15" i="44"/>
  <c r="Q24" i="44"/>
  <c r="R15" i="44"/>
  <c r="R24" i="44"/>
  <c r="P14" i="44"/>
  <c r="P23" i="44"/>
  <c r="O27" i="44"/>
  <c r="O18" i="44"/>
  <c r="S16" i="44"/>
  <c r="S25" i="44"/>
  <c r="S17" i="44"/>
  <c r="S26" i="44"/>
  <c r="Q26" i="44"/>
  <c r="Q17" i="44"/>
  <c r="P17" i="44"/>
  <c r="P26" i="44"/>
  <c r="N23" i="42"/>
  <c r="O37" i="42"/>
  <c r="Q37" i="42"/>
  <c r="Q39" i="42" s="1"/>
  <c r="P37" i="42"/>
  <c r="P39" i="42" s="1"/>
  <c r="T37" i="42"/>
  <c r="S37" i="42"/>
  <c r="S39" i="42" s="1"/>
  <c r="R37" i="42"/>
  <c r="R39" i="42" s="1"/>
  <c r="P62" i="42"/>
  <c r="L64" i="42"/>
  <c r="L66" i="42"/>
  <c r="O65" i="42"/>
  <c r="N64" i="42"/>
  <c r="J62" i="42"/>
  <c r="K62" i="42"/>
  <c r="Q66" i="42"/>
  <c r="K64" i="42"/>
  <c r="K67" i="42"/>
  <c r="P63" i="42"/>
  <c r="N65" i="42"/>
  <c r="Q63" i="42"/>
  <c r="T67" i="42"/>
  <c r="N66" i="42"/>
  <c r="L63" i="42"/>
  <c r="S67" i="42"/>
  <c r="J65" i="42"/>
  <c r="S66" i="42"/>
  <c r="O62" i="42"/>
  <c r="K63" i="42"/>
  <c r="R66" i="42"/>
  <c r="T63" i="42"/>
  <c r="M67" i="42"/>
  <c r="M66" i="42"/>
  <c r="R63" i="42"/>
  <c r="K65" i="42"/>
  <c r="R62" i="42"/>
  <c r="P65" i="42"/>
  <c r="S63" i="42"/>
  <c r="M63" i="42"/>
  <c r="J66" i="42"/>
  <c r="O67" i="42"/>
  <c r="S62" i="42"/>
  <c r="P64" i="42"/>
  <c r="K66" i="42"/>
  <c r="O66" i="42"/>
  <c r="M62" i="42"/>
  <c r="M64" i="42"/>
  <c r="T65" i="42"/>
  <c r="T66" i="42"/>
  <c r="P66" i="42"/>
  <c r="Q65" i="42"/>
  <c r="J63" i="42"/>
  <c r="S64" i="42"/>
  <c r="J67" i="42"/>
  <c r="N67" i="42"/>
  <c r="O64" i="42"/>
  <c r="T64" i="42"/>
  <c r="L65" i="42"/>
  <c r="R64" i="42"/>
  <c r="L67" i="42"/>
  <c r="M65" i="42"/>
  <c r="J64" i="42"/>
  <c r="L62" i="42"/>
  <c r="T62" i="42"/>
  <c r="R65" i="42"/>
  <c r="Q62" i="42"/>
  <c r="R67" i="42"/>
  <c r="O63" i="42"/>
  <c r="N63" i="42"/>
  <c r="S65" i="42"/>
  <c r="P67" i="42"/>
  <c r="Q64" i="42"/>
  <c r="Q67" i="42"/>
  <c r="O30" i="2"/>
  <c r="P20" i="2"/>
  <c r="P30" i="2" s="1"/>
  <c r="O29" i="2"/>
  <c r="P19" i="2"/>
  <c r="P29" i="2" s="1"/>
  <c r="M22" i="2"/>
  <c r="N32" i="2"/>
  <c r="L29" i="2"/>
  <c r="L84" i="42"/>
  <c r="J19" i="2"/>
  <c r="J29" i="2" s="1"/>
  <c r="L30" i="2"/>
  <c r="M30" i="2"/>
  <c r="Q84" i="42"/>
  <c r="T84" i="42"/>
  <c r="N13" i="42"/>
  <c r="N18" i="42" s="1"/>
  <c r="N37" i="42" s="1"/>
  <c r="R84" i="42"/>
  <c r="J84" i="42"/>
  <c r="K84" i="42"/>
  <c r="N84" i="42"/>
  <c r="S84" i="42"/>
  <c r="O84" i="42"/>
  <c r="M84" i="42"/>
  <c r="M16" i="44"/>
  <c r="P84" i="42"/>
  <c r="K28" i="2"/>
  <c r="M17" i="2"/>
  <c r="L27" i="2"/>
  <c r="M16" i="2"/>
  <c r="L26" i="2"/>
  <c r="K30" i="2"/>
  <c r="J20" i="2"/>
  <c r="J30" i="2" s="1"/>
  <c r="N28" i="2"/>
  <c r="O18" i="2"/>
  <c r="M21" i="2"/>
  <c r="N31" i="2"/>
  <c r="M23" i="42" s="1"/>
  <c r="N72" i="42" l="1"/>
  <c r="K72" i="42"/>
  <c r="L72" i="42"/>
  <c r="M72" i="42"/>
  <c r="J72" i="42"/>
  <c r="T72" i="42"/>
  <c r="O28" i="2"/>
  <c r="P18" i="2"/>
  <c r="P28" i="2" s="1"/>
  <c r="M32" i="2"/>
  <c r="L22" i="2"/>
  <c r="N16" i="2"/>
  <c r="M26" i="2"/>
  <c r="M27" i="2"/>
  <c r="N17" i="2"/>
  <c r="M13" i="42"/>
  <c r="M18" i="42" s="1"/>
  <c r="M37" i="42" s="1"/>
  <c r="M16" i="42"/>
  <c r="L21" i="2"/>
  <c r="M31" i="2"/>
  <c r="L23" i="42" s="1"/>
  <c r="M39" i="42" l="1"/>
  <c r="L32" i="2"/>
  <c r="K22" i="2"/>
  <c r="O17" i="2"/>
  <c r="N27" i="2"/>
  <c r="N26" i="2"/>
  <c r="O16" i="2"/>
  <c r="P16" i="2" s="1"/>
  <c r="P26" i="2" s="1"/>
  <c r="K21" i="2"/>
  <c r="L31" i="2"/>
  <c r="K23" i="42" s="1"/>
  <c r="L13" i="42"/>
  <c r="L18" i="42" s="1"/>
  <c r="L16" i="42"/>
  <c r="O27" i="2" l="1"/>
  <c r="P17" i="2"/>
  <c r="P27" i="2" s="1"/>
  <c r="K32" i="2"/>
  <c r="J22" i="2"/>
  <c r="J32" i="2" s="1"/>
  <c r="O26" i="2"/>
  <c r="K13" i="42"/>
  <c r="K18" i="42" s="1"/>
  <c r="K37" i="42" s="1"/>
  <c r="K16" i="42"/>
  <c r="J21" i="2"/>
  <c r="J31" i="2" s="1"/>
  <c r="K31" i="2"/>
  <c r="J23" i="42" s="1"/>
  <c r="K39" i="42" l="1"/>
  <c r="J13" i="42"/>
  <c r="J16" i="42"/>
  <c r="L20" i="42" s="1"/>
  <c r="L37" i="42" s="1"/>
  <c r="R20" i="53" l="1"/>
  <c r="S20" i="53"/>
  <c r="P20" i="53"/>
  <c r="Q20" i="53"/>
  <c r="O20" i="53"/>
  <c r="O70" i="42" s="1"/>
  <c r="O39" i="42"/>
  <c r="J18" i="42"/>
  <c r="J37" i="42" s="1"/>
  <c r="L39" i="42"/>
  <c r="O22" i="53" l="1"/>
  <c r="S22" i="53"/>
  <c r="S70" i="42"/>
  <c r="R22" i="53"/>
  <c r="R70" i="42"/>
  <c r="Q22" i="53"/>
  <c r="Q70" i="42"/>
  <c r="P22" i="53"/>
  <c r="P70" i="42"/>
  <c r="O72" i="42"/>
  <c r="J39" i="42"/>
  <c r="W22" i="53" l="1"/>
  <c r="S1" i="53" s="1"/>
  <c r="G14" i="16" s="1"/>
  <c r="Q72" i="42"/>
  <c r="R72" i="42"/>
  <c r="S72" i="42"/>
  <c r="P72" i="42"/>
  <c r="N39" i="42"/>
  <c r="O90" i="42" l="1"/>
  <c r="N93" i="42"/>
  <c r="N96" i="42" s="1"/>
  <c r="M93" i="42"/>
  <c r="M96" i="42" s="1"/>
  <c r="N90" i="42"/>
  <c r="N13" i="44" s="1"/>
  <c r="M90" i="42"/>
  <c r="M13" i="44" s="1"/>
  <c r="O91" i="42" l="1"/>
  <c r="O92" i="42"/>
  <c r="O22" i="44" s="1"/>
  <c r="R93" i="42"/>
  <c r="T93" i="42"/>
  <c r="T96" i="42" s="1"/>
  <c r="T90" i="42"/>
  <c r="T13" i="44" s="1"/>
  <c r="R90" i="42"/>
  <c r="S93" i="42"/>
  <c r="P90" i="42"/>
  <c r="Q90" i="42"/>
  <c r="P93" i="42"/>
  <c r="O93" i="42"/>
  <c r="S90" i="42"/>
  <c r="Q93" i="42"/>
  <c r="O13" i="44" l="1"/>
  <c r="P94" i="42"/>
  <c r="P95" i="42"/>
  <c r="Q94" i="42"/>
  <c r="Q95" i="42"/>
  <c r="S95" i="42"/>
  <c r="S94" i="42"/>
  <c r="R94" i="42"/>
  <c r="R95" i="42"/>
  <c r="O94" i="42"/>
  <c r="O95" i="42"/>
  <c r="R91" i="42"/>
  <c r="R92" i="42"/>
  <c r="R22" i="44" s="1"/>
  <c r="S91" i="42"/>
  <c r="S92" i="42"/>
  <c r="S22" i="44" s="1"/>
  <c r="Q91" i="42"/>
  <c r="Q92" i="42"/>
  <c r="Q22" i="44" s="1"/>
  <c r="P91" i="42"/>
  <c r="P92" i="42"/>
  <c r="P22" i="44" s="1"/>
  <c r="R96" i="42"/>
  <c r="O96" i="42"/>
  <c r="O98" i="42" s="1"/>
  <c r="P96" i="42"/>
  <c r="S96" i="42"/>
  <c r="Q96" i="42"/>
  <c r="H71" i="55"/>
  <c r="R13" i="44" l="1"/>
  <c r="S13" i="44"/>
  <c r="P13" i="44"/>
  <c r="Q13" i="44"/>
  <c r="Q97" i="42"/>
  <c r="Q98" i="42"/>
  <c r="S97" i="42"/>
  <c r="S98" i="42"/>
  <c r="P97" i="42"/>
  <c r="P98" i="42"/>
  <c r="R97" i="42"/>
  <c r="R98" i="42"/>
  <c r="O97" i="42"/>
  <c r="I71" i="55"/>
  <c r="V71" i="55" s="1"/>
  <c r="H72" i="55" l="1"/>
  <c r="H73" i="55" s="1"/>
  <c r="I73" i="55" s="1"/>
  <c r="V73" i="55" s="1"/>
  <c r="H76" i="55" l="1"/>
  <c r="I72" i="55"/>
  <c r="V72" i="55" s="1"/>
  <c r="H75" i="55" l="1"/>
  <c r="I75" i="55" s="1"/>
  <c r="V75" i="55" s="1"/>
  <c r="H77" i="55"/>
  <c r="I77" i="55" s="1"/>
  <c r="V77" i="55" s="1"/>
  <c r="H80" i="55"/>
  <c r="H84" i="55" s="1"/>
  <c r="I76" i="55"/>
  <c r="V76" i="55" s="1"/>
  <c r="I84" i="55" l="1"/>
  <c r="H83" i="55"/>
  <c r="V1" i="55"/>
  <c r="G11" i="16" s="1"/>
  <c r="S1" i="16" s="1"/>
  <c r="V1" i="61" s="1"/>
  <c r="H81" i="55"/>
  <c r="I81" i="55" s="1"/>
  <c r="H79" i="55"/>
  <c r="I79" i="55" s="1"/>
  <c r="I80" i="55"/>
  <c r="I83" i="55" l="1"/>
  <c r="V1" i="58"/>
  <c r="V1" i="54"/>
  <c r="W1" i="42"/>
  <c r="V1" i="4"/>
  <c r="V1" i="53"/>
  <c r="X1" i="2"/>
  <c r="Y1" i="55"/>
  <c r="W1" i="44"/>
</calcChain>
</file>

<file path=xl/sharedStrings.xml><?xml version="1.0" encoding="utf-8"?>
<sst xmlns="http://schemas.openxmlformats.org/spreadsheetml/2006/main" count="782" uniqueCount="232">
  <si>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</si>
  <si>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</si>
  <si>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</si>
  <si>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</si>
  <si>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</si>
  <si>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</si>
  <si>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</si>
  <si>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</si>
  <si>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</si>
  <si>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</si>
  <si>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</si>
  <si>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</si>
  <si>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</si>
  <si>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</si>
  <si>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</si>
  <si>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</si>
  <si>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</si>
  <si>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</si>
  <si>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</si>
  <si>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</si>
  <si>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</si>
  <si>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</si>
  <si>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</si>
  <si>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</si>
  <si>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</si>
  <si>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</si>
  <si>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</si>
  <si>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</si>
  <si>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</si>
  <si>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</si>
  <si>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</si>
  <si>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</si>
  <si>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</si>
  <si>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</si>
  <si>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</si>
  <si>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</si>
  <si>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</si>
  <si>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</si>
  <si>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</si>
  <si>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</si>
  <si>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</si>
  <si>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</si>
  <si>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</si>
  <si>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</si>
  <si>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</si>
  <si>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</si>
  <si>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CPI indexes (nominal to real)</t>
  </si>
  <si>
    <t>Partial factor productivity</t>
  </si>
  <si>
    <t>Total step changes</t>
  </si>
  <si>
    <t>Input |Step changes</t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</si>
  <si>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</si>
  <si>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</si>
  <si>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</si>
  <si>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</si>
  <si>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</si>
  <si>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</si>
  <si>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</si>
  <si>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</si>
  <si>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</si>
  <si>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</si>
  <si>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</si>
  <si>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</si>
  <si>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</si>
  <si>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</si>
  <si>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</si>
  <si>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</si>
  <si>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</si>
  <si>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</si>
  <si>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</si>
  <si>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</si>
  <si>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</si>
  <si>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</si>
  <si>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</si>
  <si>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</si>
  <si>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</si>
  <si>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</si>
  <si>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</si>
  <si>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</si>
  <si>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</si>
  <si>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</si>
  <si>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</si>
  <si>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</si>
  <si>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</si>
  <si>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</si>
  <si>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</si>
  <si>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</si>
  <si>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</si>
  <si>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</si>
  <si>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</si>
  <si>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</si>
  <si>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</si>
  <si>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</si>
  <si>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</si>
  <si>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</si>
  <si>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</si>
  <si>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</si>
  <si>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</si>
  <si>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</si>
  <si>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</si>
  <si>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</si>
  <si>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</si>
  <si>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</si>
  <si>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</si>
  <si>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</si>
  <si>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</si>
  <si>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</si>
  <si>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</si>
  <si>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</si>
  <si>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</si>
  <si>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</si>
  <si>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</si>
  <si>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</si>
  <si>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</si>
  <si>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</si>
  <si>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</si>
  <si>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</si>
  <si>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</si>
  <si>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</si>
  <si>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</si>
  <si>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</si>
  <si>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</si>
  <si>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</si>
  <si>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</si>
  <si>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</si>
  <si>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</si>
  <si>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</si>
  <si>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</si>
  <si>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</si>
  <si>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</si>
  <si>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</si>
  <si>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</si>
  <si>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</si>
  <si>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</si>
  <si>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</si>
  <si>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</si>
  <si>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</si>
  <si>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</si>
  <si>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</si>
  <si>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</si>
  <si>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</si>
  <si>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</si>
  <si>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</si>
  <si>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</si>
  <si>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</si>
  <si>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</si>
  <si>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</si>
  <si>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</si>
  <si>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</si>
  <si>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</si>
  <si>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</si>
  <si>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</si>
  <si>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</si>
  <si>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Allowances related to category specific forecasts</t>
  </si>
  <si>
    <t>Reported opex, total</t>
  </si>
  <si>
    <t>Reported opex, category specific forecasts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</si>
  <si>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</si>
  <si>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</si>
  <si>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</si>
  <si>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</si>
  <si>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</si>
  <si>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</si>
  <si>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</si>
  <si>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</si>
  <si>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</si>
  <si>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</si>
  <si>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</si>
  <si>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</si>
  <si>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</si>
  <si>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</si>
  <si>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</si>
  <si>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</si>
  <si>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</si>
  <si>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</si>
  <si>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</si>
  <si>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</si>
  <si>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</si>
  <si>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</si>
  <si>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</si>
  <si>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</si>
  <si>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</si>
  <si>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</si>
  <si>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</si>
  <si>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</si>
  <si>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</si>
  <si>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</si>
  <si>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</si>
  <si>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</si>
  <si>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</si>
  <si>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</si>
  <si>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</si>
  <si>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WPI - BIS Oxford forecast</t>
  </si>
  <si>
    <t>SFA CD</t>
  </si>
  <si>
    <t>LSE CD</t>
  </si>
  <si>
    <t>LSE TLG</t>
  </si>
  <si>
    <t>SFA TLG</t>
  </si>
  <si>
    <t>–</t>
  </si>
  <si>
    <t>RBA</t>
  </si>
  <si>
    <t>Forecast annual CPI growth</t>
  </si>
  <si>
    <t>Forecast and actual index value</t>
  </si>
  <si>
    <t>Output elasticities</t>
  </si>
  <si>
    <t>DMIA</t>
  </si>
  <si>
    <t>WPI - KPMG forecast</t>
  </si>
  <si>
    <t>Adjusted base year opex</t>
  </si>
  <si>
    <t>Remove base year opex for categories forecast specifically</t>
  </si>
  <si>
    <t>Evoenergy</t>
  </si>
  <si>
    <t xml:space="preserve">Administration of L-FiT </t>
  </si>
  <si>
    <t>Insurance premiums</t>
  </si>
  <si>
    <t>SOCI</t>
  </si>
  <si>
    <t>DER Integration</t>
  </si>
  <si>
    <t>Transition costs</t>
  </si>
  <si>
    <t>AER opex model - version: Evoenergy 24-29 DD</t>
  </si>
  <si>
    <t>https://www.rba.gov.au/publications/smp/2023/aug/forecasts.html</t>
  </si>
  <si>
    <t>AER opex model</t>
  </si>
  <si>
    <t>Input |Distribution and Transmission opex allocation</t>
  </si>
  <si>
    <t>Allocation</t>
  </si>
  <si>
    <t/>
  </si>
  <si>
    <t>Distribution</t>
  </si>
  <si>
    <t>Transmission</t>
  </si>
  <si>
    <t>Total forecast opex, excluding category specific forecasts - Transmission</t>
  </si>
  <si>
    <t>Total forecast opex, excluding category specific forecasts - Distribution</t>
  </si>
  <si>
    <t>Total forecast opex, excluding debt raising costs - Transmission</t>
  </si>
  <si>
    <t>Total forecast opex, excluding debt raising costs - Distribution</t>
  </si>
  <si>
    <t>Total forecast opex, including debt raising costs - Transmission</t>
  </si>
  <si>
    <t>Total forecast opex, including debt raising costs - Distribution</t>
  </si>
  <si>
    <t>Operating expenditure - Transmission</t>
  </si>
  <si>
    <t>Operating expenditure - Distribution</t>
  </si>
  <si>
    <t>Input | Dx Tx split</t>
  </si>
  <si>
    <t>Allocates total forecast opex between distribution and transmission.</t>
  </si>
  <si>
    <t>Outputs the forecasts needed as a post tax revenue model inputs.</t>
  </si>
  <si>
    <t>Inputs the cost escalation weights, cost escalation forecast, and inflation actuals and forecast.</t>
  </si>
  <si>
    <t>Calculates the opex forecast.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</si>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</sst>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  <numFmt numFmtId="207" formatCode="0.000"/>
    <numFmt numFmtId="208" formatCode="0.00%;\–0.00%;&quot;–&quot;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7" fontId="15" fillId="0" borderId="0"/>
    <xf numFmtId="177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9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1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2" fontId="22" fillId="6" borderId="0" applyFont="0" applyBorder="0">
      <alignment horizontal="right"/>
      <protection locked="0"/>
    </xf>
    <xf numFmtId="182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3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4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5" fontId="22" fillId="0" borderId="0" applyFill="0" applyBorder="0"/>
    <xf numFmtId="185" fontId="22" fillId="0" borderId="0" applyFill="0" applyBorder="0"/>
    <xf numFmtId="185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6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7" fontId="22" fillId="0" borderId="0"/>
    <xf numFmtId="187" fontId="22" fillId="0" borderId="0"/>
    <xf numFmtId="187" fontId="22" fillId="0" borderId="0"/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3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1" fontId="22" fillId="0" borderId="7" applyBorder="0" applyProtection="0">
      <alignment horizontal="right"/>
    </xf>
    <xf numFmtId="191" fontId="22" fillId="0" borderId="7" applyBorder="0" applyProtection="0">
      <alignment horizontal="right"/>
    </xf>
    <xf numFmtId="191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1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6" fontId="22" fillId="0" borderId="0" applyFill="0" applyBorder="0">
      <alignment vertical="center"/>
    </xf>
    <xf numFmtId="0" fontId="1" fillId="0" borderId="0"/>
  </cellStyleXfs>
  <cellXfs count="220">
    <xf numFmtId="0" fontId="0" fillId="0" borderId="0" xfId="0"/>
    <xf numFmtId="0" fontId="5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2" fontId="6" fillId="41" borderId="3" xfId="0" applyNumberFormat="1" applyFont="1" applyFill="1" applyBorder="1" applyAlignment="1" applyProtection="1">
      <alignment horizontal="center"/>
      <protection locked="0"/>
    </xf>
    <xf numFmtId="196" fontId="6" fillId="0" borderId="0" xfId="0" applyNumberFormat="1" applyFont="1" applyAlignment="1">
      <alignment horizontal="left"/>
    </xf>
    <xf numFmtId="194" fontId="6" fillId="0" borderId="0" xfId="0" applyNumberFormat="1" applyFont="1"/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7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7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4" fontId="8" fillId="0" borderId="0" xfId="0" applyNumberFormat="1" applyFont="1" applyAlignment="1">
      <alignment horizontal="center"/>
    </xf>
    <xf numFmtId="200" fontId="6" fillId="0" borderId="0" xfId="0" applyNumberFormat="1" applyFont="1" applyAlignment="1">
      <alignment horizontal="center"/>
    </xf>
    <xf numFmtId="200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99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3" fontId="74" fillId="39" borderId="4" xfId="0" applyNumberFormat="1" applyFont="1" applyFill="1" applyBorder="1" applyAlignment="1">
      <alignment horizontal="center" wrapText="1"/>
    </xf>
    <xf numFmtId="203" fontId="91" fillId="38" borderId="2" xfId="0" applyNumberFormat="1" applyFont="1" applyFill="1" applyBorder="1" applyAlignment="1">
      <alignment horizontal="center"/>
    </xf>
    <xf numFmtId="203" fontId="74" fillId="38" borderId="2" xfId="0" applyNumberFormat="1" applyFont="1" applyFill="1" applyBorder="1" applyAlignment="1">
      <alignment horizontal="left"/>
    </xf>
    <xf numFmtId="203" fontId="6" fillId="0" borderId="0" xfId="0" applyNumberFormat="1" applyFont="1" applyAlignment="1">
      <alignment horizontal="left" indent="1"/>
    </xf>
    <xf numFmtId="203" fontId="7" fillId="0" borderId="0" xfId="0" applyNumberFormat="1" applyFont="1" applyAlignment="1">
      <alignment horizontal="center"/>
    </xf>
    <xf numFmtId="203" fontId="8" fillId="0" borderId="0" xfId="0" applyNumberFormat="1" applyFont="1" applyAlignment="1">
      <alignment horizontal="center"/>
    </xf>
    <xf numFmtId="168" fontId="14" fillId="0" borderId="0" xfId="3" applyNumberFormat="1" applyAlignment="1" applyProtection="1">
      <alignment horizontal="center"/>
    </xf>
    <xf numFmtId="0" fontId="74" fillId="38" borderId="25" xfId="0" applyFont="1" applyFill="1" applyBorder="1"/>
    <xf numFmtId="203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3" fontId="7" fillId="0" borderId="7" xfId="0" applyNumberFormat="1" applyFont="1" applyBorder="1" applyAlignment="1">
      <alignment horizontal="center"/>
    </xf>
    <xf numFmtId="204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3" fontId="6" fillId="0" borderId="3" xfId="0" applyNumberFormat="1" applyFont="1" applyBorder="1" applyAlignment="1" applyProtection="1">
      <alignment horizontal="center"/>
      <protection locked="0"/>
    </xf>
    <xf numFmtId="0" fontId="14" fillId="38" borderId="0" xfId="3" applyFill="1" applyBorder="1" applyAlignment="1" applyProtection="1">
      <alignment horizontal="right"/>
    </xf>
    <xf numFmtId="194" fontId="6" fillId="0" borderId="0" xfId="0" applyNumberFormat="1" applyFont="1" applyProtection="1">
      <protection locked="0"/>
    </xf>
    <xf numFmtId="194" fontId="8" fillId="0" borderId="0" xfId="0" applyNumberFormat="1" applyFont="1" applyProtection="1">
      <protection locked="0"/>
    </xf>
    <xf numFmtId="181" fontId="6" fillId="0" borderId="0" xfId="2" applyNumberFormat="1" applyFont="1" applyFill="1" applyBorder="1" applyAlignment="1" applyProtection="1">
      <alignment horizontal="center"/>
      <protection locked="0"/>
    </xf>
    <xf numFmtId="203" fontId="19" fillId="8" borderId="9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3" fontId="6" fillId="0" borderId="0" xfId="0" applyNumberFormat="1" applyFont="1" applyAlignment="1" applyProtection="1">
      <alignment horizontal="center"/>
      <protection locked="0"/>
    </xf>
    <xf numFmtId="0" fontId="72" fillId="38" borderId="0" xfId="3" applyFont="1" applyFill="1" applyBorder="1" applyAlignment="1" applyProtection="1"/>
    <xf numFmtId="194" fontId="20" fillId="0" borderId="0" xfId="0" applyNumberFormat="1" applyFont="1" applyProtection="1">
      <protection locked="0"/>
    </xf>
    <xf numFmtId="194" fontId="14" fillId="0" borderId="0" xfId="3" applyNumberFormat="1" applyProtection="1">
      <protection locked="0"/>
    </xf>
    <xf numFmtId="192" fontId="6" fillId="0" borderId="0" xfId="0" applyNumberFormat="1" applyFont="1" applyAlignment="1" applyProtection="1">
      <alignment horizontal="center"/>
      <protection locked="0"/>
    </xf>
    <xf numFmtId="192" fontId="0" fillId="41" borderId="3" xfId="0" applyNumberFormat="1" applyFont="1" applyFill="1" applyBorder="1" applyAlignment="1" applyProtection="1">
      <alignment horizontal="center"/>
      <protection locked="0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3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3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3" fontId="75" fillId="0" borderId="4" xfId="0" applyNumberFormat="1" applyFont="1" applyBorder="1" applyAlignment="1">
      <alignment horizontal="center"/>
    </xf>
    <xf numFmtId="198" fontId="23" fillId="0" borderId="4" xfId="5" applyNumberFormat="1" applyFont="1" applyBorder="1" applyAlignment="1" applyProtection="1">
      <alignment horizontal="center" vertical="center"/>
    </xf>
    <xf numFmtId="203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3" fontId="23" fillId="0" borderId="0" xfId="0" applyNumberFormat="1" applyFont="1" applyAlignment="1">
      <alignment horizontal="center"/>
    </xf>
    <xf numFmtId="203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1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5" applyNumberFormat="1" applyFont="1" applyBorder="1" applyAlignment="1" applyProtection="1">
      <alignment horizontal="center" vertical="center"/>
    </xf>
    <xf numFmtId="203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5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1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3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3" fontId="23" fillId="40" borderId="26" xfId="0" applyNumberFormat="1" applyFont="1" applyFill="1" applyBorder="1" applyAlignment="1" applyProtection="1">
      <alignment horizontal="center"/>
      <protection locked="0"/>
    </xf>
    <xf numFmtId="207" fontId="0" fillId="41" borderId="3" xfId="2" applyNumberFormat="1" applyFont="1" applyFill="1" applyBorder="1" applyAlignment="1" applyProtection="1">
      <alignment horizontal="center"/>
      <protection locked="0"/>
    </xf>
    <xf numFmtId="207" fontId="0" fillId="41" borderId="3" xfId="0" applyNumberFormat="1" applyFont="1" applyFill="1" applyBorder="1" applyAlignment="1" applyProtection="1">
      <alignment horizontal="left" indent="1"/>
      <protection locked="0"/>
    </xf>
    <xf numFmtId="193" fontId="23" fillId="8" borderId="26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Alignment="1">
      <alignment horizontal="center"/>
    </xf>
    <xf numFmtId="208" fontId="0" fillId="8" borderId="3" xfId="2" applyNumberFormat="1" applyFont="1" applyFill="1" applyBorder="1" applyAlignment="1" applyProtection="1">
      <alignment horizontal="center"/>
      <protection locked="0"/>
    </xf>
    <xf numFmtId="181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5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4" fillId="0" borderId="0" xfId="3" applyFill="1"/>
    <xf numFmtId="168" fontId="8" fillId="0" borderId="0" xfId="0" applyNumberFormat="1" applyFont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1" fontId="0" fillId="41" borderId="3" xfId="2" applyNumberFormat="1" applyFont="1" applyFill="1" applyBorder="1" applyAlignment="1" applyProtection="1">
      <alignment horizontal="center"/>
      <protection locked="0"/>
    </xf>
    <xf numFmtId="168" fontId="20" fillId="0" borderId="0" xfId="0" applyNumberFormat="1" applyFont="1" applyProtection="1">
      <protection locked="0"/>
    </xf>
    <xf numFmtId="181" fontId="0" fillId="0" borderId="0" xfId="2" applyNumberFormat="1" applyFont="1"/>
    <xf numFmtId="168" fontId="75" fillId="0" borderId="0" xfId="0" applyNumberFormat="1" applyFont="1" applyFill="1" applyAlignment="1" applyProtection="1">
      <alignment horizontal="center"/>
      <protection locked="0"/>
    </xf>
    <xf numFmtId="168" fontId="0" fillId="0" borderId="0" xfId="0" applyNumberFormat="1" applyFont="1" applyFill="1" applyProtection="1">
      <protection locked="0"/>
    </xf>
    <xf numFmtId="10" fontId="0" fillId="0" borderId="3" xfId="2" applyNumberFormat="1" applyFont="1" applyFill="1" applyBorder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44" fontId="19" fillId="39" borderId="4" xfId="0" applyNumberFormat="1" applyFont="1" applyFill="1" applyBorder="1" applyAlignment="1">
      <alignment horizontal="center" wrapText="1"/>
    </xf>
    <xf numFmtId="44" fontId="24" fillId="39" borderId="4" xfId="0" applyNumberFormat="1" applyFont="1" applyFill="1" applyBorder="1" applyAlignment="1">
      <alignment horizontal="center" wrapText="1"/>
    </xf>
    <xf numFmtId="0" fontId="6" fillId="41" borderId="3" xfId="0" applyFont="1" applyFill="1" applyBorder="1" applyAlignment="1" applyProtection="1">
      <alignment horizontal="left" indent="1"/>
      <protection locked="0"/>
    </xf>
    <xf numFmtId="195" fontId="7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Alignment="1">
      <alignment horizontal="center"/>
    </xf>
    <xf numFmtId="204" fontId="15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168" fontId="18" fillId="38" borderId="0" xfId="0" applyNumberFormat="1" applyFont="1" applyFill="1" applyAlignment="1">
      <alignment horizontal="center"/>
    </xf>
    <xf numFmtId="0" fontId="0" fillId="38" borderId="0" xfId="0" applyFill="1" applyAlignment="1">
      <alignment wrapText="1"/>
    </xf>
    <xf numFmtId="203" fontId="8" fillId="38" borderId="0" xfId="0" applyNumberFormat="1" applyFont="1" applyFill="1" applyBorder="1" applyAlignment="1">
      <alignment horizontal="center"/>
    </xf>
    <xf numFmtId="168" fontId="6" fillId="38" borderId="0" xfId="0" applyNumberFormat="1" applyFont="1" applyFill="1" applyBorder="1"/>
    <xf numFmtId="181" fontId="15" fillId="38" borderId="0" xfId="2" applyNumberFormat="1" applyFont="1" applyFill="1" applyBorder="1" applyAlignment="1" applyProtection="1">
      <alignment horizontal="center"/>
      <protection locked="0"/>
    </xf>
    <xf numFmtId="168" fontId="8" fillId="38" borderId="0" xfId="0" applyNumberFormat="1" applyFont="1" applyFill="1"/>
    <xf numFmtId="168" fontId="6" fillId="38" borderId="0" xfId="0" applyNumberFormat="1" applyFont="1" applyFill="1"/>
    <xf numFmtId="168" fontId="7" fillId="38" borderId="0" xfId="0" applyNumberFormat="1" applyFont="1" applyFill="1" applyAlignment="1">
      <alignment horizontal="center"/>
    </xf>
    <xf numFmtId="168" fontId="7" fillId="38" borderId="0" xfId="0" applyNumberFormat="1" applyFont="1" applyFill="1" applyBorder="1" applyAlignment="1">
      <alignment horizontal="center"/>
    </xf>
    <xf numFmtId="203" fontId="6" fillId="38" borderId="29" xfId="2" applyNumberFormat="1" applyFont="1" applyFill="1" applyBorder="1" applyAlignment="1" applyProtection="1">
      <alignment horizontal="center"/>
      <protection locked="0"/>
    </xf>
    <xf numFmtId="168" fontId="18" fillId="38" borderId="0" xfId="0" applyNumberFormat="1" applyFont="1" applyFill="1" applyBorder="1" applyAlignment="1">
      <alignment horizontal="center"/>
    </xf>
    <xf numFmtId="203" fontId="6" fillId="38" borderId="0" xfId="2" applyNumberFormat="1" applyFont="1" applyFill="1" applyBorder="1" applyAlignment="1" applyProtection="1">
      <alignment horizontal="center"/>
      <protection locked="0"/>
    </xf>
    <xf numFmtId="0" fontId="6" fillId="38" borderId="0" xfId="0" applyFont="1" applyFill="1" applyBorder="1" applyAlignment="1" applyProtection="1">
      <alignment horizontal="left" indent="1"/>
      <protection locked="0"/>
    </xf>
    <xf numFmtId="195" fontId="7" fillId="38" borderId="0" xfId="2" applyNumberFormat="1" applyFont="1" applyFill="1" applyBorder="1" applyAlignment="1" applyProtection="1">
      <alignment horizontal="center"/>
      <protection locked="0"/>
    </xf>
    <xf numFmtId="168" fontId="0" fillId="38" borderId="0" xfId="0" applyNumberFormat="1" applyFont="1" applyFill="1" applyAlignment="1">
      <alignment horizontal="left"/>
    </xf>
    <xf numFmtId="168" fontId="75" fillId="38" borderId="0" xfId="0" applyNumberFormat="1" applyFont="1" applyFill="1" applyAlignment="1">
      <alignment horizontal="center"/>
    </xf>
    <xf numFmtId="168" fontId="17" fillId="0" borderId="0" xfId="3" applyNumberFormat="1" applyFont="1" applyAlignment="1" applyProtection="1">
      <alignment horizontal="left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00000000-0005-0000-0000-0000B3000000}"/>
    <cellStyle name="Normal 11" xfId="264" xr:uid="{00000000-0005-0000-0000-0000B4000000}"/>
    <cellStyle name="Normal 11 2" xfId="298" xr:uid="{00000000-0005-0000-0000-0000B5000000}"/>
    <cellStyle name="Normal 12" xfId="301" xr:uid="{00000000-0005-0000-0000-0000B6000000}"/>
    <cellStyle name="Normal 13" xfId="137" xr:uid="{00000000-0005-0000-0000-0000B7000000}"/>
    <cellStyle name="Normal 13 2" xfId="7" xr:uid="{00000000-0005-0000-0000-0000B8000000}"/>
    <cellStyle name="Normal 13_29(d) - Gas extensions -tariffs" xfId="138" xr:uid="{00000000-0005-0000-0000-0000B9000000}"/>
    <cellStyle name="Normal 15" xfId="139" xr:uid="{00000000-0005-0000-0000-0000BA000000}"/>
    <cellStyle name="Normal 16" xfId="140" xr:uid="{00000000-0005-0000-0000-0000BB000000}"/>
    <cellStyle name="Normal 2" xfId="141" xr:uid="{00000000-0005-0000-0000-0000BC000000}"/>
    <cellStyle name="Normal 2 2" xfId="142" xr:uid="{00000000-0005-0000-0000-0000BD000000}"/>
    <cellStyle name="Normal 2 2 2" xfId="143" xr:uid="{00000000-0005-0000-0000-0000BE000000}"/>
    <cellStyle name="Normal 2 3" xfId="144" xr:uid="{00000000-0005-0000-0000-0000BF000000}"/>
    <cellStyle name="Normal 2 3 2" xfId="145" xr:uid="{00000000-0005-0000-0000-0000C0000000}"/>
    <cellStyle name="Normal 2 3_29(d) - Gas extensions -tariffs" xfId="146" xr:uid="{00000000-0005-0000-0000-0000C1000000}"/>
    <cellStyle name="Normal 2 4" xfId="147" xr:uid="{00000000-0005-0000-0000-0000C2000000}"/>
    <cellStyle name="Normal 2 5" xfId="148" xr:uid="{00000000-0005-0000-0000-0000C3000000}"/>
    <cellStyle name="Normal 2_29(d) - Gas extensions -tariffs" xfId="149" xr:uid="{00000000-0005-0000-0000-0000C4000000}"/>
    <cellStyle name="Normal 3" xfId="150" xr:uid="{00000000-0005-0000-0000-0000C5000000}"/>
    <cellStyle name="Normal 3 2" xfId="151" xr:uid="{00000000-0005-0000-0000-0000C6000000}"/>
    <cellStyle name="Normal 3_29(d) - Gas extensions -tariffs" xfId="152" xr:uid="{00000000-0005-0000-0000-0000C7000000}"/>
    <cellStyle name="Normal 38" xfId="153" xr:uid="{00000000-0005-0000-0000-0000C8000000}"/>
    <cellStyle name="Normal 38 2" xfId="154" xr:uid="{00000000-0005-0000-0000-0000C9000000}"/>
    <cellStyle name="Normal 38_29(d) - Gas extensions -tariffs" xfId="155" xr:uid="{00000000-0005-0000-0000-0000CA000000}"/>
    <cellStyle name="Normal 4" xfId="156" xr:uid="{00000000-0005-0000-0000-0000CB000000}"/>
    <cellStyle name="Normal 4 2" xfId="157" xr:uid="{00000000-0005-0000-0000-0000CC000000}"/>
    <cellStyle name="Normal 4 3" xfId="158" xr:uid="{00000000-0005-0000-0000-0000CD000000}"/>
    <cellStyle name="Normal 4 3 2" xfId="293" xr:uid="{00000000-0005-0000-0000-0000CE000000}"/>
    <cellStyle name="Normal 4_29(d) - Gas extensions -tariffs" xfId="159" xr:uid="{00000000-0005-0000-0000-0000CF000000}"/>
    <cellStyle name="Normal 40" xfId="160" xr:uid="{00000000-0005-0000-0000-0000D0000000}"/>
    <cellStyle name="Normal 40 2" xfId="161" xr:uid="{00000000-0005-0000-0000-0000D1000000}"/>
    <cellStyle name="Normal 40_29(d) - Gas extensions -tariffs" xfId="162" xr:uid="{00000000-0005-0000-0000-0000D2000000}"/>
    <cellStyle name="Normal 42" xfId="303" xr:uid="{00000000-0005-0000-0000-0000D3000000}"/>
    <cellStyle name="Normal 5" xfId="163" xr:uid="{00000000-0005-0000-0000-0000D4000000}"/>
    <cellStyle name="Normal 5 2" xfId="164" xr:uid="{00000000-0005-0000-0000-0000D5000000}"/>
    <cellStyle name="Normal 6" xfId="165" xr:uid="{00000000-0005-0000-0000-0000D6000000}"/>
    <cellStyle name="Normal 6 2" xfId="166" xr:uid="{00000000-0005-0000-0000-0000D7000000}"/>
    <cellStyle name="Normal 7" xfId="9" xr:uid="{00000000-0005-0000-0000-0000D8000000}"/>
    <cellStyle name="Normal 7 2" xfId="167" xr:uid="{00000000-0005-0000-0000-0000D9000000}"/>
    <cellStyle name="Normal 7 2 2" xfId="294" xr:uid="{00000000-0005-0000-0000-0000DA000000}"/>
    <cellStyle name="Normal 8" xfId="168" xr:uid="{00000000-0005-0000-0000-0000DB000000}"/>
    <cellStyle name="Normal 9" xfId="169" xr:uid="{00000000-0005-0000-0000-0000DC000000}"/>
    <cellStyle name="Note 2" xfId="170" xr:uid="{00000000-0005-0000-0000-0000DD000000}"/>
    <cellStyle name="OffSheet" xfId="255" xr:uid="{00000000-0005-0000-0000-0000DE000000}"/>
    <cellStyle name="Output 2" xfId="171" xr:uid="{00000000-0005-0000-0000-0000DF000000}"/>
    <cellStyle name="Percent" xfId="2" builtinId="5"/>
    <cellStyle name="Percent [2]" xfId="172" xr:uid="{00000000-0005-0000-0000-0000E1000000}"/>
    <cellStyle name="Percent [2] 2" xfId="173" xr:uid="{00000000-0005-0000-0000-0000E2000000}"/>
    <cellStyle name="Percent [2]_29(d) - Gas extensions -tariffs" xfId="174" xr:uid="{00000000-0005-0000-0000-0000E3000000}"/>
    <cellStyle name="Percent 2" xfId="4" xr:uid="{00000000-0005-0000-0000-0000E4000000}"/>
    <cellStyle name="Percent 2 2" xfId="175" xr:uid="{00000000-0005-0000-0000-0000E5000000}"/>
    <cellStyle name="Percent 3" xfId="176" xr:uid="{00000000-0005-0000-0000-0000E6000000}"/>
    <cellStyle name="Percent 3 2" xfId="177" xr:uid="{00000000-0005-0000-0000-0000E7000000}"/>
    <cellStyle name="Percent 4" xfId="178" xr:uid="{00000000-0005-0000-0000-0000E8000000}"/>
    <cellStyle name="Percent 5" xfId="242" xr:uid="{00000000-0005-0000-0000-0000E9000000}"/>
    <cellStyle name="Percent 5 2" xfId="296" xr:uid="{00000000-0005-0000-0000-0000EA000000}"/>
    <cellStyle name="Percent 6" xfId="299" xr:uid="{00000000-0005-0000-0000-0000EB000000}"/>
    <cellStyle name="Percent 7" xfId="179" xr:uid="{00000000-0005-0000-0000-0000EC000000}"/>
    <cellStyle name="Percentage" xfId="180" xr:uid="{00000000-0005-0000-0000-0000ED000000}"/>
    <cellStyle name="Period Title" xfId="181" xr:uid="{00000000-0005-0000-0000-0000EE000000}"/>
    <cellStyle name="PSChar" xfId="182" xr:uid="{00000000-0005-0000-0000-0000EF000000}"/>
    <cellStyle name="PSDate" xfId="183" xr:uid="{00000000-0005-0000-0000-0000F0000000}"/>
    <cellStyle name="PSDec" xfId="184" xr:uid="{00000000-0005-0000-0000-0000F1000000}"/>
    <cellStyle name="PSDetail" xfId="185" xr:uid="{00000000-0005-0000-0000-0000F2000000}"/>
    <cellStyle name="PSHeading" xfId="186" xr:uid="{00000000-0005-0000-0000-0000F3000000}"/>
    <cellStyle name="PSInt" xfId="187" xr:uid="{00000000-0005-0000-0000-0000F4000000}"/>
    <cellStyle name="PSSpacer" xfId="188" xr:uid="{00000000-0005-0000-0000-0000F5000000}"/>
    <cellStyle name="Ratio" xfId="189" xr:uid="{00000000-0005-0000-0000-0000F6000000}"/>
    <cellStyle name="Ratio 2" xfId="190" xr:uid="{00000000-0005-0000-0000-0000F7000000}"/>
    <cellStyle name="Ratio_29(d) - Gas extensions -tariffs" xfId="191" xr:uid="{00000000-0005-0000-0000-0000F8000000}"/>
    <cellStyle name="Right Date" xfId="192" xr:uid="{00000000-0005-0000-0000-0000F9000000}"/>
    <cellStyle name="Right Number" xfId="193" xr:uid="{00000000-0005-0000-0000-0000FA000000}"/>
    <cellStyle name="Right Year" xfId="194" xr:uid="{00000000-0005-0000-0000-0000FB000000}"/>
    <cellStyle name="SAPError" xfId="195" xr:uid="{00000000-0005-0000-0000-0000FC000000}"/>
    <cellStyle name="SAPError 2" xfId="196" xr:uid="{00000000-0005-0000-0000-0000FD000000}"/>
    <cellStyle name="SAPKey" xfId="197" xr:uid="{00000000-0005-0000-0000-0000FE000000}"/>
    <cellStyle name="SAPKey 2" xfId="198" xr:uid="{00000000-0005-0000-0000-0000FF000000}"/>
    <cellStyle name="SAPLocked" xfId="199" xr:uid="{00000000-0005-0000-0000-000000010000}"/>
    <cellStyle name="SAPLocked 2" xfId="200" xr:uid="{00000000-0005-0000-0000-000001010000}"/>
    <cellStyle name="SAPOutput" xfId="201" xr:uid="{00000000-0005-0000-0000-000002010000}"/>
    <cellStyle name="SAPOutput 2" xfId="202" xr:uid="{00000000-0005-0000-0000-000003010000}"/>
    <cellStyle name="SAPSpace" xfId="203" xr:uid="{00000000-0005-0000-0000-000004010000}"/>
    <cellStyle name="SAPSpace 2" xfId="204" xr:uid="{00000000-0005-0000-0000-000005010000}"/>
    <cellStyle name="SAPText" xfId="205" xr:uid="{00000000-0005-0000-0000-000006010000}"/>
    <cellStyle name="SAPText 2" xfId="206" xr:uid="{00000000-0005-0000-0000-000007010000}"/>
    <cellStyle name="SAPUnLocked" xfId="207" xr:uid="{00000000-0005-0000-0000-000008010000}"/>
    <cellStyle name="SAPUnLocked 2" xfId="208" xr:uid="{00000000-0005-0000-0000-000009010000}"/>
    <cellStyle name="Sheet Title" xfId="209" xr:uid="{00000000-0005-0000-0000-00000A010000}"/>
    <cellStyle name="SheetHeader1" xfId="256" xr:uid="{00000000-0005-0000-0000-00000B010000}"/>
    <cellStyle name="SheetHeader2" xfId="257" xr:uid="{00000000-0005-0000-0000-00000C010000}"/>
    <cellStyle name="SheetHeader3" xfId="258" xr:uid="{00000000-0005-0000-0000-00000D010000}"/>
    <cellStyle name="Style 1" xfId="210" xr:uid="{00000000-0005-0000-0000-00000E010000}"/>
    <cellStyle name="Style 1 2" xfId="211" xr:uid="{00000000-0005-0000-0000-00000F010000}"/>
    <cellStyle name="Style 1_29(d) - Gas extensions -tariffs" xfId="212" xr:uid="{00000000-0005-0000-0000-000010010000}"/>
    <cellStyle name="Style2" xfId="213" xr:uid="{00000000-0005-0000-0000-000011010000}"/>
    <cellStyle name="Style3" xfId="214" xr:uid="{00000000-0005-0000-0000-000012010000}"/>
    <cellStyle name="Style4" xfId="215" xr:uid="{00000000-0005-0000-0000-000013010000}"/>
    <cellStyle name="Style4 2" xfId="216" xr:uid="{00000000-0005-0000-0000-000014010000}"/>
    <cellStyle name="Style4_29(d) - Gas extensions -tariffs" xfId="217" xr:uid="{00000000-0005-0000-0000-000015010000}"/>
    <cellStyle name="Style5" xfId="218" xr:uid="{00000000-0005-0000-0000-000016010000}"/>
    <cellStyle name="Style5 2" xfId="219" xr:uid="{00000000-0005-0000-0000-000017010000}"/>
    <cellStyle name="Style5_29(d) - Gas extensions -tariffs" xfId="220" xr:uid="{00000000-0005-0000-0000-000018010000}"/>
    <cellStyle name="Table Head Green" xfId="221" xr:uid="{00000000-0005-0000-0000-000019010000}"/>
    <cellStyle name="Table Head_pldt" xfId="222" xr:uid="{00000000-0005-0000-0000-00001A010000}"/>
    <cellStyle name="Table Source" xfId="223" xr:uid="{00000000-0005-0000-0000-00001B010000}"/>
    <cellStyle name="Table Units" xfId="224" xr:uid="{00000000-0005-0000-0000-00001C010000}"/>
    <cellStyle name="Table_Heading" xfId="259" xr:uid="{00000000-0005-0000-0000-00001D010000}"/>
    <cellStyle name="Technical_Input" xfId="260" xr:uid="{00000000-0005-0000-0000-00001E010000}"/>
    <cellStyle name="Text" xfId="225" xr:uid="{00000000-0005-0000-0000-00001F010000}"/>
    <cellStyle name="Text 2" xfId="226" xr:uid="{00000000-0005-0000-0000-000020010000}"/>
    <cellStyle name="Text 3" xfId="227" xr:uid="{00000000-0005-0000-0000-000021010000}"/>
    <cellStyle name="Text Head 1" xfId="228" xr:uid="{00000000-0005-0000-0000-000022010000}"/>
    <cellStyle name="Text Head 2" xfId="229" xr:uid="{00000000-0005-0000-0000-000023010000}"/>
    <cellStyle name="Text Indent 2" xfId="230" xr:uid="{00000000-0005-0000-0000-000024010000}"/>
    <cellStyle name="Theirs" xfId="231" xr:uid="{00000000-0005-0000-0000-000025010000}"/>
    <cellStyle name="Title 2" xfId="232" xr:uid="{00000000-0005-0000-0000-000026010000}"/>
    <cellStyle name="TOC 1" xfId="233" xr:uid="{00000000-0005-0000-0000-000027010000}"/>
    <cellStyle name="TOC 2" xfId="234" xr:uid="{00000000-0005-0000-0000-000028010000}"/>
    <cellStyle name="TOC 3" xfId="235" xr:uid="{00000000-0005-0000-0000-000029010000}"/>
    <cellStyle name="Total 2" xfId="236" xr:uid="{00000000-0005-0000-0000-00002A010000}"/>
    <cellStyle name="Totals" xfId="261" xr:uid="{00000000-0005-0000-0000-00002B010000}"/>
    <cellStyle name="unit" xfId="262" xr:uid="{00000000-0005-0000-0000-00002C010000}"/>
    <cellStyle name="User_Input" xfId="263" xr:uid="{00000000-0005-0000-0000-00002D010000}"/>
    <cellStyle name="Warning Text 2" xfId="237" xr:uid="{00000000-0005-0000-0000-00002E010000}"/>
    <cellStyle name="year" xfId="238" xr:uid="{00000000-0005-0000-0000-00002F010000}"/>
    <cellStyle name="year 2" xfId="239" xr:uid="{00000000-0005-0000-0000-000030010000}"/>
    <cellStyle name="year_29(d) - Gas extensions -tariffs" xfId="240" xr:uid="{00000000-0005-0000-0000-000031010000}"/>
  </cellStyles>
  <dxfs count="2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  <color rgb="FFDAEEF3"/>
      <color rgb="FFFFFFCC"/>
      <color rgb="FFDBE5F1"/>
      <color rgb="FF006100"/>
      <color rgb="FFC6EFCE"/>
      <color rgb="FF9C0006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aug/forecasts.html" TargetMode="External"/><Relationship Id="rId2" Type="http://schemas.openxmlformats.org/officeDocument/2006/relationships/hyperlink" Target="https://www.rba.gov.au/publications/smp/2023/aug/forecasts.html" TargetMode="External"/><Relationship Id="rId1" Type="http://schemas.openxmlformats.org/officeDocument/2006/relationships/hyperlink" Target="https://www.rba.gov.au/publications/smp/2023/aug/forecasts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rba.gov.au/publications/smp/2023/aug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18"/>
  <sheetViews>
    <sheetView showGridLines="0" workbookViewId="0"/>
  </sheetViews>
  <sheetFormatPr defaultColWidth="0" defaultRowHeight="11.25" zeroHeight="1"/>
  <cols>
    <col min="1" max="2" width="1.5" style="5" customWidth="1"/>
    <col min="3" max="3" width="30.83203125" style="5" customWidth="1"/>
    <col min="4" max="4" width="178.83203125" style="5" bestFit="1" customWidth="1"/>
    <col min="5" max="5" width="6.5" style="5" customWidth="1"/>
    <col min="6" max="6" width="9.33203125" style="5" hidden="1" customWidth="1"/>
    <col min="7" max="14" width="9.83203125" style="5" hidden="1" customWidth="1"/>
    <col min="15" max="15" width="1.5" style="5" hidden="1" customWidth="1"/>
    <col min="16" max="16" width="10.5" style="5" hidden="1" customWidth="1"/>
    <col min="17" max="17" width="1.5" style="5" hidden="1" customWidth="1"/>
    <col min="18" max="30" width="10.5" style="5" hidden="1" customWidth="1"/>
    <col min="31" max="16384" width="10.5" style="5" hidden="1"/>
  </cols>
  <sheetData>
    <row r="1" spans="1:30" s="1" customFormat="1" ht="15.75" customHeight="1">
      <c r="A1" s="25"/>
      <c r="B1" s="22" t="s">
        <v>210</v>
      </c>
      <c r="C1" s="22"/>
      <c r="D1" s="25"/>
      <c r="E1" s="2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2" customFormat="1" ht="13.5" customHeight="1" thickBot="1">
      <c r="A2" s="29"/>
      <c r="B2" s="28" t="s">
        <v>41</v>
      </c>
      <c r="C2" s="28"/>
      <c r="D2" s="29"/>
      <c r="E2" s="2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3" customFormat="1" ht="3" customHeight="1"/>
    <row r="4" spans="1:30" customFormat="1">
      <c r="A4" s="30"/>
      <c r="B4" s="35" t="s">
        <v>61</v>
      </c>
      <c r="C4" s="30"/>
      <c r="D4" s="30"/>
      <c r="E4" s="30"/>
    </row>
    <row r="5" spans="1:30"/>
    <row r="6" spans="1:30">
      <c r="C6" s="6" t="s">
        <v>0</v>
      </c>
      <c r="D6" s="6" t="s">
        <v>1</v>
      </c>
    </row>
    <row r="7" spans="1:30">
      <c r="C7" s="16" t="s">
        <v>59</v>
      </c>
      <c r="D7" s="4" t="s">
        <v>60</v>
      </c>
    </row>
    <row r="8" spans="1:30">
      <c r="C8" s="16" t="s">
        <v>35</v>
      </c>
      <c r="D8" s="4" t="s">
        <v>93</v>
      </c>
    </row>
    <row r="9" spans="1:30">
      <c r="C9" s="16" t="s">
        <v>55</v>
      </c>
      <c r="D9" s="4" t="s">
        <v>56</v>
      </c>
    </row>
    <row r="10" spans="1:30">
      <c r="C10" s="16" t="s">
        <v>174</v>
      </c>
      <c r="D10" s="4" t="s">
        <v>229</v>
      </c>
    </row>
    <row r="11" spans="1:30">
      <c r="C11" s="16" t="s">
        <v>58</v>
      </c>
      <c r="D11" s="4" t="s">
        <v>231</v>
      </c>
    </row>
    <row r="12" spans="1:30">
      <c r="C12" s="219" t="s">
        <v>226</v>
      </c>
      <c r="D12" s="4" t="s">
        <v>227</v>
      </c>
    </row>
    <row r="13" spans="1:30">
      <c r="C13" s="16" t="s">
        <v>175</v>
      </c>
      <c r="D13" s="4" t="s">
        <v>230</v>
      </c>
    </row>
    <row r="14" spans="1:30">
      <c r="C14" s="16" t="s">
        <v>176</v>
      </c>
      <c r="D14" s="4" t="s">
        <v>228</v>
      </c>
    </row>
    <row r="15" spans="1:30">
      <c r="C15" s="16" t="s">
        <v>51</v>
      </c>
      <c r="D15" s="4" t="s">
        <v>57</v>
      </c>
    </row>
    <row r="16" spans="1:30">
      <c r="C16" s="16" t="s">
        <v>25</v>
      </c>
      <c r="D16" s="4" t="s">
        <v>50</v>
      </c>
    </row>
    <row r="17" spans="1:5" ht="12.75">
      <c r="C17" s="7"/>
      <c r="D17" s="4"/>
    </row>
    <row r="18" spans="1:5" customFormat="1">
      <c r="A18" s="30"/>
      <c r="B18" s="35" t="s">
        <v>21</v>
      </c>
      <c r="C18" s="30"/>
      <c r="D18" s="30"/>
      <c r="E18" s="30"/>
    </row>
  </sheetData>
  <hyperlinks>
    <hyperlink ref="C13" location="'Calc|Opex forecast'!A1" display="Calc | Opex Forecast" xr:uid="{00000000-0004-0000-0000-000000000000}"/>
    <hyperlink ref="C14" location="'Output|Models_final'!A1" display="Output | Models_final" xr:uid="{00000000-0004-0000-0000-000001000000}"/>
    <hyperlink ref="C15" location="'Lookup|Tables'!A1" display="Lookup | Tables" xr:uid="{00000000-0004-0000-0000-000002000000}"/>
    <hyperlink ref="C16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0" location="'Input|Rate of change'!A1" display="Input | Rate of change" xr:uid="{00000000-0004-0000-0000-000008000000}"/>
    <hyperlink ref="C12" location="'Input|Dx Tx split'!A1" display="'Input|Dx Tx split'!A1" xr:uid="{3F6E198B-B89A-466D-8FF7-4655CA0E1F08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W27"/>
  <sheetViews>
    <sheetView showGridLines="0" tabSelected="1" zoomScaleNormal="100" workbookViewId="0"/>
  </sheetViews>
  <sheetFormatPr defaultColWidth="0" defaultRowHeight="11.25" zeroHeight="1"/>
  <cols>
    <col min="1" max="2" width="1.5" style="5" customWidth="1"/>
    <col min="3" max="3" width="42" style="5" customWidth="1"/>
    <col min="4" max="4" width="11.1640625" style="13" customWidth="1"/>
    <col min="5" max="6" width="3.33203125" style="13" customWidth="1"/>
    <col min="7" max="7" width="16.1640625" style="13" bestFit="1" customWidth="1"/>
    <col min="8" max="9" width="3.33203125" style="13" customWidth="1"/>
    <col min="10" max="23" width="10.83203125" style="5" customWidth="1"/>
    <col min="24" max="38" width="10.5" style="5" hidden="1" customWidth="1"/>
    <col min="39" max="16384" width="10.5" style="5" hidden="1"/>
  </cols>
  <sheetData>
    <row r="1" spans="1:23" s="25" customFormat="1" ht="15.75">
      <c r="B1" s="22" t="str">
        <f>Index!$B$1</f>
        <v>AER opex model - version: Evoenergy 24-29 DD</v>
      </c>
      <c r="C1" s="22"/>
      <c r="D1" s="22"/>
      <c r="E1" s="22"/>
      <c r="F1" s="23"/>
      <c r="G1" s="23"/>
      <c r="H1" s="23"/>
      <c r="I1" s="23"/>
      <c r="J1" s="24" t="s">
        <v>2</v>
      </c>
      <c r="L1" s="26" t="s">
        <v>3</v>
      </c>
      <c r="M1" s="41" t="s">
        <v>4</v>
      </c>
      <c r="N1" s="8" t="s">
        <v>5</v>
      </c>
      <c r="O1" s="9" t="s">
        <v>6</v>
      </c>
      <c r="R1" s="26" t="s">
        <v>80</v>
      </c>
      <c r="S1" s="27" t="str">
        <f>IF(COUNTA($S$5:$S$16)=COUNTIF($S5:$S17,"OK"),"OK","Check")</f>
        <v>OK</v>
      </c>
      <c r="U1" s="103" t="s">
        <v>24</v>
      </c>
      <c r="V1" s="27" t="str">
        <f ca="1">'Check|List'!$S$1</f>
        <v>Ok</v>
      </c>
    </row>
    <row r="2" spans="1:23" s="29" customFormat="1" ht="13.5" thickBot="1">
      <c r="B2" s="28" t="str">
        <f>Index!$C$7</f>
        <v>Input | General</v>
      </c>
      <c r="C2" s="28"/>
      <c r="D2" s="28"/>
      <c r="E2" s="28"/>
      <c r="F2" s="48"/>
      <c r="G2" s="48"/>
      <c r="H2" s="48"/>
      <c r="I2" s="48"/>
    </row>
    <row r="3" spans="1:23" s="3" customFormat="1" ht="3" customHeight="1">
      <c r="D3" s="19"/>
      <c r="E3" s="19"/>
      <c r="F3" s="19"/>
      <c r="G3" s="19"/>
      <c r="H3" s="19"/>
      <c r="I3" s="19"/>
    </row>
    <row r="4" spans="1:23" customFormat="1" ht="12.75">
      <c r="A4" s="30"/>
      <c r="B4" s="35" t="s">
        <v>90</v>
      </c>
      <c r="C4" s="30"/>
      <c r="D4" s="30"/>
      <c r="E4" s="30"/>
      <c r="F4" s="31"/>
      <c r="G4" s="31"/>
      <c r="H4" s="31"/>
      <c r="I4" s="31"/>
      <c r="J4" s="32"/>
      <c r="K4" s="33"/>
      <c r="L4" s="32"/>
      <c r="M4" s="33"/>
      <c r="N4" s="32"/>
      <c r="O4" s="32"/>
      <c r="P4" s="32"/>
      <c r="Q4" s="32"/>
      <c r="R4" s="32"/>
      <c r="S4" s="32"/>
      <c r="T4" s="32"/>
      <c r="U4" s="32"/>
      <c r="V4" s="33"/>
      <c r="W4" s="33"/>
    </row>
    <row r="5" spans="1:23"/>
    <row r="6" spans="1:23">
      <c r="C6" s="10" t="s">
        <v>91</v>
      </c>
      <c r="D6" s="18" t="s">
        <v>7</v>
      </c>
      <c r="E6" s="18"/>
      <c r="F6" s="11"/>
      <c r="G6" s="11" t="s">
        <v>65</v>
      </c>
      <c r="H6" s="11"/>
      <c r="I6" s="5"/>
    </row>
    <row r="7" spans="1:23">
      <c r="C7" s="5" t="s">
        <v>62</v>
      </c>
      <c r="D7" s="13" t="s">
        <v>66</v>
      </c>
      <c r="E7" s="5"/>
      <c r="F7" s="5"/>
      <c r="G7" s="36" t="s">
        <v>204</v>
      </c>
      <c r="H7" s="5"/>
      <c r="I7" s="5"/>
      <c r="S7" s="75" t="str">
        <f>IF(COUNTBLANK($G7),"Check","Ok")</f>
        <v>Ok</v>
      </c>
    </row>
    <row r="8" spans="1:23">
      <c r="C8" s="5" t="s">
        <v>130</v>
      </c>
      <c r="D8" s="13" t="s">
        <v>67</v>
      </c>
      <c r="E8" s="5"/>
      <c r="F8" s="5"/>
      <c r="G8" s="36" t="s">
        <v>186</v>
      </c>
      <c r="H8" s="5"/>
      <c r="I8" s="5"/>
      <c r="S8" s="75" t="str">
        <f>IF(COUNTBLANK($G8),"Check","Ok")</f>
        <v>Ok</v>
      </c>
    </row>
    <row r="9" spans="1:23">
      <c r="C9" s="5" t="s">
        <v>114</v>
      </c>
      <c r="D9" s="13" t="s">
        <v>66</v>
      </c>
      <c r="E9" s="5"/>
      <c r="F9" s="5"/>
      <c r="G9" s="85">
        <v>36678</v>
      </c>
      <c r="H9" s="5"/>
      <c r="I9" s="5"/>
      <c r="S9" s="75" t="str">
        <f>IF(COUNTBLANK($G9),"Check","Ok")</f>
        <v>Ok</v>
      </c>
    </row>
    <row r="10" spans="1:23">
      <c r="C10" s="5" t="s">
        <v>144</v>
      </c>
      <c r="D10" s="13" t="s">
        <v>66</v>
      </c>
      <c r="E10" s="5"/>
      <c r="F10" s="5"/>
      <c r="G10" s="86">
        <v>2020</v>
      </c>
      <c r="H10" s="5"/>
      <c r="I10" s="5"/>
      <c r="S10" s="75" t="str">
        <f t="shared" ref="S10:S15" si="0">IF(COUNTBLANK($G10),"Check","Ok")</f>
        <v>Ok</v>
      </c>
    </row>
    <row r="11" spans="1:23">
      <c r="C11" s="5" t="s">
        <v>69</v>
      </c>
      <c r="D11" s="13" t="s">
        <v>66</v>
      </c>
      <c r="E11" s="5"/>
      <c r="F11" s="5"/>
      <c r="G11" s="86">
        <v>2022</v>
      </c>
      <c r="H11" s="5"/>
      <c r="I11" s="5"/>
      <c r="S11" s="75" t="str">
        <f t="shared" si="0"/>
        <v>Ok</v>
      </c>
    </row>
    <row r="12" spans="1:23">
      <c r="C12" s="5" t="s">
        <v>145</v>
      </c>
      <c r="D12" s="13" t="s">
        <v>66</v>
      </c>
      <c r="E12" s="5"/>
      <c r="F12" s="5"/>
      <c r="G12" s="86">
        <v>2024</v>
      </c>
      <c r="H12" s="5"/>
      <c r="I12" s="5"/>
      <c r="S12" s="75" t="str">
        <f t="shared" si="0"/>
        <v>Ok</v>
      </c>
    </row>
    <row r="13" spans="1:23">
      <c r="C13" s="5" t="s">
        <v>63</v>
      </c>
      <c r="D13" s="13" t="s">
        <v>66</v>
      </c>
      <c r="E13" s="5"/>
      <c r="F13" s="5"/>
      <c r="G13" s="86">
        <v>2025</v>
      </c>
      <c r="H13" s="5"/>
      <c r="I13" s="5"/>
      <c r="S13" s="75" t="str">
        <f t="shared" si="0"/>
        <v>Ok</v>
      </c>
    </row>
    <row r="14" spans="1:23">
      <c r="C14" s="5" t="s">
        <v>64</v>
      </c>
      <c r="D14" s="13" t="s">
        <v>66</v>
      </c>
      <c r="E14" s="5"/>
      <c r="F14" s="5"/>
      <c r="G14" s="86">
        <v>2029</v>
      </c>
      <c r="H14" s="5"/>
      <c r="I14" s="5"/>
      <c r="S14" s="75" t="str">
        <f t="shared" si="0"/>
        <v>Ok</v>
      </c>
    </row>
    <row r="15" spans="1:23">
      <c r="C15" s="5" t="s">
        <v>177</v>
      </c>
      <c r="D15" s="13" t="s">
        <v>66</v>
      </c>
      <c r="E15" s="5"/>
      <c r="F15" s="5"/>
      <c r="G15" s="86" t="s">
        <v>15</v>
      </c>
      <c r="H15" s="5"/>
      <c r="I15" s="5"/>
      <c r="S15" s="75" t="str">
        <f t="shared" si="0"/>
        <v>Ok</v>
      </c>
    </row>
    <row r="16" spans="1:23">
      <c r="D16" s="5"/>
      <c r="E16" s="5"/>
      <c r="F16" s="5"/>
      <c r="G16" s="5"/>
      <c r="H16" s="5"/>
      <c r="I16" s="5"/>
    </row>
    <row r="17" spans="1:23" customFormat="1" ht="12.75">
      <c r="A17" s="30"/>
      <c r="B17" s="35" t="s">
        <v>21</v>
      </c>
      <c r="C17" s="30"/>
      <c r="D17" s="30"/>
      <c r="E17" s="30"/>
      <c r="F17" s="31"/>
      <c r="G17" s="31"/>
      <c r="H17" s="31"/>
      <c r="I17" s="31"/>
      <c r="J17" s="32"/>
      <c r="K17" s="33"/>
      <c r="L17" s="32"/>
      <c r="M17" s="33"/>
      <c r="N17" s="32"/>
      <c r="O17" s="32"/>
      <c r="P17" s="32"/>
      <c r="Q17" s="32"/>
      <c r="R17" s="32"/>
      <c r="S17" s="32"/>
      <c r="T17" s="32"/>
      <c r="U17" s="32"/>
      <c r="V17" s="33"/>
      <c r="W17" s="33"/>
    </row>
    <row r="18" spans="1:23" hidden="1">
      <c r="D18" s="5"/>
      <c r="E18" s="5"/>
      <c r="F18" s="5"/>
      <c r="G18" s="5"/>
      <c r="H18" s="5"/>
      <c r="I18" s="5"/>
    </row>
    <row r="19" spans="1:23" hidden="1">
      <c r="D19" s="5"/>
      <c r="E19" s="5"/>
      <c r="F19" s="5"/>
      <c r="G19" s="5"/>
      <c r="H19" s="5"/>
      <c r="I19" s="5"/>
    </row>
    <row r="20" spans="1:23" hidden="1">
      <c r="D20" s="5"/>
      <c r="E20" s="5"/>
      <c r="F20" s="5"/>
      <c r="G20" s="5"/>
      <c r="H20" s="5"/>
      <c r="I20" s="5"/>
    </row>
    <row r="21" spans="1:23" hidden="1">
      <c r="D21" s="5"/>
      <c r="E21" s="5"/>
      <c r="F21" s="5"/>
      <c r="G21" s="5"/>
      <c r="H21" s="5"/>
      <c r="I21" s="5"/>
    </row>
    <row r="22" spans="1:23" hidden="1">
      <c r="D22" s="5"/>
      <c r="E22" s="5"/>
      <c r="F22" s="5"/>
      <c r="G22" s="5"/>
      <c r="H22" s="5"/>
      <c r="I22" s="5"/>
    </row>
    <row r="23" spans="1:23" hidden="1">
      <c r="D23" s="5"/>
      <c r="E23" s="5"/>
      <c r="F23" s="5"/>
      <c r="G23" s="5"/>
      <c r="H23" s="5"/>
      <c r="I23" s="5"/>
    </row>
    <row r="24" spans="1:23" hidden="1">
      <c r="D24" s="5"/>
      <c r="E24" s="5"/>
      <c r="F24" s="5"/>
      <c r="G24" s="5"/>
      <c r="H24" s="5"/>
      <c r="I24" s="5"/>
    </row>
    <row r="25" spans="1:23" hidden="1">
      <c r="D25" s="5"/>
      <c r="E25" s="5"/>
      <c r="F25" s="5"/>
      <c r="G25" s="5"/>
      <c r="H25" s="5"/>
      <c r="I25" s="5"/>
    </row>
    <row r="26" spans="1:23" hidden="1">
      <c r="D26" s="5"/>
      <c r="E26" s="5"/>
      <c r="F26" s="5"/>
      <c r="G26" s="5"/>
      <c r="H26" s="5"/>
      <c r="I26" s="5"/>
    </row>
    <row r="27" spans="1:23" hidden="1">
      <c r="D27" s="5"/>
      <c r="E27" s="5"/>
      <c r="F27" s="5"/>
      <c r="G27" s="5"/>
      <c r="H27" s="5"/>
      <c r="I27" s="5"/>
    </row>
  </sheetData>
  <dataConsolidate/>
  <conditionalFormatting sqref="W14:W16">
    <cfRule type="cellIs" dxfId="225" priority="13" operator="equal">
      <formula>"Check"</formula>
    </cfRule>
    <cfRule type="cellIs" dxfId="224" priority="14" operator="equal">
      <formula>"Ok"</formula>
    </cfRule>
  </conditionalFormatting>
  <conditionalFormatting sqref="V1">
    <cfRule type="cellIs" dxfId="223" priority="3" operator="equal">
      <formula>"Check"</formula>
    </cfRule>
    <cfRule type="cellIs" dxfId="222" priority="4" operator="equal">
      <formula>"Ok"</formula>
    </cfRule>
  </conditionalFormatting>
  <conditionalFormatting sqref="S7:S15">
    <cfRule type="cellIs" dxfId="221" priority="5" operator="equal">
      <formula>"Check"</formula>
    </cfRule>
    <cfRule type="cellIs" dxfId="220" priority="6" operator="equal">
      <formula>"Ok"</formula>
    </cfRule>
  </conditionalFormatting>
  <conditionalFormatting sqref="S1">
    <cfRule type="cellIs" dxfId="219" priority="1" operator="equal">
      <formula>"Check"</formula>
    </cfRule>
    <cfRule type="cellIs" dxfId="218" priority="2" operator="equal">
      <formula>"Ok"</formula>
    </cfRule>
  </conditionalFormatting>
  <dataValidations count="3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1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Z96"/>
  <sheetViews>
    <sheetView showGridLines="0" workbookViewId="0"/>
  </sheetViews>
  <sheetFormatPr defaultColWidth="0" defaultRowHeight="11.25" customHeight="1" zeroHeight="1"/>
  <cols>
    <col min="1" max="2" width="1.5" style="5" customWidth="1"/>
    <col min="3" max="3" width="11.6640625" style="5" bestFit="1" customWidth="1"/>
    <col min="4" max="4" width="21.5" style="13" bestFit="1" customWidth="1"/>
    <col min="5" max="5" width="21.5" style="13" customWidth="1"/>
    <col min="6" max="9" width="15" style="13" customWidth="1"/>
    <col min="10" max="12" width="3.33203125" style="13" customWidth="1"/>
    <col min="13" max="26" width="10.83203125" style="5" customWidth="1"/>
    <col min="27" max="41" width="10.5" style="5" hidden="1" customWidth="1"/>
    <col min="42" max="16384" width="10.5" style="5" hidden="1"/>
  </cols>
  <sheetData>
    <row r="1" spans="1:26" s="25" customFormat="1" ht="15.75">
      <c r="B1" s="22" t="str">
        <f>Index!$B$1</f>
        <v>AER opex model - version: Evoenergy 24-29 DD</v>
      </c>
      <c r="C1" s="22"/>
      <c r="D1" s="22"/>
      <c r="E1" s="22"/>
      <c r="F1" s="22"/>
      <c r="G1" s="22"/>
      <c r="H1" s="22"/>
      <c r="I1" s="23"/>
      <c r="J1" s="23"/>
      <c r="K1" s="23"/>
      <c r="L1" s="23"/>
      <c r="M1" s="24" t="s">
        <v>2</v>
      </c>
      <c r="O1" s="26" t="s">
        <v>3</v>
      </c>
      <c r="P1" s="41" t="s">
        <v>4</v>
      </c>
      <c r="Q1" s="8" t="s">
        <v>5</v>
      </c>
      <c r="R1" s="9" t="s">
        <v>6</v>
      </c>
      <c r="U1" s="26" t="s">
        <v>80</v>
      </c>
      <c r="V1" s="27" t="str">
        <f>IF(COUNTA($V$5:$V$85)=COUNTIF($V5:$V86,"OK"),"OK","Check")</f>
        <v>OK</v>
      </c>
      <c r="X1" s="103" t="s">
        <v>24</v>
      </c>
      <c r="Y1" s="27" t="str">
        <f ca="1">'Check|List'!$S$1</f>
        <v>Ok</v>
      </c>
    </row>
    <row r="2" spans="1:26" s="29" customFormat="1" ht="13.5" thickBot="1">
      <c r="B2" s="28" t="str">
        <f>Index!$C$8</f>
        <v>Input | Inflation</v>
      </c>
      <c r="C2" s="28"/>
      <c r="D2" s="28"/>
      <c r="E2" s="28"/>
      <c r="F2" s="28"/>
      <c r="G2" s="28"/>
      <c r="H2" s="28"/>
      <c r="I2" s="48"/>
      <c r="J2" s="48"/>
      <c r="K2" s="48"/>
      <c r="L2" s="48"/>
    </row>
    <row r="3" spans="1:26" s="3" customFormat="1" ht="3" customHeight="1">
      <c r="D3" s="19"/>
      <c r="E3" s="19"/>
      <c r="F3" s="19"/>
      <c r="G3" s="19"/>
      <c r="H3" s="19"/>
      <c r="I3" s="19"/>
      <c r="J3" s="19"/>
      <c r="K3" s="19"/>
      <c r="L3" s="19"/>
    </row>
    <row r="4" spans="1:26" customFormat="1" ht="12.75">
      <c r="A4" s="30"/>
      <c r="B4" s="35" t="s">
        <v>90</v>
      </c>
      <c r="C4" s="30"/>
      <c r="D4" s="30"/>
      <c r="E4" s="30"/>
      <c r="F4" s="30"/>
      <c r="G4" s="30"/>
      <c r="H4" s="30"/>
      <c r="I4" s="31"/>
      <c r="J4" s="31"/>
      <c r="K4" s="31"/>
      <c r="L4" s="31"/>
      <c r="M4" s="32"/>
      <c r="N4" s="33"/>
      <c r="O4" s="32"/>
      <c r="P4" s="33"/>
      <c r="Q4" s="32"/>
      <c r="R4" s="32"/>
      <c r="S4" s="32"/>
      <c r="T4" s="32"/>
      <c r="U4" s="32"/>
      <c r="V4" s="32"/>
      <c r="W4" s="32"/>
      <c r="X4" s="32"/>
      <c r="Y4" s="33"/>
      <c r="Z4" s="33"/>
    </row>
    <row r="5" spans="1:26" ht="11.25" customHeight="1"/>
    <row r="6" spans="1:26" ht="53.25">
      <c r="D6" s="42" t="s">
        <v>94</v>
      </c>
      <c r="E6" s="42" t="s">
        <v>128</v>
      </c>
      <c r="F6" s="42" t="s">
        <v>94</v>
      </c>
      <c r="G6" s="42" t="s">
        <v>197</v>
      </c>
      <c r="H6" s="42" t="s">
        <v>198</v>
      </c>
      <c r="I6" s="42" t="s">
        <v>128</v>
      </c>
      <c r="J6" s="42"/>
      <c r="K6" s="5"/>
      <c r="L6" s="5"/>
    </row>
    <row r="7" spans="1:26">
      <c r="C7" s="6" t="s">
        <v>7</v>
      </c>
      <c r="D7" s="46" t="s">
        <v>92</v>
      </c>
      <c r="E7" s="46" t="s">
        <v>30</v>
      </c>
      <c r="F7" s="46" t="s">
        <v>92</v>
      </c>
      <c r="G7" s="46" t="s">
        <v>196</v>
      </c>
      <c r="H7" s="46" t="s">
        <v>30</v>
      </c>
      <c r="I7" s="46" t="s">
        <v>30</v>
      </c>
      <c r="J7" s="46"/>
      <c r="K7" s="5"/>
      <c r="L7" s="5"/>
    </row>
    <row r="8" spans="1:26">
      <c r="C8" s="6" t="s">
        <v>8</v>
      </c>
      <c r="D8" s="46" t="s">
        <v>81</v>
      </c>
      <c r="E8" s="46" t="s">
        <v>16</v>
      </c>
      <c r="F8" s="46" t="s">
        <v>81</v>
      </c>
      <c r="G8" s="46" t="s">
        <v>16</v>
      </c>
      <c r="H8" s="46" t="s">
        <v>81</v>
      </c>
      <c r="I8" s="46" t="s">
        <v>16</v>
      </c>
      <c r="J8" s="46"/>
      <c r="K8" s="5"/>
      <c r="L8" s="5"/>
    </row>
    <row r="9" spans="1:26">
      <c r="C9" s="44">
        <v>39172</v>
      </c>
      <c r="D9" s="43">
        <v>155.6</v>
      </c>
      <c r="E9" s="5"/>
      <c r="F9" s="5"/>
      <c r="G9" s="5"/>
      <c r="H9" s="5"/>
      <c r="I9" s="5"/>
      <c r="J9" s="5"/>
      <c r="K9" s="5"/>
      <c r="L9" s="5"/>
      <c r="V9" s="75" t="str">
        <f>IF(C9&gt;EOMONTH(DATE('Input|General'!$G$12,MONTH('Input|General'!$G$9),1),0),"Ok",IF(D9="","Check","Ok"))</f>
        <v>Ok</v>
      </c>
    </row>
    <row r="10" spans="1:26">
      <c r="C10" s="44">
        <v>39263</v>
      </c>
      <c r="D10" s="43">
        <v>157.5</v>
      </c>
      <c r="E10" s="5"/>
      <c r="F10" s="5"/>
      <c r="G10" s="5"/>
      <c r="H10" s="5"/>
      <c r="I10" s="5"/>
      <c r="J10" s="5"/>
      <c r="K10" s="5"/>
      <c r="L10" s="5"/>
      <c r="V10" s="75" t="str">
        <f>IF(C10&gt;EOMONTH(DATE('Input|General'!$G$12,MONTH('Input|General'!$G$9),1),0),"Ok",IF(D10="","Check","Ok"))</f>
        <v>Ok</v>
      </c>
    </row>
    <row r="11" spans="1:26">
      <c r="C11" s="44">
        <v>39355</v>
      </c>
      <c r="D11" s="43">
        <v>158.6</v>
      </c>
      <c r="E11" s="5"/>
      <c r="F11" s="5"/>
      <c r="G11" s="5"/>
      <c r="H11" s="5"/>
      <c r="I11" s="5"/>
      <c r="J11" s="5"/>
      <c r="K11" s="5"/>
      <c r="L11" s="5"/>
      <c r="V11" s="75" t="str">
        <f>IF(C11&gt;EOMONTH(DATE('Input|General'!$G$12,MONTH('Input|General'!$G$9),1),0),"Ok",IF(D11="","Check","Ok"))</f>
        <v>Ok</v>
      </c>
    </row>
    <row r="12" spans="1:26">
      <c r="C12" s="44">
        <v>39447</v>
      </c>
      <c r="D12" s="43">
        <v>160.1</v>
      </c>
      <c r="E12" s="5"/>
      <c r="F12" s="5"/>
      <c r="G12" s="5"/>
      <c r="H12" s="5"/>
      <c r="I12" s="45"/>
      <c r="J12" s="5"/>
      <c r="K12" s="5"/>
      <c r="L12" s="5"/>
      <c r="V12" s="75" t="str">
        <f>IF(C12&gt;EOMONTH(DATE('Input|General'!$G$12,MONTH('Input|General'!$G$9),1),0),"Ok",IF(D12="","Check","Ok"))</f>
        <v>Ok</v>
      </c>
    </row>
    <row r="13" spans="1:26">
      <c r="C13" s="44">
        <v>39538</v>
      </c>
      <c r="D13" s="43">
        <v>162.19999999999999</v>
      </c>
      <c r="E13" s="66">
        <f>D13/D9-1</f>
        <v>4.2416452442159303E-2</v>
      </c>
      <c r="F13" s="5"/>
      <c r="G13" s="5"/>
      <c r="H13" s="5"/>
      <c r="I13" s="45"/>
      <c r="J13" s="5"/>
      <c r="K13" s="5"/>
      <c r="L13" s="5"/>
      <c r="V13" s="75" t="str">
        <f>IF(C13&gt;EOMONTH(DATE('Input|General'!$G$12,MONTH('Input|General'!$G$9),1),0),"Ok",IF(D13="","Check","Ok"))</f>
        <v>Ok</v>
      </c>
    </row>
    <row r="14" spans="1:26">
      <c r="C14" s="44">
        <v>39629</v>
      </c>
      <c r="D14" s="43">
        <v>164.6</v>
      </c>
      <c r="E14" s="66">
        <f t="shared" ref="E14:E29" si="0">D14/D10-1</f>
        <v>4.5079365079365052E-2</v>
      </c>
      <c r="F14" s="5"/>
      <c r="G14" s="5"/>
      <c r="H14" s="5"/>
      <c r="I14" s="45"/>
      <c r="J14" s="5"/>
      <c r="K14" s="5"/>
      <c r="L14" s="5"/>
      <c r="V14" s="75" t="str">
        <f>IF(C14&gt;EOMONTH(DATE('Input|General'!$G$12,MONTH('Input|General'!$G$9),1),0),"Ok",IF(D14="","Check","Ok"))</f>
        <v>Ok</v>
      </c>
    </row>
    <row r="15" spans="1:26">
      <c r="C15" s="44">
        <v>39721</v>
      </c>
      <c r="D15" s="43">
        <v>166.5</v>
      </c>
      <c r="E15" s="66">
        <f t="shared" si="0"/>
        <v>4.9810844892812067E-2</v>
      </c>
      <c r="F15" s="5"/>
      <c r="G15" s="5"/>
      <c r="H15" s="5"/>
      <c r="I15" s="45"/>
      <c r="J15" s="5"/>
      <c r="K15" s="5"/>
      <c r="L15" s="5"/>
      <c r="V15" s="75" t="str">
        <f>IF(C15&gt;EOMONTH(DATE('Input|General'!$G$12,MONTH('Input|General'!$G$9),1),0),"Ok",IF(D15="","Check","Ok"))</f>
        <v>Ok</v>
      </c>
    </row>
    <row r="16" spans="1:26">
      <c r="C16" s="44">
        <v>39813</v>
      </c>
      <c r="D16" s="43">
        <v>166</v>
      </c>
      <c r="E16" s="66">
        <f t="shared" si="0"/>
        <v>3.6851967520299844E-2</v>
      </c>
      <c r="F16" s="5"/>
      <c r="G16" s="5"/>
      <c r="H16" s="5"/>
      <c r="I16" s="45"/>
      <c r="J16" s="5"/>
      <c r="K16" s="5"/>
      <c r="L16" s="5"/>
      <c r="V16" s="75" t="str">
        <f>IF(C16&gt;EOMONTH(DATE('Input|General'!$G$12,MONTH('Input|General'!$G$9),1),0),"Ok",IF(D16="","Check","Ok"))</f>
        <v>Ok</v>
      </c>
    </row>
    <row r="17" spans="3:22">
      <c r="C17" s="44">
        <v>39903</v>
      </c>
      <c r="D17" s="43">
        <v>166.2</v>
      </c>
      <c r="E17" s="66">
        <f t="shared" si="0"/>
        <v>2.4660912453760897E-2</v>
      </c>
      <c r="F17" s="5"/>
      <c r="G17" s="5"/>
      <c r="H17" s="5"/>
      <c r="I17" s="45"/>
      <c r="J17" s="5"/>
      <c r="K17" s="5"/>
      <c r="L17" s="5"/>
      <c r="V17" s="75" t="str">
        <f>IF(C17&gt;EOMONTH(DATE('Input|General'!$G$12,MONTH('Input|General'!$G$9),1),0),"Ok",IF(D17="","Check","Ok"))</f>
        <v>Ok</v>
      </c>
    </row>
    <row r="18" spans="3:22">
      <c r="C18" s="44">
        <v>39994</v>
      </c>
      <c r="D18" s="43">
        <v>167</v>
      </c>
      <c r="E18" s="66">
        <f t="shared" si="0"/>
        <v>1.4580801944106936E-2</v>
      </c>
      <c r="F18" s="5"/>
      <c r="G18" s="5"/>
      <c r="H18" s="5"/>
      <c r="I18" s="45"/>
      <c r="J18" s="5"/>
      <c r="K18" s="5"/>
      <c r="L18" s="5"/>
      <c r="V18" s="75" t="str">
        <f>IF(C18&gt;EOMONTH(DATE('Input|General'!$G$12,MONTH('Input|General'!$G$9),1),0),"Ok",IF(D18="","Check","Ok"))</f>
        <v>Ok</v>
      </c>
    </row>
    <row r="19" spans="3:22">
      <c r="C19" s="44">
        <v>40086</v>
      </c>
      <c r="D19" s="43">
        <v>168.6</v>
      </c>
      <c r="E19" s="66">
        <f t="shared" si="0"/>
        <v>1.2612612612612484E-2</v>
      </c>
      <c r="F19" s="5"/>
      <c r="G19" s="5"/>
      <c r="H19" s="5"/>
      <c r="I19" s="45"/>
      <c r="J19" s="5"/>
      <c r="K19" s="5"/>
      <c r="L19" s="5"/>
      <c r="V19" s="75" t="str">
        <f>IF(C19&gt;EOMONTH(DATE('Input|General'!$G$12,MONTH('Input|General'!$G$9),1),0),"Ok",IF(D19="","Check","Ok"))</f>
        <v>Ok</v>
      </c>
    </row>
    <row r="20" spans="3:22">
      <c r="C20" s="44">
        <v>40178</v>
      </c>
      <c r="D20" s="43">
        <v>169.5</v>
      </c>
      <c r="E20" s="66">
        <f t="shared" si="0"/>
        <v>2.108433734939763E-2</v>
      </c>
      <c r="F20" s="5"/>
      <c r="G20" s="5"/>
      <c r="H20" s="5"/>
      <c r="I20" s="45"/>
      <c r="J20" s="5"/>
      <c r="K20" s="5"/>
      <c r="L20" s="5"/>
      <c r="V20" s="75" t="str">
        <f>IF(C20&gt;EOMONTH(DATE('Input|General'!$G$12,MONTH('Input|General'!$G$9),1),0),"Ok",IF(D20="","Check","Ok"))</f>
        <v>Ok</v>
      </c>
    </row>
    <row r="21" spans="3:22">
      <c r="C21" s="44">
        <v>40268</v>
      </c>
      <c r="D21" s="43">
        <v>171</v>
      </c>
      <c r="E21" s="66">
        <f t="shared" si="0"/>
        <v>2.8880866425992746E-2</v>
      </c>
      <c r="F21" s="43">
        <v>95.2</v>
      </c>
      <c r="G21" s="114"/>
      <c r="H21" s="114">
        <f>IF(ISBLANK(F21),IF(COUNT(G21:G$84)=0,"",IF(ISBLANK(G21),AVERAGE(H20,H22),(1+G21)*H17)),F21)</f>
        <v>95.2</v>
      </c>
      <c r="I21" s="45"/>
      <c r="J21" s="104"/>
      <c r="K21" s="5"/>
      <c r="L21" s="5"/>
      <c r="V21" s="75" t="str">
        <f>IF(C21&gt;EOMONTH(DATE('Input|General'!$G$12,MONTH('Input|General'!$G$9),1),0),"Ok",IF(D21="","Check","Ok"))</f>
        <v>Ok</v>
      </c>
    </row>
    <row r="22" spans="3:22">
      <c r="C22" s="44">
        <v>40359</v>
      </c>
      <c r="D22" s="43">
        <v>172.1</v>
      </c>
      <c r="E22" s="66">
        <f t="shared" si="0"/>
        <v>3.0538922155688653E-2</v>
      </c>
      <c r="F22" s="43">
        <v>95.8</v>
      </c>
      <c r="G22" s="114"/>
      <c r="H22" s="114">
        <f>IF(ISBLANK(F22),IF(COUNT(G22:G$84)=0,"",IF(ISBLANK(G22),AVERAGE(H21,H23),(1+G22)*H18)),F22)</f>
        <v>95.8</v>
      </c>
      <c r="I22" s="45"/>
      <c r="J22" s="104"/>
      <c r="K22" s="5"/>
      <c r="L22" s="5"/>
      <c r="V22" s="75" t="str">
        <f>IF(C22&gt;EOMONTH(DATE('Input|General'!$G$12,MONTH('Input|General'!$G$9),1),0),"Ok",IF(D22="","Check","Ok"))</f>
        <v>Ok</v>
      </c>
    </row>
    <row r="23" spans="3:22">
      <c r="C23" s="44">
        <v>40451</v>
      </c>
      <c r="D23" s="43">
        <v>173.3</v>
      </c>
      <c r="E23" s="66">
        <f t="shared" si="0"/>
        <v>2.7876631079478242E-2</v>
      </c>
      <c r="F23" s="43">
        <v>96.5</v>
      </c>
      <c r="G23" s="114"/>
      <c r="H23" s="114">
        <f>IF(ISBLANK(F23),IF(COUNT(G23:G$84)=0,"",IF(ISBLANK(G23),AVERAGE(H22,H24),(1+G23)*H19)),F23)</f>
        <v>96.5</v>
      </c>
      <c r="I23" s="45"/>
      <c r="J23" s="104"/>
      <c r="K23" s="5"/>
      <c r="L23" s="5"/>
      <c r="V23" s="75" t="str">
        <f>IF(C23&gt;EOMONTH(DATE('Input|General'!$G$12,MONTH('Input|General'!$G$9),1),0),"Ok",IF(D23="","Check","Ok"))</f>
        <v>Ok</v>
      </c>
    </row>
    <row r="24" spans="3:22">
      <c r="C24" s="44">
        <v>40543</v>
      </c>
      <c r="D24" s="43">
        <v>174</v>
      </c>
      <c r="E24" s="66">
        <f t="shared" si="0"/>
        <v>2.6548672566371723E-2</v>
      </c>
      <c r="F24" s="43">
        <v>96.9</v>
      </c>
      <c r="G24" s="114"/>
      <c r="H24" s="114">
        <f>IF(ISBLANK(F24),IF(COUNT(G24:G$84)=0,"",IF(ISBLANK(G24),AVERAGE(H23,H25),(1+G24)*H20)),F24)</f>
        <v>96.9</v>
      </c>
      <c r="I24" s="45"/>
      <c r="J24" s="104"/>
      <c r="K24" s="5"/>
      <c r="L24" s="5"/>
      <c r="V24" s="75" t="str">
        <f>IF(C24&gt;EOMONTH(DATE('Input|General'!$G$12,MONTH('Input|General'!$G$9),1),0),"Ok",IF(D24="","Check","Ok"))</f>
        <v>Ok</v>
      </c>
    </row>
    <row r="25" spans="3:22">
      <c r="C25" s="44">
        <v>40633</v>
      </c>
      <c r="D25" s="43">
        <v>176.7</v>
      </c>
      <c r="E25" s="66">
        <f t="shared" si="0"/>
        <v>3.3333333333333215E-2</v>
      </c>
      <c r="F25" s="43">
        <v>98.3</v>
      </c>
      <c r="G25" s="114"/>
      <c r="H25" s="114">
        <f>IF(ISBLANK(F25),IF(COUNT(G25:G$84)=0,"",IF(ISBLANK(G25),AVERAGE(H24,H26),(1+G25)*H21)),F25)</f>
        <v>98.3</v>
      </c>
      <c r="I25" s="66">
        <f t="shared" ref="I25:I74" si="1">IF(H25="","",H25/H21-1)</f>
        <v>3.2563025210083918E-2</v>
      </c>
      <c r="J25" s="104"/>
      <c r="K25" s="5"/>
      <c r="L25" s="5"/>
      <c r="V25" s="75" t="str">
        <f>IF(C25&gt;EOMONTH(DATE('Input|General'!$G$12,MONTH('Input|General'!$G$9),1),0),"Ok",IF(D25="","Check","Ok"))</f>
        <v>Ok</v>
      </c>
    </row>
    <row r="26" spans="3:22">
      <c r="C26" s="44">
        <v>40724</v>
      </c>
      <c r="D26" s="43">
        <v>178.3</v>
      </c>
      <c r="E26" s="66">
        <f t="shared" si="0"/>
        <v>3.6025566531086683E-2</v>
      </c>
      <c r="F26" s="43">
        <v>99.2</v>
      </c>
      <c r="G26" s="114"/>
      <c r="H26" s="114">
        <f>IF(ISBLANK(F26),IF(COUNT(G26:G$84)=0,"",IF(ISBLANK(G26),AVERAGE(H25,H27),(1+G26)*H22)),F26)</f>
        <v>99.2</v>
      </c>
      <c r="I26" s="66">
        <f t="shared" si="1"/>
        <v>3.5490605427975108E-2</v>
      </c>
      <c r="J26" s="104"/>
      <c r="K26" s="5"/>
      <c r="L26" s="5"/>
      <c r="V26" s="75" t="str">
        <f>IF(C26&gt;EOMONTH(DATE('Input|General'!$G$12,MONTH('Input|General'!$G$9),1),0),"Ok",IF(D26="","Check","Ok"))</f>
        <v>Ok</v>
      </c>
    </row>
    <row r="27" spans="3:22">
      <c r="C27" s="44">
        <v>40816</v>
      </c>
      <c r="D27" s="43">
        <v>179.4</v>
      </c>
      <c r="E27" s="66">
        <f t="shared" si="0"/>
        <v>3.5199076745527913E-2</v>
      </c>
      <c r="F27" s="43">
        <v>99.8</v>
      </c>
      <c r="G27" s="114"/>
      <c r="H27" s="114">
        <f>IF(ISBLANK(F27),IF(COUNT(G27:G$84)=0,"",IF(ISBLANK(G27),AVERAGE(H26,H28),(1+G27)*H23)),F27)</f>
        <v>99.8</v>
      </c>
      <c r="I27" s="66">
        <f t="shared" si="1"/>
        <v>3.4196891191709877E-2</v>
      </c>
      <c r="J27" s="104"/>
      <c r="K27" s="5"/>
      <c r="L27" s="5"/>
      <c r="V27" s="75" t="str">
        <f>IF(C27&gt;EOMONTH(DATE('Input|General'!$G$12,MONTH('Input|General'!$G$9),1),0),"Ok",IF(D27="","Check","Ok"))</f>
        <v>Ok</v>
      </c>
    </row>
    <row r="28" spans="3:22">
      <c r="C28" s="44">
        <v>40908</v>
      </c>
      <c r="D28" s="43">
        <v>179.4</v>
      </c>
      <c r="E28" s="66">
        <f t="shared" si="0"/>
        <v>3.1034482758620641E-2</v>
      </c>
      <c r="F28" s="43">
        <v>99.8</v>
      </c>
      <c r="G28" s="114"/>
      <c r="H28" s="114">
        <f>IF(ISBLANK(F28),IF(COUNT(G28:G$84)=0,"",IF(ISBLANK(G28),AVERAGE(H27,H29),(1+G28)*H24)),F28)</f>
        <v>99.8</v>
      </c>
      <c r="I28" s="66">
        <f t="shared" si="1"/>
        <v>2.9927760577915352E-2</v>
      </c>
      <c r="J28" s="104"/>
      <c r="K28" s="5"/>
      <c r="L28" s="5"/>
      <c r="V28" s="75" t="str">
        <f>IF(C28&gt;EOMONTH(DATE('Input|General'!$G$12,MONTH('Input|General'!$G$9),1),0),"Ok",IF(D28="","Check","Ok"))</f>
        <v>Ok</v>
      </c>
    </row>
    <row r="29" spans="3:22">
      <c r="C29" s="44">
        <v>40999</v>
      </c>
      <c r="D29" s="43">
        <v>179.5</v>
      </c>
      <c r="E29" s="66">
        <f t="shared" si="0"/>
        <v>1.5846066779853007E-2</v>
      </c>
      <c r="F29" s="43">
        <v>99.9</v>
      </c>
      <c r="G29" s="114"/>
      <c r="H29" s="114">
        <f>IF(ISBLANK(F29),IF(COUNT(G29:G$84)=0,"",IF(ISBLANK(G29),AVERAGE(H28,H30),(1+G29)*H25)),F29)</f>
        <v>99.9</v>
      </c>
      <c r="I29" s="66">
        <f t="shared" si="1"/>
        <v>1.6276703967446737E-2</v>
      </c>
      <c r="J29" s="104"/>
      <c r="K29" s="5"/>
      <c r="L29" s="5"/>
      <c r="V29" s="75" t="str">
        <f>IF(C29&gt;EOMONTH(DATE('Input|General'!$G$12,MONTH('Input|General'!$G$9),1),0),"Ok",IF(D29="","Check","Ok"))</f>
        <v>Ok</v>
      </c>
    </row>
    <row r="30" spans="3:22">
      <c r="C30" s="44">
        <v>41090</v>
      </c>
      <c r="D30" s="5"/>
      <c r="E30" s="5"/>
      <c r="F30" s="43">
        <v>100.4</v>
      </c>
      <c r="G30" s="114"/>
      <c r="H30" s="114">
        <f>IF(ISBLANK(F30),IF(COUNT(G30:G$84)=0,"",IF(ISBLANK(G30),AVERAGE(H29,H31),(1+G30)*H26)),F30)</f>
        <v>100.4</v>
      </c>
      <c r="I30" s="66">
        <f t="shared" si="1"/>
        <v>1.2096774193548487E-2</v>
      </c>
      <c r="J30" s="104"/>
      <c r="K30" s="5"/>
      <c r="L30" s="5"/>
      <c r="V30" s="75" t="str">
        <f>IF(C30&gt;EOMONTH(DATE('Input|General'!$G$12,MONTH('Input|General'!$G$9),1),0),"Ok",IF(I30="","Check","Ok"))</f>
        <v>Ok</v>
      </c>
    </row>
    <row r="31" spans="3:22">
      <c r="C31" s="44">
        <v>41182</v>
      </c>
      <c r="D31" s="5"/>
      <c r="E31" s="5"/>
      <c r="F31" s="43">
        <v>101.8</v>
      </c>
      <c r="G31" s="114"/>
      <c r="H31" s="114">
        <f>IF(ISBLANK(F31),IF(COUNT(G31:G$84)=0,"",IF(ISBLANK(G31),AVERAGE(H30,H32),(1+G31)*H27)),F31)</f>
        <v>101.8</v>
      </c>
      <c r="I31" s="66">
        <f t="shared" si="1"/>
        <v>2.0040080160320661E-2</v>
      </c>
      <c r="J31" s="104"/>
      <c r="K31" s="5"/>
      <c r="L31" s="5"/>
      <c r="V31" s="75" t="str">
        <f>IF(C31&gt;EOMONTH(DATE('Input|General'!$G$12,MONTH('Input|General'!$G$9),1),0),"Ok",IF(I31="","Check","Ok"))</f>
        <v>Ok</v>
      </c>
    </row>
    <row r="32" spans="3:22">
      <c r="C32" s="44">
        <v>41274</v>
      </c>
      <c r="D32" s="5"/>
      <c r="E32" s="5"/>
      <c r="F32" s="43">
        <v>102</v>
      </c>
      <c r="G32" s="114"/>
      <c r="H32" s="114">
        <f>IF(ISBLANK(F32),IF(COUNT(G32:G$84)=0,"",IF(ISBLANK(G32),AVERAGE(H31,H33),(1+G32)*H28)),F32)</f>
        <v>102</v>
      </c>
      <c r="I32" s="66">
        <f t="shared" si="1"/>
        <v>2.2044088176352838E-2</v>
      </c>
      <c r="J32" s="104"/>
      <c r="K32" s="5"/>
      <c r="L32" s="5"/>
      <c r="V32" s="75" t="str">
        <f>IF(C32&gt;EOMONTH(DATE('Input|General'!$G$12,MONTH('Input|General'!$G$9),1),0),"Ok",IF(I32="","Check","Ok"))</f>
        <v>Ok</v>
      </c>
    </row>
    <row r="33" spans="3:22">
      <c r="C33" s="44">
        <v>41364</v>
      </c>
      <c r="D33" s="5"/>
      <c r="E33" s="5"/>
      <c r="F33" s="43">
        <v>102.4</v>
      </c>
      <c r="G33" s="114"/>
      <c r="H33" s="114">
        <f>IF(ISBLANK(F33),IF(COUNT(G33:G$84)=0,"",IF(ISBLANK(G33),AVERAGE(H32,H34),(1+G33)*H29)),F33)</f>
        <v>102.4</v>
      </c>
      <c r="I33" s="66">
        <f t="shared" si="1"/>
        <v>2.5025025025025016E-2</v>
      </c>
      <c r="J33" s="104"/>
      <c r="K33" s="5"/>
      <c r="L33" s="5"/>
      <c r="V33" s="75" t="str">
        <f>IF(C33&gt;EOMONTH(DATE('Input|General'!$G$12,MONTH('Input|General'!$G$9),1),0),"Ok",IF(I33="","Check","Ok"))</f>
        <v>Ok</v>
      </c>
    </row>
    <row r="34" spans="3:22">
      <c r="C34" s="44">
        <v>41455</v>
      </c>
      <c r="D34" s="5"/>
      <c r="E34" s="5"/>
      <c r="F34" s="43">
        <v>102.8</v>
      </c>
      <c r="G34" s="114"/>
      <c r="H34" s="114">
        <f>IF(ISBLANK(F34),IF(COUNT(G34:G$84)=0,"",IF(ISBLANK(G34),AVERAGE(H33,H35),(1+G34)*H30)),F34)</f>
        <v>102.8</v>
      </c>
      <c r="I34" s="66">
        <f t="shared" si="1"/>
        <v>2.3904382470119501E-2</v>
      </c>
      <c r="J34" s="104"/>
      <c r="K34" s="5"/>
      <c r="L34" s="5"/>
      <c r="V34" s="75" t="str">
        <f>IF(C34&gt;EOMONTH(DATE('Input|General'!$G$12,MONTH('Input|General'!$G$9),1),0),"Ok",IF(I34="","Check","Ok"))</f>
        <v>Ok</v>
      </c>
    </row>
    <row r="35" spans="3:22">
      <c r="C35" s="44">
        <v>41547</v>
      </c>
      <c r="D35" s="5"/>
      <c r="E35" s="5"/>
      <c r="F35" s="43">
        <v>104</v>
      </c>
      <c r="G35" s="114"/>
      <c r="H35" s="114">
        <f>IF(ISBLANK(F35),IF(COUNT(G35:G$84)=0,"",IF(ISBLANK(G35),AVERAGE(H34,H36),(1+G35)*H31)),F35)</f>
        <v>104</v>
      </c>
      <c r="I35" s="66">
        <f t="shared" si="1"/>
        <v>2.16110019646365E-2</v>
      </c>
      <c r="J35" s="104"/>
      <c r="K35" s="5"/>
      <c r="L35" s="5"/>
      <c r="V35" s="75" t="str">
        <f>IF(C35&gt;EOMONTH(DATE('Input|General'!$G$12,MONTH('Input|General'!$G$9),1),0),"Ok",IF(I35="","Check","Ok"))</f>
        <v>Ok</v>
      </c>
    </row>
    <row r="36" spans="3:22">
      <c r="C36" s="44">
        <v>41639</v>
      </c>
      <c r="D36" s="5"/>
      <c r="E36" s="5"/>
      <c r="F36" s="43">
        <v>104.8</v>
      </c>
      <c r="G36" s="114"/>
      <c r="H36" s="114">
        <f>IF(ISBLANK(F36),IF(COUNT(G36:G$84)=0,"",IF(ISBLANK(G36),AVERAGE(H35,H37),(1+G36)*H32)),F36)</f>
        <v>104.8</v>
      </c>
      <c r="I36" s="66">
        <f t="shared" si="1"/>
        <v>2.7450980392156765E-2</v>
      </c>
      <c r="J36" s="104"/>
      <c r="K36" s="5"/>
      <c r="L36" s="5"/>
      <c r="V36" s="75" t="str">
        <f>IF(C36&gt;EOMONTH(DATE('Input|General'!$G$12,MONTH('Input|General'!$G$9),1),0),"Ok",IF(I36="","Check","Ok"))</f>
        <v>Ok</v>
      </c>
    </row>
    <row r="37" spans="3:22">
      <c r="C37" s="44">
        <v>41729</v>
      </c>
      <c r="D37" s="5"/>
      <c r="E37" s="5"/>
      <c r="F37" s="43">
        <v>105.4</v>
      </c>
      <c r="G37" s="114"/>
      <c r="H37" s="114">
        <f>IF(ISBLANK(F37),IF(COUNT(G37:G$84)=0,"",IF(ISBLANK(G37),AVERAGE(H36,H38),(1+G37)*H33)),F37)</f>
        <v>105.4</v>
      </c>
      <c r="I37" s="66">
        <f t="shared" si="1"/>
        <v>2.9296875E-2</v>
      </c>
      <c r="J37" s="104"/>
      <c r="K37" s="5"/>
      <c r="L37" s="5"/>
      <c r="V37" s="75" t="str">
        <f>IF(C37&gt;EOMONTH(DATE('Input|General'!$G$12,MONTH('Input|General'!$G$9),1),0),"Ok",IF(I37="","Check","Ok"))</f>
        <v>Ok</v>
      </c>
    </row>
    <row r="38" spans="3:22">
      <c r="C38" s="44">
        <v>41820</v>
      </c>
      <c r="D38" s="5"/>
      <c r="E38" s="5"/>
      <c r="F38" s="43">
        <v>105.9</v>
      </c>
      <c r="G38" s="114"/>
      <c r="H38" s="114">
        <f>IF(ISBLANK(F38),IF(COUNT(G38:G$84)=0,"",IF(ISBLANK(G38),AVERAGE(H37,H39),(1+G38)*H34)),F38)</f>
        <v>105.9</v>
      </c>
      <c r="I38" s="66">
        <f t="shared" si="1"/>
        <v>3.0155642023346418E-2</v>
      </c>
      <c r="J38" s="104"/>
      <c r="K38" s="5"/>
      <c r="L38" s="5"/>
      <c r="V38" s="75" t="str">
        <f>IF(C38&gt;EOMONTH(DATE('Input|General'!$G$12,MONTH('Input|General'!$G$9),1),0),"Ok",IF(I38="","Check","Ok"))</f>
        <v>Ok</v>
      </c>
    </row>
    <row r="39" spans="3:22">
      <c r="C39" s="44">
        <v>41912</v>
      </c>
      <c r="D39" s="5"/>
      <c r="E39" s="5"/>
      <c r="F39" s="43">
        <v>106.4</v>
      </c>
      <c r="G39" s="114"/>
      <c r="H39" s="114">
        <f>IF(ISBLANK(F39),IF(COUNT(G39:G$84)=0,"",IF(ISBLANK(G39),AVERAGE(H38,H40),(1+G39)*H35)),F39)</f>
        <v>106.4</v>
      </c>
      <c r="I39" s="66">
        <f t="shared" si="1"/>
        <v>2.3076923076923217E-2</v>
      </c>
      <c r="J39" s="104"/>
      <c r="K39" s="5"/>
      <c r="L39" s="5"/>
      <c r="V39" s="75" t="str">
        <f>IF(C39&gt;EOMONTH(DATE('Input|General'!$G$12,MONTH('Input|General'!$G$9),1),0),"Ok",IF(I39="","Check","Ok"))</f>
        <v>Ok</v>
      </c>
    </row>
    <row r="40" spans="3:22">
      <c r="C40" s="44">
        <v>42004</v>
      </c>
      <c r="D40" s="5"/>
      <c r="E40" s="5"/>
      <c r="F40" s="43">
        <v>106.6</v>
      </c>
      <c r="G40" s="114"/>
      <c r="H40" s="114">
        <f>IF(ISBLANK(F40),IF(COUNT(G40:G$84)=0,"",IF(ISBLANK(G40),AVERAGE(H39,H41),(1+G40)*H36)),F40)</f>
        <v>106.6</v>
      </c>
      <c r="I40" s="66">
        <f t="shared" si="1"/>
        <v>1.7175572519083859E-2</v>
      </c>
      <c r="J40" s="104"/>
      <c r="K40" s="5"/>
      <c r="L40" s="5"/>
      <c r="V40" s="75" t="str">
        <f>IF(C40&gt;EOMONTH(DATE('Input|General'!$G$12,MONTH('Input|General'!$G$9),1),0),"Ok",IF(I40="","Check","Ok"))</f>
        <v>Ok</v>
      </c>
    </row>
    <row r="41" spans="3:22">
      <c r="C41" s="44">
        <v>42094</v>
      </c>
      <c r="D41" s="5"/>
      <c r="E41" s="5"/>
      <c r="F41" s="43">
        <v>106.8</v>
      </c>
      <c r="G41" s="114"/>
      <c r="H41" s="114">
        <f>IF(ISBLANK(F41),IF(COUNT(G41:G$84)=0,"",IF(ISBLANK(G41),AVERAGE(H40,H42),(1+G41)*H37)),F41)</f>
        <v>106.8</v>
      </c>
      <c r="I41" s="66">
        <f t="shared" si="1"/>
        <v>1.3282732447817747E-2</v>
      </c>
      <c r="J41" s="104"/>
      <c r="K41" s="5"/>
      <c r="L41" s="5"/>
      <c r="V41" s="75" t="str">
        <f>IF(C41&gt;EOMONTH(DATE('Input|General'!$G$12,MONTH('Input|General'!$G$9),1),0),"Ok",IF(I41="","Check","Ok"))</f>
        <v>Ok</v>
      </c>
    </row>
    <row r="42" spans="3:22">
      <c r="C42" s="44">
        <v>42185</v>
      </c>
      <c r="D42" s="5"/>
      <c r="E42" s="5"/>
      <c r="F42" s="43">
        <v>107.5</v>
      </c>
      <c r="G42" s="114"/>
      <c r="H42" s="114">
        <f>IF(ISBLANK(F42),IF(COUNT(G42:G$84)=0,"",IF(ISBLANK(G42),AVERAGE(H41,H43),(1+G42)*H38)),F42)</f>
        <v>107.5</v>
      </c>
      <c r="I42" s="66">
        <f t="shared" si="1"/>
        <v>1.5108593012275628E-2</v>
      </c>
      <c r="J42" s="104"/>
      <c r="K42" s="5"/>
      <c r="L42" s="5"/>
      <c r="V42" s="75" t="str">
        <f>IF(C42&gt;EOMONTH(DATE('Input|General'!$G$12,MONTH('Input|General'!$G$9),1),0),"Ok",IF(I42="","Check","Ok"))</f>
        <v>Ok</v>
      </c>
    </row>
    <row r="43" spans="3:22">
      <c r="C43" s="44">
        <v>42277</v>
      </c>
      <c r="D43" s="5"/>
      <c r="E43" s="5"/>
      <c r="F43" s="43">
        <v>108</v>
      </c>
      <c r="G43" s="114"/>
      <c r="H43" s="114">
        <f>IF(ISBLANK(F43),IF(COUNT(G43:G$84)=0,"",IF(ISBLANK(G43),AVERAGE(H42,H44),(1+G43)*H39)),F43)</f>
        <v>108</v>
      </c>
      <c r="I43" s="66">
        <f t="shared" si="1"/>
        <v>1.5037593984962294E-2</v>
      </c>
      <c r="J43" s="104"/>
      <c r="K43" s="5"/>
      <c r="L43" s="5"/>
      <c r="V43" s="75" t="str">
        <f>IF(C43&gt;EOMONTH(DATE('Input|General'!$G$12,MONTH('Input|General'!$G$9),1),0),"Ok",IF(I43="","Check","Ok"))</f>
        <v>Ok</v>
      </c>
    </row>
    <row r="44" spans="3:22">
      <c r="C44" s="44">
        <v>42369</v>
      </c>
      <c r="D44" s="5"/>
      <c r="E44" s="5"/>
      <c r="F44" s="43">
        <v>108.4</v>
      </c>
      <c r="G44" s="114"/>
      <c r="H44" s="114">
        <f>IF(ISBLANK(F44),IF(COUNT(G44:G$84)=0,"",IF(ISBLANK(G44),AVERAGE(H43,H45),(1+G44)*H40)),F44)</f>
        <v>108.4</v>
      </c>
      <c r="I44" s="66">
        <f t="shared" si="1"/>
        <v>1.6885553470919357E-2</v>
      </c>
      <c r="J44" s="104"/>
      <c r="K44" s="5"/>
      <c r="L44" s="5"/>
      <c r="V44" s="75" t="str">
        <f>IF(C44&gt;EOMONTH(DATE('Input|General'!$G$12,MONTH('Input|General'!$G$9),1),0),"Ok",IF(I44="","Check","Ok"))</f>
        <v>Ok</v>
      </c>
    </row>
    <row r="45" spans="3:22">
      <c r="C45" s="44">
        <v>42460</v>
      </c>
      <c r="D45" s="5"/>
      <c r="E45" s="5"/>
      <c r="F45" s="43">
        <v>108.2</v>
      </c>
      <c r="G45" s="114"/>
      <c r="H45" s="114">
        <f>IF(ISBLANK(F45),IF(COUNT(G45:G$84)=0,"",IF(ISBLANK(G45),AVERAGE(H44,H46),(1+G45)*H41)),F45)</f>
        <v>108.2</v>
      </c>
      <c r="I45" s="66">
        <f t="shared" si="1"/>
        <v>1.3108614232209881E-2</v>
      </c>
      <c r="J45" s="104"/>
      <c r="K45" s="5"/>
      <c r="L45" s="5"/>
      <c r="V45" s="75" t="str">
        <f>IF(C45&gt;EOMONTH(DATE('Input|General'!$G$12,MONTH('Input|General'!$G$9),1),0),"Ok",IF(I45="","Check","Ok"))</f>
        <v>Ok</v>
      </c>
    </row>
    <row r="46" spans="3:22">
      <c r="C46" s="44">
        <v>42551</v>
      </c>
      <c r="D46" s="5"/>
      <c r="E46" s="5"/>
      <c r="F46" s="43">
        <v>108.6</v>
      </c>
      <c r="G46" s="114"/>
      <c r="H46" s="114">
        <f>IF(ISBLANK(F46),IF(COUNT(G46:G$84)=0,"",IF(ISBLANK(G46),AVERAGE(H45,H47),(1+G46)*H42)),F46)</f>
        <v>108.6</v>
      </c>
      <c r="I46" s="66">
        <f t="shared" si="1"/>
        <v>1.0232558139534831E-2</v>
      </c>
      <c r="J46" s="104"/>
      <c r="K46" s="5"/>
      <c r="L46" s="5"/>
      <c r="V46" s="75" t="str">
        <f>IF(C46&gt;EOMONTH(DATE('Input|General'!$G$12,MONTH('Input|General'!$G$9),1),0),"Ok",IF(I46="","Check","Ok"))</f>
        <v>Ok</v>
      </c>
    </row>
    <row r="47" spans="3:22">
      <c r="C47" s="44">
        <v>42643</v>
      </c>
      <c r="D47" s="5"/>
      <c r="E47" s="5"/>
      <c r="F47" s="43">
        <v>109.4</v>
      </c>
      <c r="G47" s="114"/>
      <c r="H47" s="114">
        <f>IF(ISBLANK(F47),IF(COUNT(G47:G$84)=0,"",IF(ISBLANK(G47),AVERAGE(H46,H48),(1+G47)*H43)),F47)</f>
        <v>109.4</v>
      </c>
      <c r="I47" s="66">
        <f t="shared" si="1"/>
        <v>1.2962962962963065E-2</v>
      </c>
      <c r="J47" s="104"/>
      <c r="K47" s="5"/>
      <c r="L47" s="5"/>
      <c r="V47" s="75" t="str">
        <f>IF(C47&gt;EOMONTH(DATE('Input|General'!$G$12,MONTH('Input|General'!$G$9),1),0),"Ok",IF(I47="","Check","Ok"))</f>
        <v>Ok</v>
      </c>
    </row>
    <row r="48" spans="3:22">
      <c r="C48" s="44">
        <v>42735</v>
      </c>
      <c r="D48" s="5"/>
      <c r="E48" s="5"/>
      <c r="F48" s="43">
        <v>110</v>
      </c>
      <c r="G48" s="114"/>
      <c r="H48" s="114">
        <f>IF(ISBLANK(F48),IF(COUNT(G48:G$84)=0,"",IF(ISBLANK(G48),AVERAGE(H47,H49),(1+G48)*H44)),F48)</f>
        <v>110</v>
      </c>
      <c r="I48" s="66">
        <f t="shared" si="1"/>
        <v>1.4760147601476037E-2</v>
      </c>
      <c r="J48" s="104"/>
      <c r="K48" s="5"/>
      <c r="L48" s="5"/>
      <c r="V48" s="75" t="str">
        <f>IF(C48&gt;EOMONTH(DATE('Input|General'!$G$12,MONTH('Input|General'!$G$9),1),0),"Ok",IF(I48="","Check","Ok"))</f>
        <v>Ok</v>
      </c>
    </row>
    <row r="49" spans="3:22">
      <c r="C49" s="44">
        <v>42825</v>
      </c>
      <c r="D49" s="5"/>
      <c r="E49" s="5"/>
      <c r="F49" s="43">
        <v>110.5</v>
      </c>
      <c r="G49" s="114"/>
      <c r="H49" s="114">
        <f>IF(ISBLANK(F49),IF(COUNT(G49:G$84)=0,"",IF(ISBLANK(G49),AVERAGE(H48,H50),(1+G49)*H45)),F49)</f>
        <v>110.5</v>
      </c>
      <c r="I49" s="66">
        <f t="shared" si="1"/>
        <v>2.1256931608133023E-2</v>
      </c>
      <c r="J49" s="104"/>
      <c r="K49" s="5"/>
      <c r="L49" s="5"/>
      <c r="V49" s="75" t="str">
        <f>IF(C49&gt;EOMONTH(DATE('Input|General'!$G$12,MONTH('Input|General'!$G$9),1),0),"Ok",IF(I49="","Check","Ok"))</f>
        <v>Ok</v>
      </c>
    </row>
    <row r="50" spans="3:22">
      <c r="C50" s="44">
        <v>42916</v>
      </c>
      <c r="D50" s="5"/>
      <c r="E50" s="5"/>
      <c r="F50" s="43">
        <v>110.7</v>
      </c>
      <c r="G50" s="114"/>
      <c r="H50" s="114">
        <f>IF(ISBLANK(F50),IF(COUNT(G50:G$84)=0,"",IF(ISBLANK(G50),AVERAGE(H49,H51),(1+G50)*H46)),F50)</f>
        <v>110.7</v>
      </c>
      <c r="I50" s="66">
        <f t="shared" si="1"/>
        <v>1.9337016574585641E-2</v>
      </c>
      <c r="J50" s="105"/>
      <c r="K50" s="5"/>
      <c r="L50" s="5"/>
      <c r="V50" s="75" t="str">
        <f>IF(C50&gt;EOMONTH(DATE('Input|General'!$G$12,MONTH('Input|General'!$G$9),1),0),"Ok",IF(I50="","Check","Ok"))</f>
        <v>Ok</v>
      </c>
    </row>
    <row r="51" spans="3:22">
      <c r="C51" s="44">
        <v>43008</v>
      </c>
      <c r="D51" s="5"/>
      <c r="E51" s="5"/>
      <c r="F51" s="43">
        <v>111.4</v>
      </c>
      <c r="G51" s="114"/>
      <c r="H51" s="114">
        <f>IF(ISBLANK(F51),IF(COUNT(G51:G$84)=0,"",IF(ISBLANK(G51),AVERAGE(H50,H52),(1+G51)*H47)),F51)</f>
        <v>111.4</v>
      </c>
      <c r="I51" s="66">
        <f t="shared" si="1"/>
        <v>1.8281535648994485E-2</v>
      </c>
      <c r="J51" s="104"/>
      <c r="K51" s="5"/>
      <c r="L51" s="5"/>
      <c r="V51" s="75" t="str">
        <f>IF(C51&gt;EOMONTH(DATE('Input|General'!$G$12,MONTH('Input|General'!$G$9),1),0),"Ok",IF(I51="","Check","Ok"))</f>
        <v>Ok</v>
      </c>
    </row>
    <row r="52" spans="3:22">
      <c r="C52" s="44">
        <v>43100</v>
      </c>
      <c r="D52" s="5"/>
      <c r="E52" s="5"/>
      <c r="F52" s="43">
        <v>112.1</v>
      </c>
      <c r="G52" s="114"/>
      <c r="H52" s="114">
        <f>IF(ISBLANK(F52),IF(COUNT(G52:G$84)=0,"",IF(ISBLANK(G52),AVERAGE(H51,H53),(1+G52)*H48)),F52)</f>
        <v>112.1</v>
      </c>
      <c r="I52" s="66">
        <f t="shared" si="1"/>
        <v>1.9090909090909047E-2</v>
      </c>
      <c r="J52" s="104"/>
      <c r="K52" s="5"/>
      <c r="L52" s="5"/>
      <c r="V52" s="75" t="str">
        <f>IF(C52&gt;EOMONTH(DATE('Input|General'!$G$12,MONTH('Input|General'!$G$9),1),0),"Ok",IF(I52="","Check","Ok"))</f>
        <v>Ok</v>
      </c>
    </row>
    <row r="53" spans="3:22">
      <c r="C53" s="44">
        <v>43190</v>
      </c>
      <c r="D53" s="5"/>
      <c r="E53" s="5"/>
      <c r="F53" s="43">
        <v>112.6</v>
      </c>
      <c r="G53" s="114"/>
      <c r="H53" s="114">
        <f>IF(ISBLANK(F53),IF(COUNT(G53:G$84)=0,"",IF(ISBLANK(G53),AVERAGE(H52,H54),(1+G53)*H49)),F53)</f>
        <v>112.6</v>
      </c>
      <c r="I53" s="66">
        <f t="shared" si="1"/>
        <v>1.9004524886877761E-2</v>
      </c>
      <c r="J53" s="104"/>
      <c r="K53" s="5"/>
      <c r="L53" s="5"/>
      <c r="V53" s="75" t="str">
        <f>IF(C53&gt;EOMONTH(DATE('Input|General'!$G$12,MONTH('Input|General'!$G$9),1),0),"Ok",IF(I53="","Check","Ok"))</f>
        <v>Ok</v>
      </c>
    </row>
    <row r="54" spans="3:22">
      <c r="C54" s="44">
        <v>43281</v>
      </c>
      <c r="D54" s="5"/>
      <c r="E54" s="5"/>
      <c r="F54" s="43">
        <v>113</v>
      </c>
      <c r="G54" s="114"/>
      <c r="H54" s="114">
        <f>IF(ISBLANK(F54),IF(COUNT(G54:G$84)=0,"",IF(ISBLANK(G54),AVERAGE(H53,H55),(1+G54)*H50)),F54)</f>
        <v>113</v>
      </c>
      <c r="I54" s="66">
        <f t="shared" si="1"/>
        <v>2.0776874435411097E-2</v>
      </c>
      <c r="J54" s="104"/>
      <c r="K54" s="5"/>
      <c r="L54" s="5"/>
      <c r="V54" s="75" t="str">
        <f>IF(C54&gt;EOMONTH(DATE('Input|General'!$G$12,MONTH('Input|General'!$G$9),1),0),"Ok",IF(I54="","Check","Ok"))</f>
        <v>Ok</v>
      </c>
    </row>
    <row r="55" spans="3:22">
      <c r="C55" s="44">
        <v>43373</v>
      </c>
      <c r="D55" s="5"/>
      <c r="E55" s="5"/>
      <c r="F55" s="43">
        <v>113.5</v>
      </c>
      <c r="G55" s="114"/>
      <c r="H55" s="114">
        <f>IF(ISBLANK(F55),IF(COUNT(G55:G$84)=0,"",IF(ISBLANK(G55),AVERAGE(H54,H56),(1+G55)*H51)),F55)</f>
        <v>113.5</v>
      </c>
      <c r="I55" s="66">
        <f t="shared" si="1"/>
        <v>1.8850987432674993E-2</v>
      </c>
      <c r="J55" s="104"/>
      <c r="K55" s="5"/>
      <c r="L55" s="5"/>
      <c r="V55" s="75" t="str">
        <f>IF(C55&gt;EOMONTH(DATE('Input|General'!$G$12,MONTH('Input|General'!$G$9),1),0),"Ok",IF(I55="","Check","Ok"))</f>
        <v>Ok</v>
      </c>
    </row>
    <row r="56" spans="3:22">
      <c r="C56" s="44">
        <v>43465</v>
      </c>
      <c r="D56" s="5"/>
      <c r="E56" s="5"/>
      <c r="F56" s="43">
        <v>114.1</v>
      </c>
      <c r="G56" s="114"/>
      <c r="H56" s="114">
        <f>IF(ISBLANK(F56),IF(COUNT(G56:G$84)=0,"",IF(ISBLANK(G56),AVERAGE(H55,H57),(1+G56)*H52)),F56)</f>
        <v>114.1</v>
      </c>
      <c r="I56" s="66">
        <f t="shared" si="1"/>
        <v>1.7841213202497874E-2</v>
      </c>
      <c r="J56" s="104"/>
      <c r="K56" s="5"/>
      <c r="L56" s="5"/>
      <c r="V56" s="75" t="str">
        <f>IF(C56&gt;EOMONTH(DATE('Input|General'!$G$12,MONTH('Input|General'!$G$9),1),0),"Ok",IF(I56="","Check","Ok"))</f>
        <v>Ok</v>
      </c>
    </row>
    <row r="57" spans="3:22">
      <c r="C57" s="44">
        <v>43555</v>
      </c>
      <c r="D57" s="5"/>
      <c r="E57" s="5"/>
      <c r="F57" s="43">
        <v>114.1</v>
      </c>
      <c r="G57" s="114"/>
      <c r="H57" s="114">
        <f>IF(ISBLANK(F57),IF(COUNT(G57:G$84)=0,"",IF(ISBLANK(G57),AVERAGE(H56,H58),(1+G57)*H53)),F57)</f>
        <v>114.1</v>
      </c>
      <c r="I57" s="66">
        <f t="shared" si="1"/>
        <v>1.3321492007104752E-2</v>
      </c>
      <c r="J57" s="104"/>
      <c r="K57" s="5"/>
      <c r="L57" s="5"/>
      <c r="V57" s="75" t="str">
        <f>IF(C57&gt;EOMONTH(DATE('Input|General'!$G$12,MONTH('Input|General'!$G$9),1),0),"Ok",IF(I57="","Check","Ok"))</f>
        <v>Ok</v>
      </c>
    </row>
    <row r="58" spans="3:22">
      <c r="C58" s="44">
        <v>43646</v>
      </c>
      <c r="D58" s="5"/>
      <c r="E58" s="5"/>
      <c r="F58" s="43">
        <v>114.8</v>
      </c>
      <c r="G58" s="114"/>
      <c r="H58" s="114">
        <f>IF(ISBLANK(F58),IF(COUNT(G58:G$84)=0,"",IF(ISBLANK(G58),AVERAGE(H57,H59),(1+G58)*H54)),F58)</f>
        <v>114.8</v>
      </c>
      <c r="I58" s="66">
        <f t="shared" si="1"/>
        <v>1.5929203539823078E-2</v>
      </c>
      <c r="J58" s="104"/>
      <c r="K58" s="5"/>
      <c r="L58" s="5"/>
      <c r="V58" s="75" t="str">
        <f>IF(C58&gt;EOMONTH(DATE('Input|General'!$G$12,MONTH('Input|General'!$G$9),1),0),"Ok",IF(I58="","Check","Ok"))</f>
        <v>Ok</v>
      </c>
    </row>
    <row r="59" spans="3:22">
      <c r="C59" s="44">
        <v>43738</v>
      </c>
      <c r="D59" s="5"/>
      <c r="E59" s="5"/>
      <c r="F59" s="43">
        <v>115.4</v>
      </c>
      <c r="G59" s="114"/>
      <c r="H59" s="114">
        <f>IF(ISBLANK(F59),IF(COUNT(G59:G$84)=0,"",IF(ISBLANK(G59),AVERAGE(H58,H60),(1+G59)*H55)),F59)</f>
        <v>115.4</v>
      </c>
      <c r="I59" s="66">
        <f t="shared" si="1"/>
        <v>1.6740088105726914E-2</v>
      </c>
      <c r="J59" s="104"/>
      <c r="K59" s="5"/>
      <c r="L59" s="5"/>
      <c r="V59" s="75" t="str">
        <f>IF(C59&gt;EOMONTH(DATE('Input|General'!$G$12,MONTH('Input|General'!$G$9),1),0),"Ok",IF(I59="","Check","Ok"))</f>
        <v>Ok</v>
      </c>
    </row>
    <row r="60" spans="3:22">
      <c r="C60" s="44">
        <v>43830</v>
      </c>
      <c r="D60" s="5"/>
      <c r="E60" s="5"/>
      <c r="F60" s="43">
        <v>116.2</v>
      </c>
      <c r="G60" s="114"/>
      <c r="H60" s="114">
        <f>IF(ISBLANK(F60),IF(COUNT(G60:G$84)=0,"",IF(ISBLANK(G60),AVERAGE(H59,H61),(1+G60)*H56)),F60)</f>
        <v>116.2</v>
      </c>
      <c r="I60" s="66">
        <f t="shared" si="1"/>
        <v>1.8404907975460238E-2</v>
      </c>
      <c r="J60" s="104"/>
      <c r="K60" s="5"/>
      <c r="L60" s="5"/>
      <c r="V60" s="75" t="str">
        <f>IF(C60&gt;EOMONTH(DATE('Input|General'!$G$12,MONTH('Input|General'!$G$9),1),0),"Ok",IF(I60="","Check","Ok"))</f>
        <v>Ok</v>
      </c>
    </row>
    <row r="61" spans="3:22">
      <c r="C61" s="44">
        <v>43921</v>
      </c>
      <c r="D61" s="5"/>
      <c r="E61" s="5"/>
      <c r="F61" s="43">
        <v>116.6</v>
      </c>
      <c r="G61" s="114"/>
      <c r="H61" s="114">
        <f>IF(ISBLANK(F61),IF(COUNT(G61:G$84)=0,"",IF(ISBLANK(G61),AVERAGE(H60,H62),(1+G61)*H57)),F61)</f>
        <v>116.6</v>
      </c>
      <c r="I61" s="66">
        <f t="shared" si="1"/>
        <v>2.1910604732690686E-2</v>
      </c>
      <c r="J61" s="104"/>
      <c r="K61" s="5"/>
      <c r="L61" s="5"/>
      <c r="V61" s="75" t="str">
        <f>IF(C61&gt;EOMONTH(DATE('Input|General'!$G$12,MONTH('Input|General'!$G$9),1),0),"Ok",IF(I61="","Check","Ok"))</f>
        <v>Ok</v>
      </c>
    </row>
    <row r="62" spans="3:22">
      <c r="C62" s="44">
        <v>44012</v>
      </c>
      <c r="D62" s="5"/>
      <c r="E62" s="5"/>
      <c r="F62" s="43">
        <v>114.4</v>
      </c>
      <c r="G62" s="114"/>
      <c r="H62" s="114">
        <f>IF(ISBLANK(F62),IF(COUNT(G62:G$84)=0,"",IF(ISBLANK(G62),AVERAGE(H61,H63),(1+G62)*H58)),F62)</f>
        <v>114.4</v>
      </c>
      <c r="I62" s="66">
        <f t="shared" si="1"/>
        <v>-3.4843205574912606E-3</v>
      </c>
      <c r="J62" s="104"/>
      <c r="K62" s="5"/>
      <c r="L62" s="5"/>
      <c r="V62" s="75" t="str">
        <f>IF(C62&gt;EOMONTH(DATE('Input|General'!$G$12,MONTH('Input|General'!$G$9),1),0),"Ok",IF(I62="","Check","Ok"))</f>
        <v>Ok</v>
      </c>
    </row>
    <row r="63" spans="3:22">
      <c r="C63" s="44">
        <v>44104</v>
      </c>
      <c r="D63" s="5"/>
      <c r="E63" s="5"/>
      <c r="F63" s="43">
        <v>116.2</v>
      </c>
      <c r="G63" s="114"/>
      <c r="H63" s="114">
        <f>IF(ISBLANK(F63),IF(COUNT(G63:G$84)=0,"",IF(ISBLANK(G63),AVERAGE(H62,H64),(1+G63)*H59)),F63)</f>
        <v>116.2</v>
      </c>
      <c r="I63" s="66">
        <f t="shared" si="1"/>
        <v>6.9324090121316573E-3</v>
      </c>
      <c r="J63" s="104"/>
      <c r="K63" s="5"/>
      <c r="L63" s="5"/>
      <c r="V63" s="75" t="str">
        <f>IF(C63&gt;EOMONTH(DATE('Input|General'!$G$12,MONTH('Input|General'!$G$9),1),0),"Ok",IF(I63="","Check","Ok"))</f>
        <v>Ok</v>
      </c>
    </row>
    <row r="64" spans="3:22">
      <c r="C64" s="44">
        <v>44196</v>
      </c>
      <c r="D64" s="5"/>
      <c r="E64" s="5"/>
      <c r="F64" s="43">
        <v>117.2</v>
      </c>
      <c r="G64" s="114"/>
      <c r="H64" s="114">
        <f>IF(ISBLANK(F64),IF(COUNT(G64:G$84)=0,"",IF(ISBLANK(G64),AVERAGE(H63,H65),(1+G64)*H60)),F64)</f>
        <v>117.2</v>
      </c>
      <c r="I64" s="66">
        <f t="shared" si="1"/>
        <v>8.6058519793459354E-3</v>
      </c>
      <c r="J64" s="104"/>
      <c r="K64" s="5"/>
      <c r="L64" s="5"/>
      <c r="V64" s="75" t="str">
        <f>IF(C64&gt;EOMONTH(DATE('Input|General'!$G$12,MONTH('Input|General'!$G$9),1),0),"Ok",IF(I64="","Check","Ok"))</f>
        <v>Ok</v>
      </c>
    </row>
    <row r="65" spans="3:22">
      <c r="C65" s="44">
        <v>44286</v>
      </c>
      <c r="D65" s="5"/>
      <c r="E65" s="5"/>
      <c r="F65" s="43">
        <v>117.9</v>
      </c>
      <c r="G65" s="114"/>
      <c r="H65" s="114">
        <f>IF(ISBLANK(F65),IF(COUNT(G65:G$84)=0,"",IF(ISBLANK(G65),AVERAGE(H64,H66),(1+G65)*H61)),F65)</f>
        <v>117.9</v>
      </c>
      <c r="I65" s="66">
        <f t="shared" si="1"/>
        <v>1.1149228130360234E-2</v>
      </c>
      <c r="J65" s="104"/>
      <c r="K65" s="5"/>
      <c r="L65" s="5"/>
      <c r="V65" s="75" t="str">
        <f>IF(C65&gt;EOMONTH(DATE('Input|General'!$G$12,MONTH('Input|General'!$G$9),1),0),"Ok",IF(I65="","Check","Ok"))</f>
        <v>Ok</v>
      </c>
    </row>
    <row r="66" spans="3:22">
      <c r="C66" s="44">
        <v>44377</v>
      </c>
      <c r="D66" s="5"/>
      <c r="E66" s="5"/>
      <c r="F66" s="43">
        <v>118.8</v>
      </c>
      <c r="G66" s="114"/>
      <c r="H66" s="114">
        <f>IF(ISBLANK(F66),IF(COUNT(G66:G$84)=0,"",IF(ISBLANK(G66),AVERAGE(H65,H67),(1+G66)*H62)),F66)</f>
        <v>118.8</v>
      </c>
      <c r="I66" s="66">
        <f t="shared" si="1"/>
        <v>3.8461538461538325E-2</v>
      </c>
      <c r="J66" s="104"/>
      <c r="K66" s="5"/>
      <c r="L66" s="5"/>
      <c r="V66" s="75" t="str">
        <f>IF(C66&gt;EOMONTH(DATE('Input|General'!$G$12,MONTH('Input|General'!$G$9),1),0),"Ok",IF(I66="","Check","Ok"))</f>
        <v>Ok</v>
      </c>
    </row>
    <row r="67" spans="3:22">
      <c r="C67" s="44">
        <v>44469</v>
      </c>
      <c r="D67" s="5"/>
      <c r="E67" s="5"/>
      <c r="F67" s="43">
        <v>119.7</v>
      </c>
      <c r="G67" s="114"/>
      <c r="H67" s="114">
        <f>IF(ISBLANK(F67),IF(COUNT(G67:G$84)=0,"",IF(ISBLANK(G67),AVERAGE(H66,H68),(1+G67)*H63)),F67)</f>
        <v>119.7</v>
      </c>
      <c r="I67" s="66">
        <f t="shared" si="1"/>
        <v>3.0120481927710774E-2</v>
      </c>
      <c r="J67" s="104"/>
      <c r="K67" s="5"/>
      <c r="L67" s="5"/>
      <c r="V67" s="75" t="str">
        <f>IF(C67&gt;EOMONTH(DATE('Input|General'!$G$12,MONTH('Input|General'!$G$9),1),0),"Ok",IF(I67="","Check","Ok"))</f>
        <v>Ok</v>
      </c>
    </row>
    <row r="68" spans="3:22">
      <c r="C68" s="44">
        <v>44561</v>
      </c>
      <c r="D68" s="5"/>
      <c r="E68" s="5"/>
      <c r="F68" s="43">
        <v>121.3</v>
      </c>
      <c r="G68" s="114"/>
      <c r="H68" s="114">
        <f>IF(ISBLANK(F68),IF(COUNT(G68:G$84)=0,"",IF(ISBLANK(G68),AVERAGE(H67,H69),(1+G68)*H64)),F68)</f>
        <v>121.3</v>
      </c>
      <c r="I68" s="66">
        <f t="shared" si="1"/>
        <v>3.4982935153583528E-2</v>
      </c>
      <c r="J68" s="104"/>
      <c r="K68" s="5"/>
      <c r="L68" s="5"/>
      <c r="V68" s="75" t="str">
        <f>IF(C68&gt;EOMONTH(DATE('Input|General'!$G$12,MONTH('Input|General'!$G$9),1),0),"Ok",IF(I68="","Check","Ok"))</f>
        <v>Ok</v>
      </c>
    </row>
    <row r="69" spans="3:22">
      <c r="C69" s="44">
        <v>44651</v>
      </c>
      <c r="D69" s="5"/>
      <c r="E69" s="5"/>
      <c r="F69" s="43">
        <v>123.9</v>
      </c>
      <c r="G69" s="114"/>
      <c r="H69" s="114">
        <f>IF(ISBLANK(F69),IF(COUNT(G69:G$84)=0,"",IF(ISBLANK(G69),AVERAGE(H68,H70),(1+G69)*H65)),F69)</f>
        <v>123.9</v>
      </c>
      <c r="I69" s="66">
        <f t="shared" si="1"/>
        <v>5.0890585241730291E-2</v>
      </c>
      <c r="J69" s="104"/>
      <c r="K69" s="5"/>
      <c r="L69" s="5"/>
      <c r="V69" s="75" t="str">
        <f>IF(C69&gt;EOMONTH(DATE('Input|General'!$G$12,MONTH('Input|General'!$G$9),1),0),"Ok",IF(I69="","Check","Ok"))</f>
        <v>Ok</v>
      </c>
    </row>
    <row r="70" spans="3:22">
      <c r="C70" s="44">
        <v>44742</v>
      </c>
      <c r="D70" s="5"/>
      <c r="E70" s="5"/>
      <c r="F70" s="115">
        <v>126.1</v>
      </c>
      <c r="G70" s="114"/>
      <c r="H70" s="114">
        <f>IF(ISBLANK(F70),IF(COUNT(G70:G$84)=0,"",IF(ISBLANK(G70),AVERAGE(H69,H71),(1+G70)*H66)),F70)</f>
        <v>126.1</v>
      </c>
      <c r="I70" s="66">
        <f t="shared" si="1"/>
        <v>6.1447811447811418E-2</v>
      </c>
      <c r="J70" s="113"/>
      <c r="K70" s="5"/>
      <c r="L70" s="5"/>
      <c r="V70" s="75" t="str">
        <f>IF(C70&gt;EOMONTH(DATE('Input|General'!$G$12,MONTH('Input|General'!$G$9),1),0),"Ok",IF(I70="","Check","Ok"))</f>
        <v>Ok</v>
      </c>
    </row>
    <row r="71" spans="3:22">
      <c r="C71" s="44">
        <v>44834</v>
      </c>
      <c r="D71" s="5"/>
      <c r="E71" s="5"/>
      <c r="F71" s="115">
        <v>128.4</v>
      </c>
      <c r="G71" s="114"/>
      <c r="H71" s="114">
        <f>IF(ISBLANK(F71),IF(COUNT(G71:G$84)=0,"",IF(ISBLANK(G71),AVERAGE(H70,H72),(1+G71)*H67)),F71)</f>
        <v>128.4</v>
      </c>
      <c r="I71" s="66">
        <f t="shared" si="1"/>
        <v>7.268170426065157E-2</v>
      </c>
      <c r="J71" s="112"/>
      <c r="K71" s="5"/>
      <c r="L71" s="5"/>
      <c r="V71" s="75" t="str">
        <f>IF(C71&gt;EOMONTH(DATE('Input|General'!$G$12,MONTH('Input|General'!$G$9),1),0),"Ok",IF(I71="","Check","Ok"))</f>
        <v>Ok</v>
      </c>
    </row>
    <row r="72" spans="3:22">
      <c r="C72" s="44">
        <v>44926</v>
      </c>
      <c r="D72" s="5"/>
      <c r="E72" s="5"/>
      <c r="F72" s="115">
        <v>130.80000000000001</v>
      </c>
      <c r="G72" s="106"/>
      <c r="H72" s="114">
        <f>IF(ISBLANK(F72),IF(COUNT(G72:G$84)=0,"",IF(ISBLANK(G72),AVERAGE(H71,H73),(1+G72)*H68)),F72)</f>
        <v>130.80000000000001</v>
      </c>
      <c r="I72" s="66">
        <f t="shared" si="1"/>
        <v>7.8318219291014124E-2</v>
      </c>
      <c r="J72" s="113"/>
      <c r="K72" s="5"/>
      <c r="L72" s="5"/>
      <c r="V72" s="75" t="str">
        <f>IF(C72&gt;EOMONTH(DATE('Input|General'!$G$12,MONTH('Input|General'!$G$9),1),0),"Ok",IF(I72="","Check","Ok"))</f>
        <v>Ok</v>
      </c>
    </row>
    <row r="73" spans="3:22">
      <c r="C73" s="44">
        <v>45016</v>
      </c>
      <c r="D73" s="5"/>
      <c r="E73" s="5"/>
      <c r="F73" s="115">
        <v>132.6</v>
      </c>
      <c r="G73" s="106"/>
      <c r="H73" s="114">
        <f>IF(ISBLANK(F73),IF(COUNT(G73:G$84)=0,"",IF(ISBLANK(G73),AVERAGE(H72,H74),(1+G73)*H69)),F73)</f>
        <v>132.6</v>
      </c>
      <c r="I73" s="66">
        <f t="shared" si="1"/>
        <v>7.0217917675544639E-2</v>
      </c>
      <c r="J73" s="104"/>
      <c r="K73" s="5"/>
      <c r="L73" s="5"/>
      <c r="V73" s="75" t="str">
        <f>IF(C73&gt;EOMONTH(DATE('Input|General'!$G$12,MONTH('Input|General'!$G$9),1),0),"Ok",IF(I73="","Check","Ok"))</f>
        <v>Ok</v>
      </c>
    </row>
    <row r="74" spans="3:22">
      <c r="C74" s="44">
        <v>45107</v>
      </c>
      <c r="D74" s="5"/>
      <c r="E74" s="5"/>
      <c r="F74" s="115">
        <v>133.69999999999999</v>
      </c>
      <c r="G74" s="106"/>
      <c r="H74" s="114">
        <f>IF(ISBLANK(F74),IF(COUNT(G74:G$84)=0,"",IF(ISBLANK(G74),AVERAGE(H73,H75),(1+G74)*H70)),F74)</f>
        <v>133.69999999999999</v>
      </c>
      <c r="I74" s="66">
        <f t="shared" si="1"/>
        <v>6.0269627279936566E-2</v>
      </c>
      <c r="J74" s="186"/>
      <c r="K74" s="5"/>
      <c r="L74" s="5"/>
      <c r="V74" s="75" t="str">
        <f>IF(C74&gt;EOMONTH(DATE('Input|General'!$G$12,MONTH('Input|General'!$G$9),1),0),"Ok",IF(I74="","Check","Ok"))</f>
        <v>Ok</v>
      </c>
    </row>
    <row r="75" spans="3:22">
      <c r="C75" s="44">
        <v>45199</v>
      </c>
      <c r="D75" s="5"/>
      <c r="E75" s="5"/>
      <c r="F75" s="115"/>
      <c r="G75" s="106"/>
      <c r="H75" s="114">
        <f>IF(ISBLANK(F75),IF(COUNT(G75:G$84)=0,"",IF(ISBLANK(G75),AVERAGE(H74,H76),(1+G75)*H71)),F75)</f>
        <v>134.9314</v>
      </c>
      <c r="I75" s="66">
        <f t="shared" ref="I75:I78" si="2">IF(H75="","",H75/H71-1)</f>
        <v>5.0867601246105787E-2</v>
      </c>
      <c r="J75" s="104"/>
      <c r="K75" s="5"/>
      <c r="L75" s="5"/>
      <c r="V75" s="75" t="str">
        <f>IF(C75&gt;EOMONTH(DATE('Input|General'!$G$12,MONTH('Input|General'!$G$9),1),0),"Ok",IF(I75="","Check","Ok"))</f>
        <v>Ok</v>
      </c>
    </row>
    <row r="76" spans="3:22">
      <c r="C76" s="44">
        <v>45291</v>
      </c>
      <c r="D76" s="5"/>
      <c r="E76" s="5"/>
      <c r="F76" s="115"/>
      <c r="G76" s="106">
        <v>4.1000000000000002E-2</v>
      </c>
      <c r="H76" s="114">
        <f>IF(ISBLANK(F76),IF(COUNT(G76:G$84)=0,"",IF(ISBLANK(G76),AVERAGE(H75,H77),(1+G76)*H72)),F76)</f>
        <v>136.1628</v>
      </c>
      <c r="I76" s="66">
        <f t="shared" si="2"/>
        <v>4.0999999999999925E-2</v>
      </c>
      <c r="J76" s="186" t="s">
        <v>211</v>
      </c>
      <c r="K76" s="5"/>
      <c r="L76" s="5"/>
      <c r="V76" s="75" t="str">
        <f>IF(C76&gt;EOMONTH(DATE('Input|General'!$G$12,MONTH('Input|General'!$G$9),1),0),"Ok",IF(I76="","Check","Ok"))</f>
        <v>Ok</v>
      </c>
    </row>
    <row r="77" spans="3:22">
      <c r="C77" s="44">
        <v>45382</v>
      </c>
      <c r="D77" s="5"/>
      <c r="E77" s="5"/>
      <c r="F77" s="115"/>
      <c r="G77" s="106"/>
      <c r="H77" s="114">
        <f>IF(ISBLANK(F77),IF(COUNT(G77:G$84)=0,"",IF(ISBLANK(G77),AVERAGE(H76,H78),(1+G77)*H73)),F77)</f>
        <v>137.33799999999999</v>
      </c>
      <c r="I77" s="66">
        <f t="shared" si="2"/>
        <v>3.5731523378582208E-2</v>
      </c>
      <c r="J77" s="104"/>
      <c r="K77" s="5"/>
      <c r="L77" s="5"/>
      <c r="V77" s="75" t="str">
        <f>IF(C77&gt;EOMONTH(DATE('Input|General'!$G$12,MONTH('Input|General'!$G$9),1),0),"Ok",IF(I77="","Check","Ok"))</f>
        <v>Ok</v>
      </c>
    </row>
    <row r="78" spans="3:22">
      <c r="C78" s="44">
        <v>45473</v>
      </c>
      <c r="D78" s="5"/>
      <c r="E78" s="5"/>
      <c r="F78" s="115"/>
      <c r="G78" s="106">
        <v>3.5999999999999997E-2</v>
      </c>
      <c r="H78" s="114">
        <f>IF(ISBLANK(F78),IF(COUNT(G78:G$84)=0,"",IF(ISBLANK(G78),AVERAGE(H77,H79),(1+G78)*H74)),F78)</f>
        <v>138.51319999999998</v>
      </c>
      <c r="I78" s="66">
        <f t="shared" si="2"/>
        <v>3.6000000000000032E-2</v>
      </c>
      <c r="J78" s="186" t="s">
        <v>211</v>
      </c>
      <c r="K78" s="5"/>
      <c r="L78" s="5"/>
      <c r="V78" s="75" t="str">
        <f>IF(C78&gt;EOMONTH(DATE('Input|General'!$G$12,MONTH('Input|General'!$G$9),1),0),"Ok",IF(I78="","Check","Ok"))</f>
        <v>Ok</v>
      </c>
    </row>
    <row r="79" spans="3:22">
      <c r="C79" s="44">
        <v>45565</v>
      </c>
      <c r="D79" s="5"/>
      <c r="E79" s="5"/>
      <c r="F79" s="115"/>
      <c r="G79" s="106"/>
      <c r="H79" s="114">
        <f>IF(ISBLANK(F79),IF(COUNT(G79:G$84)=0,"",IF(ISBLANK(G79),AVERAGE(H78,H80),(1+G79)*H75)),F79)</f>
        <v>139.58468619999999</v>
      </c>
      <c r="I79" s="66">
        <f>IF(H79="","",H79/H75-1)</f>
        <v>3.4486310821647104E-2</v>
      </c>
      <c r="J79" s="104"/>
      <c r="K79" s="5"/>
      <c r="L79" s="5"/>
      <c r="V79" s="75" t="str">
        <f>IF(C79&gt;EOMONTH(DATE('Input|General'!$G$12,MONTH('Input|General'!$G$9),1),0),"Ok",IF(I79="","Check","Ok"))</f>
        <v>Ok</v>
      </c>
    </row>
    <row r="80" spans="3:22">
      <c r="C80" s="44">
        <v>45657</v>
      </c>
      <c r="D80" s="5"/>
      <c r="E80" s="5"/>
      <c r="F80" s="115"/>
      <c r="G80" s="106">
        <v>3.3000000000000002E-2</v>
      </c>
      <c r="H80" s="114">
        <f>IF(ISBLANK(F80),IF(COUNT(G80:G$84)=0,"",IF(ISBLANK(G80),AVERAGE(H79,H81),(1+G80)*H76)),F80)</f>
        <v>140.6561724</v>
      </c>
      <c r="I80" s="66">
        <f t="shared" ref="I80:I84" si="3">IF(H80="","",H80/H76-1)</f>
        <v>3.2999999999999918E-2</v>
      </c>
      <c r="J80" s="186" t="s">
        <v>211</v>
      </c>
      <c r="K80" s="5"/>
      <c r="L80" s="5"/>
      <c r="V80" s="75" t="str">
        <f>IF(C80&gt;EOMONTH(DATE('Input|General'!$G$12,MONTH('Input|General'!$G$9),1),0),"Ok",IF(I80="","Check","Ok"))</f>
        <v>Ok</v>
      </c>
    </row>
    <row r="81" spans="1:26">
      <c r="C81" s="44">
        <v>45747</v>
      </c>
      <c r="D81" s="5"/>
      <c r="E81" s="5"/>
      <c r="F81" s="115"/>
      <c r="G81" s="106"/>
      <c r="H81" s="114">
        <f>IF(ISBLANK(F81),IF(COUNT(G81:G$84)=0,"",IF(ISBLANK(G81),AVERAGE(H80,H82),(1+G81)*H77)),F81)</f>
        <v>141.73164079999998</v>
      </c>
      <c r="I81" s="66">
        <f t="shared" si="3"/>
        <v>3.1991443009218079E-2</v>
      </c>
      <c r="J81" s="104"/>
      <c r="K81" s="5"/>
      <c r="L81" s="5"/>
      <c r="V81" s="75" t="str">
        <f>IF(C81&gt;EOMONTH(DATE('Input|General'!$G$12,MONTH('Input|General'!$G$9),1),0),"Ok",IF(I81="","Check","Ok"))</f>
        <v>Ok</v>
      </c>
    </row>
    <row r="82" spans="1:26">
      <c r="C82" s="44">
        <v>45838</v>
      </c>
      <c r="D82" s="5"/>
      <c r="E82" s="5"/>
      <c r="F82" s="115"/>
      <c r="G82" s="106">
        <v>3.1E-2</v>
      </c>
      <c r="H82" s="114">
        <f>IF(ISBLANK(F82),IF(COUNT(G82:G$84)=0,"",IF(ISBLANK(G82),AVERAGE(H81,H83),(1+G82)*H78)),F82)</f>
        <v>142.80710919999999</v>
      </c>
      <c r="I82" s="66">
        <f t="shared" si="3"/>
        <v>3.0999999999999917E-2</v>
      </c>
      <c r="J82" s="186" t="s">
        <v>211</v>
      </c>
      <c r="K82" s="5"/>
      <c r="L82" s="5"/>
      <c r="V82" s="75" t="str">
        <f>IF(C82&gt;EOMONTH(DATE('Input|General'!$G$12,MONTH('Input|General'!$G$9),1),0),"Ok",IF(I82="","Check","Ok"))</f>
        <v>Ok</v>
      </c>
    </row>
    <row r="83" spans="1:26">
      <c r="C83" s="44">
        <v>45930</v>
      </c>
      <c r="D83" s="5"/>
      <c r="E83" s="5"/>
      <c r="F83" s="115"/>
      <c r="G83" s="106"/>
      <c r="H83" s="114">
        <f>IF(ISBLANK(F83),IF(COUNT(G83:G$84)=0,"",IF(ISBLANK(G83),AVERAGE(H82,H84),(1+G83)*H79)),F83)</f>
        <v>143.70082721360001</v>
      </c>
      <c r="I83" s="66">
        <f t="shared" si="3"/>
        <v>2.9488485633032191E-2</v>
      </c>
      <c r="J83" s="104"/>
      <c r="K83" s="5"/>
      <c r="L83" s="5"/>
      <c r="V83" s="75" t="str">
        <f>IF(C83&gt;EOMONTH(DATE('Input|General'!$G$12,MONTH('Input|General'!$G$9),1),0),"Ok",IF(I83="","Check","Ok"))</f>
        <v>Ok</v>
      </c>
    </row>
    <row r="84" spans="1:26">
      <c r="C84" s="44">
        <v>46022</v>
      </c>
      <c r="D84" s="5"/>
      <c r="E84" s="5"/>
      <c r="F84" s="115"/>
      <c r="G84" s="106">
        <v>2.8000000000000001E-2</v>
      </c>
      <c r="H84" s="114">
        <f>IF(ISBLANK(F84),IF(COUNT(G84:G$84)=0,"",IF(ISBLANK(G84),AVERAGE(H83,H85),(1+G84)*H80)),F84)</f>
        <v>144.5945452272</v>
      </c>
      <c r="I84" s="66">
        <f t="shared" si="3"/>
        <v>2.8000000000000025E-2</v>
      </c>
      <c r="J84" s="104"/>
      <c r="K84" s="5"/>
      <c r="L84" s="5"/>
      <c r="V84" s="75" t="str">
        <f>IF(C84&gt;EOMONTH(DATE('Input|General'!$G$12,MONTH('Input|General'!$G$9),1),0),"Ok",IF(I84="","Check","Ok"))</f>
        <v>Ok</v>
      </c>
    </row>
    <row r="85" spans="1:26">
      <c r="F85" s="5"/>
      <c r="G85" s="5"/>
      <c r="H85" s="5"/>
      <c r="I85" s="5"/>
      <c r="J85" s="5"/>
      <c r="K85" s="5"/>
      <c r="L85" s="5"/>
      <c r="V85" s="76"/>
    </row>
    <row r="86" spans="1:26" customFormat="1" ht="12.75">
      <c r="A86" s="30"/>
      <c r="B86" s="35" t="s">
        <v>21</v>
      </c>
      <c r="C86" s="30"/>
      <c r="D86" s="30"/>
      <c r="E86" s="30"/>
      <c r="F86" s="30"/>
      <c r="G86" s="30"/>
      <c r="H86" s="30"/>
      <c r="I86" s="31"/>
      <c r="J86" s="31"/>
      <c r="K86" s="31"/>
      <c r="L86" s="31"/>
      <c r="M86" s="32"/>
      <c r="N86" s="33"/>
      <c r="O86" s="32"/>
      <c r="P86" s="33"/>
      <c r="Q86" s="32"/>
      <c r="R86" s="32"/>
      <c r="S86" s="32"/>
      <c r="T86" s="32"/>
      <c r="U86" s="32"/>
      <c r="V86" s="32"/>
      <c r="W86" s="32"/>
      <c r="X86" s="32"/>
      <c r="Y86" s="33"/>
      <c r="Z86" s="33"/>
    </row>
    <row r="87" spans="1:26" hidden="1">
      <c r="D87" s="5"/>
      <c r="E87" s="5"/>
      <c r="F87" s="5"/>
      <c r="G87" s="5"/>
      <c r="H87" s="5"/>
      <c r="I87" s="5"/>
      <c r="J87" s="5"/>
      <c r="K87" s="5"/>
      <c r="L87" s="5"/>
    </row>
    <row r="88" spans="1:26" hidden="1">
      <c r="D88" s="5"/>
      <c r="E88" s="5"/>
      <c r="F88" s="5"/>
      <c r="G88" s="5"/>
      <c r="H88" s="5"/>
      <c r="I88" s="5"/>
      <c r="J88" s="5"/>
      <c r="K88" s="5"/>
      <c r="L88" s="5"/>
    </row>
    <row r="89" spans="1:26" s="13" customFormat="1" hidden="1"/>
    <row r="90" spans="1:26" s="13" customFormat="1" hidden="1"/>
    <row r="91" spans="1:26" s="13" customFormat="1" hidden="1"/>
    <row r="92" spans="1:26" s="13" customFormat="1" hidden="1"/>
    <row r="93" spans="1:26" s="13" customFormat="1" hidden="1"/>
    <row r="94" spans="1:26" s="13" customFormat="1" hidden="1"/>
    <row r="95" spans="1:26" s="13" customFormat="1" hidden="1"/>
    <row r="96" spans="1:26" s="13" customFormat="1" hidden="1"/>
  </sheetData>
  <conditionalFormatting sqref="Z14:Z50 V85 Z63:Z85">
    <cfRule type="cellIs" dxfId="217" priority="12" operator="equal">
      <formula>"Check"</formula>
    </cfRule>
    <cfRule type="cellIs" dxfId="216" priority="13" operator="equal">
      <formula>"Ok"</formula>
    </cfRule>
  </conditionalFormatting>
  <conditionalFormatting sqref="Y1">
    <cfRule type="cellIs" dxfId="215" priority="8" operator="equal">
      <formula>"Check"</formula>
    </cfRule>
    <cfRule type="cellIs" dxfId="214" priority="9" operator="equal">
      <formula>"Ok"</formula>
    </cfRule>
  </conditionalFormatting>
  <conditionalFormatting sqref="V1">
    <cfRule type="cellIs" dxfId="213" priority="6" operator="equal">
      <formula>"Check"</formula>
    </cfRule>
    <cfRule type="cellIs" dxfId="212" priority="7" operator="equal">
      <formula>"Ok"</formula>
    </cfRule>
  </conditionalFormatting>
  <conditionalFormatting sqref="Z51:Z57">
    <cfRule type="cellIs" dxfId="211" priority="4" operator="equal">
      <formula>"Check"</formula>
    </cfRule>
    <cfRule type="cellIs" dxfId="210" priority="5" operator="equal">
      <formula>"Ok"</formula>
    </cfRule>
  </conditionalFormatting>
  <conditionalFormatting sqref="Z58:Z62 V9:V84">
    <cfRule type="cellIs" dxfId="209" priority="2" operator="equal">
      <formula>"Check"</formula>
    </cfRule>
    <cfRule type="cellIs" dxfId="208" priority="3" operator="equal">
      <formula>"Ok"</formula>
    </cfRule>
  </conditionalFormatting>
  <conditionalFormatting sqref="G21:G84">
    <cfRule type="expression" dxfId="207" priority="1">
      <formula>ISBLANK(F21)</formula>
    </cfRule>
  </conditionalFormatting>
  <dataValidations count="2">
    <dataValidation type="list" allowBlank="1" showInputMessage="1" showErrorMessage="1" sqref="I85" xr:uid="{00000000-0002-0000-0200-000000000000}">
      <formula1>"Real 2010,Real 2011,Real 2012,Real 2013,Real 2014,Real 2015,Nominal"</formula1>
    </dataValidation>
    <dataValidation type="list" allowBlank="1" showInputMessage="1" showErrorMessage="1" sqref="L12:L85" xr:uid="{00000000-0002-0000-0200-000001000000}">
      <formula1>#REF!</formula1>
    </dataValidation>
  </dataValidations>
  <hyperlinks>
    <hyperlink ref="M1" location="Index!A1" display="Back to Index" xr:uid="{00000000-0004-0000-0200-000000000000}"/>
    <hyperlink ref="X1" location="'Check|List'!A1" display="Overall Check:" xr:uid="{00000000-0004-0000-0200-000001000000}"/>
    <hyperlink ref="J76" r:id="rId1" xr:uid="{00000000-0004-0000-0200-000002000000}"/>
    <hyperlink ref="J78" r:id="rId2" xr:uid="{00000000-0004-0000-0200-000003000000}"/>
    <hyperlink ref="J80" r:id="rId3" xr:uid="{00000000-0004-0000-0200-000004000000}"/>
    <hyperlink ref="J82" r:id="rId4" xr:uid="{00000000-0004-0000-0200-000005000000}"/>
  </hyperlinks>
  <pageMargins left="0.7" right="0.7" top="0.75" bottom="0.75" header="0.3" footer="0.3"/>
  <pageSetup paperSize="9" orientation="portrait" verticalDpi="4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V71"/>
  <sheetViews>
    <sheetView showGridLines="0" zoomScaleNormal="100" workbookViewId="0"/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42.33203125" bestFit="1" customWidth="1"/>
    <col min="22" max="22" width="10.83203125" customWidth="1"/>
    <col min="23" max="26" width="9.33203125" hidden="1" customWidth="1"/>
    <col min="27" max="16384" width="9.33203125" hidden="1"/>
  </cols>
  <sheetData>
    <row r="1" spans="1:22" ht="15.75">
      <c r="A1" s="25"/>
      <c r="B1" s="22"/>
      <c r="C1" s="22" t="str">
        <f>Index!$B$1</f>
        <v>AER opex model - version: Evoenergy 24-29 DD</v>
      </c>
      <c r="D1" s="22"/>
      <c r="E1" s="22"/>
      <c r="F1" s="23"/>
      <c r="G1" s="23"/>
      <c r="H1" s="23"/>
      <c r="I1" s="23"/>
      <c r="J1" s="111" t="s">
        <v>2</v>
      </c>
      <c r="K1" s="25"/>
      <c r="L1" s="26" t="s">
        <v>3</v>
      </c>
      <c r="M1" s="41" t="s">
        <v>4</v>
      </c>
      <c r="N1" s="8" t="s">
        <v>5</v>
      </c>
      <c r="O1" s="9" t="s">
        <v>6</v>
      </c>
      <c r="P1" s="25"/>
      <c r="Q1" s="25"/>
      <c r="R1" s="26" t="s">
        <v>80</v>
      </c>
      <c r="S1" s="27" t="str">
        <f>IF(COUNTA($V$29:$V$264)=COUNTIF($V$29:$V$264,"OK"),"OK","Check")</f>
        <v>OK</v>
      </c>
      <c r="T1" s="27"/>
      <c r="U1" s="103" t="s">
        <v>24</v>
      </c>
      <c r="V1" s="27" t="str">
        <f ca="1">'Check|List'!$S$1</f>
        <v>Ok</v>
      </c>
    </row>
    <row r="2" spans="1:22" ht="13.5" thickBot="1">
      <c r="A2" s="29"/>
      <c r="B2" s="28"/>
      <c r="C2" s="28" t="str">
        <f>Index!$C$9</f>
        <v>Input | Reported opex</v>
      </c>
      <c r="D2" s="28"/>
      <c r="E2" s="28"/>
      <c r="F2" s="48"/>
      <c r="G2" s="48"/>
      <c r="H2" s="48"/>
      <c r="I2" s="4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77"/>
      <c r="B3" s="77"/>
      <c r="C3" s="77"/>
      <c r="D3" s="78"/>
      <c r="E3" s="78"/>
      <c r="F3" s="78"/>
      <c r="G3" s="78"/>
      <c r="H3" s="78"/>
      <c r="I3" s="78"/>
      <c r="J3" s="89" t="s">
        <v>114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79"/>
      <c r="V3" s="79"/>
    </row>
    <row r="4" spans="1:22">
      <c r="A4" s="51"/>
      <c r="B4" s="51"/>
      <c r="C4" s="51"/>
      <c r="D4" s="52" t="s">
        <v>7</v>
      </c>
      <c r="E4" s="52" t="s">
        <v>8</v>
      </c>
      <c r="F4" s="53" t="s">
        <v>22</v>
      </c>
      <c r="G4" s="54"/>
      <c r="H4" s="54"/>
      <c r="I4" s="54"/>
      <c r="J4" s="87">
        <f>DATE(PPFirstYear,MONTH('Input|General'!$G$9),1)</f>
        <v>43983</v>
      </c>
      <c r="K4" s="87">
        <f>DATE(PPFirstYear+1,MONTH('Input|General'!$G$9),1)</f>
        <v>44348</v>
      </c>
      <c r="L4" s="87">
        <f>DATE(PPFirstYear+2,MONTH('Input|General'!$G$9),1)</f>
        <v>44713</v>
      </c>
      <c r="M4" s="87">
        <f>DATE(PPFirstYear+3,MONTH('Input|General'!$G$9),1)</f>
        <v>45078</v>
      </c>
      <c r="N4" s="87">
        <f>DATE(PPFirstYear+4,MONTH('Input|General'!$G$9),1)</f>
        <v>45444</v>
      </c>
      <c r="O4" s="87">
        <f>DATE(PPFirstYear+5,MONTH('Input|General'!$G$9),1)</f>
        <v>45809</v>
      </c>
      <c r="P4" s="87">
        <f>DATE(PPFirstYear+6,MONTH('Input|General'!$G$9),1)</f>
        <v>46174</v>
      </c>
      <c r="Q4" s="87">
        <f>DATE(PPFirstYear+7,MONTH('Input|General'!$G$9),1)</f>
        <v>46539</v>
      </c>
      <c r="R4" s="87">
        <f>DATE(PPFirstYear+8,MONTH('Input|General'!$G$9),1)</f>
        <v>46905</v>
      </c>
      <c r="S4" s="87">
        <f>DATE(PPFirstYear+9,MONTH('Input|General'!$G$9),1)</f>
        <v>47270</v>
      </c>
      <c r="T4" s="87">
        <f>DATE(PPFirstYear+10,MONTH('Input|General'!$G$9),1)</f>
        <v>47635</v>
      </c>
      <c r="U4" s="55"/>
      <c r="V4" s="56"/>
    </row>
    <row r="5" spans="1:22" ht="5.25" customHeight="1">
      <c r="A5" s="3"/>
      <c r="B5" s="3"/>
      <c r="C5" s="3"/>
      <c r="D5" s="19"/>
      <c r="E5" s="19"/>
      <c r="F5" s="19"/>
      <c r="G5" s="19"/>
      <c r="H5" s="19"/>
      <c r="I5" s="1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6.75" customHeight="1">
      <c r="A6" s="3"/>
      <c r="B6" s="3"/>
      <c r="C6" s="3"/>
      <c r="D6" s="19"/>
      <c r="E6" s="19"/>
      <c r="F6" s="19"/>
      <c r="G6" s="19"/>
      <c r="H6" s="19"/>
      <c r="I6" s="1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5.25" customHeight="1">
      <c r="A7" s="3"/>
      <c r="B7" s="3"/>
      <c r="C7" s="3"/>
      <c r="D7" s="19"/>
      <c r="E7" s="19"/>
      <c r="F7" s="19"/>
      <c r="G7" s="19"/>
      <c r="H7" s="19"/>
      <c r="I7" s="1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75">
      <c r="A8" s="116"/>
      <c r="B8" s="35" t="s">
        <v>45</v>
      </c>
      <c r="C8" s="116"/>
      <c r="D8" s="116"/>
      <c r="E8" s="116"/>
      <c r="F8" s="117"/>
      <c r="G8" s="117"/>
      <c r="H8" s="117"/>
      <c r="I8" s="117"/>
      <c r="J8" s="118"/>
      <c r="K8" s="119"/>
      <c r="L8" s="118"/>
      <c r="M8" s="119"/>
      <c r="N8" s="118"/>
      <c r="O8" s="118"/>
      <c r="P8" s="118"/>
      <c r="Q8" s="118"/>
      <c r="R8" s="118"/>
      <c r="S8" s="118"/>
      <c r="T8" s="118"/>
      <c r="U8" s="118"/>
      <c r="V8" s="33"/>
    </row>
    <row r="9" spans="1:22">
      <c r="A9" s="120"/>
      <c r="B9" s="120"/>
      <c r="C9" s="120"/>
      <c r="D9" s="121"/>
      <c r="E9" s="121"/>
      <c r="F9" s="121"/>
      <c r="G9" s="122"/>
      <c r="H9" s="122"/>
      <c r="I9" s="121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5"/>
    </row>
    <row r="10" spans="1:22">
      <c r="A10" s="120"/>
      <c r="B10" s="120"/>
      <c r="C10" s="123" t="s">
        <v>74</v>
      </c>
      <c r="D10" s="122" t="s">
        <v>7</v>
      </c>
      <c r="E10" s="122" t="s">
        <v>8</v>
      </c>
      <c r="F10" s="122" t="s">
        <v>22</v>
      </c>
      <c r="G10" s="122"/>
      <c r="H10" s="122"/>
      <c r="I10" s="121"/>
      <c r="J10" s="124">
        <f t="shared" ref="J10:S10" si="0">IF(YEAR(J$4)&lt;=PPLastYear,J$4,"")</f>
        <v>43983</v>
      </c>
      <c r="K10" s="124">
        <f t="shared" si="0"/>
        <v>44348</v>
      </c>
      <c r="L10" s="124">
        <f t="shared" si="0"/>
        <v>44713</v>
      </c>
      <c r="M10" s="124">
        <f t="shared" si="0"/>
        <v>45078</v>
      </c>
      <c r="N10" s="124">
        <f t="shared" si="0"/>
        <v>45444</v>
      </c>
      <c r="O10" s="124" t="str">
        <f t="shared" si="0"/>
        <v/>
      </c>
      <c r="P10" s="124" t="str">
        <f t="shared" si="0"/>
        <v/>
      </c>
      <c r="Q10" s="124" t="str">
        <f t="shared" si="0"/>
        <v/>
      </c>
      <c r="R10" s="124" t="str">
        <f t="shared" si="0"/>
        <v/>
      </c>
      <c r="S10" s="124" t="str">
        <f t="shared" si="0"/>
        <v/>
      </c>
      <c r="T10" s="124"/>
      <c r="U10" s="125" t="s">
        <v>52</v>
      </c>
      <c r="V10" s="5"/>
    </row>
    <row r="11" spans="1:22">
      <c r="A11" s="120"/>
      <c r="B11" s="120"/>
      <c r="C11" s="126"/>
      <c r="D11" s="121"/>
      <c r="E11" s="121"/>
      <c r="F11" s="121"/>
      <c r="G11" s="122"/>
      <c r="H11" s="122"/>
      <c r="I11" s="121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0"/>
      <c r="V11" s="5"/>
    </row>
    <row r="12" spans="1:22">
      <c r="A12" s="120"/>
      <c r="B12" s="120"/>
      <c r="C12" s="126"/>
      <c r="D12" s="121"/>
      <c r="E12" s="121"/>
      <c r="F12" s="121"/>
      <c r="G12" s="122"/>
      <c r="H12" s="122"/>
      <c r="I12" s="121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0"/>
      <c r="V12" s="5"/>
    </row>
    <row r="13" spans="1:22">
      <c r="A13" s="120"/>
      <c r="B13" s="120"/>
      <c r="C13" s="128" t="s">
        <v>71</v>
      </c>
      <c r="D13" s="121" t="s">
        <v>67</v>
      </c>
      <c r="E13" s="121" t="str">
        <f>units</f>
        <v>$millions</v>
      </c>
      <c r="F13" s="129">
        <f>DATE(PPFirstYear-1,MONTH(month),1)</f>
        <v>43617</v>
      </c>
      <c r="G13" s="122"/>
      <c r="H13" s="122"/>
      <c r="I13" s="121"/>
      <c r="J13" s="130">
        <v>57.94362209219284</v>
      </c>
      <c r="K13" s="130">
        <v>58.545458237091964</v>
      </c>
      <c r="L13" s="130">
        <v>59.165028281769231</v>
      </c>
      <c r="M13" s="130">
        <v>59.78323256445038</v>
      </c>
      <c r="N13" s="130">
        <v>60.341501395935879</v>
      </c>
      <c r="O13" s="130"/>
      <c r="P13" s="130"/>
      <c r="Q13" s="130"/>
      <c r="R13" s="130"/>
      <c r="S13" s="130"/>
      <c r="T13" s="130"/>
      <c r="U13" s="120" t="s">
        <v>178</v>
      </c>
      <c r="V13" s="5"/>
    </row>
    <row r="14" spans="1:22">
      <c r="A14" s="120"/>
      <c r="B14" s="120"/>
      <c r="C14" s="126"/>
      <c r="D14" s="121"/>
      <c r="E14" s="121"/>
      <c r="F14" s="121"/>
      <c r="G14" s="122"/>
      <c r="H14" s="122"/>
      <c r="I14" s="121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0"/>
      <c r="V14" s="5"/>
    </row>
    <row r="15" spans="1:22">
      <c r="A15" s="120"/>
      <c r="B15" s="120"/>
      <c r="C15" s="131" t="s">
        <v>71</v>
      </c>
      <c r="D15" s="132" t="str">
        <f>D13</f>
        <v>AER</v>
      </c>
      <c r="E15" s="133" t="str">
        <f>E13</f>
        <v>$millions</v>
      </c>
      <c r="F15" s="133">
        <f>$F$13</f>
        <v>43617</v>
      </c>
      <c r="G15" s="122"/>
      <c r="H15" s="122"/>
      <c r="I15" s="121"/>
      <c r="J15" s="134">
        <f>J13</f>
        <v>57.94362209219284</v>
      </c>
      <c r="K15" s="134">
        <f t="shared" ref="K15:S15" si="1">K13</f>
        <v>58.545458237091964</v>
      </c>
      <c r="L15" s="134">
        <f t="shared" si="1"/>
        <v>59.165028281769231</v>
      </c>
      <c r="M15" s="134">
        <f t="shared" si="1"/>
        <v>59.78323256445038</v>
      </c>
      <c r="N15" s="134">
        <f t="shared" si="1"/>
        <v>60.341501395935879</v>
      </c>
      <c r="O15" s="134">
        <f t="shared" si="1"/>
        <v>0</v>
      </c>
      <c r="P15" s="134">
        <f t="shared" si="1"/>
        <v>0</v>
      </c>
      <c r="Q15" s="134">
        <f t="shared" si="1"/>
        <v>0</v>
      </c>
      <c r="R15" s="134">
        <f t="shared" si="1"/>
        <v>0</v>
      </c>
      <c r="S15" s="134">
        <f t="shared" si="1"/>
        <v>0</v>
      </c>
      <c r="T15" s="134"/>
      <c r="U15" s="120"/>
      <c r="V15" s="5"/>
    </row>
    <row r="16" spans="1:22">
      <c r="A16" s="120"/>
      <c r="B16" s="120"/>
      <c r="C16" s="126"/>
      <c r="D16" s="121"/>
      <c r="E16" s="121"/>
      <c r="F16" s="121"/>
      <c r="G16" s="122"/>
      <c r="H16" s="122"/>
      <c r="I16" s="121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0"/>
      <c r="V16" s="5"/>
    </row>
    <row r="17" spans="1:22">
      <c r="A17" s="120"/>
      <c r="B17" s="120"/>
      <c r="C17" s="123" t="s">
        <v>152</v>
      </c>
      <c r="D17" s="121"/>
      <c r="E17" s="121"/>
      <c r="F17" s="121"/>
      <c r="G17" s="122"/>
      <c r="H17" s="122"/>
      <c r="I17" s="121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0"/>
      <c r="V17" s="5"/>
    </row>
    <row r="18" spans="1:22">
      <c r="A18" s="120"/>
      <c r="B18" s="120"/>
      <c r="C18" s="126"/>
      <c r="D18" s="121"/>
      <c r="E18" s="121"/>
      <c r="F18" s="121"/>
      <c r="G18" s="122"/>
      <c r="H18" s="122"/>
      <c r="I18" s="121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0"/>
      <c r="V18" s="5"/>
    </row>
    <row r="19" spans="1:22">
      <c r="A19" s="120"/>
      <c r="B19" s="120"/>
      <c r="C19" s="128" t="s">
        <v>39</v>
      </c>
      <c r="D19" s="121" t="s">
        <v>67</v>
      </c>
      <c r="E19" s="121" t="str">
        <f t="shared" ref="E19:E27" si="2">units</f>
        <v>$millions</v>
      </c>
      <c r="F19" s="135">
        <f>$F$13</f>
        <v>43617</v>
      </c>
      <c r="G19" s="122"/>
      <c r="H19" s="122"/>
      <c r="I19" s="121"/>
      <c r="J19" s="130">
        <v>0.49826788009690098</v>
      </c>
      <c r="K19" s="130">
        <v>0.49508573937639999</v>
      </c>
      <c r="L19" s="130">
        <v>0.49200104209625101</v>
      </c>
      <c r="M19" s="130">
        <v>0.494891991903884</v>
      </c>
      <c r="N19" s="130">
        <v>0.491087103585441</v>
      </c>
      <c r="O19" s="130"/>
      <c r="P19" s="130"/>
      <c r="Q19" s="130"/>
      <c r="R19" s="130"/>
      <c r="S19" s="130"/>
      <c r="T19" s="130"/>
      <c r="U19" s="120" t="s">
        <v>158</v>
      </c>
      <c r="V19" s="5"/>
    </row>
    <row r="20" spans="1:22">
      <c r="A20" s="120"/>
      <c r="B20" s="120"/>
      <c r="C20" s="128"/>
      <c r="D20" s="121" t="s">
        <v>67</v>
      </c>
      <c r="E20" s="121" t="str">
        <f t="shared" si="2"/>
        <v>$millions</v>
      </c>
      <c r="F20" s="135">
        <f t="shared" ref="F20:F29" si="3">$F$13</f>
        <v>43617</v>
      </c>
      <c r="G20" s="122"/>
      <c r="H20" s="122"/>
      <c r="I20" s="121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20"/>
      <c r="V20" s="5"/>
    </row>
    <row r="21" spans="1:22">
      <c r="A21" s="120"/>
      <c r="B21" s="120"/>
      <c r="C21" s="128"/>
      <c r="D21" s="121" t="s">
        <v>67</v>
      </c>
      <c r="E21" s="121" t="str">
        <f t="shared" si="2"/>
        <v>$millions</v>
      </c>
      <c r="F21" s="135">
        <f t="shared" si="3"/>
        <v>43617</v>
      </c>
      <c r="G21" s="122"/>
      <c r="H21" s="122"/>
      <c r="I21" s="121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20"/>
      <c r="V21" s="5"/>
    </row>
    <row r="22" spans="1:22">
      <c r="A22" s="120"/>
      <c r="B22" s="120"/>
      <c r="C22" s="128"/>
      <c r="D22" s="121" t="s">
        <v>67</v>
      </c>
      <c r="E22" s="121" t="str">
        <f t="shared" si="2"/>
        <v>$millions</v>
      </c>
      <c r="F22" s="135">
        <f t="shared" si="3"/>
        <v>43617</v>
      </c>
      <c r="G22" s="122"/>
      <c r="H22" s="122"/>
      <c r="I22" s="121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20"/>
      <c r="V22" s="5"/>
    </row>
    <row r="23" spans="1:22">
      <c r="A23" s="120"/>
      <c r="B23" s="120"/>
      <c r="C23" s="128"/>
      <c r="D23" s="121" t="s">
        <v>67</v>
      </c>
      <c r="E23" s="121" t="str">
        <f t="shared" si="2"/>
        <v>$millions</v>
      </c>
      <c r="F23" s="135">
        <f t="shared" si="3"/>
        <v>43617</v>
      </c>
      <c r="G23" s="122"/>
      <c r="H23" s="122"/>
      <c r="I23" s="121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20"/>
      <c r="V23" s="5"/>
    </row>
    <row r="24" spans="1:22">
      <c r="A24" s="120"/>
      <c r="B24" s="120"/>
      <c r="C24" s="128"/>
      <c r="D24" s="121" t="s">
        <v>67</v>
      </c>
      <c r="E24" s="121" t="str">
        <f t="shared" si="2"/>
        <v>$millions</v>
      </c>
      <c r="F24" s="135">
        <f t="shared" si="3"/>
        <v>43617</v>
      </c>
      <c r="G24" s="122"/>
      <c r="H24" s="122"/>
      <c r="I24" s="121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20"/>
      <c r="V24" s="5"/>
    </row>
    <row r="25" spans="1:22">
      <c r="A25" s="120"/>
      <c r="B25" s="120"/>
      <c r="C25" s="128"/>
      <c r="D25" s="121" t="s">
        <v>67</v>
      </c>
      <c r="E25" s="121" t="str">
        <f t="shared" si="2"/>
        <v>$millions</v>
      </c>
      <c r="F25" s="135">
        <f t="shared" si="3"/>
        <v>43617</v>
      </c>
      <c r="G25" s="122"/>
      <c r="H25" s="122"/>
      <c r="I25" s="121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20"/>
      <c r="V25" s="5"/>
    </row>
    <row r="26" spans="1:22">
      <c r="A26" s="120"/>
      <c r="B26" s="120"/>
      <c r="C26" s="128"/>
      <c r="D26" s="121" t="s">
        <v>67</v>
      </c>
      <c r="E26" s="121" t="str">
        <f t="shared" si="2"/>
        <v>$millions</v>
      </c>
      <c r="F26" s="135">
        <f t="shared" si="3"/>
        <v>43617</v>
      </c>
      <c r="G26" s="122"/>
      <c r="H26" s="122"/>
      <c r="I26" s="121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20"/>
      <c r="V26" s="5"/>
    </row>
    <row r="27" spans="1:22">
      <c r="A27" s="120"/>
      <c r="B27" s="120"/>
      <c r="C27" s="128"/>
      <c r="D27" s="121" t="s">
        <v>67</v>
      </c>
      <c r="E27" s="121" t="str">
        <f t="shared" si="2"/>
        <v>$millions</v>
      </c>
      <c r="F27" s="135">
        <f t="shared" si="3"/>
        <v>43617</v>
      </c>
      <c r="G27" s="122"/>
      <c r="H27" s="122"/>
      <c r="I27" s="121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20"/>
      <c r="V27" s="5"/>
    </row>
    <row r="28" spans="1:22">
      <c r="A28" s="120"/>
      <c r="B28" s="120"/>
      <c r="C28" s="126"/>
      <c r="D28" s="121"/>
      <c r="E28" s="121"/>
      <c r="F28" s="121"/>
      <c r="G28" s="122"/>
      <c r="H28" s="122"/>
      <c r="I28" s="121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0"/>
      <c r="V28" s="5"/>
    </row>
    <row r="29" spans="1:22">
      <c r="A29" s="120"/>
      <c r="B29" s="120"/>
      <c r="C29" s="131" t="s">
        <v>151</v>
      </c>
      <c r="D29" s="132" t="s">
        <v>30</v>
      </c>
      <c r="E29" s="136" t="str">
        <f>units</f>
        <v>$millions</v>
      </c>
      <c r="F29" s="133">
        <f t="shared" si="3"/>
        <v>43617</v>
      </c>
      <c r="G29" s="122"/>
      <c r="H29" s="122"/>
      <c r="I29" s="121"/>
      <c r="J29" s="134">
        <f>SUM(J19:J27)</f>
        <v>0.49826788009690098</v>
      </c>
      <c r="K29" s="134">
        <f t="shared" ref="K29:S29" si="4">SUM(K19:K27)</f>
        <v>0.49508573937639999</v>
      </c>
      <c r="L29" s="134">
        <f t="shared" si="4"/>
        <v>0.49200104209625101</v>
      </c>
      <c r="M29" s="134">
        <f t="shared" si="4"/>
        <v>0.494891991903884</v>
      </c>
      <c r="N29" s="134">
        <f t="shared" si="4"/>
        <v>0.491087103585441</v>
      </c>
      <c r="O29" s="134">
        <f t="shared" si="4"/>
        <v>0</v>
      </c>
      <c r="P29" s="134">
        <f t="shared" si="4"/>
        <v>0</v>
      </c>
      <c r="Q29" s="134">
        <f t="shared" si="4"/>
        <v>0</v>
      </c>
      <c r="R29" s="134">
        <f t="shared" si="4"/>
        <v>0</v>
      </c>
      <c r="S29" s="134">
        <f t="shared" si="4"/>
        <v>0</v>
      </c>
      <c r="T29" s="134"/>
      <c r="U29" s="120"/>
      <c r="V29" s="58" t="str">
        <f>IF(COUNTIF(J19:S27,"&lt;0")&gt;0,"Check","Ok")</f>
        <v>Ok</v>
      </c>
    </row>
    <row r="30" spans="1:22">
      <c r="A30" s="120"/>
      <c r="B30" s="120"/>
      <c r="C30" s="120"/>
      <c r="D30" s="121"/>
      <c r="E30" s="121"/>
      <c r="F30" s="121"/>
      <c r="G30" s="122"/>
      <c r="H30" s="122"/>
      <c r="I30" s="121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5"/>
    </row>
    <row r="31" spans="1:22" ht="12.75">
      <c r="A31" s="116"/>
      <c r="B31" s="35" t="s">
        <v>55</v>
      </c>
      <c r="C31" s="116"/>
      <c r="D31" s="116"/>
      <c r="E31" s="116"/>
      <c r="F31" s="117"/>
      <c r="G31" s="117"/>
      <c r="H31" s="117"/>
      <c r="I31" s="117"/>
      <c r="J31" s="118"/>
      <c r="K31" s="119"/>
      <c r="L31" s="118"/>
      <c r="M31" s="119"/>
      <c r="N31" s="118"/>
      <c r="O31" s="118"/>
      <c r="P31" s="118"/>
      <c r="Q31" s="118"/>
      <c r="R31" s="118"/>
      <c r="S31" s="118"/>
      <c r="T31" s="118"/>
      <c r="U31" s="118"/>
      <c r="V31" s="33"/>
    </row>
    <row r="32" spans="1:22">
      <c r="A32" s="120"/>
      <c r="B32" s="120"/>
      <c r="C32" s="120"/>
      <c r="D32" s="121"/>
      <c r="E32" s="121"/>
      <c r="F32" s="121"/>
      <c r="G32" s="121"/>
      <c r="H32" s="121"/>
      <c r="I32" s="121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5"/>
    </row>
    <row r="33" spans="1:22">
      <c r="A33" s="120"/>
      <c r="B33" s="120"/>
      <c r="C33" s="120"/>
      <c r="D33" s="121"/>
      <c r="E33" s="121"/>
      <c r="F33" s="121"/>
      <c r="G33" s="121"/>
      <c r="H33" s="121"/>
      <c r="I33" s="121"/>
      <c r="J33" s="130" t="s">
        <v>23</v>
      </c>
      <c r="K33" s="130" t="s">
        <v>23</v>
      </c>
      <c r="L33" s="130" t="s">
        <v>23</v>
      </c>
      <c r="M33" s="130" t="s">
        <v>72</v>
      </c>
      <c r="N33" s="130" t="s">
        <v>72</v>
      </c>
      <c r="O33" s="130"/>
      <c r="P33" s="130"/>
      <c r="Q33" s="130"/>
      <c r="R33" s="130"/>
      <c r="S33" s="130"/>
      <c r="T33" s="130"/>
      <c r="U33" s="120"/>
      <c r="V33" s="5"/>
    </row>
    <row r="34" spans="1:22">
      <c r="A34" s="120"/>
      <c r="B34" s="120"/>
      <c r="C34" s="123" t="s">
        <v>74</v>
      </c>
      <c r="D34" s="122" t="s">
        <v>7</v>
      </c>
      <c r="E34" s="122" t="s">
        <v>8</v>
      </c>
      <c r="F34" s="122" t="s">
        <v>22</v>
      </c>
      <c r="G34" s="122"/>
      <c r="H34" s="122"/>
      <c r="I34" s="122"/>
      <c r="J34" s="124">
        <f t="shared" ref="J34:S34" si="5">IF(YEAR(J$4)&lt;=PPLastYear,J$4,"")</f>
        <v>43983</v>
      </c>
      <c r="K34" s="124">
        <f t="shared" si="5"/>
        <v>44348</v>
      </c>
      <c r="L34" s="124">
        <f t="shared" si="5"/>
        <v>44713</v>
      </c>
      <c r="M34" s="124">
        <f t="shared" si="5"/>
        <v>45078</v>
      </c>
      <c r="N34" s="124">
        <f t="shared" si="5"/>
        <v>45444</v>
      </c>
      <c r="O34" s="124" t="str">
        <f t="shared" si="5"/>
        <v/>
      </c>
      <c r="P34" s="124" t="str">
        <f t="shared" si="5"/>
        <v/>
      </c>
      <c r="Q34" s="124" t="str">
        <f t="shared" si="5"/>
        <v/>
      </c>
      <c r="R34" s="124" t="str">
        <f t="shared" si="5"/>
        <v/>
      </c>
      <c r="S34" s="124" t="str">
        <f t="shared" si="5"/>
        <v/>
      </c>
      <c r="T34" s="124"/>
      <c r="U34" s="125" t="s">
        <v>52</v>
      </c>
      <c r="V34" s="5"/>
    </row>
    <row r="35" spans="1:22">
      <c r="A35" s="120"/>
      <c r="B35" s="120"/>
      <c r="C35" s="126"/>
      <c r="D35" s="121"/>
      <c r="E35" s="121"/>
      <c r="F35" s="121"/>
      <c r="G35" s="122"/>
      <c r="H35" s="122"/>
      <c r="I35" s="121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5"/>
    </row>
    <row r="36" spans="1:22">
      <c r="A36" s="120"/>
      <c r="B36" s="120"/>
      <c r="C36" s="126"/>
      <c r="D36" s="121"/>
      <c r="E36" s="121"/>
      <c r="F36" s="121"/>
      <c r="G36" s="122"/>
      <c r="H36" s="122"/>
      <c r="I36" s="121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5"/>
    </row>
    <row r="37" spans="1:22">
      <c r="A37" s="120"/>
      <c r="B37" s="120"/>
      <c r="C37" s="128" t="s">
        <v>71</v>
      </c>
      <c r="D37" s="121" t="s">
        <v>73</v>
      </c>
      <c r="E37" s="121" t="str">
        <f>units</f>
        <v>$millions</v>
      </c>
      <c r="F37" s="135" t="s">
        <v>97</v>
      </c>
      <c r="G37" s="122"/>
      <c r="H37" s="122"/>
      <c r="I37" s="121"/>
      <c r="J37" s="130">
        <v>53.278416409999998</v>
      </c>
      <c r="K37" s="130">
        <v>54.940209000000003</v>
      </c>
      <c r="L37" s="130">
        <v>59.831431000000002</v>
      </c>
      <c r="M37" s="130">
        <v>64.100639892576012</v>
      </c>
      <c r="N37" s="130">
        <v>69.273673341034552</v>
      </c>
      <c r="O37" s="130"/>
      <c r="P37" s="130"/>
      <c r="Q37" s="130"/>
      <c r="R37" s="130"/>
      <c r="S37" s="130"/>
      <c r="T37" s="130"/>
      <c r="U37" s="120" t="s">
        <v>155</v>
      </c>
      <c r="V37" s="5"/>
    </row>
    <row r="38" spans="1:22">
      <c r="A38" s="120"/>
      <c r="B38" s="120"/>
      <c r="C38" s="126"/>
      <c r="D38" s="121"/>
      <c r="E38" s="121"/>
      <c r="F38" s="135"/>
      <c r="G38" s="122"/>
      <c r="H38" s="122"/>
      <c r="I38" s="121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20"/>
      <c r="V38" s="5"/>
    </row>
    <row r="39" spans="1:22">
      <c r="A39" s="120"/>
      <c r="B39" s="120"/>
      <c r="C39" s="123" t="s">
        <v>162</v>
      </c>
      <c r="D39" s="121"/>
      <c r="E39" s="121"/>
      <c r="F39" s="135"/>
      <c r="G39" s="122"/>
      <c r="H39" s="122"/>
      <c r="I39" s="121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20"/>
      <c r="V39" s="5"/>
    </row>
    <row r="40" spans="1:22">
      <c r="A40" s="120"/>
      <c r="B40" s="120"/>
      <c r="C40" s="123"/>
      <c r="D40" s="121"/>
      <c r="E40" s="121"/>
      <c r="F40" s="135"/>
      <c r="G40" s="122"/>
      <c r="H40" s="122"/>
      <c r="I40" s="121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20"/>
      <c r="V40" s="5"/>
    </row>
    <row r="41" spans="1:22">
      <c r="A41" s="120"/>
      <c r="B41" s="120"/>
      <c r="C41" s="128" t="s">
        <v>159</v>
      </c>
      <c r="D41" s="121" t="s">
        <v>73</v>
      </c>
      <c r="E41" s="121" t="str">
        <f>units</f>
        <v>$millions</v>
      </c>
      <c r="F41" s="135" t="s">
        <v>97</v>
      </c>
      <c r="G41" s="122"/>
      <c r="H41" s="122"/>
      <c r="I41" s="121"/>
      <c r="J41" s="130">
        <v>1.3887580700000004</v>
      </c>
      <c r="K41" s="130">
        <v>0.80393186000000039</v>
      </c>
      <c r="L41" s="130">
        <v>0.74210799999999999</v>
      </c>
      <c r="M41" s="130"/>
      <c r="N41" s="130"/>
      <c r="O41" s="130"/>
      <c r="P41" s="130"/>
      <c r="Q41" s="130"/>
      <c r="R41" s="130"/>
      <c r="S41" s="130"/>
      <c r="T41" s="130"/>
      <c r="U41" s="120" t="s">
        <v>161</v>
      </c>
      <c r="V41" s="5"/>
    </row>
    <row r="42" spans="1:22">
      <c r="A42" s="120"/>
      <c r="B42" s="120"/>
      <c r="C42" s="128" t="s">
        <v>200</v>
      </c>
      <c r="D42" s="121" t="s">
        <v>73</v>
      </c>
      <c r="E42" s="121" t="str">
        <f>units</f>
        <v>$millions</v>
      </c>
      <c r="F42" s="135" t="s">
        <v>97</v>
      </c>
      <c r="G42" s="122"/>
      <c r="H42" s="122"/>
      <c r="I42" s="121"/>
      <c r="J42" s="130">
        <v>0.276034</v>
      </c>
      <c r="K42" s="130">
        <v>0.25217299999999998</v>
      </c>
      <c r="L42" s="130">
        <v>0.40453417999999997</v>
      </c>
      <c r="M42" s="130">
        <v>0.34009512276804266</v>
      </c>
      <c r="N42" s="130">
        <v>0.5315686768864506</v>
      </c>
      <c r="O42" s="130"/>
      <c r="P42" s="130"/>
      <c r="Q42" s="130"/>
      <c r="R42" s="130"/>
      <c r="S42" s="130"/>
      <c r="T42" s="130"/>
      <c r="U42" s="120"/>
      <c r="V42" s="5"/>
    </row>
    <row r="43" spans="1:22">
      <c r="A43" s="120"/>
      <c r="B43" s="120"/>
      <c r="C43" s="128"/>
      <c r="D43" s="121" t="s">
        <v>73</v>
      </c>
      <c r="E43" s="121" t="str">
        <f>units</f>
        <v>$millions</v>
      </c>
      <c r="F43" s="135" t="s">
        <v>97</v>
      </c>
      <c r="G43" s="122"/>
      <c r="H43" s="122"/>
      <c r="I43" s="121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20"/>
      <c r="V43" s="5"/>
    </row>
    <row r="44" spans="1:22">
      <c r="A44" s="120"/>
      <c r="B44" s="120"/>
      <c r="C44" s="128"/>
      <c r="D44" s="121" t="s">
        <v>73</v>
      </c>
      <c r="E44" s="121" t="str">
        <f>units</f>
        <v>$millions</v>
      </c>
      <c r="F44" s="135" t="s">
        <v>97</v>
      </c>
      <c r="G44" s="122"/>
      <c r="H44" s="122"/>
      <c r="I44" s="121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20"/>
      <c r="V44" s="5"/>
    </row>
    <row r="45" spans="1:22">
      <c r="A45" s="120"/>
      <c r="B45" s="120"/>
      <c r="C45" s="128"/>
      <c r="D45" s="121" t="s">
        <v>73</v>
      </c>
      <c r="E45" s="121" t="str">
        <f>units</f>
        <v>$millions</v>
      </c>
      <c r="F45" s="135" t="s">
        <v>97</v>
      </c>
      <c r="G45" s="122"/>
      <c r="H45" s="122"/>
      <c r="I45" s="121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20"/>
      <c r="V45" s="5"/>
    </row>
    <row r="46" spans="1:22">
      <c r="A46" s="120"/>
      <c r="B46" s="120"/>
      <c r="C46" s="126"/>
      <c r="D46" s="121"/>
      <c r="E46" s="121"/>
      <c r="F46" s="121"/>
      <c r="G46" s="122"/>
      <c r="H46" s="122"/>
      <c r="I46" s="121"/>
      <c r="J46" s="120"/>
      <c r="K46" s="120"/>
      <c r="L46" s="120"/>
      <c r="M46" s="120"/>
      <c r="N46" s="137"/>
      <c r="O46" s="137"/>
      <c r="P46" s="137"/>
      <c r="Q46" s="137"/>
      <c r="R46" s="137"/>
      <c r="S46" s="137"/>
      <c r="T46" s="137"/>
      <c r="U46" s="120"/>
      <c r="V46" s="5"/>
    </row>
    <row r="47" spans="1:22">
      <c r="A47" s="120"/>
      <c r="B47" s="120"/>
      <c r="C47" s="131" t="s">
        <v>160</v>
      </c>
      <c r="D47" s="132" t="s">
        <v>30</v>
      </c>
      <c r="E47" s="136" t="str">
        <f>units</f>
        <v>$millions</v>
      </c>
      <c r="F47" s="133" t="s">
        <v>97</v>
      </c>
      <c r="G47" s="122"/>
      <c r="H47" s="122"/>
      <c r="I47" s="121"/>
      <c r="J47" s="134">
        <f>J37-SUM(J41:J45)</f>
        <v>51.613624340000001</v>
      </c>
      <c r="K47" s="134">
        <f t="shared" ref="K47:S47" si="6">K37-SUM(K41:K45)</f>
        <v>53.884104140000005</v>
      </c>
      <c r="L47" s="134">
        <f t="shared" si="6"/>
        <v>58.684788820000001</v>
      </c>
      <c r="M47" s="134">
        <f t="shared" si="6"/>
        <v>63.760544769807971</v>
      </c>
      <c r="N47" s="134">
        <f t="shared" si="6"/>
        <v>68.742104664148101</v>
      </c>
      <c r="O47" s="134">
        <f t="shared" si="6"/>
        <v>0</v>
      </c>
      <c r="P47" s="134">
        <f t="shared" si="6"/>
        <v>0</v>
      </c>
      <c r="Q47" s="134">
        <f t="shared" si="6"/>
        <v>0</v>
      </c>
      <c r="R47" s="134">
        <f t="shared" si="6"/>
        <v>0</v>
      </c>
      <c r="S47" s="134">
        <f t="shared" si="6"/>
        <v>0</v>
      </c>
      <c r="T47" s="134"/>
      <c r="U47" s="120"/>
      <c r="V47" s="5"/>
    </row>
    <row r="48" spans="1:22">
      <c r="A48" s="120"/>
      <c r="B48" s="120"/>
      <c r="C48" s="120"/>
      <c r="D48" s="121"/>
      <c r="E48" s="121"/>
      <c r="F48" s="121"/>
      <c r="G48" s="121"/>
      <c r="H48" s="121"/>
      <c r="I48" s="121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5"/>
    </row>
    <row r="49" spans="1:22">
      <c r="A49" s="120"/>
      <c r="B49" s="120"/>
      <c r="C49" s="123" t="s">
        <v>104</v>
      </c>
      <c r="D49" s="121"/>
      <c r="E49" s="121"/>
      <c r="F49" s="121"/>
      <c r="G49" s="121"/>
      <c r="H49" s="121"/>
      <c r="I49" s="121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5"/>
    </row>
    <row r="50" spans="1:22">
      <c r="A50" s="120"/>
      <c r="B50" s="120"/>
      <c r="C50" s="120"/>
      <c r="D50" s="121"/>
      <c r="E50" s="121"/>
      <c r="F50" s="121"/>
      <c r="G50" s="121"/>
      <c r="H50" s="121"/>
      <c r="I50" s="121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5"/>
    </row>
    <row r="51" spans="1:22">
      <c r="A51" s="120"/>
      <c r="B51" s="120"/>
      <c r="C51" s="128" t="s">
        <v>39</v>
      </c>
      <c r="D51" s="121" t="s">
        <v>73</v>
      </c>
      <c r="E51" s="121" t="str">
        <f>units</f>
        <v>$millions</v>
      </c>
      <c r="F51" s="135" t="s">
        <v>97</v>
      </c>
      <c r="G51" s="122"/>
      <c r="H51" s="122"/>
      <c r="I51" s="121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20" t="s">
        <v>158</v>
      </c>
      <c r="V51" s="5"/>
    </row>
    <row r="52" spans="1:22">
      <c r="A52" s="120"/>
      <c r="B52" s="120"/>
      <c r="C52" s="128"/>
      <c r="D52" s="121" t="s">
        <v>73</v>
      </c>
      <c r="E52" s="121" t="str">
        <f>units</f>
        <v>$millions</v>
      </c>
      <c r="F52" s="135" t="s">
        <v>97</v>
      </c>
      <c r="G52" s="122"/>
      <c r="H52" s="122"/>
      <c r="I52" s="121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20"/>
      <c r="V52" s="5"/>
    </row>
    <row r="53" spans="1:22">
      <c r="A53" s="120"/>
      <c r="B53" s="120"/>
      <c r="C53" s="128"/>
      <c r="D53" s="121" t="s">
        <v>73</v>
      </c>
      <c r="E53" s="121" t="str">
        <f>units</f>
        <v>$millions</v>
      </c>
      <c r="F53" s="135" t="s">
        <v>97</v>
      </c>
      <c r="G53" s="122"/>
      <c r="H53" s="122"/>
      <c r="I53" s="121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20"/>
      <c r="V53" s="5"/>
    </row>
    <row r="54" spans="1:22">
      <c r="A54" s="120"/>
      <c r="B54" s="120"/>
      <c r="C54" s="128"/>
      <c r="D54" s="121" t="s">
        <v>73</v>
      </c>
      <c r="E54" s="121" t="str">
        <f>units</f>
        <v>$millions</v>
      </c>
      <c r="F54" s="135" t="s">
        <v>97</v>
      </c>
      <c r="G54" s="122"/>
      <c r="H54" s="122"/>
      <c r="I54" s="121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20"/>
      <c r="V54" s="5"/>
    </row>
    <row r="55" spans="1:22">
      <c r="A55" s="120"/>
      <c r="B55" s="120"/>
      <c r="C55" s="128"/>
      <c r="D55" s="121" t="s">
        <v>73</v>
      </c>
      <c r="E55" s="121" t="str">
        <f>units</f>
        <v>$millions</v>
      </c>
      <c r="F55" s="135" t="s">
        <v>97</v>
      </c>
      <c r="G55" s="122"/>
      <c r="H55" s="122"/>
      <c r="I55" s="121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0"/>
      <c r="V55" s="5"/>
    </row>
    <row r="56" spans="1:22">
      <c r="A56" s="120"/>
      <c r="B56" s="120"/>
      <c r="C56" s="126"/>
      <c r="D56" s="121"/>
      <c r="E56" s="121"/>
      <c r="F56" s="121"/>
      <c r="G56" s="122"/>
      <c r="H56" s="122"/>
      <c r="I56" s="121"/>
      <c r="J56" s="120"/>
      <c r="K56" s="120"/>
      <c r="L56" s="120"/>
      <c r="M56" s="120"/>
      <c r="N56" s="137"/>
      <c r="O56" s="137"/>
      <c r="P56" s="137"/>
      <c r="Q56" s="137"/>
      <c r="R56" s="137"/>
      <c r="S56" s="137"/>
      <c r="T56" s="137"/>
      <c r="U56" s="120"/>
      <c r="V56" s="5"/>
    </row>
    <row r="57" spans="1:22">
      <c r="A57" s="120"/>
      <c r="B57" s="120"/>
      <c r="C57" s="131" t="s">
        <v>151</v>
      </c>
      <c r="D57" s="132" t="s">
        <v>30</v>
      </c>
      <c r="E57" s="136" t="str">
        <f>units</f>
        <v>$millions</v>
      </c>
      <c r="F57" s="133" t="s">
        <v>97</v>
      </c>
      <c r="G57" s="122"/>
      <c r="H57" s="122"/>
      <c r="I57" s="121"/>
      <c r="J57" s="138">
        <f>SUM(J51:J55)</f>
        <v>0</v>
      </c>
      <c r="K57" s="138">
        <f t="shared" ref="K57:S57" si="7">SUM(K51:K55)</f>
        <v>0</v>
      </c>
      <c r="L57" s="138">
        <f t="shared" si="7"/>
        <v>0</v>
      </c>
      <c r="M57" s="138">
        <f t="shared" si="7"/>
        <v>0</v>
      </c>
      <c r="N57" s="138">
        <f t="shared" si="7"/>
        <v>0</v>
      </c>
      <c r="O57" s="138">
        <f t="shared" si="7"/>
        <v>0</v>
      </c>
      <c r="P57" s="138">
        <f t="shared" si="7"/>
        <v>0</v>
      </c>
      <c r="Q57" s="138">
        <f t="shared" si="7"/>
        <v>0</v>
      </c>
      <c r="R57" s="138">
        <f t="shared" si="7"/>
        <v>0</v>
      </c>
      <c r="S57" s="138">
        <f t="shared" si="7"/>
        <v>0</v>
      </c>
      <c r="T57" s="138"/>
      <c r="U57" s="120"/>
      <c r="V57" s="58" t="str">
        <f>IF(COUNTIF(J51:S55,"&lt;0")&gt;0,"Check","Ok")</f>
        <v>Ok</v>
      </c>
    </row>
    <row r="58" spans="1:22">
      <c r="A58" s="120"/>
      <c r="B58" s="120"/>
      <c r="C58" s="120"/>
      <c r="D58" s="121"/>
      <c r="E58" s="121"/>
      <c r="F58" s="121"/>
      <c r="G58" s="122"/>
      <c r="H58" s="122"/>
      <c r="I58" s="121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5"/>
    </row>
    <row r="59" spans="1:22" ht="12.75">
      <c r="A59" s="116"/>
      <c r="B59" s="35" t="s">
        <v>105</v>
      </c>
      <c r="C59" s="116"/>
      <c r="D59" s="116"/>
      <c r="E59" s="116"/>
      <c r="F59" s="117"/>
      <c r="G59" s="117"/>
      <c r="H59" s="117"/>
      <c r="I59" s="117"/>
      <c r="J59" s="118"/>
      <c r="K59" s="119"/>
      <c r="L59" s="118"/>
      <c r="M59" s="119"/>
      <c r="N59" s="118"/>
      <c r="O59" s="118"/>
      <c r="P59" s="118"/>
      <c r="Q59" s="118"/>
      <c r="R59" s="118"/>
      <c r="S59" s="118"/>
      <c r="T59" s="118"/>
      <c r="U59" s="118"/>
      <c r="V59" s="33"/>
    </row>
    <row r="60" spans="1:22">
      <c r="A60" s="120"/>
      <c r="B60" s="120"/>
      <c r="C60" s="120"/>
      <c r="D60" s="121"/>
      <c r="E60" s="121"/>
      <c r="F60" s="121"/>
      <c r="G60" s="121"/>
      <c r="H60" s="121"/>
      <c r="I60" s="121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5"/>
    </row>
    <row r="61" spans="1:22">
      <c r="A61" s="120"/>
      <c r="B61" s="120"/>
      <c r="C61" s="123" t="s">
        <v>106</v>
      </c>
      <c r="D61" s="122" t="s">
        <v>7</v>
      </c>
      <c r="E61" s="122" t="s">
        <v>8</v>
      </c>
      <c r="F61" s="122" t="s">
        <v>22</v>
      </c>
      <c r="G61" s="122"/>
      <c r="H61" s="122"/>
      <c r="I61" s="122"/>
      <c r="J61" s="124" t="str">
        <f t="shared" ref="J61:T61" si="8">IF(YEAR(J$4)=BaseYear,J$4,"")</f>
        <v/>
      </c>
      <c r="K61" s="124" t="str">
        <f t="shared" si="8"/>
        <v/>
      </c>
      <c r="L61" s="124">
        <f t="shared" si="8"/>
        <v>44713</v>
      </c>
      <c r="M61" s="124" t="str">
        <f t="shared" si="8"/>
        <v/>
      </c>
      <c r="N61" s="124" t="str">
        <f t="shared" si="8"/>
        <v/>
      </c>
      <c r="O61" s="124" t="str">
        <f t="shared" si="8"/>
        <v/>
      </c>
      <c r="P61" s="124" t="str">
        <f t="shared" si="8"/>
        <v/>
      </c>
      <c r="Q61" s="124" t="str">
        <f t="shared" si="8"/>
        <v/>
      </c>
      <c r="R61" s="124" t="str">
        <f t="shared" si="8"/>
        <v/>
      </c>
      <c r="S61" s="124" t="str">
        <f t="shared" si="8"/>
        <v/>
      </c>
      <c r="T61" s="124" t="str">
        <f t="shared" si="8"/>
        <v/>
      </c>
      <c r="U61" s="120"/>
      <c r="V61" s="5"/>
    </row>
    <row r="62" spans="1:22">
      <c r="A62" s="120"/>
      <c r="B62" s="120"/>
      <c r="C62" s="123"/>
      <c r="D62" s="122"/>
      <c r="E62" s="122"/>
      <c r="F62" s="122"/>
      <c r="G62" s="122"/>
      <c r="H62" s="122"/>
      <c r="I62" s="122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20"/>
      <c r="V62" s="5"/>
    </row>
    <row r="63" spans="1:22">
      <c r="A63" s="120"/>
      <c r="B63" s="120"/>
      <c r="C63" s="128" t="s">
        <v>205</v>
      </c>
      <c r="D63" s="121" t="s">
        <v>34</v>
      </c>
      <c r="E63" s="121" t="str">
        <f>units</f>
        <v>$millions</v>
      </c>
      <c r="F63" s="135" t="s">
        <v>97</v>
      </c>
      <c r="G63" s="122"/>
      <c r="H63" s="122"/>
      <c r="I63" s="122"/>
      <c r="J63" s="130"/>
      <c r="K63" s="130"/>
      <c r="L63" s="130">
        <v>-0.51056221517357325</v>
      </c>
      <c r="M63" s="130"/>
      <c r="N63" s="130"/>
      <c r="O63" s="130"/>
      <c r="P63" s="130"/>
      <c r="Q63" s="130"/>
      <c r="R63" s="130"/>
      <c r="S63" s="130"/>
      <c r="T63" s="130"/>
      <c r="U63" s="120" t="s">
        <v>164</v>
      </c>
      <c r="V63" s="5"/>
    </row>
    <row r="64" spans="1:22">
      <c r="A64" s="120"/>
      <c r="B64" s="120"/>
      <c r="C64" s="128" t="s">
        <v>107</v>
      </c>
      <c r="D64" s="121" t="s">
        <v>34</v>
      </c>
      <c r="E64" s="121" t="str">
        <f>units</f>
        <v>$millions</v>
      </c>
      <c r="F64" s="140">
        <f>DATE(PPLastYear,MONTH(month),1)</f>
        <v>45444</v>
      </c>
      <c r="G64" s="122"/>
      <c r="H64" s="122"/>
      <c r="I64" s="122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23"/>
      <c r="V64" s="5"/>
    </row>
    <row r="65" spans="1:22">
      <c r="A65" s="120"/>
      <c r="B65" s="120"/>
      <c r="C65" s="128" t="s">
        <v>108</v>
      </c>
      <c r="D65" s="121" t="s">
        <v>34</v>
      </c>
      <c r="E65" s="121" t="str">
        <f>units</f>
        <v>$millions</v>
      </c>
      <c r="F65" s="140">
        <f>DATE(PPLastYear,MONTH(month),1)</f>
        <v>45444</v>
      </c>
      <c r="G65" s="122"/>
      <c r="H65" s="122"/>
      <c r="I65" s="122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23"/>
      <c r="V65" s="5"/>
    </row>
    <row r="66" spans="1:22">
      <c r="A66" s="120"/>
      <c r="B66" s="120"/>
      <c r="C66" s="128" t="s">
        <v>109</v>
      </c>
      <c r="D66" s="121" t="s">
        <v>34</v>
      </c>
      <c r="E66" s="121" t="str">
        <f>units</f>
        <v>$millions</v>
      </c>
      <c r="F66" s="140">
        <f>DATE(PPLastYear,MONTH(month),1)</f>
        <v>45444</v>
      </c>
      <c r="G66" s="122"/>
      <c r="H66" s="122"/>
      <c r="I66" s="122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23"/>
      <c r="V66" s="5"/>
    </row>
    <row r="67" spans="1:22">
      <c r="A67" s="120"/>
      <c r="B67" s="120"/>
      <c r="C67" s="128" t="s">
        <v>110</v>
      </c>
      <c r="D67" s="121" t="s">
        <v>34</v>
      </c>
      <c r="E67" s="121" t="str">
        <f>units</f>
        <v>$millions</v>
      </c>
      <c r="F67" s="140">
        <f>DATE(PPLastYear,MONTH(month),1)</f>
        <v>45444</v>
      </c>
      <c r="G67" s="122"/>
      <c r="H67" s="122"/>
      <c r="I67" s="122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23"/>
      <c r="V67" s="5"/>
    </row>
    <row r="68" spans="1:22">
      <c r="A68" s="120"/>
      <c r="B68" s="120"/>
      <c r="C68" s="141"/>
      <c r="D68" s="121"/>
      <c r="E68" s="121"/>
      <c r="F68" s="122"/>
      <c r="G68" s="122"/>
      <c r="H68" s="122"/>
      <c r="I68" s="12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23"/>
      <c r="V68" s="5"/>
    </row>
    <row r="69" spans="1:22">
      <c r="A69" s="120"/>
      <c r="B69" s="120"/>
      <c r="C69" s="143" t="s">
        <v>86</v>
      </c>
      <c r="D69" s="121" t="s">
        <v>34</v>
      </c>
      <c r="E69" s="121" t="s">
        <v>31</v>
      </c>
      <c r="F69" s="122"/>
      <c r="G69" s="122"/>
      <c r="H69" s="122"/>
      <c r="I69" s="122"/>
      <c r="J69" s="144"/>
      <c r="K69" s="144"/>
      <c r="L69" s="144">
        <v>-0.15690749050192312</v>
      </c>
      <c r="M69" s="144"/>
      <c r="N69" s="144"/>
      <c r="O69" s="144"/>
      <c r="P69" s="144"/>
      <c r="Q69" s="144"/>
      <c r="R69" s="144"/>
      <c r="S69" s="144"/>
      <c r="T69" s="144"/>
      <c r="U69" s="123"/>
      <c r="V69" s="5"/>
    </row>
    <row r="70" spans="1:22">
      <c r="A70" s="120"/>
      <c r="B70" s="120"/>
      <c r="C70" s="126"/>
      <c r="D70" s="121"/>
      <c r="E70" s="121"/>
      <c r="F70" s="121"/>
      <c r="G70" s="122"/>
      <c r="H70" s="122"/>
      <c r="I70" s="121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5"/>
    </row>
    <row r="71" spans="1:22" ht="12.75">
      <c r="A71" s="116"/>
      <c r="B71" s="35" t="s">
        <v>21</v>
      </c>
      <c r="C71" s="116"/>
      <c r="D71" s="116"/>
      <c r="E71" s="116"/>
      <c r="F71" s="117"/>
      <c r="G71" s="117"/>
      <c r="H71" s="117"/>
      <c r="I71" s="117"/>
      <c r="J71" s="118"/>
      <c r="K71" s="119"/>
      <c r="L71" s="118"/>
      <c r="M71" s="119"/>
      <c r="N71" s="118"/>
      <c r="O71" s="118"/>
      <c r="P71" s="118"/>
      <c r="Q71" s="118"/>
      <c r="R71" s="118"/>
      <c r="S71" s="118"/>
      <c r="T71" s="118"/>
      <c r="U71" s="118"/>
      <c r="V71" s="33"/>
    </row>
  </sheetData>
  <conditionalFormatting sqref="V37 V51:V55 V41:V45">
    <cfRule type="cellIs" dxfId="206" priority="67" operator="equal">
      <formula>"Check"</formula>
    </cfRule>
    <cfRule type="cellIs" dxfId="205" priority="68" operator="equal">
      <formula>"Ok"</formula>
    </cfRule>
  </conditionalFormatting>
  <conditionalFormatting sqref="V57">
    <cfRule type="cellIs" dxfId="204" priority="65" operator="equal">
      <formula>"Check"</formula>
    </cfRule>
    <cfRule type="cellIs" dxfId="203" priority="66" operator="equal">
      <formula>"Ok"</formula>
    </cfRule>
  </conditionalFormatting>
  <conditionalFormatting sqref="V15">
    <cfRule type="cellIs" dxfId="202" priority="63" operator="equal">
      <formula>"Check"</formula>
    </cfRule>
    <cfRule type="cellIs" dxfId="201" priority="64" operator="equal">
      <formula>"Ok"</formula>
    </cfRule>
  </conditionalFormatting>
  <conditionalFormatting sqref="V1">
    <cfRule type="cellIs" dxfId="200" priority="61" operator="equal">
      <formula>"Check"</formula>
    </cfRule>
    <cfRule type="cellIs" dxfId="199" priority="62" operator="equal">
      <formula>"Ok"</formula>
    </cfRule>
  </conditionalFormatting>
  <conditionalFormatting sqref="S1">
    <cfRule type="cellIs" dxfId="198" priority="59" operator="equal">
      <formula>"Check"</formula>
    </cfRule>
    <cfRule type="cellIs" dxfId="197" priority="60" operator="equal">
      <formula>"Ok"</formula>
    </cfRule>
  </conditionalFormatting>
  <conditionalFormatting sqref="J15:N15">
    <cfRule type="cellIs" dxfId="196" priority="58" operator="equal">
      <formula>0</formula>
    </cfRule>
  </conditionalFormatting>
  <conditionalFormatting sqref="J57:N57">
    <cfRule type="cellIs" dxfId="195" priority="57" operator="equal">
      <formula>0</formula>
    </cfRule>
  </conditionalFormatting>
  <conditionalFormatting sqref="V48:V50">
    <cfRule type="cellIs" dxfId="194" priority="55" operator="equal">
      <formula>"Check"</formula>
    </cfRule>
    <cfRule type="cellIs" dxfId="193" priority="56" operator="equal">
      <formula>"Ok"</formula>
    </cfRule>
  </conditionalFormatting>
  <conditionalFormatting sqref="J33:N33 N37 J54:J55 J41:N41 J51:N51 N42:N45 J41:L45">
    <cfRule type="expression" dxfId="192" priority="53">
      <formula>J$34=J$4</formula>
    </cfRule>
  </conditionalFormatting>
  <conditionalFormatting sqref="J20:N27 J13:O13">
    <cfRule type="expression" dxfId="191" priority="52">
      <formula>J$10=J$4</formula>
    </cfRule>
  </conditionalFormatting>
  <conditionalFormatting sqref="M37:N37">
    <cfRule type="expression" dxfId="190" priority="49">
      <formula>M$10=M$4</formula>
    </cfRule>
  </conditionalFormatting>
  <conditionalFormatting sqref="V47">
    <cfRule type="cellIs" dxfId="189" priority="47" operator="equal">
      <formula>"Check"</formula>
    </cfRule>
    <cfRule type="cellIs" dxfId="188" priority="48" operator="equal">
      <formula>"Ok"</formula>
    </cfRule>
  </conditionalFormatting>
  <conditionalFormatting sqref="J47:N47">
    <cfRule type="cellIs" dxfId="187" priority="45" operator="equal">
      <formula>0</formula>
    </cfRule>
  </conditionalFormatting>
  <conditionalFormatting sqref="J69:T69 J63:N67">
    <cfRule type="expression" dxfId="186" priority="44">
      <formula>J$61=J$4</formula>
    </cfRule>
  </conditionalFormatting>
  <conditionalFormatting sqref="V29">
    <cfRule type="cellIs" dxfId="185" priority="40" operator="equal">
      <formula>"Check"</formula>
    </cfRule>
    <cfRule type="cellIs" dxfId="184" priority="41" operator="equal">
      <formula>"Ok"</formula>
    </cfRule>
  </conditionalFormatting>
  <conditionalFormatting sqref="J29:N29">
    <cfRule type="cellIs" dxfId="183" priority="39" operator="equal">
      <formula>0</formula>
    </cfRule>
  </conditionalFormatting>
  <conditionalFormatting sqref="T1">
    <cfRule type="cellIs" dxfId="182" priority="32" operator="equal">
      <formula>"Check"</formula>
    </cfRule>
    <cfRule type="cellIs" dxfId="181" priority="33" operator="equal">
      <formula>"Ok"</formula>
    </cfRule>
  </conditionalFormatting>
  <conditionalFormatting sqref="O57:T57">
    <cfRule type="cellIs" dxfId="180" priority="14" operator="equal">
      <formula>0</formula>
    </cfRule>
  </conditionalFormatting>
  <conditionalFormatting sqref="O37:T37">
    <cfRule type="expression" dxfId="179" priority="11">
      <formula>O$10=O$4</formula>
    </cfRule>
  </conditionalFormatting>
  <conditionalFormatting sqref="O47:T47">
    <cfRule type="cellIs" dxfId="178" priority="10" operator="equal">
      <formula>0</formula>
    </cfRule>
  </conditionalFormatting>
  <conditionalFormatting sqref="O63:T67">
    <cfRule type="expression" dxfId="177" priority="9">
      <formula>O$61=O$4</formula>
    </cfRule>
  </conditionalFormatting>
  <conditionalFormatting sqref="O29:T29">
    <cfRule type="cellIs" dxfId="176" priority="8" operator="equal">
      <formula>0</formula>
    </cfRule>
  </conditionalFormatting>
  <conditionalFormatting sqref="O15:T15">
    <cfRule type="cellIs" dxfId="175" priority="15" operator="equal">
      <formula>0</formula>
    </cfRule>
  </conditionalFormatting>
  <conditionalFormatting sqref="O41:T45 O33:T33 O37:T37 O51:T51 O54:T55 P52:T53">
    <cfRule type="expression" dxfId="174" priority="13">
      <formula>O$34=O$4</formula>
    </cfRule>
  </conditionalFormatting>
  <conditionalFormatting sqref="P13:T13 O20:T27 P19:T19">
    <cfRule type="expression" dxfId="173" priority="12">
      <formula>O$10=O$4</formula>
    </cfRule>
  </conditionalFormatting>
  <conditionalFormatting sqref="J19:O19">
    <cfRule type="expression" dxfId="172" priority="7">
      <formula>J$10=J$4</formula>
    </cfRule>
  </conditionalFormatting>
  <conditionalFormatting sqref="J53 O52:O53 K53:N55">
    <cfRule type="expression" dxfId="171" priority="6">
      <formula>J$34=J$4</formula>
    </cfRule>
  </conditionalFormatting>
  <conditionalFormatting sqref="M42:M45">
    <cfRule type="expression" dxfId="170" priority="5">
      <formula>M$34=M$4</formula>
    </cfRule>
  </conditionalFormatting>
  <conditionalFormatting sqref="J52:M52">
    <cfRule type="expression" dxfId="169" priority="3">
      <formula>J$34=J$4</formula>
    </cfRule>
  </conditionalFormatting>
  <conditionalFormatting sqref="N52">
    <cfRule type="expression" dxfId="168" priority="2">
      <formula>N$34=N$4</formula>
    </cfRule>
  </conditionalFormatting>
  <conditionalFormatting sqref="J37:L37">
    <cfRule type="expression" dxfId="167" priority="1">
      <formula>J$10=J$4</formula>
    </cfRule>
  </conditionalFormatting>
  <dataValidations disablePrompts="1" count="1">
    <dataValidation type="list" allowBlank="1" showInputMessage="1" showErrorMessage="1" sqref="J33:T33" xr:uid="{00000000-0002-0000-0300-000000000000}">
      <formula1>"Actual,Estimate"</formula1>
    </dataValidation>
  </dataValidations>
  <hyperlinks>
    <hyperlink ref="J1" location="Index!A1" display="Back to Index" xr:uid="{00000000-0004-0000-0300-000000000000}"/>
    <hyperlink ref="U1" location="'Check|List'!A1" display="Overall Check:" xr:uid="{00000000-0004-0000-03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X119"/>
  <sheetViews>
    <sheetView showGridLines="0" topLeftCell="A38" zoomScale="110" zoomScaleNormal="110" workbookViewId="0">
      <selection activeCell="N60" sqref="N60"/>
    </sheetView>
  </sheetViews>
  <sheetFormatPr defaultColWidth="0" defaultRowHeight="11.25" zeroHeight="1" outlineLevelRow="1"/>
  <cols>
    <col min="1" max="2" width="1.5" style="5" customWidth="1"/>
    <col min="3" max="3" width="57.5" style="5" bestFit="1" customWidth="1"/>
    <col min="4" max="4" width="27.6640625" style="13" customWidth="1"/>
    <col min="5" max="5" width="15.83203125" style="13" customWidth="1"/>
    <col min="6" max="6" width="10.6640625" style="13" customWidth="1"/>
    <col min="7" max="9" width="3.33203125" style="13" customWidth="1"/>
    <col min="10" max="10" width="10.83203125" style="13" customWidth="1"/>
    <col min="11" max="24" width="10.83203125" style="5" customWidth="1"/>
    <col min="25" max="34" width="10.5" style="5" hidden="1" customWidth="1"/>
    <col min="35" max="16384" width="10.5" style="5" hidden="1"/>
  </cols>
  <sheetData>
    <row r="1" spans="1:24" s="25" customFormat="1" ht="15.75">
      <c r="B1" s="22" t="str">
        <f>Index!$B$1</f>
        <v>AER opex model - version: Evoenergy 24-29 DD</v>
      </c>
      <c r="C1" s="22"/>
      <c r="D1" s="22"/>
      <c r="E1" s="22"/>
      <c r="F1" s="23"/>
      <c r="G1" s="23"/>
      <c r="H1" s="23"/>
      <c r="I1" s="23"/>
      <c r="J1" s="23"/>
      <c r="K1" s="24" t="s">
        <v>2</v>
      </c>
      <c r="M1" s="26" t="s">
        <v>3</v>
      </c>
      <c r="N1" s="41" t="s">
        <v>4</v>
      </c>
      <c r="O1" s="8" t="s">
        <v>5</v>
      </c>
      <c r="P1" s="9" t="s">
        <v>6</v>
      </c>
      <c r="S1" s="26" t="s">
        <v>80</v>
      </c>
      <c r="T1" s="27" t="str">
        <f>IF(COUNTIF(X5:X118,"Check")=0,"Ok","Check")</f>
        <v>Ok</v>
      </c>
      <c r="U1" s="27"/>
      <c r="W1" s="103" t="s">
        <v>24</v>
      </c>
      <c r="X1" s="27" t="str">
        <f ca="1">'Check|List'!$S$1</f>
        <v>Ok</v>
      </c>
    </row>
    <row r="2" spans="1:24" s="29" customFormat="1" ht="13.5" thickBot="1">
      <c r="B2" s="28" t="str">
        <f>Index!$C$10</f>
        <v>Input | Rate of change</v>
      </c>
      <c r="C2" s="28"/>
      <c r="D2" s="28"/>
      <c r="E2" s="28"/>
      <c r="F2" s="48"/>
      <c r="G2" s="48"/>
      <c r="H2" s="48"/>
      <c r="I2" s="48"/>
      <c r="J2" s="48"/>
    </row>
    <row r="3" spans="1:24" s="49" customFormat="1">
      <c r="D3" s="100"/>
      <c r="E3" s="100"/>
      <c r="F3" s="100"/>
      <c r="G3" s="100"/>
      <c r="H3" s="100"/>
      <c r="I3" s="100"/>
      <c r="J3" s="89" t="s">
        <v>114</v>
      </c>
      <c r="K3" s="202"/>
      <c r="L3" s="202"/>
      <c r="M3" s="202"/>
      <c r="N3" s="100"/>
      <c r="O3" s="202"/>
      <c r="P3" s="202"/>
      <c r="Q3" s="202"/>
      <c r="R3" s="202"/>
      <c r="S3" s="202"/>
      <c r="T3" s="202"/>
      <c r="U3" s="100"/>
      <c r="V3" s="50"/>
      <c r="W3" s="50"/>
      <c r="X3" s="50"/>
    </row>
    <row r="4" spans="1:24" s="57" customFormat="1" ht="10.5">
      <c r="A4" s="51"/>
      <c r="B4" s="51"/>
      <c r="C4" s="51"/>
      <c r="D4" s="52" t="s">
        <v>7</v>
      </c>
      <c r="E4" s="52" t="s">
        <v>8</v>
      </c>
      <c r="F4" s="145" t="s">
        <v>22</v>
      </c>
      <c r="G4" s="146"/>
      <c r="H4" s="146"/>
      <c r="I4" s="146"/>
      <c r="J4" s="87">
        <f>DATE(PPFirstYear-1,MONTH('Input|General'!$G$9),1)</f>
        <v>43617</v>
      </c>
      <c r="K4" s="87">
        <f>DATE(PPFirstYear,MONTH('Input|General'!$G$9),1)</f>
        <v>43983</v>
      </c>
      <c r="L4" s="87">
        <f>DATE(PPFirstYear+1,MONTH('Input|General'!$G$9),1)</f>
        <v>44348</v>
      </c>
      <c r="M4" s="87">
        <f>DATE(PPFirstYear+2,MONTH('Input|General'!$G$9),1)</f>
        <v>44713</v>
      </c>
      <c r="N4" s="87">
        <f>DATE(PPFirstYear+3,MONTH('Input|General'!$G$9),1)</f>
        <v>45078</v>
      </c>
      <c r="O4" s="87">
        <f>DATE(PPFirstYear+4,MONTH('Input|General'!$G$9),1)</f>
        <v>45444</v>
      </c>
      <c r="P4" s="87">
        <f>DATE(PPFirstYear+5,MONTH('Input|General'!$G$9),1)</f>
        <v>45809</v>
      </c>
      <c r="Q4" s="87">
        <f>DATE(PPFirstYear+6,MONTH('Input|General'!$G$9),1)</f>
        <v>46174</v>
      </c>
      <c r="R4" s="87">
        <f>DATE(PPFirstYear+7,MONTH('Input|General'!$G$9),1)</f>
        <v>46539</v>
      </c>
      <c r="S4" s="87">
        <f>DATE(PPFirstYear+8,MONTH('Input|General'!$G$9),1)</f>
        <v>46905</v>
      </c>
      <c r="T4" s="87">
        <f>DATE(PPFirstYear+9,MONTH('Input|General'!$G$9),1)</f>
        <v>47270</v>
      </c>
      <c r="U4" s="87">
        <f>DATE(PPFirstYear+10,MONTH('Input|General'!$G$9),1)</f>
        <v>47635</v>
      </c>
      <c r="V4" s="55"/>
      <c r="W4" s="55"/>
      <c r="X4" s="56"/>
    </row>
    <row r="5" spans="1:24" s="3" customFormat="1" ht="3" customHeight="1">
      <c r="A5" s="147"/>
      <c r="B5" s="147"/>
      <c r="C5" s="147"/>
      <c r="D5" s="148"/>
      <c r="E5" s="148"/>
      <c r="F5" s="148"/>
      <c r="G5" s="148"/>
      <c r="H5" s="148"/>
      <c r="I5" s="148"/>
      <c r="J5" s="148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</row>
    <row r="6" spans="1:24" s="3" customFormat="1" ht="9" customHeight="1">
      <c r="A6" s="147"/>
      <c r="B6" s="147"/>
      <c r="C6" s="147"/>
      <c r="D6" s="148"/>
      <c r="E6" s="148"/>
      <c r="F6" s="148"/>
      <c r="G6" s="148"/>
      <c r="H6" s="148"/>
      <c r="I6" s="148"/>
      <c r="J6" s="148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</row>
    <row r="7" spans="1:24" s="3" customFormat="1" ht="3" customHeight="1">
      <c r="A7" s="147"/>
      <c r="B7" s="147"/>
      <c r="C7" s="147"/>
      <c r="D7" s="148"/>
      <c r="E7" s="148"/>
      <c r="F7" s="148"/>
      <c r="G7" s="148"/>
      <c r="H7" s="148"/>
      <c r="I7" s="148"/>
      <c r="J7" s="148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24" customFormat="1" ht="12.75">
      <c r="A8" s="116"/>
      <c r="B8" s="35" t="s">
        <v>35</v>
      </c>
      <c r="C8" s="116"/>
      <c r="D8" s="116"/>
      <c r="E8" s="116"/>
      <c r="F8" s="117"/>
      <c r="G8" s="117"/>
      <c r="H8" s="117"/>
      <c r="I8" s="117"/>
      <c r="J8" s="117"/>
      <c r="K8" s="118"/>
      <c r="L8" s="119"/>
      <c r="M8" s="118"/>
      <c r="N8" s="119"/>
      <c r="O8" s="118"/>
      <c r="P8" s="118"/>
      <c r="Q8" s="118"/>
      <c r="R8" s="118"/>
      <c r="S8" s="118"/>
      <c r="T8" s="118"/>
      <c r="U8" s="118"/>
      <c r="V8" s="118"/>
      <c r="W8" s="118"/>
      <c r="X8" s="33"/>
    </row>
    <row r="9" spans="1:24" ht="11.25" customHeight="1" outlineLevel="1">
      <c r="A9" s="120"/>
      <c r="B9" s="120"/>
      <c r="C9" s="120"/>
      <c r="D9" s="121"/>
      <c r="E9" s="121"/>
      <c r="F9" s="121"/>
      <c r="G9" s="121"/>
      <c r="H9" s="121"/>
      <c r="I9" s="121"/>
      <c r="J9" s="121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4" ht="11.25" customHeight="1" outlineLevel="1">
      <c r="A10" s="120"/>
      <c r="B10" s="120"/>
      <c r="C10" s="123" t="s">
        <v>33</v>
      </c>
      <c r="D10" s="121"/>
      <c r="E10" s="121"/>
      <c r="F10" s="121"/>
      <c r="G10" s="121"/>
      <c r="H10" s="121"/>
      <c r="I10" s="121"/>
      <c r="J10" s="124">
        <f t="shared" ref="J10:T10" si="0">IF(YEAR(J$4)&lt;=PPLastYear,J$4,"")</f>
        <v>43617</v>
      </c>
      <c r="K10" s="124">
        <f t="shared" si="0"/>
        <v>43983</v>
      </c>
      <c r="L10" s="124">
        <f t="shared" si="0"/>
        <v>44348</v>
      </c>
      <c r="M10" s="124">
        <f t="shared" si="0"/>
        <v>44713</v>
      </c>
      <c r="N10" s="124">
        <f t="shared" si="0"/>
        <v>45078</v>
      </c>
      <c r="O10" s="124">
        <f t="shared" si="0"/>
        <v>45444</v>
      </c>
      <c r="P10" s="124" t="str">
        <f t="shared" si="0"/>
        <v/>
      </c>
      <c r="Q10" s="124" t="str">
        <f t="shared" si="0"/>
        <v/>
      </c>
      <c r="R10" s="124" t="str">
        <f t="shared" si="0"/>
        <v/>
      </c>
      <c r="S10" s="124" t="str">
        <f t="shared" si="0"/>
        <v/>
      </c>
      <c r="T10" s="124" t="str">
        <f t="shared" si="0"/>
        <v/>
      </c>
      <c r="U10" s="139"/>
      <c r="V10" s="120"/>
      <c r="W10" s="120"/>
    </row>
    <row r="11" spans="1:24" ht="11.25" customHeight="1" outlineLevel="1">
      <c r="A11" s="120"/>
      <c r="B11" s="120"/>
      <c r="C11" s="123"/>
      <c r="D11" s="121"/>
      <c r="E11" s="121"/>
      <c r="F11" s="121"/>
      <c r="G11" s="121"/>
      <c r="H11" s="121"/>
      <c r="I11" s="121"/>
      <c r="J11" s="120"/>
      <c r="K11" s="120"/>
      <c r="L11" s="120"/>
      <c r="M11" s="120"/>
      <c r="N11" s="120"/>
      <c r="O11" s="120"/>
      <c r="P11" s="149"/>
      <c r="Q11" s="149"/>
      <c r="R11" s="149"/>
      <c r="S11" s="149"/>
      <c r="T11" s="149"/>
      <c r="U11" s="149"/>
      <c r="V11" s="150"/>
      <c r="W11" s="150"/>
      <c r="X11" s="11"/>
    </row>
    <row r="12" spans="1:24" ht="11.25" customHeight="1" outlineLevel="1">
      <c r="A12" s="120"/>
      <c r="B12" s="120"/>
      <c r="C12" s="126" t="s">
        <v>33</v>
      </c>
      <c r="D12" s="151" t="s">
        <v>95</v>
      </c>
      <c r="E12" s="121" t="str">
        <f>percent</f>
        <v>Per cent</v>
      </c>
      <c r="F12" s="121"/>
      <c r="G12" s="121"/>
      <c r="H12" s="121"/>
      <c r="I12" s="121"/>
      <c r="J12" s="149">
        <f>IF(J10=J4,LOOKUP(EOMONTH(J4,0),'Input|Inflation'!$C$9:$C$84,'Input|Inflation'!$I$9:$I$84),"")</f>
        <v>1.5929203539823078E-2</v>
      </c>
      <c r="K12" s="149">
        <f>IF(K10=K4,LOOKUP(EOMONTH(K4,0),'Input|Inflation'!$C$9:$C$84,'Input|Inflation'!$I$9:$I$84),"")</f>
        <v>-3.4843205574912606E-3</v>
      </c>
      <c r="L12" s="149">
        <f>IF(L10=L4,LOOKUP(EOMONTH(L4,0),'Input|Inflation'!$C$9:$C$84,'Input|Inflation'!$I$9:$I$84),"")</f>
        <v>3.8461538461538325E-2</v>
      </c>
      <c r="M12" s="149">
        <f>IF(M10=M4,LOOKUP(EOMONTH(M4,0),'Input|Inflation'!$C$9:$C$84,'Input|Inflation'!$I$9:$I$84),"")</f>
        <v>6.1447811447811418E-2</v>
      </c>
      <c r="N12" s="149">
        <f>IF(N10=N4,LOOKUP(EOMONTH(N4,0),'Input|Inflation'!$C$9:$C$84,'Input|Inflation'!$I$9:$I$84),"")</f>
        <v>6.0269627279936566E-2</v>
      </c>
      <c r="O12" s="149">
        <f>IF(O10=O4,LOOKUP(EOMONTH(O4,0),'Input|Inflation'!$C$9:$C$84,'Input|Inflation'!$I$9:$I$84),"")</f>
        <v>3.6000000000000032E-2</v>
      </c>
      <c r="P12" s="149" t="str">
        <f>IF(P10=P4,LOOKUP(EOMONTH(P4,0),'Input|Inflation'!$C$9:$C$84,'Input|Inflation'!$I$9:$I$84),"")</f>
        <v/>
      </c>
      <c r="Q12" s="149" t="str">
        <f>IF(Q10=Q4,LOOKUP(EOMONTH(Q4,0),'Input|Inflation'!$C$9:$C$84,'Input|Inflation'!$I$9:$I$84),"")</f>
        <v/>
      </c>
      <c r="R12" s="149" t="str">
        <f>IF(R10=R4,LOOKUP(EOMONTH(R4,0),'Input|Inflation'!$C$9:$C$84,'Input|Inflation'!$I$9:$I$84),"")</f>
        <v/>
      </c>
      <c r="S12" s="149" t="str">
        <f>IF(S10=S4,LOOKUP(EOMONTH(S4,0),'Input|Inflation'!$C$9:$C$84,'Input|Inflation'!$I$9:$I$84),"")</f>
        <v/>
      </c>
      <c r="T12" s="149" t="str">
        <f>IF(T10=T4,LOOKUP(EOMONTH(T4,0),'Input|Inflation'!$C$9:$C$84,'Input|Inflation'!$I$9:$I$84),"")</f>
        <v/>
      </c>
      <c r="U12" s="149"/>
      <c r="V12" s="152"/>
      <c r="W12" s="120"/>
    </row>
    <row r="13" spans="1:24" ht="11.25" customHeight="1" outlineLevel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4" ht="11.25" customHeight="1" outlineLevel="1">
      <c r="A14" s="120"/>
      <c r="B14" s="120"/>
      <c r="C14" s="123" t="s">
        <v>96</v>
      </c>
      <c r="D14" s="121"/>
      <c r="E14" s="121"/>
      <c r="F14" s="121"/>
      <c r="G14" s="121"/>
      <c r="H14" s="121"/>
      <c r="I14" s="120"/>
      <c r="J14" s="124">
        <f t="shared" ref="J14:T14" si="1">IF(YEAR(J$4)&lt;=PPLastYear,J$4,"")</f>
        <v>43617</v>
      </c>
      <c r="K14" s="124">
        <f t="shared" si="1"/>
        <v>43983</v>
      </c>
      <c r="L14" s="124">
        <f t="shared" si="1"/>
        <v>44348</v>
      </c>
      <c r="M14" s="124">
        <f t="shared" si="1"/>
        <v>44713</v>
      </c>
      <c r="N14" s="124">
        <f t="shared" si="1"/>
        <v>45078</v>
      </c>
      <c r="O14" s="124">
        <f t="shared" si="1"/>
        <v>45444</v>
      </c>
      <c r="P14" s="124" t="str">
        <f t="shared" si="1"/>
        <v/>
      </c>
      <c r="Q14" s="124" t="str">
        <f t="shared" si="1"/>
        <v/>
      </c>
      <c r="R14" s="124" t="str">
        <f t="shared" si="1"/>
        <v/>
      </c>
      <c r="S14" s="124" t="str">
        <f t="shared" si="1"/>
        <v/>
      </c>
      <c r="T14" s="124" t="str">
        <f t="shared" si="1"/>
        <v/>
      </c>
      <c r="U14" s="139"/>
      <c r="V14" s="120"/>
      <c r="W14" s="120"/>
    </row>
    <row r="15" spans="1:24" ht="11.25" customHeight="1" outlineLevel="1">
      <c r="A15" s="120"/>
      <c r="B15" s="120"/>
      <c r="C15" s="123"/>
      <c r="D15" s="121"/>
      <c r="E15" s="121"/>
      <c r="F15" s="121"/>
      <c r="G15" s="121"/>
      <c r="H15" s="121"/>
      <c r="I15" s="120"/>
      <c r="J15" s="150"/>
      <c r="K15" s="150"/>
      <c r="L15" s="150"/>
      <c r="M15" s="150"/>
      <c r="N15" s="150"/>
      <c r="O15" s="150"/>
      <c r="P15" s="153"/>
      <c r="Q15" s="153"/>
      <c r="R15" s="153"/>
      <c r="S15" s="153"/>
      <c r="T15" s="153"/>
      <c r="U15" s="153"/>
      <c r="V15" s="120"/>
      <c r="W15" s="120"/>
    </row>
    <row r="16" spans="1:24" ht="11.25" customHeight="1" outlineLevel="1">
      <c r="A16" s="120"/>
      <c r="B16" s="120"/>
      <c r="C16" s="154">
        <f t="array" ref="C16:C22">TRANSPOSE(J10:P10)</f>
        <v>43617</v>
      </c>
      <c r="D16" s="151" t="str">
        <f t="shared" ref="D16:D20" si="2">IF(ISNONTEXT($C16),"calculated","")</f>
        <v>calculated</v>
      </c>
      <c r="E16" s="121" t="str">
        <f>IF(ISNONTEXT($C16),"index","")</f>
        <v>index</v>
      </c>
      <c r="F16" s="121"/>
      <c r="G16" s="121"/>
      <c r="H16" s="121"/>
      <c r="I16" s="121"/>
      <c r="J16" s="155">
        <f t="shared" ref="J16:N16" si="3">IF(AND($C16&gt;J$14,ISNONTEXT($C16)),K16/(1+K$12),IF(AND($C16=J$14,J$14=J$4),1,IF(AND($C16&lt;J$14,J$14=J$4),I16*(1+J$12),0)))</f>
        <v>1</v>
      </c>
      <c r="K16" s="155">
        <f t="shared" si="3"/>
        <v>0.99651567944250874</v>
      </c>
      <c r="L16" s="155">
        <f t="shared" si="3"/>
        <v>1.0348432055749128</v>
      </c>
      <c r="M16" s="155">
        <f t="shared" si="3"/>
        <v>1.0984320557491287</v>
      </c>
      <c r="N16" s="155">
        <f t="shared" si="3"/>
        <v>1.1646341463414631</v>
      </c>
      <c r="O16" s="155">
        <f t="shared" ref="O16:P16" si="4">IF(AND($C16&gt;O$14,ISNONTEXT($C16)),P16/(1+O$12),IF(AND($C16=O$14,O$14=O$4),1,IF(AND($C16&lt;O$14,O$14=O$4),N16*(1+O$12),0)))</f>
        <v>1.2065609756097557</v>
      </c>
      <c r="P16" s="155">
        <f t="shared" si="4"/>
        <v>0</v>
      </c>
      <c r="Q16" s="156"/>
      <c r="R16" s="156"/>
      <c r="S16" s="156"/>
      <c r="T16" s="156"/>
      <c r="U16" s="156"/>
      <c r="V16" s="120"/>
      <c r="W16" s="120"/>
    </row>
    <row r="17" spans="1:23" ht="11.25" customHeight="1" outlineLevel="1">
      <c r="A17" s="120"/>
      <c r="B17" s="120"/>
      <c r="C17" s="154">
        <v>43983</v>
      </c>
      <c r="D17" s="151" t="str">
        <f t="shared" si="2"/>
        <v>calculated</v>
      </c>
      <c r="E17" s="121" t="str">
        <f t="shared" ref="E17:E22" si="5">IF(ISNONTEXT($C17),"index","")</f>
        <v>index</v>
      </c>
      <c r="F17" s="121"/>
      <c r="G17" s="121"/>
      <c r="H17" s="121"/>
      <c r="I17" s="155"/>
      <c r="J17" s="155">
        <f t="shared" ref="J17:N17" si="6">IF(AND($C17&gt;J$14,ISNONTEXT($C17)),K17/(1+K$12),IF(AND($C17=J$14,J$14=J$4),1,IF(AND($C17&lt;J$14,J$14=J$4),I17*(1+J$12),0)))</f>
        <v>1.0034965034965035</v>
      </c>
      <c r="K17" s="155">
        <f t="shared" si="6"/>
        <v>1</v>
      </c>
      <c r="L17" s="155">
        <f t="shared" si="6"/>
        <v>1.0384615384615383</v>
      </c>
      <c r="M17" s="155">
        <f t="shared" si="6"/>
        <v>1.1022727272727271</v>
      </c>
      <c r="N17" s="155">
        <f t="shared" si="6"/>
        <v>1.1687062937062935</v>
      </c>
      <c r="O17" s="155">
        <f t="shared" ref="O17:P17" si="7">IF(AND($C17&gt;O$14,ISNONTEXT($C17)),P17/(1+O$12),IF(AND($C17=O$14,O$14=O$4),1,IF(AND($C17&lt;O$14,O$14=O$4),N17*(1+O$12),0)))</f>
        <v>1.2107797202797201</v>
      </c>
      <c r="P17" s="155">
        <f t="shared" si="7"/>
        <v>0</v>
      </c>
      <c r="Q17" s="156"/>
      <c r="R17" s="156"/>
      <c r="S17" s="156"/>
      <c r="T17" s="156"/>
      <c r="U17" s="156"/>
      <c r="V17" s="120"/>
      <c r="W17" s="120"/>
    </row>
    <row r="18" spans="1:23" ht="11.25" customHeight="1" outlineLevel="1">
      <c r="A18" s="120"/>
      <c r="B18" s="120"/>
      <c r="C18" s="154">
        <v>44348</v>
      </c>
      <c r="D18" s="151" t="str">
        <f t="shared" si="2"/>
        <v>calculated</v>
      </c>
      <c r="E18" s="121" t="str">
        <f t="shared" si="5"/>
        <v>index</v>
      </c>
      <c r="F18" s="121"/>
      <c r="G18" s="121"/>
      <c r="H18" s="121"/>
      <c r="I18" s="155"/>
      <c r="J18" s="155">
        <f t="shared" ref="J18:N18" si="8">IF(AND($C18&gt;J$14,ISNONTEXT($C18)),K18/(1+K$12),IF(AND($C18=J$14,J$14=J$4),1,IF(AND($C18&lt;J$14,J$14=J$4),I18*(1+J$12),0)))</f>
        <v>0.96632996632996648</v>
      </c>
      <c r="K18" s="155">
        <f t="shared" si="8"/>
        <v>0.96296296296296313</v>
      </c>
      <c r="L18" s="155">
        <f t="shared" si="8"/>
        <v>1</v>
      </c>
      <c r="M18" s="155">
        <f t="shared" si="8"/>
        <v>1.0614478114478114</v>
      </c>
      <c r="N18" s="155">
        <f t="shared" si="8"/>
        <v>1.1254208754208754</v>
      </c>
      <c r="O18" s="155">
        <f t="shared" ref="O18:P18" si="9">IF(AND($C18&gt;O$14,ISNONTEXT($C18)),P18/(1+O$12),IF(AND($C18=O$14,O$14=O$4),1,IF(AND($C18&lt;O$14,O$14=O$4),N18*(1+O$12),0)))</f>
        <v>1.165936026936027</v>
      </c>
      <c r="P18" s="155">
        <f t="shared" si="9"/>
        <v>0</v>
      </c>
      <c r="Q18" s="156"/>
      <c r="R18" s="156"/>
      <c r="S18" s="156"/>
      <c r="T18" s="156"/>
      <c r="U18" s="156"/>
      <c r="V18" s="120"/>
      <c r="W18" s="120"/>
    </row>
    <row r="19" spans="1:23" ht="11.25" customHeight="1" outlineLevel="1">
      <c r="A19" s="120"/>
      <c r="B19" s="120"/>
      <c r="C19" s="154">
        <v>44713</v>
      </c>
      <c r="D19" s="151" t="str">
        <f t="shared" si="2"/>
        <v>calculated</v>
      </c>
      <c r="E19" s="121" t="str">
        <f t="shared" si="5"/>
        <v>index</v>
      </c>
      <c r="F19" s="121"/>
      <c r="G19" s="121"/>
      <c r="H19" s="121"/>
      <c r="I19" s="155"/>
      <c r="J19" s="155">
        <f t="shared" ref="J19:N19" si="10">IF(AND($C19&gt;J$14,ISNONTEXT($C19)),K19/(1+K$12),IF(AND($C19=J$14,J$14=J$4),1,IF(AND($C19&lt;J$14,J$14=J$4),I19*(1+J$12),0)))</f>
        <v>0.91038858049167337</v>
      </c>
      <c r="K19" s="155">
        <f t="shared" si="10"/>
        <v>0.90721649484536093</v>
      </c>
      <c r="L19" s="155">
        <f t="shared" si="10"/>
        <v>0.94210943695479776</v>
      </c>
      <c r="M19" s="155">
        <f t="shared" si="10"/>
        <v>1</v>
      </c>
      <c r="N19" s="155">
        <f t="shared" si="10"/>
        <v>1.0602696272799366</v>
      </c>
      <c r="O19" s="155">
        <f t="shared" ref="O19:P19" si="11">IF(AND($C19&gt;O$14,ISNONTEXT($C19)),P19/(1+O$12),IF(AND($C19=O$14,O$14=O$4),1,IF(AND($C19&lt;O$14,O$14=O$4),N19*(1+O$12),0)))</f>
        <v>1.0984393338620144</v>
      </c>
      <c r="P19" s="155">
        <f t="shared" si="11"/>
        <v>0</v>
      </c>
      <c r="Q19" s="156"/>
      <c r="R19" s="156"/>
      <c r="S19" s="156"/>
      <c r="T19" s="156"/>
      <c r="U19" s="156"/>
      <c r="V19" s="120"/>
      <c r="W19" s="120"/>
    </row>
    <row r="20" spans="1:23" ht="11.25" customHeight="1" outlineLevel="1">
      <c r="A20" s="120"/>
      <c r="B20" s="120"/>
      <c r="C20" s="154">
        <v>45078</v>
      </c>
      <c r="D20" s="151" t="str">
        <f t="shared" si="2"/>
        <v>calculated</v>
      </c>
      <c r="E20" s="121" t="str">
        <f t="shared" si="5"/>
        <v>index</v>
      </c>
      <c r="F20" s="121"/>
      <c r="G20" s="121"/>
      <c r="H20" s="121"/>
      <c r="I20" s="155"/>
      <c r="J20" s="155">
        <f>IF(AND($C20&gt;J$14,ISNONTEXT($C20)),K20/(1+K$12),IF(AND($C20=J$14,J$14=J$4),1,IF(AND($C20&lt;J$14,J$14=J$4),I20*(1+J$12),0)))</f>
        <v>0.85863874345549751</v>
      </c>
      <c r="K20" s="155">
        <f t="shared" ref="K20:N20" si="12">IF(AND($C20&gt;K$14,ISNONTEXT($C20)),L20/(1+L$12),IF(AND($C20=K$14,K$14=K$4),1,IF(AND($C20&lt;K$14,K$14=K$4),J20*(1+K$12),0)))</f>
        <v>0.85564697083021701</v>
      </c>
      <c r="L20" s="155">
        <f t="shared" si="12"/>
        <v>0.88855646970830215</v>
      </c>
      <c r="M20" s="155">
        <f t="shared" si="12"/>
        <v>0.94315632011967088</v>
      </c>
      <c r="N20" s="155">
        <f t="shared" si="12"/>
        <v>1</v>
      </c>
      <c r="O20" s="155">
        <f t="shared" ref="O20:P20" si="13">IF(AND($C20&gt;O$14,ISNONTEXT($C20)),P20/(1+O$12),IF(AND($C20=O$14,O$14=O$4),1,IF(AND($C20&lt;O$14,O$14=O$4),N20*(1+O$12),0)))</f>
        <v>1.036</v>
      </c>
      <c r="P20" s="155">
        <f t="shared" si="13"/>
        <v>0</v>
      </c>
      <c r="Q20" s="156"/>
      <c r="R20" s="156"/>
      <c r="S20" s="156"/>
      <c r="T20" s="156"/>
      <c r="U20" s="156"/>
      <c r="V20" s="120"/>
      <c r="W20" s="120"/>
    </row>
    <row r="21" spans="1:23" ht="11.25" customHeight="1" outlineLevel="1">
      <c r="A21" s="120"/>
      <c r="B21" s="120"/>
      <c r="C21" s="154">
        <v>45444</v>
      </c>
      <c r="D21" s="151" t="str">
        <f>IF(ISNONTEXT($C21),"calculated","")</f>
        <v>calculated</v>
      </c>
      <c r="E21" s="121" t="str">
        <f t="shared" si="5"/>
        <v>index</v>
      </c>
      <c r="F21" s="121"/>
      <c r="G21" s="121"/>
      <c r="H21" s="121"/>
      <c r="I21" s="155"/>
      <c r="J21" s="155">
        <f>IF(AND($C21&gt;J$14,ISNONTEXT($C21)),K21/(1+K$12),IF(AND($C21=J$14,J$14=J$4),1,IF(AND($C21&lt;J$14,J$14=J$4),I21*(1+J$12),0)))</f>
        <v>0.82880187592229471</v>
      </c>
      <c r="K21" s="155">
        <f t="shared" ref="K21:K22" si="14">IF(AND($C21&gt;K$14,ISNONTEXT($C21)),L21/(1+L$12),IF(AND($C21=K$14,K$14=K$4),1,IF(AND($C21&lt;K$14,K$14=K$4),J21*(1+K$12),0)))</f>
        <v>0.82591406450793137</v>
      </c>
      <c r="L21" s="155">
        <f t="shared" ref="L21:L22" si="15">IF(AND($C21&gt;L$14,ISNONTEXT($C21)),M21/(1+M$12),IF(AND($C21=L$14,L$14=L$4),1,IF(AND($C21&lt;L$14,L$14=L$4),K21*(1+L$12),0)))</f>
        <v>0.85767999006592865</v>
      </c>
      <c r="M21" s="155">
        <f t="shared" ref="M21:M22" si="16">IF(AND($C21&gt;M$14,ISNONTEXT($C21)),N21/(1+N$12),IF(AND($C21=M$14,M$14=M$4),1,IF(AND($C21&lt;M$14,M$14=M$4),L21*(1+M$12),0)))</f>
        <v>0.91038254837806065</v>
      </c>
      <c r="N21" s="155">
        <f t="shared" ref="N21:N22" si="17">IF(AND($C21&gt;N$14,ISNONTEXT($C21)),O21/(1+O$12),IF(AND($C21=N$14,N$14=N$4),1,IF(AND($C21&lt;N$14,N$14=N$4),M21*(1+N$12),0)))</f>
        <v>0.96525096525096521</v>
      </c>
      <c r="O21" s="155">
        <f t="shared" ref="O21:P21" si="18">IF(AND($C21&gt;O$14,ISNONTEXT($C21)),P21/(1+O$12),IF(AND($C21=O$14,O$14=O$4),1,IF(AND($C21&lt;O$14,O$14=O$4),N21*(1+O$12),0)))</f>
        <v>1</v>
      </c>
      <c r="P21" s="155">
        <f t="shared" si="18"/>
        <v>0</v>
      </c>
      <c r="Q21" s="156"/>
      <c r="R21" s="156"/>
      <c r="S21" s="156"/>
      <c r="T21" s="156"/>
      <c r="U21" s="156"/>
      <c r="V21" s="120"/>
      <c r="W21" s="120"/>
    </row>
    <row r="22" spans="1:23" ht="11.25" customHeight="1" outlineLevel="1">
      <c r="A22" s="120"/>
      <c r="B22" s="120"/>
      <c r="C22" s="154" t="str">
        <v/>
      </c>
      <c r="D22" s="151" t="str">
        <f>IF(ISNONTEXT($C22),"calculated","")</f>
        <v/>
      </c>
      <c r="E22" s="121" t="str">
        <f t="shared" si="5"/>
        <v/>
      </c>
      <c r="F22" s="121"/>
      <c r="G22" s="121"/>
      <c r="H22" s="121"/>
      <c r="I22" s="155"/>
      <c r="J22" s="155">
        <f>IF(AND($C22&gt;J$14,ISNONTEXT($C22)),K22/(1+K$12),IF(AND($C22=J$14,J$14=J$4),1,IF(AND($C22&lt;J$14,J$14=J$4),I22*(1+J$12),0)))</f>
        <v>0</v>
      </c>
      <c r="K22" s="155">
        <f t="shared" si="14"/>
        <v>0</v>
      </c>
      <c r="L22" s="155">
        <f t="shared" si="15"/>
        <v>0</v>
      </c>
      <c r="M22" s="155">
        <f t="shared" si="16"/>
        <v>0</v>
      </c>
      <c r="N22" s="155">
        <f t="shared" si="17"/>
        <v>0</v>
      </c>
      <c r="O22" s="155">
        <f t="shared" ref="O22:P22" si="19">IF(AND($C22&gt;O$14,ISNONTEXT($C22)),P22/(1+P$12),IF(AND($C22=O$14,O$14=O$4),1,IF(AND($C22&lt;O$14,O$14=O$4),N22*(1+O$12),0)))</f>
        <v>0</v>
      </c>
      <c r="P22" s="155">
        <f t="shared" si="19"/>
        <v>0</v>
      </c>
      <c r="Q22" s="156"/>
      <c r="R22" s="156"/>
      <c r="S22" s="156"/>
      <c r="T22" s="156"/>
      <c r="U22" s="156"/>
      <c r="V22" s="120"/>
      <c r="W22" s="120"/>
    </row>
    <row r="23" spans="1:23" ht="11.25" customHeight="1" outlineLevel="1">
      <c r="A23" s="120"/>
      <c r="B23" s="120"/>
      <c r="C23" s="126"/>
      <c r="D23" s="121"/>
      <c r="E23" s="121"/>
      <c r="F23" s="121"/>
      <c r="G23" s="121"/>
      <c r="H23" s="121"/>
      <c r="I23" s="121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20"/>
      <c r="W23" s="120"/>
    </row>
    <row r="24" spans="1:23" ht="11.25" customHeight="1" outlineLevel="1">
      <c r="A24" s="120"/>
      <c r="B24" s="120"/>
      <c r="C24" s="123" t="s">
        <v>46</v>
      </c>
      <c r="D24" s="121"/>
      <c r="E24" s="121"/>
      <c r="F24" s="121"/>
      <c r="G24" s="121"/>
      <c r="H24" s="121"/>
      <c r="I24" s="121"/>
      <c r="J24" s="124">
        <f t="shared" ref="J24:T24" si="20">IF(YEAR(J$4)&lt;=PPLastYear,J$4,"")</f>
        <v>43617</v>
      </c>
      <c r="K24" s="124">
        <f t="shared" si="20"/>
        <v>43983</v>
      </c>
      <c r="L24" s="124">
        <f t="shared" si="20"/>
        <v>44348</v>
      </c>
      <c r="M24" s="124">
        <f t="shared" si="20"/>
        <v>44713</v>
      </c>
      <c r="N24" s="124">
        <f t="shared" si="20"/>
        <v>45078</v>
      </c>
      <c r="O24" s="124">
        <f t="shared" si="20"/>
        <v>45444</v>
      </c>
      <c r="P24" s="124" t="str">
        <f t="shared" si="20"/>
        <v/>
      </c>
      <c r="Q24" s="124" t="str">
        <f t="shared" si="20"/>
        <v/>
      </c>
      <c r="R24" s="124" t="str">
        <f t="shared" si="20"/>
        <v/>
      </c>
      <c r="S24" s="124" t="str">
        <f t="shared" si="20"/>
        <v/>
      </c>
      <c r="T24" s="124" t="str">
        <f t="shared" si="20"/>
        <v/>
      </c>
      <c r="U24" s="139"/>
      <c r="V24" s="120"/>
      <c r="W24" s="120"/>
    </row>
    <row r="25" spans="1:23" ht="11.25" customHeight="1" outlineLevel="1">
      <c r="A25" s="120"/>
      <c r="B25" s="120"/>
      <c r="C25" s="126"/>
      <c r="D25" s="121"/>
      <c r="E25" s="121"/>
      <c r="F25" s="121"/>
      <c r="G25" s="121"/>
      <c r="H25" s="121"/>
      <c r="I25" s="121"/>
      <c r="J25" s="120"/>
      <c r="K25" s="120"/>
      <c r="L25" s="120"/>
      <c r="M25" s="120"/>
      <c r="N25" s="120"/>
      <c r="O25" s="120"/>
      <c r="P25" s="120"/>
      <c r="Q25" s="155"/>
      <c r="R25" s="155"/>
      <c r="S25" s="155"/>
      <c r="T25" s="155"/>
      <c r="U25" s="155"/>
      <c r="V25" s="120"/>
      <c r="W25" s="120"/>
    </row>
    <row r="26" spans="1:23" ht="11.25" customHeight="1" outlineLevel="1">
      <c r="A26" s="120"/>
      <c r="B26" s="120"/>
      <c r="C26" s="154">
        <f t="array" ref="C26:C32">TRANSPOSE(J10:P10)</f>
        <v>43617</v>
      </c>
      <c r="D26" s="151" t="str">
        <f t="shared" ref="D26:D32" si="21">IF(ISNONTEXT($C26),"calculated","")</f>
        <v>calculated</v>
      </c>
      <c r="E26" s="121" t="str">
        <f>IF(ISNONTEXT($C26),"index","")</f>
        <v>index</v>
      </c>
      <c r="F26" s="121"/>
      <c r="G26" s="121"/>
      <c r="H26" s="121"/>
      <c r="I26" s="155"/>
      <c r="J26" s="155">
        <f>IF(AND(J$24=J$4,ISNONTEXT($C26)),1/J16*(1+J$12)^0.5,0)</f>
        <v>1.0079331344587412</v>
      </c>
      <c r="K26" s="155">
        <f t="shared" ref="K26:T26" si="22">IF(AND(K$24=K$4,ISNONTEXT($C26)),1/K16*(1+K$12)^0.5,0)</f>
        <v>1.0017467262220046</v>
      </c>
      <c r="L26" s="155">
        <f t="shared" si="22"/>
        <v>0.98473790545302708</v>
      </c>
      <c r="M26" s="155">
        <f t="shared" si="22"/>
        <v>0.93794230437362447</v>
      </c>
      <c r="N26" s="155">
        <f t="shared" si="22"/>
        <v>0.88413511795969557</v>
      </c>
      <c r="O26" s="155">
        <f t="shared" si="22"/>
        <v>0.84358840752791209</v>
      </c>
      <c r="P26" s="155">
        <f t="shared" si="22"/>
        <v>0</v>
      </c>
      <c r="Q26" s="155">
        <f t="shared" si="22"/>
        <v>0</v>
      </c>
      <c r="R26" s="155">
        <f t="shared" si="22"/>
        <v>0</v>
      </c>
      <c r="S26" s="155">
        <f t="shared" si="22"/>
        <v>0</v>
      </c>
      <c r="T26" s="155">
        <f t="shared" si="22"/>
        <v>0</v>
      </c>
      <c r="U26" s="155"/>
      <c r="V26" s="157"/>
      <c r="W26" s="157"/>
    </row>
    <row r="27" spans="1:23" ht="11.25" customHeight="1" outlineLevel="1">
      <c r="A27" s="120"/>
      <c r="B27" s="120"/>
      <c r="C27" s="154">
        <v>43983</v>
      </c>
      <c r="D27" s="151" t="str">
        <f t="shared" si="21"/>
        <v>calculated</v>
      </c>
      <c r="E27" s="121" t="str">
        <f t="shared" ref="E27:E32" si="23">IF(ISNONTEXT($C27),"index","")</f>
        <v>index</v>
      </c>
      <c r="F27" s="121"/>
      <c r="G27" s="121"/>
      <c r="H27" s="121"/>
      <c r="I27" s="155"/>
      <c r="J27" s="155">
        <f t="shared" ref="J27:T27" si="24">IF(AND(J$24=J$4,ISNONTEXT($C27)),1/J17*(1+J$12)^0.5,0)</f>
        <v>1.0044211723177698</v>
      </c>
      <c r="K27" s="155">
        <f t="shared" si="24"/>
        <v>0.99825631951042948</v>
      </c>
      <c r="L27" s="155">
        <f t="shared" si="24"/>
        <v>0.98130676292531638</v>
      </c>
      <c r="M27" s="155">
        <f t="shared" si="24"/>
        <v>0.93467421272075479</v>
      </c>
      <c r="N27" s="155">
        <f t="shared" si="24"/>
        <v>0.88105450779258843</v>
      </c>
      <c r="O27" s="155">
        <f t="shared" si="24"/>
        <v>0.84064907509750109</v>
      </c>
      <c r="P27" s="155">
        <f t="shared" si="24"/>
        <v>0</v>
      </c>
      <c r="Q27" s="155">
        <f t="shared" si="24"/>
        <v>0</v>
      </c>
      <c r="R27" s="155">
        <f t="shared" si="24"/>
        <v>0</v>
      </c>
      <c r="S27" s="155">
        <f t="shared" si="24"/>
        <v>0</v>
      </c>
      <c r="T27" s="155">
        <f t="shared" si="24"/>
        <v>0</v>
      </c>
      <c r="U27" s="155"/>
      <c r="V27" s="157"/>
      <c r="W27" s="157"/>
    </row>
    <row r="28" spans="1:23" ht="11.25" customHeight="1" outlineLevel="1">
      <c r="A28" s="120"/>
      <c r="B28" s="120"/>
      <c r="C28" s="154">
        <v>44348</v>
      </c>
      <c r="D28" s="151" t="str">
        <f t="shared" si="21"/>
        <v>calculated</v>
      </c>
      <c r="E28" s="121" t="str">
        <f t="shared" si="23"/>
        <v>index</v>
      </c>
      <c r="F28" s="121"/>
      <c r="G28" s="121"/>
      <c r="H28" s="121"/>
      <c r="I28" s="155"/>
      <c r="J28" s="155">
        <f t="shared" ref="J28:T28" si="25">IF(AND(J$24=J$4,ISNONTEXT($C28)),1/J18*(1+J$12)^0.5,0)</f>
        <v>1.0430527558684535</v>
      </c>
      <c r="K28" s="155">
        <f t="shared" si="25"/>
        <v>1.0366507933377536</v>
      </c>
      <c r="L28" s="155">
        <f t="shared" si="25"/>
        <v>1.019049330730136</v>
      </c>
      <c r="M28" s="155">
        <f t="shared" si="25"/>
        <v>0.970623220902322</v>
      </c>
      <c r="N28" s="155">
        <f t="shared" si="25"/>
        <v>0.9149412196307648</v>
      </c>
      <c r="O28" s="155">
        <f t="shared" si="25"/>
        <v>0.8729817318320201</v>
      </c>
      <c r="P28" s="155">
        <f t="shared" si="25"/>
        <v>0</v>
      </c>
      <c r="Q28" s="155">
        <f t="shared" si="25"/>
        <v>0</v>
      </c>
      <c r="R28" s="155">
        <f t="shared" si="25"/>
        <v>0</v>
      </c>
      <c r="S28" s="155">
        <f t="shared" si="25"/>
        <v>0</v>
      </c>
      <c r="T28" s="155">
        <f t="shared" si="25"/>
        <v>0</v>
      </c>
      <c r="U28" s="155"/>
      <c r="V28" s="157"/>
      <c r="W28" s="157"/>
    </row>
    <row r="29" spans="1:23" ht="11.25" customHeight="1" outlineLevel="1">
      <c r="A29" s="120"/>
      <c r="B29" s="120"/>
      <c r="C29" s="154">
        <v>44713</v>
      </c>
      <c r="D29" s="151" t="str">
        <f t="shared" si="21"/>
        <v>calculated</v>
      </c>
      <c r="E29" s="121" t="str">
        <f t="shared" si="23"/>
        <v>index</v>
      </c>
      <c r="F29" s="121"/>
      <c r="G29" s="121"/>
      <c r="H29" s="121"/>
      <c r="I29" s="155"/>
      <c r="J29" s="155">
        <f t="shared" ref="J29:T29" si="26">IF(AND(J$24=J$4,ISNONTEXT($C29)),1/J19*(1+J$12)^0.5,0)</f>
        <v>1.1071460649411782</v>
      </c>
      <c r="K29" s="155">
        <f t="shared" si="26"/>
        <v>1.100350715823996</v>
      </c>
      <c r="L29" s="155">
        <f t="shared" si="26"/>
        <v>1.0816676818608599</v>
      </c>
      <c r="M29" s="155">
        <f t="shared" si="26"/>
        <v>1.0302658935671953</v>
      </c>
      <c r="N29" s="155">
        <f t="shared" si="26"/>
        <v>0.97116235518046667</v>
      </c>
      <c r="O29" s="155">
        <f t="shared" si="26"/>
        <v>0.92662454868701805</v>
      </c>
      <c r="P29" s="155">
        <f t="shared" si="26"/>
        <v>0</v>
      </c>
      <c r="Q29" s="155">
        <f t="shared" si="26"/>
        <v>0</v>
      </c>
      <c r="R29" s="155">
        <f t="shared" si="26"/>
        <v>0</v>
      </c>
      <c r="S29" s="155">
        <f t="shared" si="26"/>
        <v>0</v>
      </c>
      <c r="T29" s="155">
        <f t="shared" si="26"/>
        <v>0</v>
      </c>
      <c r="U29" s="155"/>
      <c r="V29" s="157"/>
      <c r="W29" s="157"/>
    </row>
    <row r="30" spans="1:23" ht="11.25" customHeight="1" outlineLevel="1">
      <c r="A30" s="120"/>
      <c r="B30" s="120"/>
      <c r="C30" s="154">
        <v>45078</v>
      </c>
      <c r="D30" s="151" t="str">
        <f t="shared" si="21"/>
        <v>calculated</v>
      </c>
      <c r="E30" s="121" t="str">
        <f t="shared" si="23"/>
        <v>index</v>
      </c>
      <c r="F30" s="121"/>
      <c r="G30" s="121"/>
      <c r="H30" s="121"/>
      <c r="I30" s="155"/>
      <c r="J30" s="155">
        <f t="shared" ref="J30:T30" si="27">IF(AND(J$24=J$4,ISNONTEXT($C30)),1/J20*(1+J$12)^0.5,0)</f>
        <v>1.1738733456196315</v>
      </c>
      <c r="K30" s="155">
        <f t="shared" si="27"/>
        <v>1.1666684433439196</v>
      </c>
      <c r="L30" s="155">
        <f t="shared" si="27"/>
        <v>1.1468593898873669</v>
      </c>
      <c r="M30" s="155">
        <f t="shared" si="27"/>
        <v>1.0923596349717211</v>
      </c>
      <c r="N30" s="155">
        <f t="shared" si="27"/>
        <v>1.0296939483554988</v>
      </c>
      <c r="O30" s="155">
        <f t="shared" si="27"/>
        <v>0.98247186486482407</v>
      </c>
      <c r="P30" s="155">
        <f t="shared" si="27"/>
        <v>0</v>
      </c>
      <c r="Q30" s="155">
        <f t="shared" si="27"/>
        <v>0</v>
      </c>
      <c r="R30" s="155">
        <f t="shared" si="27"/>
        <v>0</v>
      </c>
      <c r="S30" s="155">
        <f t="shared" si="27"/>
        <v>0</v>
      </c>
      <c r="T30" s="155">
        <f t="shared" si="27"/>
        <v>0</v>
      </c>
      <c r="U30" s="155"/>
      <c r="V30" s="157"/>
      <c r="W30" s="157"/>
    </row>
    <row r="31" spans="1:23" ht="11.25" customHeight="1" outlineLevel="1">
      <c r="A31" s="120"/>
      <c r="B31" s="120"/>
      <c r="C31" s="154">
        <v>45444</v>
      </c>
      <c r="D31" s="151" t="str">
        <f t="shared" si="21"/>
        <v>calculated</v>
      </c>
      <c r="E31" s="121" t="str">
        <f t="shared" si="23"/>
        <v>index</v>
      </c>
      <c r="F31" s="121"/>
      <c r="G31" s="121"/>
      <c r="H31" s="121"/>
      <c r="I31" s="155"/>
      <c r="J31" s="155">
        <f t="shared" ref="J31:T32" si="28">IF(AND(J$24=J$4,ISNONTEXT($C31)),1/J21*(1+J$12)^0.5,0)</f>
        <v>1.2161327860619384</v>
      </c>
      <c r="K31" s="155">
        <f t="shared" si="28"/>
        <v>1.2086685073043009</v>
      </c>
      <c r="L31" s="155">
        <f t="shared" si="28"/>
        <v>1.1881463279233122</v>
      </c>
      <c r="M31" s="155">
        <f t="shared" si="28"/>
        <v>1.1316845818307031</v>
      </c>
      <c r="N31" s="155">
        <f t="shared" si="28"/>
        <v>1.0667629304962967</v>
      </c>
      <c r="O31" s="155">
        <f t="shared" si="28"/>
        <v>1.0178408519999578</v>
      </c>
      <c r="P31" s="155">
        <f t="shared" si="28"/>
        <v>0</v>
      </c>
      <c r="Q31" s="155">
        <f t="shared" si="28"/>
        <v>0</v>
      </c>
      <c r="R31" s="155">
        <f t="shared" si="28"/>
        <v>0</v>
      </c>
      <c r="S31" s="155">
        <f t="shared" si="28"/>
        <v>0</v>
      </c>
      <c r="T31" s="155">
        <f t="shared" si="28"/>
        <v>0</v>
      </c>
      <c r="U31" s="155"/>
      <c r="V31" s="157"/>
      <c r="W31" s="157"/>
    </row>
    <row r="32" spans="1:23" ht="11.25" customHeight="1" outlineLevel="1">
      <c r="A32" s="120"/>
      <c r="B32" s="120"/>
      <c r="C32" s="154" t="str">
        <v/>
      </c>
      <c r="D32" s="151" t="str">
        <f t="shared" si="21"/>
        <v/>
      </c>
      <c r="E32" s="121" t="str">
        <f t="shared" si="23"/>
        <v/>
      </c>
      <c r="F32" s="121"/>
      <c r="G32" s="121"/>
      <c r="H32" s="121"/>
      <c r="I32" s="155"/>
      <c r="J32" s="155">
        <f t="shared" si="28"/>
        <v>0</v>
      </c>
      <c r="K32" s="155">
        <f t="shared" si="28"/>
        <v>0</v>
      </c>
      <c r="L32" s="155">
        <f t="shared" si="28"/>
        <v>0</v>
      </c>
      <c r="M32" s="155">
        <f t="shared" si="28"/>
        <v>0</v>
      </c>
      <c r="N32" s="155">
        <f t="shared" si="28"/>
        <v>0</v>
      </c>
      <c r="O32" s="155">
        <f t="shared" si="28"/>
        <v>0</v>
      </c>
      <c r="P32" s="155">
        <f t="shared" si="28"/>
        <v>0</v>
      </c>
      <c r="Q32" s="155">
        <f t="shared" si="28"/>
        <v>0</v>
      </c>
      <c r="R32" s="155">
        <f t="shared" si="28"/>
        <v>0</v>
      </c>
      <c r="S32" s="155">
        <f t="shared" si="28"/>
        <v>0</v>
      </c>
      <c r="T32" s="155">
        <f t="shared" si="28"/>
        <v>0</v>
      </c>
      <c r="U32" s="155"/>
      <c r="V32" s="157"/>
      <c r="W32" s="157"/>
    </row>
    <row r="33" spans="1:24">
      <c r="A33" s="120"/>
      <c r="B33" s="120"/>
      <c r="C33" s="126"/>
      <c r="D33" s="121"/>
      <c r="E33" s="121"/>
      <c r="F33" s="121"/>
      <c r="G33" s="121"/>
      <c r="H33" s="121"/>
      <c r="I33" s="121"/>
      <c r="J33" s="121"/>
      <c r="K33" s="155"/>
      <c r="L33" s="155"/>
      <c r="M33" s="155"/>
      <c r="N33" s="155"/>
      <c r="O33" s="155"/>
      <c r="P33" s="153"/>
      <c r="Q33" s="155"/>
      <c r="R33" s="155"/>
      <c r="S33" s="155"/>
      <c r="T33" s="155"/>
      <c r="U33" s="155"/>
      <c r="V33" s="120"/>
      <c r="W33" s="120"/>
    </row>
    <row r="34" spans="1:24" customFormat="1" ht="12.75">
      <c r="A34" s="116"/>
      <c r="B34" s="35" t="s">
        <v>75</v>
      </c>
      <c r="C34" s="116"/>
      <c r="D34" s="116"/>
      <c r="E34" s="116"/>
      <c r="F34" s="117"/>
      <c r="G34" s="117"/>
      <c r="H34" s="117"/>
      <c r="I34" s="117"/>
      <c r="J34" s="117"/>
      <c r="K34" s="118"/>
      <c r="L34" s="119"/>
      <c r="M34" s="118"/>
      <c r="N34" s="119"/>
      <c r="O34" s="118"/>
      <c r="P34" s="118"/>
      <c r="Q34" s="118"/>
      <c r="R34" s="118"/>
      <c r="S34" s="118"/>
      <c r="T34" s="118"/>
      <c r="U34" s="118"/>
      <c r="V34" s="118"/>
      <c r="W34" s="118"/>
      <c r="X34" s="33"/>
    </row>
    <row r="35" spans="1:24" ht="11.25" customHeight="1" outlineLevel="1">
      <c r="A35" s="120"/>
      <c r="B35" s="120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0"/>
      <c r="W35" s="120"/>
    </row>
    <row r="36" spans="1:24" ht="11.25" customHeight="1" outlineLevel="1">
      <c r="A36" s="120"/>
      <c r="B36" s="120"/>
      <c r="C36" s="123" t="s">
        <v>78</v>
      </c>
      <c r="D36" s="122" t="s">
        <v>7</v>
      </c>
      <c r="E36" s="122" t="s">
        <v>8</v>
      </c>
      <c r="F36" s="121"/>
      <c r="G36" s="121"/>
      <c r="H36" s="121"/>
      <c r="I36" s="121"/>
      <c r="J36" s="139" t="str">
        <f t="shared" ref="J36:U36" si="29">IF(YEAR(J$4)&gt;BaseYear,IF(YEAR(J$4)&lt;=FPLastYear,J$4,""),"")</f>
        <v/>
      </c>
      <c r="K36" s="139" t="str">
        <f t="shared" si="29"/>
        <v/>
      </c>
      <c r="L36" s="139" t="str">
        <f t="shared" si="29"/>
        <v/>
      </c>
      <c r="M36" s="139" t="str">
        <f t="shared" si="29"/>
        <v/>
      </c>
      <c r="N36" s="139">
        <f t="shared" si="29"/>
        <v>45078</v>
      </c>
      <c r="O36" s="139">
        <f t="shared" si="29"/>
        <v>45444</v>
      </c>
      <c r="P36" s="139">
        <f t="shared" si="29"/>
        <v>45809</v>
      </c>
      <c r="Q36" s="139">
        <f t="shared" si="29"/>
        <v>46174</v>
      </c>
      <c r="R36" s="139">
        <f t="shared" si="29"/>
        <v>46539</v>
      </c>
      <c r="S36" s="139">
        <f t="shared" si="29"/>
        <v>46905</v>
      </c>
      <c r="T36" s="139">
        <f t="shared" si="29"/>
        <v>47270</v>
      </c>
      <c r="U36" s="139" t="str">
        <f t="shared" si="29"/>
        <v/>
      </c>
      <c r="V36" s="120"/>
      <c r="W36" s="120"/>
    </row>
    <row r="37" spans="1:24" ht="11.25" customHeight="1" outlineLevel="1">
      <c r="A37" s="120"/>
      <c r="B37" s="120"/>
      <c r="C37" s="120"/>
      <c r="D37" s="121"/>
      <c r="E37" s="121"/>
      <c r="F37" s="121"/>
      <c r="G37" s="121"/>
      <c r="H37" s="121"/>
      <c r="I37" s="121"/>
      <c r="J37" s="121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</row>
    <row r="38" spans="1:24" ht="11.25" customHeight="1" outlineLevel="1">
      <c r="A38" s="120"/>
      <c r="B38" s="120"/>
      <c r="C38" s="128" t="s">
        <v>201</v>
      </c>
      <c r="D38" s="121" t="s">
        <v>98</v>
      </c>
      <c r="E38" s="121" t="str">
        <f t="shared" ref="E38:E45" si="30">percent</f>
        <v>Per cent</v>
      </c>
      <c r="F38" s="121"/>
      <c r="G38" s="121"/>
      <c r="H38" s="121"/>
      <c r="I38" s="121"/>
      <c r="J38" s="158"/>
      <c r="K38" s="159"/>
      <c r="L38" s="159"/>
      <c r="M38" s="159"/>
      <c r="N38" s="160">
        <v>-3.2338850986828094E-2</v>
      </c>
      <c r="O38" s="160">
        <v>5.05490197473768E-3</v>
      </c>
      <c r="P38" s="160">
        <v>7.8417843317168945E-4</v>
      </c>
      <c r="Q38" s="160">
        <v>6.0846544686743442E-3</v>
      </c>
      <c r="R38" s="160">
        <v>8.4769232686134899E-3</v>
      </c>
      <c r="S38" s="160">
        <v>9.2911446536128039E-3</v>
      </c>
      <c r="T38" s="160">
        <v>9.5100715477021147E-3</v>
      </c>
      <c r="U38" s="120"/>
      <c r="V38" s="120"/>
      <c r="W38" s="120"/>
    </row>
    <row r="39" spans="1:24" ht="11.25" customHeight="1" outlineLevel="1">
      <c r="A39" s="120"/>
      <c r="B39" s="120"/>
      <c r="C39" s="162" t="s">
        <v>190</v>
      </c>
      <c r="D39" s="121" t="s">
        <v>98</v>
      </c>
      <c r="E39" s="121" t="str">
        <f t="shared" si="30"/>
        <v>Per cent</v>
      </c>
      <c r="F39" s="121"/>
      <c r="G39" s="121"/>
      <c r="H39" s="121"/>
      <c r="I39" s="121"/>
      <c r="J39" s="158"/>
      <c r="K39" s="159"/>
      <c r="L39" s="159"/>
      <c r="M39" s="159"/>
      <c r="N39" s="160">
        <v>-2.0594740947150553E-2</v>
      </c>
      <c r="O39" s="160">
        <v>-7.2505133390157895E-3</v>
      </c>
      <c r="P39" s="161">
        <v>1.0593474921973062E-2</v>
      </c>
      <c r="Q39" s="161">
        <v>9.3604656144649027E-3</v>
      </c>
      <c r="R39" s="161">
        <v>7.5909321977557422E-3</v>
      </c>
      <c r="S39" s="161">
        <v>5.1010829179102754E-3</v>
      </c>
      <c r="T39" s="161">
        <v>8.2917581213205957E-3</v>
      </c>
      <c r="U39" s="120"/>
      <c r="V39" s="120"/>
      <c r="W39" s="120"/>
    </row>
    <row r="40" spans="1:24" ht="11.25" customHeight="1" outlineLevel="1">
      <c r="A40" s="120"/>
      <c r="B40" s="120"/>
      <c r="C40" s="128" t="s">
        <v>179</v>
      </c>
      <c r="D40" s="121" t="s">
        <v>98</v>
      </c>
      <c r="E40" s="121" t="str">
        <f t="shared" si="30"/>
        <v>Per cent</v>
      </c>
      <c r="F40" s="121"/>
      <c r="G40" s="121"/>
      <c r="H40" s="121"/>
      <c r="I40" s="121"/>
      <c r="J40" s="158"/>
      <c r="K40" s="159"/>
      <c r="L40" s="159"/>
      <c r="M40" s="159"/>
      <c r="N40" s="161">
        <f t="shared" ref="N40:O40" si="31">AVERAGE(N38:N39)</f>
        <v>-2.6466795966989323E-2</v>
      </c>
      <c r="O40" s="161">
        <f t="shared" si="31"/>
        <v>-1.0978056821390548E-3</v>
      </c>
      <c r="P40" s="161">
        <f>AVERAGE(P38:P39)</f>
        <v>5.6888266775723759E-3</v>
      </c>
      <c r="Q40" s="161">
        <f t="shared" ref="Q40:T40" si="32">AVERAGE(Q38:Q39)</f>
        <v>7.7225600415696235E-3</v>
      </c>
      <c r="R40" s="161">
        <f t="shared" si="32"/>
        <v>8.0339277331846169E-3</v>
      </c>
      <c r="S40" s="161">
        <f t="shared" si="32"/>
        <v>7.1961137857615397E-3</v>
      </c>
      <c r="T40" s="161">
        <f t="shared" si="32"/>
        <v>8.9009148345113552E-3</v>
      </c>
      <c r="U40" s="120"/>
      <c r="V40" s="120"/>
      <c r="W40" s="120"/>
    </row>
    <row r="41" spans="1:24" ht="11.25" customHeight="1" outlineLevel="1">
      <c r="A41" s="120"/>
      <c r="B41" s="120"/>
      <c r="C41" s="128" t="s">
        <v>166</v>
      </c>
      <c r="D41" s="121" t="s">
        <v>98</v>
      </c>
      <c r="E41" s="121" t="str">
        <f t="shared" si="30"/>
        <v>Per cent</v>
      </c>
      <c r="F41" s="121"/>
      <c r="G41" s="121"/>
      <c r="H41" s="121"/>
      <c r="I41" s="121"/>
      <c r="J41" s="158"/>
      <c r="K41" s="159"/>
      <c r="L41" s="159"/>
      <c r="M41" s="159"/>
      <c r="N41" s="188">
        <v>5.0000000000000001E-3</v>
      </c>
      <c r="O41" s="188">
        <v>5.0000000000000001E-3</v>
      </c>
      <c r="P41" s="188">
        <v>5.0000000000000001E-3</v>
      </c>
      <c r="Q41" s="188">
        <v>5.0000000000000001E-3</v>
      </c>
      <c r="R41" s="188">
        <v>0</v>
      </c>
      <c r="S41" s="188">
        <v>0</v>
      </c>
      <c r="T41" s="188">
        <v>0</v>
      </c>
      <c r="U41" s="163"/>
      <c r="V41" s="164"/>
      <c r="W41" s="120"/>
    </row>
    <row r="42" spans="1:24" ht="11.25" customHeight="1" outlineLevel="1">
      <c r="A42" s="120"/>
      <c r="B42" s="120"/>
      <c r="C42" s="128" t="s">
        <v>167</v>
      </c>
      <c r="D42" s="121" t="s">
        <v>98</v>
      </c>
      <c r="E42" s="121" t="str">
        <f t="shared" si="30"/>
        <v>Per cent</v>
      </c>
      <c r="F42" s="121"/>
      <c r="G42" s="121"/>
      <c r="H42" s="121"/>
      <c r="I42" s="121"/>
      <c r="J42" s="158"/>
      <c r="K42" s="159"/>
      <c r="L42" s="159"/>
      <c r="M42" s="159"/>
      <c r="N42" s="161">
        <f t="shared" ref="N42:O42" si="33">N41+N40</f>
        <v>-2.1466795966989322E-2</v>
      </c>
      <c r="O42" s="161">
        <f t="shared" si="33"/>
        <v>3.9021943178609454E-3</v>
      </c>
      <c r="P42" s="161">
        <f>P41+P40</f>
        <v>1.0688826677572375E-2</v>
      </c>
      <c r="Q42" s="161">
        <f t="shared" ref="Q42:T42" si="34">Q41+Q40</f>
        <v>1.2722560041569624E-2</v>
      </c>
      <c r="R42" s="161">
        <f t="shared" si="34"/>
        <v>8.0339277331846169E-3</v>
      </c>
      <c r="S42" s="161">
        <f t="shared" si="34"/>
        <v>7.1961137857615397E-3</v>
      </c>
      <c r="T42" s="161">
        <f t="shared" si="34"/>
        <v>8.9009148345113552E-3</v>
      </c>
      <c r="U42" s="163"/>
      <c r="V42" s="120"/>
      <c r="W42" s="120"/>
    </row>
    <row r="43" spans="1:24" ht="11.25" customHeight="1" outlineLevel="1">
      <c r="A43" s="120"/>
      <c r="B43" s="120"/>
      <c r="C43" s="128"/>
      <c r="D43" s="121" t="s">
        <v>98</v>
      </c>
      <c r="E43" s="121" t="str">
        <f t="shared" si="30"/>
        <v>Per cent</v>
      </c>
      <c r="F43" s="121"/>
      <c r="G43" s="121"/>
      <c r="H43" s="121"/>
      <c r="I43" s="121"/>
      <c r="J43" s="158"/>
      <c r="K43" s="159"/>
      <c r="L43" s="159"/>
      <c r="M43" s="159"/>
      <c r="N43" s="160"/>
      <c r="O43" s="160"/>
      <c r="P43" s="165"/>
      <c r="Q43" s="165"/>
      <c r="R43" s="165"/>
      <c r="S43" s="165"/>
      <c r="T43" s="165"/>
      <c r="U43" s="163"/>
      <c r="V43" s="120"/>
      <c r="W43" s="120"/>
    </row>
    <row r="44" spans="1:24" ht="11.25" customHeight="1" outlineLevel="1">
      <c r="A44" s="120"/>
      <c r="B44" s="120"/>
      <c r="C44" s="128"/>
      <c r="D44" s="121" t="s">
        <v>98</v>
      </c>
      <c r="E44" s="121" t="str">
        <f t="shared" si="30"/>
        <v>Per cent</v>
      </c>
      <c r="F44" s="121"/>
      <c r="G44" s="121"/>
      <c r="H44" s="121"/>
      <c r="I44" s="121"/>
      <c r="J44" s="158"/>
      <c r="K44" s="159"/>
      <c r="L44" s="159"/>
      <c r="M44" s="159"/>
      <c r="N44" s="160"/>
      <c r="O44" s="160"/>
      <c r="P44" s="165"/>
      <c r="Q44" s="165"/>
      <c r="R44" s="165"/>
      <c r="S44" s="165"/>
      <c r="T44" s="165"/>
      <c r="U44" s="163"/>
      <c r="V44" s="120"/>
      <c r="W44" s="120"/>
    </row>
    <row r="45" spans="1:24" ht="11.25" customHeight="1" outlineLevel="1">
      <c r="A45" s="120"/>
      <c r="B45" s="120"/>
      <c r="C45" s="128" t="s">
        <v>79</v>
      </c>
      <c r="D45" s="121" t="s">
        <v>98</v>
      </c>
      <c r="E45" s="121" t="str">
        <f t="shared" si="30"/>
        <v>Per cent</v>
      </c>
      <c r="F45" s="121"/>
      <c r="G45" s="121"/>
      <c r="H45" s="121"/>
      <c r="I45" s="121"/>
      <c r="J45" s="158"/>
      <c r="K45" s="159"/>
      <c r="L45" s="159"/>
      <c r="M45" s="159"/>
      <c r="N45" s="160">
        <v>0</v>
      </c>
      <c r="O45" s="160">
        <v>0</v>
      </c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3"/>
      <c r="V45" s="120"/>
      <c r="W45" s="120"/>
    </row>
    <row r="46" spans="1:24" ht="11.25" customHeight="1" outlineLevel="1">
      <c r="A46" s="120"/>
      <c r="B46" s="120"/>
      <c r="C46" s="120"/>
      <c r="D46" s="121"/>
      <c r="E46" s="121"/>
      <c r="F46" s="121"/>
      <c r="G46" s="121"/>
      <c r="H46" s="121"/>
      <c r="I46" s="121"/>
      <c r="J46" s="121"/>
      <c r="K46" s="120"/>
      <c r="L46" s="120"/>
      <c r="M46" s="120"/>
      <c r="N46" s="191"/>
      <c r="O46" s="191"/>
      <c r="P46" s="191"/>
      <c r="Q46" s="191"/>
      <c r="R46" s="191"/>
      <c r="S46" s="191"/>
      <c r="T46" s="191"/>
      <c r="U46" s="120"/>
      <c r="V46" s="120"/>
      <c r="W46" s="120"/>
    </row>
    <row r="47" spans="1:24" ht="11.25" customHeight="1" outlineLevel="1">
      <c r="A47" s="120"/>
      <c r="B47" s="120"/>
      <c r="C47" s="120" t="s">
        <v>40</v>
      </c>
      <c r="D47" s="121" t="s">
        <v>95</v>
      </c>
      <c r="E47" s="121" t="s">
        <v>28</v>
      </c>
      <c r="F47" s="121" t="s">
        <v>36</v>
      </c>
      <c r="G47" s="121"/>
      <c r="H47" s="121"/>
      <c r="I47" s="121"/>
      <c r="J47" s="166" t="str">
        <f t="shared" ref="J47:S47" si="35">IF(J36=J4,IF(COUNTA($C38:$C45)=COUNT(J38:J45),"Ok","Check"),"")</f>
        <v/>
      </c>
      <c r="K47" s="166" t="str">
        <f t="shared" si="35"/>
        <v/>
      </c>
      <c r="L47" s="166" t="str">
        <f t="shared" si="35"/>
        <v/>
      </c>
      <c r="M47" s="166" t="str">
        <f t="shared" si="35"/>
        <v/>
      </c>
      <c r="N47" s="166" t="str">
        <f t="shared" si="35"/>
        <v>Ok</v>
      </c>
      <c r="O47" s="166" t="str">
        <f t="shared" si="35"/>
        <v>Ok</v>
      </c>
      <c r="P47" s="166" t="str">
        <f t="shared" si="35"/>
        <v>Ok</v>
      </c>
      <c r="Q47" s="166" t="str">
        <f t="shared" si="35"/>
        <v>Ok</v>
      </c>
      <c r="R47" s="166" t="str">
        <f t="shared" si="35"/>
        <v>Ok</v>
      </c>
      <c r="S47" s="166" t="str">
        <f t="shared" si="35"/>
        <v>Ok</v>
      </c>
      <c r="T47" s="166" t="str">
        <f>IF(T36=T4,IF(COUNTA($C38:$C45)=COUNT(T38:T45),"Ok","Check"),"")</f>
        <v>Ok</v>
      </c>
      <c r="U47" s="166" t="str">
        <f>IF(U36=U4,IF(COUNTA($C38:$C45)=COUNT(U38:U45),"Ok","Check"),"")</f>
        <v/>
      </c>
      <c r="V47" s="167"/>
      <c r="W47" s="120"/>
      <c r="X47" s="75" t="str">
        <f>IF(COUNTIF(J47:U47,"Check")=0,"Ok","Check")</f>
        <v>Ok</v>
      </c>
    </row>
    <row r="48" spans="1:24" ht="11.25" customHeight="1" outlineLevel="1">
      <c r="A48" s="120"/>
      <c r="B48" s="120"/>
      <c r="C48" s="120"/>
      <c r="D48" s="121"/>
      <c r="E48" s="121"/>
      <c r="F48" s="121"/>
      <c r="G48" s="121"/>
      <c r="H48" s="121"/>
      <c r="I48" s="121"/>
      <c r="J48" s="121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</row>
    <row r="49" spans="1:24" ht="11.25" customHeight="1" outlineLevel="1">
      <c r="A49" s="120"/>
      <c r="B49" s="120"/>
      <c r="C49" s="123" t="s">
        <v>43</v>
      </c>
      <c r="D49" s="122" t="s">
        <v>7</v>
      </c>
      <c r="E49" s="122" t="s">
        <v>8</v>
      </c>
      <c r="F49" s="121"/>
      <c r="G49" s="121"/>
      <c r="H49" s="121"/>
      <c r="I49" s="121"/>
      <c r="J49" s="139" t="str">
        <f t="shared" ref="J49:U49" si="36">IF(YEAR(J$4)&gt;BaseYear,IF(YEAR(J$4)&lt;=FPLastYear,J$4,""),"")</f>
        <v/>
      </c>
      <c r="K49" s="139" t="str">
        <f t="shared" si="36"/>
        <v/>
      </c>
      <c r="L49" s="139" t="str">
        <f t="shared" si="36"/>
        <v/>
      </c>
      <c r="M49" s="139" t="str">
        <f t="shared" si="36"/>
        <v/>
      </c>
      <c r="N49" s="139">
        <f t="shared" si="36"/>
        <v>45078</v>
      </c>
      <c r="O49" s="139">
        <f t="shared" si="36"/>
        <v>45444</v>
      </c>
      <c r="P49" s="139">
        <f t="shared" si="36"/>
        <v>45809</v>
      </c>
      <c r="Q49" s="139">
        <f t="shared" si="36"/>
        <v>46174</v>
      </c>
      <c r="R49" s="139">
        <f t="shared" si="36"/>
        <v>46539</v>
      </c>
      <c r="S49" s="139">
        <f t="shared" si="36"/>
        <v>46905</v>
      </c>
      <c r="T49" s="139">
        <f t="shared" si="36"/>
        <v>47270</v>
      </c>
      <c r="U49" s="139" t="str">
        <f t="shared" si="36"/>
        <v/>
      </c>
      <c r="V49" s="120"/>
      <c r="W49" s="120"/>
    </row>
    <row r="50" spans="1:24" ht="11.25" customHeight="1" outlineLevel="1">
      <c r="A50" s="120"/>
      <c r="B50" s="120"/>
      <c r="C50" s="120"/>
      <c r="D50" s="121"/>
      <c r="E50" s="121"/>
      <c r="F50" s="121"/>
      <c r="G50" s="121"/>
      <c r="H50" s="121"/>
      <c r="I50" s="121"/>
      <c r="J50" s="121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</row>
    <row r="51" spans="1:24" ht="11.25" customHeight="1" outlineLevel="1">
      <c r="A51" s="120"/>
      <c r="B51" s="120"/>
      <c r="C51" s="168" t="str">
        <f t="shared" ref="C51:C58" si="37">C38</f>
        <v>WPI - KPMG forecast</v>
      </c>
      <c r="D51" s="121" t="s">
        <v>98</v>
      </c>
      <c r="E51" s="121" t="str">
        <f t="shared" ref="E51:E58" si="38">percent</f>
        <v>Per cent</v>
      </c>
      <c r="F51" s="121"/>
      <c r="G51" s="121"/>
      <c r="H51" s="121"/>
      <c r="I51" s="121"/>
      <c r="J51" s="158"/>
      <c r="K51" s="159"/>
      <c r="L51" s="159"/>
      <c r="M51" s="159"/>
      <c r="N51" s="144"/>
      <c r="O51" s="144"/>
      <c r="P51" s="144"/>
      <c r="Q51" s="144"/>
      <c r="R51" s="144"/>
      <c r="S51" s="144"/>
      <c r="T51" s="144"/>
      <c r="U51" s="169"/>
      <c r="V51" s="120"/>
      <c r="W51" s="120"/>
    </row>
    <row r="52" spans="1:24" ht="11.25" customHeight="1" outlineLevel="1">
      <c r="A52" s="120"/>
      <c r="B52" s="120"/>
      <c r="C52" s="168" t="str">
        <f t="shared" si="37"/>
        <v>WPI - BIS Oxford forecast</v>
      </c>
      <c r="D52" s="121" t="s">
        <v>98</v>
      </c>
      <c r="E52" s="121" t="str">
        <f t="shared" si="38"/>
        <v>Per cent</v>
      </c>
      <c r="F52" s="121"/>
      <c r="G52" s="121"/>
      <c r="H52" s="121"/>
      <c r="I52" s="121"/>
      <c r="J52" s="158"/>
      <c r="K52" s="159"/>
      <c r="L52" s="159"/>
      <c r="M52" s="159"/>
      <c r="N52" s="144"/>
      <c r="O52" s="144"/>
      <c r="P52" s="144"/>
      <c r="Q52" s="144"/>
      <c r="R52" s="144"/>
      <c r="S52" s="144"/>
      <c r="T52" s="144"/>
      <c r="U52" s="169"/>
      <c r="V52" s="120"/>
      <c r="W52" s="120"/>
    </row>
    <row r="53" spans="1:24" ht="11.25" customHeight="1" outlineLevel="1">
      <c r="A53" s="120"/>
      <c r="B53" s="120"/>
      <c r="C53" s="168" t="str">
        <f t="shared" si="37"/>
        <v>WPI - average</v>
      </c>
      <c r="D53" s="121" t="s">
        <v>98</v>
      </c>
      <c r="E53" s="121" t="str">
        <f t="shared" si="38"/>
        <v>Per cent</v>
      </c>
      <c r="F53" s="121"/>
      <c r="G53" s="121"/>
      <c r="H53" s="121"/>
      <c r="I53" s="121"/>
      <c r="J53" s="158"/>
      <c r="K53" s="159"/>
      <c r="L53" s="159"/>
      <c r="M53" s="159"/>
      <c r="N53" s="144"/>
      <c r="O53" s="144"/>
      <c r="P53" s="144"/>
      <c r="Q53" s="144"/>
      <c r="R53" s="144"/>
      <c r="S53" s="144"/>
      <c r="T53" s="144"/>
      <c r="U53" s="169"/>
      <c r="V53" s="120"/>
      <c r="W53" s="120"/>
    </row>
    <row r="54" spans="1:24" ht="11.25" customHeight="1" outlineLevel="1">
      <c r="A54" s="120"/>
      <c r="B54" s="120"/>
      <c r="C54" s="168" t="str">
        <f t="shared" si="37"/>
        <v>Superannuation guarantee increases</v>
      </c>
      <c r="D54" s="121" t="s">
        <v>98</v>
      </c>
      <c r="E54" s="121" t="str">
        <f t="shared" si="38"/>
        <v>Per cent</v>
      </c>
      <c r="F54" s="121"/>
      <c r="G54" s="121"/>
      <c r="H54" s="121"/>
      <c r="I54" s="121"/>
      <c r="J54" s="158"/>
      <c r="K54" s="159"/>
      <c r="L54" s="159"/>
      <c r="M54" s="159"/>
      <c r="N54" s="144"/>
      <c r="O54" s="144"/>
      <c r="P54" s="144"/>
      <c r="Q54" s="144"/>
      <c r="R54" s="144"/>
      <c r="S54" s="144"/>
      <c r="T54" s="144"/>
      <c r="U54" s="169"/>
      <c r="V54" s="164"/>
      <c r="W54" s="120"/>
    </row>
    <row r="55" spans="1:24" ht="11.25" customHeight="1" outlineLevel="1">
      <c r="A55" s="120"/>
      <c r="B55" s="120"/>
      <c r="C55" s="168" t="str">
        <f t="shared" si="37"/>
        <v>WPI - average + super guarantee increases</v>
      </c>
      <c r="D55" s="121" t="s">
        <v>98</v>
      </c>
      <c r="E55" s="121" t="str">
        <f t="shared" si="38"/>
        <v>Per cent</v>
      </c>
      <c r="F55" s="121"/>
      <c r="G55" s="121"/>
      <c r="H55" s="121"/>
      <c r="I55" s="121"/>
      <c r="J55" s="192"/>
      <c r="K55" s="193"/>
      <c r="L55" s="193"/>
      <c r="M55" s="193"/>
      <c r="N55" s="194">
        <v>0.59199999999999997</v>
      </c>
      <c r="O55" s="194">
        <v>0.59199999999999997</v>
      </c>
      <c r="P55" s="194">
        <v>0.59199999999999997</v>
      </c>
      <c r="Q55" s="194">
        <v>0.59199999999999997</v>
      </c>
      <c r="R55" s="194">
        <v>0.59199999999999997</v>
      </c>
      <c r="S55" s="194">
        <v>0.59199999999999997</v>
      </c>
      <c r="T55" s="194">
        <v>0.59199999999999997</v>
      </c>
      <c r="U55" s="169"/>
      <c r="V55" s="120"/>
      <c r="W55" s="120"/>
    </row>
    <row r="56" spans="1:24" ht="11.25" customHeight="1" outlineLevel="1">
      <c r="A56" s="120"/>
      <c r="B56" s="120"/>
      <c r="C56" s="168">
        <f t="shared" si="37"/>
        <v>0</v>
      </c>
      <c r="D56" s="121" t="s">
        <v>98</v>
      </c>
      <c r="E56" s="121" t="str">
        <f t="shared" si="38"/>
        <v>Per cent</v>
      </c>
      <c r="F56" s="121"/>
      <c r="G56" s="121"/>
      <c r="H56" s="121"/>
      <c r="I56" s="121"/>
      <c r="J56" s="158"/>
      <c r="K56" s="159"/>
      <c r="L56" s="159"/>
      <c r="M56" s="159"/>
      <c r="N56" s="144"/>
      <c r="O56" s="144"/>
      <c r="P56" s="144"/>
      <c r="Q56" s="144"/>
      <c r="R56" s="144"/>
      <c r="S56" s="144"/>
      <c r="T56" s="144"/>
      <c r="U56" s="169"/>
      <c r="V56" s="120"/>
      <c r="W56" s="120"/>
    </row>
    <row r="57" spans="1:24" ht="11.25" customHeight="1" outlineLevel="1">
      <c r="A57" s="120"/>
      <c r="B57" s="120"/>
      <c r="C57" s="168">
        <f t="shared" si="37"/>
        <v>0</v>
      </c>
      <c r="D57" s="121" t="s">
        <v>98</v>
      </c>
      <c r="E57" s="121" t="str">
        <f t="shared" si="38"/>
        <v>Per cent</v>
      </c>
      <c r="F57" s="121"/>
      <c r="G57" s="121"/>
      <c r="H57" s="121"/>
      <c r="I57" s="121"/>
      <c r="J57" s="158"/>
      <c r="K57" s="159"/>
      <c r="L57" s="159"/>
      <c r="M57" s="159"/>
      <c r="N57" s="144"/>
      <c r="O57" s="144"/>
      <c r="P57" s="144"/>
      <c r="Q57" s="144"/>
      <c r="R57" s="144"/>
      <c r="S57" s="144"/>
      <c r="T57" s="144"/>
      <c r="U57" s="169"/>
      <c r="V57" s="120"/>
      <c r="W57" s="120"/>
    </row>
    <row r="58" spans="1:24" ht="11.25" customHeight="1" outlineLevel="1">
      <c r="A58" s="120"/>
      <c r="B58" s="120"/>
      <c r="C58" s="168" t="str">
        <f t="shared" si="37"/>
        <v>CPI</v>
      </c>
      <c r="D58" s="121" t="s">
        <v>98</v>
      </c>
      <c r="E58" s="121" t="str">
        <f t="shared" si="38"/>
        <v>Per cent</v>
      </c>
      <c r="F58" s="121"/>
      <c r="G58" s="121"/>
      <c r="H58" s="121"/>
      <c r="I58" s="121"/>
      <c r="J58" s="158"/>
      <c r="K58" s="159"/>
      <c r="L58" s="159"/>
      <c r="M58" s="144"/>
      <c r="N58" s="144">
        <v>0.40799999999999997</v>
      </c>
      <c r="O58" s="144">
        <v>0.40799999999999997</v>
      </c>
      <c r="P58" s="144">
        <v>0.40800000000000003</v>
      </c>
      <c r="Q58" s="144">
        <v>0.40800000000000003</v>
      </c>
      <c r="R58" s="144">
        <v>0.40800000000000003</v>
      </c>
      <c r="S58" s="144">
        <v>0.40800000000000003</v>
      </c>
      <c r="T58" s="144">
        <v>0.40800000000000003</v>
      </c>
      <c r="U58" s="169"/>
      <c r="V58" s="120"/>
      <c r="W58" s="120"/>
    </row>
    <row r="59" spans="1:24" ht="11.25" customHeight="1" outlineLevel="1">
      <c r="A59" s="120"/>
      <c r="B59" s="120"/>
      <c r="C59" s="120"/>
      <c r="D59" s="121"/>
      <c r="E59" s="121"/>
      <c r="F59" s="121"/>
      <c r="G59" s="121"/>
      <c r="H59" s="121"/>
      <c r="I59" s="121"/>
      <c r="J59" s="121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 spans="1:24" outlineLevel="1">
      <c r="A60" s="120"/>
      <c r="B60" s="120"/>
      <c r="C60" s="120" t="s">
        <v>40</v>
      </c>
      <c r="D60" s="121" t="s">
        <v>95</v>
      </c>
      <c r="E60" s="121" t="s">
        <v>28</v>
      </c>
      <c r="F60" s="121" t="s">
        <v>36</v>
      </c>
      <c r="G60" s="121"/>
      <c r="H60" s="121"/>
      <c r="I60" s="121"/>
      <c r="J60" s="166" t="str">
        <f t="shared" ref="J60:S60" si="39">IF(J49=J$4,IF(SUM(J51:J58)=1,"Ok","Check"),"")</f>
        <v/>
      </c>
      <c r="K60" s="166" t="str">
        <f t="shared" si="39"/>
        <v/>
      </c>
      <c r="L60" s="166" t="str">
        <f t="shared" si="39"/>
        <v/>
      </c>
      <c r="M60" s="166" t="str">
        <f t="shared" si="39"/>
        <v/>
      </c>
      <c r="N60" s="166" t="str">
        <f t="shared" si="39"/>
        <v>Ok</v>
      </c>
      <c r="O60" s="166" t="str">
        <f t="shared" si="39"/>
        <v>Ok</v>
      </c>
      <c r="P60" s="166" t="str">
        <f t="shared" si="39"/>
        <v>Ok</v>
      </c>
      <c r="Q60" s="166" t="str">
        <f t="shared" si="39"/>
        <v>Ok</v>
      </c>
      <c r="R60" s="166" t="str">
        <f t="shared" si="39"/>
        <v>Ok</v>
      </c>
      <c r="S60" s="166" t="str">
        <f t="shared" si="39"/>
        <v>Ok</v>
      </c>
      <c r="T60" s="166" t="str">
        <f>IF(T49=T$4,IF(SUM(T51:T58)=1,"Ok","Check"),"")</f>
        <v>Ok</v>
      </c>
      <c r="U60" s="166" t="str">
        <f>IF(U49=U$4,IF(SUM(U51:U58)=1,"Ok","Check"),"")</f>
        <v/>
      </c>
      <c r="V60" s="167"/>
      <c r="W60" s="120"/>
      <c r="X60" s="75" t="str">
        <f>IF(COUNTIF(J60:U60,"Check")=0,"Ok","Check")</f>
        <v>Ok</v>
      </c>
    </row>
    <row r="61" spans="1:24">
      <c r="A61" s="120"/>
      <c r="B61" s="120"/>
      <c r="C61" s="120"/>
      <c r="D61" s="121"/>
      <c r="E61" s="121"/>
      <c r="F61" s="121"/>
      <c r="G61" s="121"/>
      <c r="H61" s="121"/>
      <c r="I61" s="121"/>
      <c r="J61" s="121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</row>
    <row r="62" spans="1:24" customFormat="1" ht="12.75">
      <c r="A62" s="116"/>
      <c r="B62" s="35" t="s">
        <v>82</v>
      </c>
      <c r="C62" s="116"/>
      <c r="D62" s="116"/>
      <c r="E62" s="116"/>
      <c r="F62" s="117"/>
      <c r="G62" s="117"/>
      <c r="H62" s="117"/>
      <c r="I62" s="117"/>
      <c r="J62" s="117"/>
      <c r="K62" s="118"/>
      <c r="L62" s="119"/>
      <c r="M62" s="118"/>
      <c r="N62" s="119"/>
      <c r="O62" s="118"/>
      <c r="P62" s="118"/>
      <c r="Q62" s="118"/>
      <c r="R62" s="118"/>
      <c r="S62" s="118"/>
      <c r="T62" s="118"/>
      <c r="U62" s="118"/>
      <c r="V62" s="118"/>
      <c r="W62" s="118"/>
      <c r="X62" s="33"/>
    </row>
    <row r="63" spans="1:24" outlineLevel="1">
      <c r="A63" s="120"/>
      <c r="B63" s="120"/>
      <c r="C63" s="120"/>
      <c r="D63" s="121"/>
      <c r="E63" s="121"/>
      <c r="F63" s="121"/>
      <c r="G63" s="122"/>
      <c r="H63" s="122"/>
      <c r="I63" s="121"/>
      <c r="J63" s="121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 spans="1:24" outlineLevel="1">
      <c r="A64" s="120"/>
      <c r="B64" s="120"/>
      <c r="C64" s="123" t="s">
        <v>83</v>
      </c>
      <c r="D64" s="122" t="s">
        <v>7</v>
      </c>
      <c r="E64" s="122" t="s">
        <v>8</v>
      </c>
      <c r="F64" s="122" t="s">
        <v>22</v>
      </c>
      <c r="G64" s="122"/>
      <c r="H64" s="122"/>
      <c r="I64" s="121"/>
      <c r="J64" s="139" t="str">
        <f t="shared" ref="J64:U64" si="40">IF(YEAR(J$4)&gt;=BaseYear,IF(YEAR(J$4)&lt;=FPLastYear,J$4,""),"")</f>
        <v/>
      </c>
      <c r="K64" s="139" t="str">
        <f t="shared" si="40"/>
        <v/>
      </c>
      <c r="L64" s="139" t="str">
        <f t="shared" si="40"/>
        <v/>
      </c>
      <c r="M64" s="139">
        <f t="shared" si="40"/>
        <v>44713</v>
      </c>
      <c r="N64" s="139">
        <f t="shared" si="40"/>
        <v>45078</v>
      </c>
      <c r="O64" s="139">
        <f t="shared" si="40"/>
        <v>45444</v>
      </c>
      <c r="P64" s="139">
        <f t="shared" si="40"/>
        <v>45809</v>
      </c>
      <c r="Q64" s="139">
        <f t="shared" si="40"/>
        <v>46174</v>
      </c>
      <c r="R64" s="139">
        <f t="shared" si="40"/>
        <v>46539</v>
      </c>
      <c r="S64" s="139">
        <f t="shared" si="40"/>
        <v>46905</v>
      </c>
      <c r="T64" s="139">
        <f t="shared" si="40"/>
        <v>47270</v>
      </c>
      <c r="U64" s="139" t="str">
        <f t="shared" si="40"/>
        <v/>
      </c>
      <c r="V64" s="120"/>
      <c r="W64" s="120"/>
    </row>
    <row r="65" spans="1:24" outlineLevel="1">
      <c r="A65" s="120"/>
      <c r="B65" s="120"/>
      <c r="C65" s="126"/>
      <c r="D65" s="121"/>
      <c r="E65" s="121"/>
      <c r="F65" s="121"/>
      <c r="G65" s="122"/>
      <c r="H65" s="122"/>
      <c r="I65" s="121"/>
      <c r="J65" s="121"/>
      <c r="K65" s="127"/>
      <c r="L65" s="127"/>
      <c r="M65" s="127"/>
      <c r="N65" s="127"/>
      <c r="O65" s="127"/>
      <c r="P65" s="120"/>
      <c r="Q65" s="120"/>
      <c r="R65" s="120"/>
      <c r="S65" s="120"/>
      <c r="T65" s="120"/>
      <c r="U65" s="120"/>
      <c r="V65" s="120"/>
      <c r="W65" s="120"/>
    </row>
    <row r="66" spans="1:24" outlineLevel="1">
      <c r="A66" s="120"/>
      <c r="B66" s="120"/>
      <c r="C66" s="128" t="s">
        <v>180</v>
      </c>
      <c r="D66" s="121" t="s">
        <v>98</v>
      </c>
      <c r="E66" s="121" t="s">
        <v>18</v>
      </c>
      <c r="F66" s="121" t="s">
        <v>36</v>
      </c>
      <c r="G66" s="122"/>
      <c r="H66" s="122"/>
      <c r="I66" s="121"/>
      <c r="J66" s="158"/>
      <c r="K66" s="170"/>
      <c r="L66" s="170"/>
      <c r="M66" s="189">
        <f>N66*(1-AVERAGE(O77:T77))</f>
        <v>205687.86832119172</v>
      </c>
      <c r="N66" s="170">
        <v>208046</v>
      </c>
      <c r="O66" s="142">
        <v>209746</v>
      </c>
      <c r="P66" s="142">
        <v>212036</v>
      </c>
      <c r="Q66" s="142">
        <v>214738</v>
      </c>
      <c r="R66" s="142">
        <v>217417</v>
      </c>
      <c r="S66" s="142">
        <v>220064</v>
      </c>
      <c r="T66" s="142">
        <v>222687</v>
      </c>
      <c r="U66" s="142"/>
      <c r="V66" s="120"/>
      <c r="W66" s="120"/>
    </row>
    <row r="67" spans="1:24" outlineLevel="1">
      <c r="A67" s="120"/>
      <c r="B67" s="120"/>
      <c r="C67" s="128" t="s">
        <v>181</v>
      </c>
      <c r="D67" s="121" t="s">
        <v>98</v>
      </c>
      <c r="E67" s="121" t="s">
        <v>18</v>
      </c>
      <c r="F67" s="121" t="s">
        <v>36</v>
      </c>
      <c r="G67" s="122"/>
      <c r="H67" s="122"/>
      <c r="I67" s="121"/>
      <c r="J67" s="158"/>
      <c r="K67" s="170"/>
      <c r="L67" s="170"/>
      <c r="M67" s="189">
        <v>4828.1400000000003</v>
      </c>
      <c r="N67" s="170">
        <v>4886.7000000000007</v>
      </c>
      <c r="O67" s="142">
        <v>4934.7</v>
      </c>
      <c r="P67" s="142">
        <v>4978.2400000000007</v>
      </c>
      <c r="Q67" s="142">
        <v>5017.2400000000007</v>
      </c>
      <c r="R67" s="142">
        <v>5067.24</v>
      </c>
      <c r="S67" s="142">
        <v>5122.2400000000007</v>
      </c>
      <c r="T67" s="142">
        <v>5182.24</v>
      </c>
      <c r="U67" s="142"/>
      <c r="V67" s="120"/>
      <c r="W67" s="120"/>
    </row>
    <row r="68" spans="1:24" outlineLevel="1">
      <c r="A68" s="120"/>
      <c r="B68" s="120"/>
      <c r="C68" s="128" t="s">
        <v>182</v>
      </c>
      <c r="D68" s="121" t="s">
        <v>98</v>
      </c>
      <c r="E68" s="121" t="s">
        <v>18</v>
      </c>
      <c r="F68" s="121" t="s">
        <v>36</v>
      </c>
      <c r="G68" s="122"/>
      <c r="H68" s="122"/>
      <c r="I68" s="121"/>
      <c r="J68" s="158"/>
      <c r="K68" s="170"/>
      <c r="L68" s="170"/>
      <c r="M68" s="189">
        <v>718.01922871119405</v>
      </c>
      <c r="N68" s="170">
        <v>718.01922871119405</v>
      </c>
      <c r="O68" s="170">
        <v>718.01922871119405</v>
      </c>
      <c r="P68" s="170">
        <v>718.01922871119405</v>
      </c>
      <c r="Q68" s="170">
        <v>718.01922871119405</v>
      </c>
      <c r="R68" s="170">
        <v>720.67678440023474</v>
      </c>
      <c r="S68" s="170">
        <v>729.00211696215024</v>
      </c>
      <c r="T68" s="170">
        <v>738.91294983560397</v>
      </c>
      <c r="U68" s="142"/>
      <c r="V68" s="120"/>
      <c r="W68" s="120"/>
    </row>
    <row r="69" spans="1:24" outlineLevel="1">
      <c r="A69" s="120"/>
      <c r="B69" s="120"/>
      <c r="C69" s="128"/>
      <c r="D69" s="121" t="s">
        <v>98</v>
      </c>
      <c r="E69" s="121" t="s">
        <v>18</v>
      </c>
      <c r="F69" s="121" t="s">
        <v>36</v>
      </c>
      <c r="G69" s="122"/>
      <c r="H69" s="122"/>
      <c r="I69" s="121"/>
      <c r="J69" s="158"/>
      <c r="K69" s="170"/>
      <c r="L69" s="170"/>
      <c r="M69" s="170"/>
      <c r="N69" s="170"/>
      <c r="O69" s="142"/>
      <c r="P69" s="142"/>
      <c r="Q69" s="142"/>
      <c r="R69" s="142"/>
      <c r="S69" s="142"/>
      <c r="T69" s="142"/>
      <c r="U69" s="142"/>
      <c r="V69" s="120"/>
      <c r="W69" s="120"/>
    </row>
    <row r="70" spans="1:24" outlineLevel="1">
      <c r="A70" s="120"/>
      <c r="B70" s="120"/>
      <c r="C70" s="128"/>
      <c r="D70" s="121" t="s">
        <v>98</v>
      </c>
      <c r="E70" s="121" t="s">
        <v>18</v>
      </c>
      <c r="F70" s="121" t="s">
        <v>36</v>
      </c>
      <c r="G70" s="122"/>
      <c r="H70" s="122"/>
      <c r="I70" s="121"/>
      <c r="J70" s="158"/>
      <c r="K70" s="170"/>
      <c r="L70" s="170"/>
      <c r="M70" s="170"/>
      <c r="N70" s="170"/>
      <c r="O70" s="142"/>
      <c r="P70" s="142"/>
      <c r="Q70" s="142"/>
      <c r="R70" s="142"/>
      <c r="S70" s="142"/>
      <c r="T70" s="142"/>
      <c r="U70" s="142"/>
      <c r="V70" s="120"/>
      <c r="W70" s="120"/>
    </row>
    <row r="71" spans="1:24" outlineLevel="1">
      <c r="A71" s="120"/>
      <c r="B71" s="120"/>
      <c r="C71" s="128"/>
      <c r="D71" s="121" t="s">
        <v>98</v>
      </c>
      <c r="E71" s="121" t="s">
        <v>18</v>
      </c>
      <c r="F71" s="121" t="s">
        <v>36</v>
      </c>
      <c r="G71" s="122"/>
      <c r="H71" s="122"/>
      <c r="I71" s="121"/>
      <c r="J71" s="158"/>
      <c r="K71" s="170"/>
      <c r="L71" s="170"/>
      <c r="M71" s="170"/>
      <c r="N71" s="170"/>
      <c r="O71" s="142"/>
      <c r="P71" s="142"/>
      <c r="Q71" s="142"/>
      <c r="R71" s="142"/>
      <c r="S71" s="142"/>
      <c r="T71" s="142"/>
      <c r="U71" s="142"/>
      <c r="V71" s="120"/>
      <c r="W71" s="120"/>
    </row>
    <row r="72" spans="1:24" outlineLevel="1">
      <c r="A72" s="120"/>
      <c r="B72" s="120"/>
      <c r="C72" s="126"/>
      <c r="D72" s="121"/>
      <c r="E72" s="121"/>
      <c r="F72" s="121"/>
      <c r="G72" s="122"/>
      <c r="H72" s="122"/>
      <c r="I72" s="121"/>
      <c r="J72" s="121"/>
      <c r="K72" s="127"/>
      <c r="L72" s="127"/>
      <c r="M72" s="127"/>
      <c r="N72" s="127"/>
      <c r="O72" s="127"/>
      <c r="P72" s="120"/>
      <c r="Q72" s="120"/>
      <c r="R72" s="120"/>
      <c r="S72" s="120"/>
      <c r="T72" s="120"/>
      <c r="U72" s="120"/>
      <c r="V72" s="120"/>
      <c r="W72" s="120"/>
    </row>
    <row r="73" spans="1:24" outlineLevel="1">
      <c r="A73" s="120"/>
      <c r="B73" s="120"/>
      <c r="C73" s="120" t="s">
        <v>40</v>
      </c>
      <c r="D73" s="121" t="s">
        <v>95</v>
      </c>
      <c r="E73" s="121" t="s">
        <v>28</v>
      </c>
      <c r="F73" s="121" t="s">
        <v>36</v>
      </c>
      <c r="G73" s="121"/>
      <c r="H73" s="121"/>
      <c r="I73" s="121"/>
      <c r="J73" s="166" t="str">
        <f t="shared" ref="J73:S73" si="41">IF(J64=J$4,IF(COUNTA($C66:$C71)=COUNT(J66:J71),"Ok","Check"),"")</f>
        <v/>
      </c>
      <c r="K73" s="166" t="str">
        <f t="shared" si="41"/>
        <v/>
      </c>
      <c r="L73" s="166" t="str">
        <f t="shared" si="41"/>
        <v/>
      </c>
      <c r="M73" s="166" t="str">
        <f t="shared" si="41"/>
        <v>Ok</v>
      </c>
      <c r="N73" s="166" t="str">
        <f t="shared" si="41"/>
        <v>Ok</v>
      </c>
      <c r="O73" s="166" t="str">
        <f t="shared" si="41"/>
        <v>Ok</v>
      </c>
      <c r="P73" s="166" t="str">
        <f t="shared" si="41"/>
        <v>Ok</v>
      </c>
      <c r="Q73" s="166" t="str">
        <f t="shared" si="41"/>
        <v>Ok</v>
      </c>
      <c r="R73" s="166" t="str">
        <f t="shared" si="41"/>
        <v>Ok</v>
      </c>
      <c r="S73" s="166" t="str">
        <f t="shared" si="41"/>
        <v>Ok</v>
      </c>
      <c r="T73" s="166" t="str">
        <f>IF(T64=T$4,IF(COUNTA($C66:$C71)=COUNT(T66:T71),"Ok","Check"),"")</f>
        <v>Ok</v>
      </c>
      <c r="U73" s="166" t="str">
        <f>IF(U64=U$4,IF(COUNTA($C66:$C71)=COUNT(U66:U71),"Ok","Check"),"")</f>
        <v/>
      </c>
      <c r="V73" s="167"/>
      <c r="W73" s="120"/>
      <c r="X73" s="75" t="str">
        <f>IF(COUNTIF(J73:U73,"Check")=0,"Ok","Check")</f>
        <v>Ok</v>
      </c>
    </row>
    <row r="74" spans="1:24" outlineLevel="1">
      <c r="A74" s="120"/>
      <c r="B74" s="120"/>
      <c r="C74" s="126"/>
      <c r="D74" s="121"/>
      <c r="E74" s="121"/>
      <c r="F74" s="121"/>
      <c r="G74" s="122"/>
      <c r="H74" s="122"/>
      <c r="I74" s="121"/>
      <c r="J74" s="121"/>
      <c r="K74" s="127"/>
      <c r="L74" s="127"/>
      <c r="M74" s="127"/>
      <c r="N74" s="127"/>
      <c r="O74" s="127"/>
      <c r="P74" s="120"/>
      <c r="Q74" s="120"/>
      <c r="R74" s="120"/>
      <c r="S74" s="120"/>
      <c r="T74" s="120"/>
      <c r="U74" s="120"/>
      <c r="V74" s="120"/>
      <c r="W74" s="120"/>
    </row>
    <row r="75" spans="1:24" outlineLevel="1">
      <c r="A75" s="120"/>
      <c r="B75" s="120"/>
      <c r="C75" s="123" t="s">
        <v>85</v>
      </c>
      <c r="D75" s="122" t="s">
        <v>7</v>
      </c>
      <c r="E75" s="122" t="s">
        <v>8</v>
      </c>
      <c r="F75" s="122" t="s">
        <v>22</v>
      </c>
      <c r="G75" s="122"/>
      <c r="H75" s="122"/>
      <c r="I75" s="121"/>
      <c r="J75" s="139" t="str">
        <f t="shared" ref="J75:U75" si="42">IF(YEAR(J$4)&gt;BaseYear,IF(YEAR(J$4)&lt;=FPLastYear,J$4,""),"")</f>
        <v/>
      </c>
      <c r="K75" s="139" t="str">
        <f t="shared" si="42"/>
        <v/>
      </c>
      <c r="L75" s="139" t="str">
        <f t="shared" si="42"/>
        <v/>
      </c>
      <c r="M75" s="139" t="str">
        <f t="shared" si="42"/>
        <v/>
      </c>
      <c r="N75" s="139">
        <f t="shared" si="42"/>
        <v>45078</v>
      </c>
      <c r="O75" s="139">
        <f t="shared" si="42"/>
        <v>45444</v>
      </c>
      <c r="P75" s="139">
        <f t="shared" si="42"/>
        <v>45809</v>
      </c>
      <c r="Q75" s="139">
        <f t="shared" si="42"/>
        <v>46174</v>
      </c>
      <c r="R75" s="139">
        <f t="shared" si="42"/>
        <v>46539</v>
      </c>
      <c r="S75" s="139">
        <f t="shared" si="42"/>
        <v>46905</v>
      </c>
      <c r="T75" s="139">
        <f t="shared" si="42"/>
        <v>47270</v>
      </c>
      <c r="U75" s="139" t="str">
        <f t="shared" si="42"/>
        <v/>
      </c>
      <c r="V75" s="139"/>
      <c r="W75" s="120"/>
    </row>
    <row r="76" spans="1:24" outlineLevel="1">
      <c r="A76" s="120"/>
      <c r="B76" s="120"/>
      <c r="C76" s="126"/>
      <c r="D76" s="121"/>
      <c r="E76" s="121"/>
      <c r="F76" s="121"/>
      <c r="G76" s="122"/>
      <c r="H76" s="122"/>
      <c r="I76" s="121"/>
      <c r="J76" s="121"/>
      <c r="K76" s="127"/>
      <c r="L76" s="127"/>
      <c r="M76" s="127"/>
      <c r="N76" s="127"/>
      <c r="O76" s="127"/>
      <c r="P76" s="120"/>
      <c r="Q76" s="120"/>
      <c r="R76" s="120"/>
      <c r="S76" s="120"/>
      <c r="T76" s="120"/>
      <c r="U76" s="120"/>
      <c r="V76" s="120"/>
      <c r="W76" s="120"/>
    </row>
    <row r="77" spans="1:24" outlineLevel="1">
      <c r="A77" s="120"/>
      <c r="B77" s="120"/>
      <c r="C77" s="168" t="str">
        <f>C66</f>
        <v>Customer numbers (#)</v>
      </c>
      <c r="D77" s="121" t="s">
        <v>95</v>
      </c>
      <c r="E77" s="121" t="s">
        <v>18</v>
      </c>
      <c r="F77" s="121" t="s">
        <v>36</v>
      </c>
      <c r="G77" s="122"/>
      <c r="H77" s="122"/>
      <c r="I77" s="121"/>
      <c r="J77" s="171" t="str">
        <f t="shared" ref="J77:M77" si="43">IF(ISBLANK(I66),"",IF(ISBLANK(J66),"",LN(J66)-LN(I66)))</f>
        <v/>
      </c>
      <c r="K77" s="171" t="str">
        <f t="shared" si="43"/>
        <v/>
      </c>
      <c r="L77" s="171" t="str">
        <f t="shared" si="43"/>
        <v/>
      </c>
      <c r="M77" s="171" t="str">
        <f t="shared" si="43"/>
        <v/>
      </c>
      <c r="N77" s="171">
        <f>IF(ISBLANK(M66),"",IF(ISBLANK(N66),"",LN(N66)-LN(M66)))</f>
        <v>1.1399391711210072E-2</v>
      </c>
      <c r="O77" s="171">
        <f t="shared" ref="O77:U77" si="44">IF(ISBLANK(N66),"",IF(ISBLANK(O66),"",LN(O66)-LN(N66)))</f>
        <v>8.1380657470973006E-3</v>
      </c>
      <c r="P77" s="171">
        <f t="shared" si="44"/>
        <v>1.0858796732794218E-2</v>
      </c>
      <c r="Q77" s="171">
        <f t="shared" si="44"/>
        <v>1.2662608797635144E-2</v>
      </c>
      <c r="R77" s="171">
        <f t="shared" si="44"/>
        <v>1.2398488127924878E-2</v>
      </c>
      <c r="S77" s="171">
        <f t="shared" si="44"/>
        <v>1.2101244635408293E-2</v>
      </c>
      <c r="T77" s="171">
        <f t="shared" si="44"/>
        <v>1.1848784927202871E-2</v>
      </c>
      <c r="U77" s="171" t="str">
        <f t="shared" si="44"/>
        <v/>
      </c>
      <c r="V77" s="120"/>
      <c r="W77" s="120"/>
    </row>
    <row r="78" spans="1:24" outlineLevel="1">
      <c r="A78" s="120"/>
      <c r="B78" s="120"/>
      <c r="C78" s="168" t="str">
        <f t="shared" ref="C78:C82" si="45">C67</f>
        <v>Circuit Length (km)</v>
      </c>
      <c r="D78" s="121" t="s">
        <v>95</v>
      </c>
      <c r="E78" s="121" t="s">
        <v>18</v>
      </c>
      <c r="F78" s="121" t="s">
        <v>36</v>
      </c>
      <c r="G78" s="122"/>
      <c r="H78" s="122"/>
      <c r="I78" s="121"/>
      <c r="J78" s="171" t="str">
        <f t="shared" ref="J78:U78" si="46">IF(ISBLANK(I67),"",IF(ISBLANK(J67),"",LN(J67)-LN(I67)))</f>
        <v/>
      </c>
      <c r="K78" s="171" t="str">
        <f t="shared" si="46"/>
        <v/>
      </c>
      <c r="L78" s="171" t="str">
        <f t="shared" si="46"/>
        <v/>
      </c>
      <c r="M78" s="171" t="str">
        <f t="shared" si="46"/>
        <v/>
      </c>
      <c r="N78" s="171">
        <f t="shared" si="46"/>
        <v>1.2055928720167586E-2</v>
      </c>
      <c r="O78" s="171">
        <f t="shared" si="46"/>
        <v>9.7746517145527179E-3</v>
      </c>
      <c r="P78" s="171">
        <f t="shared" si="46"/>
        <v>8.7845341525358833E-3</v>
      </c>
      <c r="Q78" s="171">
        <f t="shared" si="46"/>
        <v>7.8035667943261444E-3</v>
      </c>
      <c r="R78" s="171">
        <f t="shared" si="46"/>
        <v>9.9163089660390114E-3</v>
      </c>
      <c r="S78" s="171">
        <f t="shared" si="46"/>
        <v>1.0795552699210731E-2</v>
      </c>
      <c r="T78" s="171">
        <f t="shared" si="46"/>
        <v>1.1645551855670178E-2</v>
      </c>
      <c r="U78" s="171" t="str">
        <f t="shared" si="46"/>
        <v/>
      </c>
      <c r="V78" s="120"/>
      <c r="W78" s="120"/>
    </row>
    <row r="79" spans="1:24" outlineLevel="1">
      <c r="A79" s="120"/>
      <c r="B79" s="120"/>
      <c r="C79" s="168" t="str">
        <f t="shared" si="45"/>
        <v xml:space="preserve">Ratcheted maximum demand </v>
      </c>
      <c r="D79" s="121" t="s">
        <v>95</v>
      </c>
      <c r="E79" s="121" t="s">
        <v>18</v>
      </c>
      <c r="F79" s="121" t="s">
        <v>36</v>
      </c>
      <c r="G79" s="122"/>
      <c r="H79" s="122"/>
      <c r="I79" s="121"/>
      <c r="J79" s="171" t="str">
        <f t="shared" ref="J79:U79" si="47">IF(ISBLANK(I68),"",IF(ISBLANK(J68),"",LN(J68)-LN(I68)))</f>
        <v/>
      </c>
      <c r="K79" s="171" t="str">
        <f t="shared" si="47"/>
        <v/>
      </c>
      <c r="L79" s="171" t="str">
        <f t="shared" si="47"/>
        <v/>
      </c>
      <c r="M79" s="171" t="str">
        <f t="shared" si="47"/>
        <v/>
      </c>
      <c r="N79" s="171">
        <f t="shared" si="47"/>
        <v>0</v>
      </c>
      <c r="O79" s="171">
        <f t="shared" si="47"/>
        <v>0</v>
      </c>
      <c r="P79" s="171">
        <f t="shared" si="47"/>
        <v>0</v>
      </c>
      <c r="Q79" s="171">
        <f t="shared" si="47"/>
        <v>0</v>
      </c>
      <c r="R79" s="171">
        <f t="shared" si="47"/>
        <v>3.6943992163411821E-3</v>
      </c>
      <c r="S79" s="171">
        <f t="shared" si="47"/>
        <v>1.1485887089800251E-2</v>
      </c>
      <c r="T79" s="171">
        <f t="shared" si="47"/>
        <v>1.3503483540205252E-2</v>
      </c>
      <c r="U79" s="171" t="str">
        <f t="shared" si="47"/>
        <v/>
      </c>
      <c r="V79" s="120"/>
      <c r="W79" s="120"/>
    </row>
    <row r="80" spans="1:24" outlineLevel="1">
      <c r="A80" s="120"/>
      <c r="B80" s="120"/>
      <c r="C80" s="168">
        <f t="shared" si="45"/>
        <v>0</v>
      </c>
      <c r="D80" s="121" t="s">
        <v>95</v>
      </c>
      <c r="E80" s="121" t="s">
        <v>18</v>
      </c>
      <c r="F80" s="121" t="s">
        <v>36</v>
      </c>
      <c r="G80" s="122"/>
      <c r="H80" s="122"/>
      <c r="I80" s="121"/>
      <c r="J80" s="171" t="str">
        <f t="shared" ref="J80:U80" si="48">IF(ISBLANK(I69),"",IF(ISBLANK(J69),"",LN(J69)-LN(I69)))</f>
        <v/>
      </c>
      <c r="K80" s="171" t="str">
        <f t="shared" si="48"/>
        <v/>
      </c>
      <c r="L80" s="171" t="str">
        <f t="shared" si="48"/>
        <v/>
      </c>
      <c r="M80" s="171" t="str">
        <f t="shared" si="48"/>
        <v/>
      </c>
      <c r="N80" s="171" t="str">
        <f t="shared" si="48"/>
        <v/>
      </c>
      <c r="O80" s="171" t="str">
        <f t="shared" si="48"/>
        <v/>
      </c>
      <c r="P80" s="171" t="str">
        <f t="shared" si="48"/>
        <v/>
      </c>
      <c r="Q80" s="171" t="str">
        <f t="shared" si="48"/>
        <v/>
      </c>
      <c r="R80" s="171" t="str">
        <f t="shared" si="48"/>
        <v/>
      </c>
      <c r="S80" s="171" t="str">
        <f t="shared" si="48"/>
        <v/>
      </c>
      <c r="T80" s="171" t="str">
        <f t="shared" si="48"/>
        <v/>
      </c>
      <c r="U80" s="171" t="str">
        <f t="shared" si="48"/>
        <v/>
      </c>
      <c r="V80" s="120"/>
      <c r="W80" s="120"/>
    </row>
    <row r="81" spans="1:23" outlineLevel="1">
      <c r="A81" s="120"/>
      <c r="B81" s="120"/>
      <c r="C81" s="168">
        <f t="shared" si="45"/>
        <v>0</v>
      </c>
      <c r="D81" s="121" t="s">
        <v>95</v>
      </c>
      <c r="E81" s="121" t="s">
        <v>18</v>
      </c>
      <c r="F81" s="121" t="s">
        <v>36</v>
      </c>
      <c r="G81" s="122"/>
      <c r="H81" s="122"/>
      <c r="I81" s="121"/>
      <c r="J81" s="171" t="str">
        <f t="shared" ref="J81:T81" si="49">IF(ISBLANK(I70),"",IF(ISBLANK(J70),"",LN(J70)-LN(I70)))</f>
        <v/>
      </c>
      <c r="K81" s="171" t="str">
        <f t="shared" si="49"/>
        <v/>
      </c>
      <c r="L81" s="171" t="str">
        <f t="shared" si="49"/>
        <v/>
      </c>
      <c r="M81" s="171" t="str">
        <f t="shared" si="49"/>
        <v/>
      </c>
      <c r="N81" s="171" t="str">
        <f t="shared" si="49"/>
        <v/>
      </c>
      <c r="O81" s="171" t="str">
        <f t="shared" si="49"/>
        <v/>
      </c>
      <c r="P81" s="171" t="str">
        <f t="shared" si="49"/>
        <v/>
      </c>
      <c r="Q81" s="171" t="str">
        <f t="shared" si="49"/>
        <v/>
      </c>
      <c r="R81" s="171" t="str">
        <f t="shared" si="49"/>
        <v/>
      </c>
      <c r="S81" s="171" t="str">
        <f t="shared" si="49"/>
        <v/>
      </c>
      <c r="T81" s="171" t="str">
        <f t="shared" si="49"/>
        <v/>
      </c>
      <c r="U81" s="171"/>
      <c r="V81" s="120"/>
      <c r="W81" s="120"/>
    </row>
    <row r="82" spans="1:23" outlineLevel="1">
      <c r="A82" s="120"/>
      <c r="B82" s="120"/>
      <c r="C82" s="168">
        <f t="shared" si="45"/>
        <v>0</v>
      </c>
      <c r="D82" s="121" t="s">
        <v>95</v>
      </c>
      <c r="E82" s="121" t="s">
        <v>18</v>
      </c>
      <c r="F82" s="121" t="s">
        <v>36</v>
      </c>
      <c r="G82" s="122"/>
      <c r="H82" s="122"/>
      <c r="I82" s="121"/>
      <c r="J82" s="171" t="str">
        <f t="shared" ref="J82:T82" si="50">IF(ISBLANK(I71),"",IF(ISBLANK(J71),"",LN(J71)-LN(I71)))</f>
        <v/>
      </c>
      <c r="K82" s="171" t="str">
        <f t="shared" si="50"/>
        <v/>
      </c>
      <c r="L82" s="171" t="str">
        <f t="shared" si="50"/>
        <v/>
      </c>
      <c r="M82" s="171" t="str">
        <f t="shared" si="50"/>
        <v/>
      </c>
      <c r="N82" s="171" t="str">
        <f t="shared" si="50"/>
        <v/>
      </c>
      <c r="O82" s="171" t="str">
        <f t="shared" si="50"/>
        <v/>
      </c>
      <c r="P82" s="171" t="str">
        <f t="shared" si="50"/>
        <v/>
      </c>
      <c r="Q82" s="171" t="str">
        <f t="shared" si="50"/>
        <v/>
      </c>
      <c r="R82" s="171" t="str">
        <f t="shared" si="50"/>
        <v/>
      </c>
      <c r="S82" s="171" t="str">
        <f t="shared" si="50"/>
        <v/>
      </c>
      <c r="T82" s="171" t="str">
        <f t="shared" si="50"/>
        <v/>
      </c>
      <c r="U82" s="171"/>
      <c r="V82" s="120"/>
      <c r="W82" s="120"/>
    </row>
    <row r="83" spans="1:23" outlineLevel="1">
      <c r="A83" s="120"/>
      <c r="B83" s="120"/>
      <c r="C83" s="126"/>
      <c r="D83" s="121"/>
      <c r="E83" s="121"/>
      <c r="F83" s="121"/>
      <c r="G83" s="122"/>
      <c r="H83" s="122"/>
      <c r="I83" s="121"/>
      <c r="J83" s="121"/>
      <c r="K83" s="127"/>
      <c r="L83" s="127"/>
      <c r="M83" s="127"/>
      <c r="N83" s="127"/>
      <c r="O83" s="127"/>
      <c r="P83" s="120"/>
      <c r="Q83" s="120"/>
      <c r="R83" s="120"/>
      <c r="S83" s="120"/>
      <c r="T83" s="120"/>
      <c r="U83" s="120"/>
      <c r="V83" s="120"/>
      <c r="W83" s="120"/>
    </row>
    <row r="84" spans="1:23" outlineLevel="1">
      <c r="A84" s="120"/>
      <c r="B84" s="120"/>
      <c r="C84" s="123" t="s">
        <v>199</v>
      </c>
      <c r="D84" s="122" t="s">
        <v>7</v>
      </c>
      <c r="E84" s="122" t="s">
        <v>8</v>
      </c>
      <c r="F84" s="122" t="s">
        <v>22</v>
      </c>
      <c r="G84" s="122"/>
      <c r="H84" s="122"/>
      <c r="I84" s="121"/>
      <c r="J84" s="172" t="s">
        <v>191</v>
      </c>
      <c r="K84" s="172" t="s">
        <v>192</v>
      </c>
      <c r="L84" s="172" t="s">
        <v>193</v>
      </c>
      <c r="M84" s="172" t="s">
        <v>194</v>
      </c>
      <c r="N84" s="127"/>
      <c r="O84" s="127"/>
      <c r="P84" s="120"/>
      <c r="Q84" s="120"/>
      <c r="R84" s="120"/>
      <c r="S84" s="120"/>
      <c r="T84" s="120"/>
      <c r="U84" s="120"/>
      <c r="V84" s="120"/>
      <c r="W84" s="120"/>
    </row>
    <row r="85" spans="1:23" outlineLevel="1">
      <c r="A85" s="120"/>
      <c r="B85" s="120"/>
      <c r="C85" s="126"/>
      <c r="D85" s="121"/>
      <c r="E85" s="121"/>
      <c r="F85" s="121"/>
      <c r="G85" s="122"/>
      <c r="H85" s="122"/>
      <c r="I85" s="121"/>
      <c r="J85" s="121"/>
      <c r="K85" s="127"/>
      <c r="L85" s="127"/>
      <c r="M85" s="127"/>
      <c r="N85" s="127"/>
      <c r="O85" s="127"/>
      <c r="P85" s="120"/>
      <c r="Q85" s="120"/>
      <c r="R85" s="120"/>
      <c r="S85" s="120"/>
      <c r="T85" s="120"/>
      <c r="U85" s="120"/>
      <c r="V85" s="120"/>
      <c r="W85" s="120"/>
    </row>
    <row r="86" spans="1:23" outlineLevel="1">
      <c r="A86" s="120"/>
      <c r="B86" s="120"/>
      <c r="C86" s="168" t="str">
        <f>C66</f>
        <v>Customer numbers (#)</v>
      </c>
      <c r="D86" s="121" t="s">
        <v>98</v>
      </c>
      <c r="E86" s="121" t="s">
        <v>18</v>
      </c>
      <c r="F86" s="121" t="s">
        <v>36</v>
      </c>
      <c r="G86" s="122"/>
      <c r="H86" s="122"/>
      <c r="I86" s="121"/>
      <c r="J86" s="173">
        <v>0.45200000000000001</v>
      </c>
      <c r="K86" s="173">
        <v>0.59099999999999997</v>
      </c>
      <c r="L86" s="173">
        <v>0.437</v>
      </c>
      <c r="M86" s="173">
        <v>0.505</v>
      </c>
      <c r="N86" s="127"/>
      <c r="O86" s="127"/>
      <c r="P86" s="120"/>
      <c r="Q86" s="120"/>
      <c r="R86" s="120"/>
      <c r="S86" s="120"/>
      <c r="T86" s="120"/>
      <c r="U86" s="120"/>
      <c r="V86" s="120"/>
      <c r="W86" s="120"/>
    </row>
    <row r="87" spans="1:23" outlineLevel="1">
      <c r="A87" s="120"/>
      <c r="B87" s="120"/>
      <c r="C87" s="168" t="str">
        <f t="shared" ref="C87:C91" si="51">C67</f>
        <v>Circuit Length (km)</v>
      </c>
      <c r="D87" s="121" t="s">
        <v>98</v>
      </c>
      <c r="E87" s="121" t="s">
        <v>18</v>
      </c>
      <c r="F87" s="121" t="s">
        <v>36</v>
      </c>
      <c r="G87" s="122"/>
      <c r="H87" s="122"/>
      <c r="I87" s="121"/>
      <c r="J87" s="173">
        <v>0.104</v>
      </c>
      <c r="K87" s="173">
        <v>0.154</v>
      </c>
      <c r="L87" s="173">
        <v>0.16500000000000001</v>
      </c>
      <c r="M87" s="173">
        <v>4.5999999999999999E-2</v>
      </c>
      <c r="N87" s="127"/>
      <c r="O87" s="127"/>
      <c r="P87" s="120"/>
      <c r="Q87" s="120"/>
      <c r="R87" s="120"/>
      <c r="S87" s="120"/>
      <c r="T87" s="120"/>
      <c r="U87" s="120"/>
      <c r="V87" s="120"/>
      <c r="W87" s="120"/>
    </row>
    <row r="88" spans="1:23" outlineLevel="1">
      <c r="A88" s="120"/>
      <c r="B88" s="120"/>
      <c r="C88" s="168" t="str">
        <f t="shared" si="51"/>
        <v xml:space="preserve">Ratcheted maximum demand </v>
      </c>
      <c r="D88" s="121" t="s">
        <v>98</v>
      </c>
      <c r="E88" s="121" t="s">
        <v>18</v>
      </c>
      <c r="F88" s="121" t="s">
        <v>36</v>
      </c>
      <c r="G88" s="122"/>
      <c r="H88" s="122"/>
      <c r="I88" s="121"/>
      <c r="J88" s="173">
        <v>0.41099999999999998</v>
      </c>
      <c r="K88" s="173">
        <v>0.22800000000000001</v>
      </c>
      <c r="L88" s="173">
        <v>0.35399999999999998</v>
      </c>
      <c r="M88" s="173">
        <v>0.375</v>
      </c>
      <c r="N88" s="127"/>
      <c r="O88" s="127"/>
      <c r="P88" s="120"/>
      <c r="Q88" s="120"/>
      <c r="R88" s="120"/>
      <c r="S88" s="120"/>
      <c r="T88" s="120"/>
      <c r="U88" s="120"/>
      <c r="V88" s="120"/>
      <c r="W88" s="120"/>
    </row>
    <row r="89" spans="1:23" outlineLevel="1">
      <c r="A89" s="120"/>
      <c r="B89" s="120"/>
      <c r="C89" s="168">
        <f t="shared" si="51"/>
        <v>0</v>
      </c>
      <c r="D89" s="121" t="s">
        <v>98</v>
      </c>
      <c r="E89" s="121" t="s">
        <v>18</v>
      </c>
      <c r="F89" s="121" t="s">
        <v>36</v>
      </c>
      <c r="G89" s="122"/>
      <c r="H89" s="122"/>
      <c r="I89" s="121"/>
      <c r="J89" s="173"/>
      <c r="K89" s="174"/>
      <c r="L89" s="174"/>
      <c r="M89" s="173"/>
      <c r="N89" s="127"/>
      <c r="O89" s="127"/>
      <c r="P89" s="120"/>
      <c r="Q89" s="120"/>
      <c r="R89" s="120"/>
      <c r="S89" s="120"/>
      <c r="T89" s="120"/>
      <c r="U89" s="120"/>
      <c r="V89" s="120"/>
      <c r="W89" s="120"/>
    </row>
    <row r="90" spans="1:23" outlineLevel="1">
      <c r="A90" s="120"/>
      <c r="B90" s="120"/>
      <c r="C90" s="168">
        <f t="shared" si="51"/>
        <v>0</v>
      </c>
      <c r="D90" s="121" t="s">
        <v>98</v>
      </c>
      <c r="E90" s="121" t="s">
        <v>18</v>
      </c>
      <c r="F90" s="121" t="s">
        <v>36</v>
      </c>
      <c r="G90" s="122"/>
      <c r="H90" s="122"/>
      <c r="I90" s="121"/>
      <c r="J90" s="174"/>
      <c r="K90" s="174"/>
      <c r="L90" s="174"/>
      <c r="M90" s="174"/>
      <c r="N90" s="127"/>
      <c r="O90" s="127"/>
      <c r="P90" s="120"/>
      <c r="Q90" s="120"/>
      <c r="R90" s="120"/>
      <c r="S90" s="120"/>
      <c r="T90" s="120"/>
      <c r="U90" s="120"/>
      <c r="V90" s="120"/>
      <c r="W90" s="120"/>
    </row>
    <row r="91" spans="1:23" outlineLevel="1">
      <c r="A91" s="120"/>
      <c r="B91" s="120"/>
      <c r="C91" s="168">
        <f t="shared" si="51"/>
        <v>0</v>
      </c>
      <c r="D91" s="121" t="s">
        <v>98</v>
      </c>
      <c r="E91" s="121" t="s">
        <v>18</v>
      </c>
      <c r="F91" s="121" t="s">
        <v>36</v>
      </c>
      <c r="G91" s="122"/>
      <c r="H91" s="122"/>
      <c r="I91" s="121"/>
      <c r="J91" s="174"/>
      <c r="K91" s="174"/>
      <c r="L91" s="174"/>
      <c r="M91" s="174"/>
      <c r="N91" s="127"/>
      <c r="O91" s="127"/>
      <c r="P91" s="120"/>
      <c r="Q91" s="120"/>
      <c r="R91" s="120"/>
      <c r="S91" s="120"/>
      <c r="T91" s="120"/>
      <c r="U91" s="120"/>
      <c r="V91" s="120"/>
      <c r="W91" s="120"/>
    </row>
    <row r="92" spans="1:23" outlineLevel="1">
      <c r="A92" s="120"/>
      <c r="B92" s="120"/>
      <c r="C92" s="126"/>
      <c r="D92" s="121"/>
      <c r="E92" s="121"/>
      <c r="F92" s="121"/>
      <c r="G92" s="122"/>
      <c r="H92" s="122"/>
      <c r="I92" s="121"/>
      <c r="J92" s="121"/>
      <c r="K92" s="127"/>
      <c r="L92" s="127"/>
      <c r="M92" s="127"/>
      <c r="N92" s="127"/>
      <c r="O92" s="127"/>
      <c r="P92" s="120"/>
      <c r="Q92" s="120"/>
      <c r="R92" s="120"/>
      <c r="S92" s="120"/>
      <c r="T92" s="120"/>
      <c r="U92" s="120"/>
      <c r="V92" s="120"/>
      <c r="W92" s="120"/>
    </row>
    <row r="93" spans="1:23" outlineLevel="1">
      <c r="A93" s="120"/>
      <c r="B93" s="120"/>
      <c r="C93" s="123" t="s">
        <v>156</v>
      </c>
      <c r="D93" s="122" t="s">
        <v>7</v>
      </c>
      <c r="E93" s="122" t="s">
        <v>8</v>
      </c>
      <c r="F93" s="122" t="s">
        <v>22</v>
      </c>
      <c r="G93" s="122"/>
      <c r="H93" s="122"/>
      <c r="I93" s="121"/>
      <c r="J93" s="175" t="str">
        <f>J84</f>
        <v>SFA CD</v>
      </c>
      <c r="K93" s="175" t="str">
        <f>K84</f>
        <v>LSE CD</v>
      </c>
      <c r="L93" s="175" t="str">
        <f>L84</f>
        <v>LSE TLG</v>
      </c>
      <c r="M93" s="175" t="str">
        <f>M84</f>
        <v>SFA TLG</v>
      </c>
      <c r="N93" s="139"/>
      <c r="O93" s="139"/>
      <c r="P93" s="139"/>
      <c r="Q93" s="139"/>
      <c r="R93" s="139"/>
      <c r="S93" s="139"/>
      <c r="T93" s="139"/>
      <c r="U93" s="139"/>
      <c r="V93" s="120"/>
      <c r="W93" s="120"/>
    </row>
    <row r="94" spans="1:23" outlineLevel="1">
      <c r="A94" s="120"/>
      <c r="B94" s="120"/>
      <c r="C94" s="126"/>
      <c r="D94" s="121"/>
      <c r="E94" s="121"/>
      <c r="F94" s="121"/>
      <c r="G94" s="122"/>
      <c r="H94" s="122"/>
      <c r="I94" s="121"/>
      <c r="J94" s="121"/>
      <c r="K94" s="127"/>
      <c r="L94" s="127"/>
      <c r="M94" s="127"/>
      <c r="N94" s="127"/>
      <c r="O94" s="176"/>
      <c r="P94" s="176"/>
      <c r="Q94" s="176"/>
      <c r="R94" s="176"/>
      <c r="S94" s="176"/>
      <c r="T94" s="176"/>
      <c r="U94" s="176"/>
      <c r="V94" s="120"/>
      <c r="W94" s="120"/>
    </row>
    <row r="95" spans="1:23" outlineLevel="1">
      <c r="A95" s="120"/>
      <c r="B95" s="120"/>
      <c r="C95" s="168" t="str">
        <f t="shared" ref="C95:C100" si="52">C66</f>
        <v>Customer numbers (#)</v>
      </c>
      <c r="D95" s="121" t="s">
        <v>95</v>
      </c>
      <c r="E95" s="121" t="str">
        <f t="shared" ref="E95:E100" si="53">percent</f>
        <v>Per cent</v>
      </c>
      <c r="F95" s="121" t="s">
        <v>36</v>
      </c>
      <c r="G95" s="122"/>
      <c r="H95" s="122"/>
      <c r="I95" s="121"/>
      <c r="J95" s="177">
        <f t="shared" ref="J95:M100" si="54">J86/SUM(J$86:J$91)</f>
        <v>0.46742502585315404</v>
      </c>
      <c r="K95" s="177">
        <f t="shared" si="54"/>
        <v>0.60739979445015413</v>
      </c>
      <c r="L95" s="177">
        <f t="shared" si="54"/>
        <v>0.45711297071129708</v>
      </c>
      <c r="M95" s="177">
        <f t="shared" si="54"/>
        <v>0.54535637149028071</v>
      </c>
      <c r="N95" s="178"/>
      <c r="O95" s="178"/>
      <c r="P95" s="178"/>
      <c r="Q95" s="178"/>
      <c r="R95" s="178"/>
      <c r="S95" s="178"/>
      <c r="T95" s="178"/>
      <c r="U95" s="178"/>
      <c r="V95" s="120"/>
      <c r="W95" s="120"/>
    </row>
    <row r="96" spans="1:23" outlineLevel="1">
      <c r="A96" s="120"/>
      <c r="B96" s="120"/>
      <c r="C96" s="168" t="str">
        <f t="shared" si="52"/>
        <v>Circuit Length (km)</v>
      </c>
      <c r="D96" s="121" t="s">
        <v>95</v>
      </c>
      <c r="E96" s="121" t="str">
        <f t="shared" si="53"/>
        <v>Per cent</v>
      </c>
      <c r="F96" s="121" t="s">
        <v>36</v>
      </c>
      <c r="G96" s="122"/>
      <c r="H96" s="122"/>
      <c r="I96" s="121"/>
      <c r="J96" s="177">
        <f t="shared" si="54"/>
        <v>0.10754912099276111</v>
      </c>
      <c r="K96" s="177">
        <f t="shared" si="54"/>
        <v>0.15827338129496404</v>
      </c>
      <c r="L96" s="177">
        <f t="shared" si="54"/>
        <v>0.17259414225941425</v>
      </c>
      <c r="M96" s="177">
        <f t="shared" si="54"/>
        <v>4.967602591792656E-2</v>
      </c>
      <c r="N96" s="178"/>
      <c r="O96" s="178"/>
      <c r="P96" s="178"/>
      <c r="Q96" s="178"/>
      <c r="R96" s="178"/>
      <c r="S96" s="178"/>
      <c r="T96" s="178"/>
      <c r="U96" s="178"/>
      <c r="V96" s="120"/>
      <c r="W96" s="120"/>
    </row>
    <row r="97" spans="1:24" outlineLevel="1">
      <c r="A97" s="120"/>
      <c r="B97" s="120"/>
      <c r="C97" s="168" t="str">
        <f t="shared" si="52"/>
        <v xml:space="preserve">Ratcheted maximum demand </v>
      </c>
      <c r="D97" s="121" t="s">
        <v>95</v>
      </c>
      <c r="E97" s="121" t="str">
        <f t="shared" si="53"/>
        <v>Per cent</v>
      </c>
      <c r="F97" s="121" t="s">
        <v>36</v>
      </c>
      <c r="G97" s="122"/>
      <c r="H97" s="122"/>
      <c r="I97" s="121"/>
      <c r="J97" s="177">
        <f t="shared" si="54"/>
        <v>0.42502585315408475</v>
      </c>
      <c r="K97" s="177">
        <f t="shared" si="54"/>
        <v>0.23432682425488183</v>
      </c>
      <c r="L97" s="177">
        <f t="shared" si="54"/>
        <v>0.3702928870292887</v>
      </c>
      <c r="M97" s="177">
        <f t="shared" si="54"/>
        <v>0.40496760259179265</v>
      </c>
      <c r="N97" s="178"/>
      <c r="O97" s="178"/>
      <c r="P97" s="178"/>
      <c r="Q97" s="178"/>
      <c r="R97" s="178"/>
      <c r="S97" s="178"/>
      <c r="T97" s="178"/>
      <c r="U97" s="178"/>
      <c r="V97" s="120"/>
      <c r="W97" s="120"/>
    </row>
    <row r="98" spans="1:24" outlineLevel="1">
      <c r="A98" s="120"/>
      <c r="B98" s="120"/>
      <c r="C98" s="168">
        <f t="shared" si="52"/>
        <v>0</v>
      </c>
      <c r="D98" s="121" t="s">
        <v>95</v>
      </c>
      <c r="E98" s="121" t="str">
        <f t="shared" si="53"/>
        <v>Per cent</v>
      </c>
      <c r="F98" s="121" t="s">
        <v>36</v>
      </c>
      <c r="G98" s="122"/>
      <c r="H98" s="122"/>
      <c r="I98" s="121"/>
      <c r="J98" s="177">
        <f t="shared" si="54"/>
        <v>0</v>
      </c>
      <c r="K98" s="177">
        <f t="shared" si="54"/>
        <v>0</v>
      </c>
      <c r="L98" s="177">
        <f t="shared" si="54"/>
        <v>0</v>
      </c>
      <c r="M98" s="177">
        <f t="shared" si="54"/>
        <v>0</v>
      </c>
      <c r="N98" s="178"/>
      <c r="O98" s="178"/>
      <c r="P98" s="178"/>
      <c r="Q98" s="178"/>
      <c r="R98" s="178"/>
      <c r="S98" s="178"/>
      <c r="T98" s="178"/>
      <c r="U98" s="178"/>
      <c r="V98" s="120"/>
      <c r="W98" s="120"/>
    </row>
    <row r="99" spans="1:24" outlineLevel="1">
      <c r="A99" s="120"/>
      <c r="B99" s="120"/>
      <c r="C99" s="168">
        <f t="shared" si="52"/>
        <v>0</v>
      </c>
      <c r="D99" s="121" t="s">
        <v>95</v>
      </c>
      <c r="E99" s="121" t="str">
        <f t="shared" si="53"/>
        <v>Per cent</v>
      </c>
      <c r="F99" s="121" t="s">
        <v>36</v>
      </c>
      <c r="G99" s="122"/>
      <c r="H99" s="122"/>
      <c r="I99" s="121"/>
      <c r="J99" s="177">
        <f t="shared" si="54"/>
        <v>0</v>
      </c>
      <c r="K99" s="177">
        <f t="shared" si="54"/>
        <v>0</v>
      </c>
      <c r="L99" s="177">
        <f t="shared" si="54"/>
        <v>0</v>
      </c>
      <c r="M99" s="177">
        <f t="shared" si="54"/>
        <v>0</v>
      </c>
      <c r="N99" s="178"/>
      <c r="O99" s="178"/>
      <c r="P99" s="178"/>
      <c r="Q99" s="178"/>
      <c r="R99" s="178"/>
      <c r="S99" s="178"/>
      <c r="T99" s="178"/>
      <c r="U99" s="178"/>
      <c r="V99" s="120"/>
      <c r="W99" s="120"/>
    </row>
    <row r="100" spans="1:24" outlineLevel="1">
      <c r="A100" s="120"/>
      <c r="B100" s="120"/>
      <c r="C100" s="168">
        <f t="shared" si="52"/>
        <v>0</v>
      </c>
      <c r="D100" s="121" t="s">
        <v>95</v>
      </c>
      <c r="E100" s="121" t="str">
        <f t="shared" si="53"/>
        <v>Per cent</v>
      </c>
      <c r="F100" s="121" t="s">
        <v>36</v>
      </c>
      <c r="G100" s="122"/>
      <c r="H100" s="122"/>
      <c r="I100" s="121"/>
      <c r="J100" s="177">
        <f t="shared" si="54"/>
        <v>0</v>
      </c>
      <c r="K100" s="177">
        <f t="shared" si="54"/>
        <v>0</v>
      </c>
      <c r="L100" s="177">
        <f t="shared" si="54"/>
        <v>0</v>
      </c>
      <c r="M100" s="177">
        <f t="shared" si="54"/>
        <v>0</v>
      </c>
      <c r="N100" s="178"/>
      <c r="O100" s="178"/>
      <c r="P100" s="178"/>
      <c r="Q100" s="178"/>
      <c r="R100" s="178"/>
      <c r="S100" s="178"/>
      <c r="T100" s="178"/>
      <c r="U100" s="178"/>
      <c r="V100" s="120"/>
      <c r="W100" s="120"/>
    </row>
    <row r="101" spans="1:24" outlineLevel="1">
      <c r="A101" s="120"/>
      <c r="B101" s="120"/>
      <c r="C101" s="120"/>
      <c r="D101" s="121"/>
      <c r="E101" s="121"/>
      <c r="F101" s="121"/>
      <c r="G101" s="122"/>
      <c r="H101" s="122"/>
      <c r="I101" s="121"/>
      <c r="J101" s="179" t="s">
        <v>195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</row>
    <row r="102" spans="1:24" outlineLevel="1">
      <c r="A102" s="120"/>
      <c r="B102" s="120"/>
      <c r="C102" s="120" t="s">
        <v>40</v>
      </c>
      <c r="D102" s="121" t="s">
        <v>95</v>
      </c>
      <c r="E102" s="121" t="s">
        <v>28</v>
      </c>
      <c r="F102" s="121" t="s">
        <v>36</v>
      </c>
      <c r="G102" s="121"/>
      <c r="H102" s="121"/>
      <c r="I102" s="121"/>
      <c r="J102" s="166" t="str">
        <f t="array" ref="J102">IF(ISBLANK(J93),IF(ISBLANK(J95:J100),"Ok","Check"),IF(SUM(J95:J100)=1,"Ok","Check"))</f>
        <v>Ok</v>
      </c>
      <c r="K102" s="166" t="str">
        <f t="array" ref="K102">IF(ISBLANK(K93),IF(ISBLANK(K95:K100),"Ok","Check"),IF(SUM(K95:K100)=1,"Ok","Check"))</f>
        <v>Ok</v>
      </c>
      <c r="L102" s="166" t="str">
        <f t="array" ref="L102">IF(ISBLANK(L93),IF(ISBLANK(L95:L100),"Ok","Check"),IF(SUM(L95:L100)=1,"Ok","Check"))</f>
        <v>Ok</v>
      </c>
      <c r="M102" s="166" t="str">
        <f t="array" ref="M102">IF(ISBLANK(M93),IF(ISBLANK(M95:M100),"Ok","Check"),IF(SUM(M95:M100)=1,"Ok","Check"))</f>
        <v>Ok</v>
      </c>
      <c r="N102" s="166" t="str">
        <f t="array" ref="N102">IF(ISBLANK(N95:N100),"",IF(SUM(N95:N100)=1,"Ok","Check"))</f>
        <v/>
      </c>
      <c r="O102" s="166" t="str">
        <f t="array" ref="O102">IF(ISBLANK(O95:O100),"",IF(SUM(O95:O100)=1,"Ok","Check"))</f>
        <v/>
      </c>
      <c r="P102" s="166" t="str">
        <f t="array" ref="P102">IF(ISBLANK(P95:P100),"",IF(SUM(P95:P100)=1,"Ok","Check"))</f>
        <v/>
      </c>
      <c r="Q102" s="166" t="str">
        <f t="array" ref="Q102">IF(ISBLANK(Q95:Q100),"",IF(SUM(Q95:Q100)=1,"Ok","Check"))</f>
        <v/>
      </c>
      <c r="R102" s="166" t="str">
        <f t="array" ref="R102">IF(ISBLANK(R95:R100),"",IF(SUM(R95:R100)=1,"Ok","Check"))</f>
        <v/>
      </c>
      <c r="S102" s="166" t="str">
        <f t="array" ref="S102">IF(ISBLANK(S95:S100),"",IF(SUM(S95:S100)=1,"Ok","Check"))</f>
        <v/>
      </c>
      <c r="T102" s="166" t="str">
        <f t="array" ref="T102">IF(ISBLANK(T95:T100),"",IF(SUM(T95:T100)=1,"Ok","Check"))</f>
        <v/>
      </c>
      <c r="U102" s="166"/>
      <c r="V102" s="167"/>
      <c r="W102" s="120"/>
      <c r="X102" s="75" t="str">
        <f>IF(COUNTIF(K102:T102,"Check")=0,"Ok","Check")</f>
        <v>Ok</v>
      </c>
    </row>
    <row r="103" spans="1:24" outlineLevel="1">
      <c r="A103" s="120"/>
      <c r="B103" s="120"/>
      <c r="C103" s="120"/>
      <c r="D103" s="121"/>
      <c r="E103" s="121"/>
      <c r="F103" s="121"/>
      <c r="G103" s="121"/>
      <c r="H103" s="121"/>
      <c r="I103" s="121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7"/>
      <c r="W103" s="120"/>
      <c r="X103" s="76"/>
    </row>
    <row r="104" spans="1:24" outlineLevel="1">
      <c r="A104" s="120"/>
      <c r="B104" s="120"/>
      <c r="C104" s="123" t="s">
        <v>157</v>
      </c>
      <c r="D104" s="122" t="s">
        <v>7</v>
      </c>
      <c r="E104" s="122" t="s">
        <v>8</v>
      </c>
      <c r="F104" s="122" t="s">
        <v>22</v>
      </c>
      <c r="G104" s="121"/>
      <c r="H104" s="121"/>
      <c r="I104" s="121"/>
      <c r="J104" s="139" t="str">
        <f t="shared" ref="J104:T104" si="55">IF(YEAR(J$4)&gt;BaseYear,IF(YEAR(J$4)&lt;=FPLastYear,J$4,""),"")</f>
        <v/>
      </c>
      <c r="K104" s="139" t="str">
        <f t="shared" si="55"/>
        <v/>
      </c>
      <c r="L104" s="139" t="str">
        <f t="shared" si="55"/>
        <v/>
      </c>
      <c r="M104" s="139" t="str">
        <f t="shared" si="55"/>
        <v/>
      </c>
      <c r="N104" s="139">
        <f t="shared" si="55"/>
        <v>45078</v>
      </c>
      <c r="O104" s="139">
        <f t="shared" si="55"/>
        <v>45444</v>
      </c>
      <c r="P104" s="139">
        <f t="shared" si="55"/>
        <v>45809</v>
      </c>
      <c r="Q104" s="139">
        <f t="shared" si="55"/>
        <v>46174</v>
      </c>
      <c r="R104" s="139">
        <f t="shared" si="55"/>
        <v>46539</v>
      </c>
      <c r="S104" s="139">
        <f t="shared" si="55"/>
        <v>46905</v>
      </c>
      <c r="T104" s="139">
        <f t="shared" si="55"/>
        <v>47270</v>
      </c>
      <c r="U104" s="139" t="str">
        <f t="shared" ref="U104" si="56">IF(YEAR(U$4)&gt;=BaseYear,IF(YEAR(U$4)&lt;=FPLastYear,U$4,""),"")</f>
        <v/>
      </c>
      <c r="V104" s="167"/>
      <c r="W104" s="120"/>
      <c r="X104" s="76"/>
    </row>
    <row r="105" spans="1:24" outlineLevel="1">
      <c r="A105" s="120"/>
      <c r="B105" s="120"/>
      <c r="C105" s="120"/>
      <c r="D105" s="121"/>
      <c r="E105" s="121"/>
      <c r="F105" s="121"/>
      <c r="G105" s="121"/>
      <c r="H105" s="121"/>
      <c r="I105" s="121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7"/>
      <c r="W105" s="120"/>
      <c r="X105" s="76"/>
    </row>
    <row r="106" spans="1:24" outlineLevel="1">
      <c r="A106" s="120"/>
      <c r="B106" s="120"/>
      <c r="C106" s="168" t="str">
        <f t="array" ref="C106:C109">TRANSPOSE(J93:M93)</f>
        <v>SFA CD</v>
      </c>
      <c r="D106" s="121" t="s">
        <v>95</v>
      </c>
      <c r="E106" s="121" t="s">
        <v>18</v>
      </c>
      <c r="F106" s="121" t="s">
        <v>36</v>
      </c>
      <c r="G106" s="121"/>
      <c r="H106" s="121"/>
      <c r="I106" s="121"/>
      <c r="J106" s="171" t="str">
        <f t="shared" ref="J106:U106" si="57">IF(J$104=J$4,SUMPRODUCT(J$77:J$82,$J$95:$J$100),"")</f>
        <v/>
      </c>
      <c r="K106" s="171" t="str">
        <f t="shared" si="57"/>
        <v/>
      </c>
      <c r="L106" s="171" t="str">
        <f t="shared" si="57"/>
        <v/>
      </c>
      <c r="M106" s="171" t="str">
        <f t="shared" si="57"/>
        <v/>
      </c>
      <c r="N106" s="171">
        <f t="shared" si="57"/>
        <v>6.6249655019280053E-3</v>
      </c>
      <c r="O106" s="171">
        <f t="shared" si="57"/>
        <v>4.8551907921421528E-3</v>
      </c>
      <c r="P106" s="171">
        <f t="shared" si="57"/>
        <v>6.0204422699966058E-3</v>
      </c>
      <c r="Q106" s="171">
        <f t="shared" si="57"/>
        <v>6.7580869939410579E-3</v>
      </c>
      <c r="R106" s="171">
        <f t="shared" si="57"/>
        <v>8.4320691253426342E-3</v>
      </c>
      <c r="S106" s="171">
        <f t="shared" si="57"/>
        <v>1.1699275749566047E-2</v>
      </c>
      <c r="T106" s="171">
        <f t="shared" si="57"/>
        <v>1.2530217078707089E-2</v>
      </c>
      <c r="U106" s="171" t="str">
        <f t="shared" si="57"/>
        <v/>
      </c>
      <c r="V106" s="167"/>
      <c r="W106" s="120"/>
      <c r="X106" s="76"/>
    </row>
    <row r="107" spans="1:24" outlineLevel="1">
      <c r="A107" s="120"/>
      <c r="B107" s="120"/>
      <c r="C107" s="168" t="str">
        <v>LSE CD</v>
      </c>
      <c r="D107" s="121" t="s">
        <v>95</v>
      </c>
      <c r="E107" s="121" t="s">
        <v>18</v>
      </c>
      <c r="F107" s="121" t="s">
        <v>36</v>
      </c>
      <c r="G107" s="121"/>
      <c r="H107" s="121"/>
      <c r="I107" s="121"/>
      <c r="J107" s="171" t="str">
        <f t="shared" ref="J107:U107" si="58">IF(J$104=J$4,SUMPRODUCT(J$77:J$82,$K$95:$K$100),"")</f>
        <v/>
      </c>
      <c r="K107" s="171" t="str">
        <f t="shared" si="58"/>
        <v/>
      </c>
      <c r="L107" s="171" t="str">
        <f t="shared" si="58"/>
        <v/>
      </c>
      <c r="M107" s="171" t="str">
        <f t="shared" si="58"/>
        <v/>
      </c>
      <c r="N107" s="171">
        <f t="shared" si="58"/>
        <v>8.8321207854377814E-3</v>
      </c>
      <c r="O107" s="171">
        <f t="shared" si="58"/>
        <v>6.4901266398516167E-3</v>
      </c>
      <c r="P107" s="171">
        <f t="shared" si="58"/>
        <v>7.9859888268981587E-3</v>
      </c>
      <c r="Q107" s="171">
        <f t="shared" si="58"/>
        <v>8.9263628835854029E-3</v>
      </c>
      <c r="R107" s="171">
        <f t="shared" si="58"/>
        <v>9.9660237263097633E-3</v>
      </c>
      <c r="S107" s="171">
        <f t="shared" si="58"/>
        <v>1.1750393578293125E-2</v>
      </c>
      <c r="T107" s="171">
        <f t="shared" si="58"/>
        <v>1.2204358812864236E-2</v>
      </c>
      <c r="U107" s="171" t="str">
        <f t="shared" si="58"/>
        <v/>
      </c>
      <c r="V107" s="167"/>
      <c r="W107" s="120"/>
      <c r="X107" s="76"/>
    </row>
    <row r="108" spans="1:24" outlineLevel="1">
      <c r="A108" s="120"/>
      <c r="B108" s="120"/>
      <c r="C108" s="168" t="str">
        <v>LSE TLG</v>
      </c>
      <c r="D108" s="121" t="s">
        <v>95</v>
      </c>
      <c r="E108" s="121" t="s">
        <v>18</v>
      </c>
      <c r="F108" s="121" t="s">
        <v>36</v>
      </c>
      <c r="G108" s="121"/>
      <c r="H108" s="121"/>
      <c r="I108" s="121"/>
      <c r="J108" s="171" t="str">
        <f t="shared" ref="J108:U108" si="59">IF(J$104=J$4,SUMPRODUCT(J$77:J$82,$L$95:$L$100),"")</f>
        <v/>
      </c>
      <c r="K108" s="171" t="str">
        <f t="shared" si="59"/>
        <v/>
      </c>
      <c r="L108" s="171" t="str">
        <f t="shared" si="59"/>
        <v/>
      </c>
      <c r="M108" s="171" t="str">
        <f t="shared" si="59"/>
        <v/>
      </c>
      <c r="N108" s="171">
        <f t="shared" si="59"/>
        <v>7.291592486010935E-3</v>
      </c>
      <c r="O108" s="171">
        <f t="shared" si="59"/>
        <v>5.4070630380572372E-3</v>
      </c>
      <c r="P108" s="171">
        <f t="shared" si="59"/>
        <v>6.4798559700831532E-3</v>
      </c>
      <c r="Q108" s="171">
        <f t="shared" si="59"/>
        <v>7.1350926418727745E-3</v>
      </c>
      <c r="R108" s="171">
        <f t="shared" si="59"/>
        <v>8.74701633251505E-3</v>
      </c>
      <c r="S108" s="171">
        <f t="shared" si="59"/>
        <v>1.1648027333506783E-2</v>
      </c>
      <c r="T108" s="171">
        <f t="shared" si="59"/>
        <v>1.2426431216114951E-2</v>
      </c>
      <c r="U108" s="171" t="str">
        <f t="shared" si="59"/>
        <v/>
      </c>
      <c r="V108" s="167"/>
      <c r="W108" s="120"/>
      <c r="X108" s="76"/>
    </row>
    <row r="109" spans="1:24" outlineLevel="1">
      <c r="A109" s="120"/>
      <c r="B109" s="120"/>
      <c r="C109" s="168" t="str">
        <v>SFA TLG</v>
      </c>
      <c r="D109" s="121" t="s">
        <v>95</v>
      </c>
      <c r="E109" s="121" t="s">
        <v>18</v>
      </c>
      <c r="F109" s="121" t="s">
        <v>36</v>
      </c>
      <c r="G109" s="121"/>
      <c r="H109" s="121"/>
      <c r="I109" s="121"/>
      <c r="J109" s="171" t="str">
        <f t="shared" ref="J109:U109" si="60">IF(J$104=J$4,SUMPRODUCT(J$77:J$82,$M$95:$M$100),"")</f>
        <v/>
      </c>
      <c r="K109" s="171" t="str">
        <f t="shared" si="60"/>
        <v/>
      </c>
      <c r="L109" s="171" t="str">
        <f t="shared" si="60"/>
        <v/>
      </c>
      <c r="M109" s="171" t="str">
        <f t="shared" si="60"/>
        <v/>
      </c>
      <c r="N109" s="171">
        <f t="shared" si="60"/>
        <v>6.8156215283896272E-3</v>
      </c>
      <c r="O109" s="171">
        <f t="shared" si="60"/>
        <v>4.9237118586971506E-3</v>
      </c>
      <c r="P109" s="171">
        <f t="shared" si="60"/>
        <v>6.3582947311854538E-3</v>
      </c>
      <c r="Q109" s="171">
        <f t="shared" si="60"/>
        <v>7.2932845738064248E-3</v>
      </c>
      <c r="R109" s="171">
        <f t="shared" si="60"/>
        <v>8.7503093122762426E-3</v>
      </c>
      <c r="S109" s="171">
        <f t="shared" si="60"/>
        <v>1.1787183178963255E-2</v>
      </c>
      <c r="T109" s="171">
        <f t="shared" si="60"/>
        <v>1.2508788446193572E-2</v>
      </c>
      <c r="U109" s="171" t="str">
        <f t="shared" si="60"/>
        <v/>
      </c>
      <c r="V109" s="167"/>
      <c r="W109" s="120"/>
      <c r="X109" s="76"/>
    </row>
    <row r="110" spans="1:24" outlineLevel="1">
      <c r="A110" s="120"/>
      <c r="B110" s="120"/>
      <c r="C110" s="126"/>
      <c r="D110" s="121"/>
      <c r="E110" s="121"/>
      <c r="F110" s="121"/>
      <c r="G110" s="122"/>
      <c r="H110" s="122"/>
      <c r="I110" s="121"/>
      <c r="J110" s="121"/>
      <c r="K110" s="127"/>
      <c r="L110" s="127"/>
      <c r="M110" s="127"/>
      <c r="N110" s="127"/>
      <c r="O110" s="127"/>
      <c r="P110" s="120"/>
      <c r="Q110" s="120"/>
      <c r="R110" s="120"/>
      <c r="S110" s="120"/>
      <c r="T110" s="120"/>
      <c r="U110" s="120"/>
      <c r="V110" s="120"/>
      <c r="W110" s="120"/>
    </row>
    <row r="111" spans="1:24" customFormat="1" ht="12.75">
      <c r="A111" s="116"/>
      <c r="B111" s="35" t="s">
        <v>76</v>
      </c>
      <c r="C111" s="116"/>
      <c r="D111" s="116"/>
      <c r="E111" s="116"/>
      <c r="F111" s="117"/>
      <c r="G111" s="117"/>
      <c r="H111" s="117"/>
      <c r="I111" s="117"/>
      <c r="J111" s="117"/>
      <c r="K111" s="118"/>
      <c r="L111" s="119"/>
      <c r="M111" s="118"/>
      <c r="N111" s="119"/>
      <c r="O111" s="118"/>
      <c r="P111" s="118"/>
      <c r="Q111" s="118"/>
      <c r="R111" s="118"/>
      <c r="S111" s="118"/>
      <c r="T111" s="118"/>
      <c r="U111" s="118"/>
      <c r="V111" s="118"/>
      <c r="W111" s="118"/>
      <c r="X111" s="33"/>
    </row>
    <row r="112" spans="1:24" outlineLevel="1">
      <c r="A112" s="120"/>
      <c r="B112" s="120"/>
      <c r="C112" s="120"/>
      <c r="D112" s="121"/>
      <c r="E112" s="121"/>
      <c r="F112" s="121"/>
      <c r="G112" s="122"/>
      <c r="H112" s="122"/>
      <c r="I112" s="121"/>
      <c r="J112" s="121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</row>
    <row r="113" spans="1:24" outlineLevel="1">
      <c r="A113" s="120"/>
      <c r="B113" s="120"/>
      <c r="C113" s="123" t="s">
        <v>47</v>
      </c>
      <c r="D113" s="122" t="s">
        <v>7</v>
      </c>
      <c r="E113" s="122" t="s">
        <v>8</v>
      </c>
      <c r="F113" s="122" t="s">
        <v>22</v>
      </c>
      <c r="G113" s="122"/>
      <c r="H113" s="122"/>
      <c r="I113" s="121"/>
      <c r="J113" s="139" t="str">
        <f t="shared" ref="J113:U113" si="61">IF(YEAR(J$4)&gt;BaseYear,IF(YEAR(J$4)&lt;=FPLastYear,J$4,""),"")</f>
        <v/>
      </c>
      <c r="K113" s="139" t="str">
        <f t="shared" si="61"/>
        <v/>
      </c>
      <c r="L113" s="139" t="str">
        <f t="shared" si="61"/>
        <v/>
      </c>
      <c r="M113" s="139" t="str">
        <f t="shared" si="61"/>
        <v/>
      </c>
      <c r="N113" s="139">
        <f t="shared" si="61"/>
        <v>45078</v>
      </c>
      <c r="O113" s="139">
        <f t="shared" si="61"/>
        <v>45444</v>
      </c>
      <c r="P113" s="139">
        <f t="shared" si="61"/>
        <v>45809</v>
      </c>
      <c r="Q113" s="139">
        <f t="shared" si="61"/>
        <v>46174</v>
      </c>
      <c r="R113" s="139">
        <f t="shared" si="61"/>
        <v>46539</v>
      </c>
      <c r="S113" s="139">
        <f t="shared" si="61"/>
        <v>46905</v>
      </c>
      <c r="T113" s="139">
        <f t="shared" si="61"/>
        <v>47270</v>
      </c>
      <c r="U113" s="139" t="str">
        <f t="shared" si="61"/>
        <v/>
      </c>
      <c r="V113" s="120"/>
      <c r="W113" s="120"/>
    </row>
    <row r="114" spans="1:24" outlineLevel="1">
      <c r="A114" s="120"/>
      <c r="B114" s="120"/>
      <c r="C114" s="126"/>
      <c r="D114" s="121"/>
      <c r="E114" s="121"/>
      <c r="F114" s="121"/>
      <c r="G114" s="122"/>
      <c r="H114" s="122"/>
      <c r="I114" s="121"/>
      <c r="J114" s="121"/>
      <c r="K114" s="127"/>
      <c r="L114" s="127"/>
      <c r="M114" s="127"/>
      <c r="N114" s="127"/>
      <c r="O114" s="127"/>
      <c r="P114" s="120"/>
      <c r="Q114" s="120"/>
      <c r="R114" s="120"/>
      <c r="S114" s="120"/>
      <c r="T114" s="120"/>
      <c r="U114" s="120"/>
      <c r="V114" s="120"/>
      <c r="W114" s="120"/>
    </row>
    <row r="115" spans="1:24" outlineLevel="1">
      <c r="A115" s="120"/>
      <c r="B115" s="120"/>
      <c r="C115" s="126" t="s">
        <v>47</v>
      </c>
      <c r="D115" s="121" t="s">
        <v>98</v>
      </c>
      <c r="E115" s="121" t="str">
        <f>percent</f>
        <v>Per cent</v>
      </c>
      <c r="F115" s="121" t="s">
        <v>36</v>
      </c>
      <c r="G115" s="122"/>
      <c r="H115" s="122"/>
      <c r="I115" s="121"/>
      <c r="J115" s="158"/>
      <c r="K115" s="180"/>
      <c r="L115" s="180"/>
      <c r="M115" s="180"/>
      <c r="N115" s="169">
        <v>5.0000000000000001E-3</v>
      </c>
      <c r="O115" s="169">
        <v>5.0000000000000001E-3</v>
      </c>
      <c r="P115" s="169">
        <v>5.0000000000000001E-3</v>
      </c>
      <c r="Q115" s="169">
        <f>$P$115</f>
        <v>5.0000000000000001E-3</v>
      </c>
      <c r="R115" s="169">
        <f t="shared" ref="R115:T115" si="62">$P$115</f>
        <v>5.0000000000000001E-3</v>
      </c>
      <c r="S115" s="169">
        <f t="shared" si="62"/>
        <v>5.0000000000000001E-3</v>
      </c>
      <c r="T115" s="169">
        <f t="shared" si="62"/>
        <v>5.0000000000000001E-3</v>
      </c>
      <c r="U115" s="169"/>
      <c r="V115" s="120"/>
      <c r="W115" s="120"/>
    </row>
    <row r="116" spans="1:24" outlineLevel="1">
      <c r="A116" s="120"/>
      <c r="B116" s="120"/>
      <c r="C116" s="126"/>
      <c r="D116" s="121"/>
      <c r="E116" s="121"/>
      <c r="F116" s="121"/>
      <c r="G116" s="122"/>
      <c r="H116" s="122"/>
      <c r="I116" s="121"/>
      <c r="J116" s="121"/>
      <c r="K116" s="127"/>
      <c r="L116" s="127"/>
      <c r="M116" s="127"/>
      <c r="N116" s="127"/>
      <c r="O116" s="127"/>
      <c r="P116" s="181"/>
      <c r="Q116" s="181"/>
      <c r="R116" s="181"/>
      <c r="S116" s="181"/>
      <c r="T116" s="181"/>
      <c r="U116" s="181"/>
      <c r="V116" s="120"/>
      <c r="W116" s="120"/>
    </row>
    <row r="117" spans="1:24" outlineLevel="1">
      <c r="A117" s="120"/>
      <c r="B117" s="120"/>
      <c r="C117" s="120" t="s">
        <v>40</v>
      </c>
      <c r="D117" s="121" t="s">
        <v>95</v>
      </c>
      <c r="E117" s="121" t="s">
        <v>28</v>
      </c>
      <c r="F117" s="121" t="s">
        <v>36</v>
      </c>
      <c r="G117" s="121"/>
      <c r="H117" s="121"/>
      <c r="I117" s="121"/>
      <c r="J117" s="166" t="str">
        <f t="shared" ref="J117:S117" si="63">IF(J113=J$4,IF(ISBLANK(J115),"Check","Ok"),"")</f>
        <v/>
      </c>
      <c r="K117" s="166" t="str">
        <f t="shared" si="63"/>
        <v/>
      </c>
      <c r="L117" s="166" t="str">
        <f t="shared" si="63"/>
        <v/>
      </c>
      <c r="M117" s="166" t="str">
        <f t="shared" si="63"/>
        <v/>
      </c>
      <c r="N117" s="166" t="str">
        <f t="shared" si="63"/>
        <v>Ok</v>
      </c>
      <c r="O117" s="166" t="str">
        <f t="shared" si="63"/>
        <v>Ok</v>
      </c>
      <c r="P117" s="166" t="str">
        <f t="shared" si="63"/>
        <v>Ok</v>
      </c>
      <c r="Q117" s="166" t="str">
        <f t="shared" si="63"/>
        <v>Ok</v>
      </c>
      <c r="R117" s="166" t="str">
        <f t="shared" si="63"/>
        <v>Ok</v>
      </c>
      <c r="S117" s="166" t="str">
        <f t="shared" si="63"/>
        <v>Ok</v>
      </c>
      <c r="T117" s="166" t="str">
        <f>IF(T113=T$4,IF(ISBLANK(T115),"Check","Ok"),"")</f>
        <v>Ok</v>
      </c>
      <c r="U117" s="166" t="str">
        <f>IF(U113=U$4,IF(ISBLANK(U115),"Check","Ok"),"")</f>
        <v/>
      </c>
      <c r="V117" s="167"/>
      <c r="W117" s="120"/>
      <c r="X117" s="75" t="str">
        <f>IF(COUNTIF(J117:T117,"Check")=0,"Ok","Check")</f>
        <v>Ok</v>
      </c>
    </row>
    <row r="118" spans="1:24" outlineLevel="1">
      <c r="A118" s="120"/>
      <c r="B118" s="120"/>
      <c r="C118" s="126"/>
      <c r="D118" s="121"/>
      <c r="E118" s="121"/>
      <c r="F118" s="121"/>
      <c r="G118" s="122"/>
      <c r="H118" s="122"/>
      <c r="I118" s="121"/>
      <c r="J118" s="121"/>
      <c r="K118" s="127"/>
      <c r="L118" s="127"/>
      <c r="M118" s="127"/>
      <c r="N118" s="127"/>
      <c r="O118" s="127"/>
      <c r="P118" s="120"/>
      <c r="Q118" s="120"/>
      <c r="R118" s="120"/>
      <c r="S118" s="120"/>
      <c r="T118" s="120"/>
      <c r="U118" s="120"/>
      <c r="V118" s="120"/>
      <c r="W118" s="120"/>
    </row>
    <row r="119" spans="1:24" customFormat="1" ht="12.75">
      <c r="A119" s="116"/>
      <c r="B119" s="35" t="s">
        <v>21</v>
      </c>
      <c r="C119" s="116"/>
      <c r="D119" s="116"/>
      <c r="E119" s="116"/>
      <c r="F119" s="117"/>
      <c r="G119" s="117"/>
      <c r="H119" s="117"/>
      <c r="I119" s="117"/>
      <c r="J119" s="117"/>
      <c r="K119" s="118"/>
      <c r="L119" s="119"/>
      <c r="M119" s="118"/>
      <c r="N119" s="119"/>
      <c r="O119" s="118"/>
      <c r="P119" s="118"/>
      <c r="Q119" s="118"/>
      <c r="R119" s="118"/>
      <c r="S119" s="118"/>
      <c r="T119" s="118"/>
      <c r="U119" s="118"/>
      <c r="V119" s="118"/>
      <c r="W119" s="118"/>
      <c r="X119" s="33"/>
    </row>
  </sheetData>
  <mergeCells count="2">
    <mergeCell ref="K3:M3"/>
    <mergeCell ref="O3:T3"/>
  </mergeCells>
  <conditionalFormatting sqref="X1">
    <cfRule type="cellIs" dxfId="166" priority="123" operator="equal">
      <formula>"Check"</formula>
    </cfRule>
    <cfRule type="cellIs" dxfId="165" priority="124" operator="equal">
      <formula>"Ok"</formula>
    </cfRule>
  </conditionalFormatting>
  <conditionalFormatting sqref="T1:U1">
    <cfRule type="cellIs" dxfId="164" priority="87" operator="equal">
      <formula>"Check"</formula>
    </cfRule>
    <cfRule type="cellIs" dxfId="163" priority="88" operator="equal">
      <formula>"Ok"</formula>
    </cfRule>
  </conditionalFormatting>
  <conditionalFormatting sqref="X60">
    <cfRule type="cellIs" dxfId="162" priority="75" operator="equal">
      <formula>"Check"</formula>
    </cfRule>
    <cfRule type="cellIs" dxfId="161" priority="76" operator="equal">
      <formula>"Ok"</formula>
    </cfRule>
  </conditionalFormatting>
  <conditionalFormatting sqref="J60:U60">
    <cfRule type="cellIs" dxfId="160" priority="67" operator="equal">
      <formula>"Check"</formula>
    </cfRule>
    <cfRule type="cellIs" dxfId="159" priority="68" operator="equal">
      <formula>"Ok"</formula>
    </cfRule>
  </conditionalFormatting>
  <conditionalFormatting sqref="J36:U36">
    <cfRule type="expression" dxfId="158" priority="58">
      <formula>J$36=J$4</formula>
    </cfRule>
  </conditionalFormatting>
  <conditionalFormatting sqref="J38:M45 T38 P39:T40 U41 P42:U45 N40:P40 N42:P42">
    <cfRule type="expression" dxfId="157" priority="56">
      <formula>J$36=J$4</formula>
    </cfRule>
  </conditionalFormatting>
  <conditionalFormatting sqref="P56:T58 P51:T54 J58:L58 J51:M57">
    <cfRule type="expression" dxfId="156" priority="55">
      <formula>J$49=J$4</formula>
    </cfRule>
  </conditionalFormatting>
  <conditionalFormatting sqref="X117">
    <cfRule type="cellIs" dxfId="155" priority="49" operator="equal">
      <formula>"Check"</formula>
    </cfRule>
    <cfRule type="cellIs" dxfId="154" priority="50" operator="equal">
      <formula>"Ok"</formula>
    </cfRule>
  </conditionalFormatting>
  <conditionalFormatting sqref="J117:U117">
    <cfRule type="cellIs" dxfId="153" priority="47" operator="equal">
      <formula>"Check"</formula>
    </cfRule>
    <cfRule type="cellIs" dxfId="152" priority="48" operator="equal">
      <formula>"Ok"</formula>
    </cfRule>
  </conditionalFormatting>
  <conditionalFormatting sqref="X47">
    <cfRule type="cellIs" dxfId="151" priority="45" operator="equal">
      <formula>"Check"</formula>
    </cfRule>
    <cfRule type="cellIs" dxfId="150" priority="46" operator="equal">
      <formula>"Ok"</formula>
    </cfRule>
  </conditionalFormatting>
  <conditionalFormatting sqref="J47:U47">
    <cfRule type="cellIs" dxfId="149" priority="43" operator="equal">
      <formula>"Check"</formula>
    </cfRule>
    <cfRule type="cellIs" dxfId="148" priority="44" operator="equal">
      <formula>"Ok"</formula>
    </cfRule>
  </conditionalFormatting>
  <conditionalFormatting sqref="X73">
    <cfRule type="cellIs" dxfId="147" priority="41" operator="equal">
      <formula>"Check"</formula>
    </cfRule>
    <cfRule type="cellIs" dxfId="146" priority="42" operator="equal">
      <formula>"Ok"</formula>
    </cfRule>
  </conditionalFormatting>
  <conditionalFormatting sqref="J73:U73">
    <cfRule type="cellIs" dxfId="145" priority="39" operator="equal">
      <formula>"Check"</formula>
    </cfRule>
    <cfRule type="cellIs" dxfId="144" priority="40" operator="equal">
      <formula>"Ok"</formula>
    </cfRule>
  </conditionalFormatting>
  <conditionalFormatting sqref="J64:U64">
    <cfRule type="expression" dxfId="143" priority="33">
      <formula>J$64=J$4</formula>
    </cfRule>
  </conditionalFormatting>
  <conditionalFormatting sqref="J69:U71 J66:L68 N66:U68">
    <cfRule type="expression" dxfId="142" priority="31">
      <formula>J$64=J$4</formula>
    </cfRule>
  </conditionalFormatting>
  <conditionalFormatting sqref="J49:U49">
    <cfRule type="expression" dxfId="141" priority="28">
      <formula>J$36=J$4</formula>
    </cfRule>
  </conditionalFormatting>
  <conditionalFormatting sqref="J75:U75">
    <cfRule type="expression" dxfId="140" priority="27">
      <formula>J$75=J$4</formula>
    </cfRule>
  </conditionalFormatting>
  <conditionalFormatting sqref="J113:U113">
    <cfRule type="expression" dxfId="139" priority="26">
      <formula>J$36=J$4</formula>
    </cfRule>
  </conditionalFormatting>
  <conditionalFormatting sqref="J26:U32">
    <cfRule type="cellIs" dxfId="138" priority="24" operator="equal">
      <formula>0</formula>
    </cfRule>
  </conditionalFormatting>
  <conditionalFormatting sqref="J16:U22">
    <cfRule type="cellIs" dxfId="137" priority="23" operator="equal">
      <formula>0</formula>
    </cfRule>
  </conditionalFormatting>
  <conditionalFormatting sqref="X102:X109">
    <cfRule type="cellIs" dxfId="136" priority="19" operator="equal">
      <formula>"Check"</formula>
    </cfRule>
    <cfRule type="cellIs" dxfId="135" priority="20" operator="equal">
      <formula>"Ok"</formula>
    </cfRule>
  </conditionalFormatting>
  <conditionalFormatting sqref="J105:U105 J102:U103">
    <cfRule type="cellIs" dxfId="134" priority="16" operator="equal">
      <formula>"Check"</formula>
    </cfRule>
    <cfRule type="cellIs" dxfId="133" priority="17" operator="equal">
      <formula>"Ok"</formula>
    </cfRule>
  </conditionalFormatting>
  <conditionalFormatting sqref="U51:U58">
    <cfRule type="expression" dxfId="132" priority="12">
      <formula>U$49=U$4</formula>
    </cfRule>
  </conditionalFormatting>
  <conditionalFormatting sqref="P38:T38">
    <cfRule type="expression" dxfId="131" priority="11">
      <formula>P$36=P$4</formula>
    </cfRule>
  </conditionalFormatting>
  <conditionalFormatting sqref="P55:T55">
    <cfRule type="expression" dxfId="130" priority="10">
      <formula>P$49=P$4</formula>
    </cfRule>
  </conditionalFormatting>
  <conditionalFormatting sqref="T55">
    <cfRule type="expression" dxfId="129" priority="9">
      <formula>T$49=T$4</formula>
    </cfRule>
  </conditionalFormatting>
  <conditionalFormatting sqref="J104:U104">
    <cfRule type="expression" dxfId="128" priority="173">
      <formula>J$104=J$4</formula>
    </cfRule>
  </conditionalFormatting>
  <conditionalFormatting sqref="J115:U115">
    <cfRule type="expression" dxfId="127" priority="174">
      <formula>J$113=J$4</formula>
    </cfRule>
  </conditionalFormatting>
  <conditionalFormatting sqref="L86:M88 K89:M91">
    <cfRule type="expression" dxfId="126" priority="175">
      <formula>K$93=K$4</formula>
    </cfRule>
  </conditionalFormatting>
  <conditionalFormatting sqref="N43:O45 N38:O40">
    <cfRule type="expression" dxfId="125" priority="6">
      <formula>N$36=N$4</formula>
    </cfRule>
  </conditionalFormatting>
  <conditionalFormatting sqref="O51:O54 O56:O58">
    <cfRule type="expression" dxfId="124" priority="5">
      <formula>O$49=O$4</formula>
    </cfRule>
  </conditionalFormatting>
  <conditionalFormatting sqref="O55">
    <cfRule type="expression" dxfId="123" priority="4">
      <formula>O$49=O$4</formula>
    </cfRule>
  </conditionalFormatting>
  <conditionalFormatting sqref="N56:N58 N51:N54 M58">
    <cfRule type="expression" dxfId="122" priority="3">
      <formula>M$49=M$4</formula>
    </cfRule>
  </conditionalFormatting>
  <conditionalFormatting sqref="N55">
    <cfRule type="expression" dxfId="121" priority="2">
      <formula>N$49=N$4</formula>
    </cfRule>
  </conditionalFormatting>
  <conditionalFormatting sqref="N41:T41">
    <cfRule type="expression" dxfId="120" priority="1">
      <formula>N$34=N$4</formula>
    </cfRule>
  </conditionalFormatting>
  <dataValidations disablePrompts="1" count="2">
    <dataValidation type="list" allowBlank="1" showInputMessage="1" showErrorMessage="1" sqref="F118 F74 F110" xr:uid="{00000000-0002-0000-0400-000000000000}">
      <formula1>#REF!</formula1>
    </dataValidation>
    <dataValidation type="list" allowBlank="1" showInputMessage="1" showErrorMessage="1" sqref="F94 F83 F85 F92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W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4"/>
  <sheetViews>
    <sheetView showGridLines="0" zoomScaleNormal="100" workbookViewId="0">
      <selection activeCell="V1" sqref="R1:V1"/>
    </sheetView>
  </sheetViews>
  <sheetFormatPr defaultColWidth="0" defaultRowHeight="11.25" zeroHeight="1" outlineLevelRow="1"/>
  <cols>
    <col min="1" max="2" width="1.5" style="5" customWidth="1"/>
    <col min="3" max="3" width="48" style="5" bestFit="1" customWidth="1"/>
    <col min="4" max="4" width="27.6640625" style="13" customWidth="1"/>
    <col min="5" max="5" width="15.83203125" style="13" customWidth="1"/>
    <col min="6" max="6" width="10.6640625" style="13" customWidth="1"/>
    <col min="7" max="9" width="3.33203125" style="13" customWidth="1"/>
    <col min="10" max="23" width="10.83203125" style="5" customWidth="1"/>
    <col min="24" max="47" width="10.5" style="5" hidden="1" customWidth="1"/>
    <col min="48" max="16384" width="0" style="5" hidden="1"/>
  </cols>
  <sheetData>
    <row r="1" spans="1:23" s="25" customFormat="1" ht="15.75">
      <c r="B1" s="22" t="str">
        <f>Index!$B$1</f>
        <v>AER opex model - version: Evoenergy 24-29 DD</v>
      </c>
      <c r="C1" s="22"/>
      <c r="D1" s="22"/>
      <c r="E1" s="22"/>
      <c r="F1" s="23"/>
      <c r="G1" s="23"/>
      <c r="H1" s="23"/>
      <c r="I1" s="23"/>
      <c r="J1" s="24" t="s">
        <v>2</v>
      </c>
      <c r="L1" s="26" t="s">
        <v>3</v>
      </c>
      <c r="M1" s="41" t="s">
        <v>4</v>
      </c>
      <c r="N1" s="8" t="s">
        <v>5</v>
      </c>
      <c r="O1" s="9" t="s">
        <v>6</v>
      </c>
      <c r="R1" s="26" t="s">
        <v>80</v>
      </c>
      <c r="S1" s="27" t="str">
        <f ca="1">IF(COUNTA($W$8:$W$237)=COUNTIF($W$8:$W$237,"OK"),"OK","Check")</f>
        <v>OK</v>
      </c>
      <c r="U1" s="103" t="s">
        <v>24</v>
      </c>
      <c r="V1" s="27" t="str">
        <f ca="1">'Check|List'!$S$1</f>
        <v>Ok</v>
      </c>
    </row>
    <row r="2" spans="1:23" s="29" customFormat="1" ht="13.5" thickBot="1">
      <c r="B2" s="28" t="str">
        <f>Index!$C$11</f>
        <v>Input | Step changes</v>
      </c>
      <c r="C2" s="28"/>
      <c r="D2" s="28"/>
      <c r="E2" s="28"/>
      <c r="F2" s="48"/>
      <c r="G2" s="48"/>
      <c r="H2" s="48"/>
      <c r="I2" s="48"/>
    </row>
    <row r="3" spans="1:23" s="49" customFormat="1">
      <c r="D3" s="100"/>
      <c r="E3" s="100"/>
      <c r="F3" s="100"/>
      <c r="G3" s="100"/>
      <c r="H3" s="100"/>
      <c r="I3" s="100"/>
      <c r="J3" s="89" t="s">
        <v>114</v>
      </c>
      <c r="K3" s="94"/>
      <c r="L3" s="94"/>
      <c r="M3" s="100"/>
      <c r="N3" s="202"/>
      <c r="O3" s="202"/>
      <c r="P3" s="202"/>
      <c r="Q3" s="202"/>
      <c r="R3" s="202"/>
      <c r="S3" s="202"/>
      <c r="T3" s="50"/>
      <c r="U3" s="50"/>
      <c r="V3" s="50"/>
      <c r="W3" s="50"/>
    </row>
    <row r="4" spans="1:23" customFormat="1">
      <c r="A4" s="51"/>
      <c r="B4" s="51"/>
      <c r="C4" s="51"/>
      <c r="D4" s="52" t="s">
        <v>7</v>
      </c>
      <c r="E4" s="52" t="s">
        <v>8</v>
      </c>
      <c r="F4" s="145" t="s">
        <v>22</v>
      </c>
      <c r="G4" s="146"/>
      <c r="H4" s="146"/>
      <c r="I4" s="146"/>
      <c r="J4" s="87">
        <f>DATE(PPFirstYear,MONTH('Input|General'!$G$9),1)</f>
        <v>43983</v>
      </c>
      <c r="K4" s="87">
        <f>DATE(PPFirstYear+1,MONTH('Input|General'!$G$9),1)</f>
        <v>44348</v>
      </c>
      <c r="L4" s="87">
        <f>DATE(PPFirstYear+2,MONTH('Input|General'!$G$9),1)</f>
        <v>44713</v>
      </c>
      <c r="M4" s="87">
        <f>DATE(PPFirstYear+3,MONTH('Input|General'!$G$9),1)</f>
        <v>45078</v>
      </c>
      <c r="N4" s="87">
        <f>DATE(PPFirstYear+4,MONTH('Input|General'!$G$9),1)</f>
        <v>45444</v>
      </c>
      <c r="O4" s="87">
        <f>DATE(PPFirstYear+5,MONTH('Input|General'!$G$9),1)</f>
        <v>45809</v>
      </c>
      <c r="P4" s="87">
        <f>DATE(PPFirstYear+6,MONTH('Input|General'!$G$9),1)</f>
        <v>46174</v>
      </c>
      <c r="Q4" s="87">
        <f>DATE(PPFirstYear+7,MONTH('Input|General'!$G$9),1)</f>
        <v>46539</v>
      </c>
      <c r="R4" s="87">
        <f>DATE(PPFirstYear+8,MONTH('Input|General'!$G$9),1)</f>
        <v>46905</v>
      </c>
      <c r="S4" s="87">
        <f>DATE(PPFirstYear+9,MONTH('Input|General'!$G$9),1)</f>
        <v>47270</v>
      </c>
      <c r="T4" s="87">
        <f>DATE(PPFirstYear+10,MONTH('Input|General'!$G$9),1)</f>
        <v>47635</v>
      </c>
      <c r="U4" s="55"/>
      <c r="V4" s="182"/>
      <c r="W4" s="56"/>
    </row>
    <row r="5" spans="1:23" s="3" customFormat="1" ht="3" customHeight="1">
      <c r="A5" s="147"/>
      <c r="B5" s="147"/>
      <c r="C5" s="147"/>
      <c r="D5" s="148"/>
      <c r="E5" s="148"/>
      <c r="F5" s="148"/>
      <c r="G5" s="148"/>
      <c r="H5" s="148"/>
      <c r="I5" s="148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</row>
    <row r="6" spans="1:23" s="3" customFormat="1" ht="9" customHeight="1">
      <c r="A6" s="147"/>
      <c r="B6" s="147"/>
      <c r="C6" s="147"/>
      <c r="D6" s="148"/>
      <c r="E6" s="148"/>
      <c r="F6" s="148"/>
      <c r="G6" s="148"/>
      <c r="H6" s="148"/>
      <c r="I6" s="148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</row>
    <row r="7" spans="1:23" s="3" customFormat="1" ht="3" customHeight="1">
      <c r="A7" s="147"/>
      <c r="B7" s="147"/>
      <c r="C7" s="147"/>
      <c r="D7" s="148"/>
      <c r="E7" s="148"/>
      <c r="F7" s="148"/>
      <c r="G7" s="148"/>
      <c r="H7" s="148"/>
      <c r="I7" s="148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</row>
    <row r="8" spans="1:23" customFormat="1" ht="12.75">
      <c r="A8" s="116"/>
      <c r="B8" s="35" t="s">
        <v>49</v>
      </c>
      <c r="C8" s="116"/>
      <c r="D8" s="116"/>
      <c r="E8" s="116"/>
      <c r="F8" s="117"/>
      <c r="G8" s="117"/>
      <c r="H8" s="117"/>
      <c r="I8" s="117"/>
      <c r="J8" s="118"/>
      <c r="K8" s="119"/>
      <c r="L8" s="118"/>
      <c r="M8" s="119"/>
      <c r="N8" s="118"/>
      <c r="O8" s="118"/>
      <c r="P8" s="118"/>
      <c r="Q8" s="118"/>
      <c r="R8" s="118"/>
      <c r="S8" s="118"/>
      <c r="T8" s="118"/>
      <c r="U8" s="118"/>
      <c r="V8" s="119"/>
      <c r="W8" s="33"/>
    </row>
    <row r="9" spans="1:23" outlineLevel="1">
      <c r="A9" s="120"/>
      <c r="B9" s="120"/>
      <c r="C9" s="120"/>
      <c r="D9" s="121"/>
      <c r="E9" s="121"/>
      <c r="F9" s="121"/>
      <c r="G9" s="122"/>
      <c r="H9" s="122"/>
      <c r="I9" s="121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23" outlineLevel="1">
      <c r="A10" s="120"/>
      <c r="B10" s="120"/>
      <c r="C10" s="123" t="s">
        <v>77</v>
      </c>
      <c r="D10" s="122" t="s">
        <v>7</v>
      </c>
      <c r="E10" s="122" t="s">
        <v>8</v>
      </c>
      <c r="F10" s="122" t="s">
        <v>22</v>
      </c>
      <c r="G10" s="122"/>
      <c r="H10" s="122"/>
      <c r="I10" s="139"/>
      <c r="J10" s="139" t="str">
        <f t="shared" ref="J10:T10" si="0">IF(YEAR(J$4)&gt;=FPFirstYear,IF(YEAR(J$4)&lt;=FPLastYear,J$4,""),"")</f>
        <v/>
      </c>
      <c r="K10" s="139" t="str">
        <f t="shared" si="0"/>
        <v/>
      </c>
      <c r="L10" s="139" t="str">
        <f t="shared" si="0"/>
        <v/>
      </c>
      <c r="M10" s="139" t="str">
        <f t="shared" si="0"/>
        <v/>
      </c>
      <c r="N10" s="139" t="str">
        <f t="shared" si="0"/>
        <v/>
      </c>
      <c r="O10" s="139">
        <f t="shared" si="0"/>
        <v>45809</v>
      </c>
      <c r="P10" s="139">
        <f t="shared" si="0"/>
        <v>46174</v>
      </c>
      <c r="Q10" s="139">
        <f t="shared" si="0"/>
        <v>46539</v>
      </c>
      <c r="R10" s="139">
        <f t="shared" si="0"/>
        <v>46905</v>
      </c>
      <c r="S10" s="139">
        <f t="shared" si="0"/>
        <v>47270</v>
      </c>
      <c r="T10" s="139" t="str">
        <f t="shared" si="0"/>
        <v/>
      </c>
      <c r="U10" s="120"/>
      <c r="V10" s="120"/>
    </row>
    <row r="11" spans="1:23" outlineLevel="1">
      <c r="A11" s="120"/>
      <c r="B11" s="120"/>
      <c r="C11" s="120"/>
      <c r="D11" s="121"/>
      <c r="E11" s="121"/>
      <c r="F11" s="121"/>
      <c r="G11" s="122"/>
      <c r="H11" s="122"/>
      <c r="I11" s="121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</row>
    <row r="12" spans="1:23" outlineLevel="1">
      <c r="A12" s="120"/>
      <c r="B12" s="120"/>
      <c r="C12" s="128" t="s">
        <v>206</v>
      </c>
      <c r="D12" s="121" t="s">
        <v>67</v>
      </c>
      <c r="E12" s="121" t="str">
        <f t="shared" ref="E12:E20" si="1">units</f>
        <v>$millions</v>
      </c>
      <c r="F12" s="140">
        <v>45444</v>
      </c>
      <c r="G12" s="122"/>
      <c r="H12" s="122"/>
      <c r="I12" s="121"/>
      <c r="J12" s="190"/>
      <c r="K12" s="159"/>
      <c r="L12" s="159"/>
      <c r="M12" s="159"/>
      <c r="N12" s="159"/>
      <c r="O12" s="183">
        <v>0.65947285271797185</v>
      </c>
      <c r="P12" s="183">
        <v>0.87098092293208229</v>
      </c>
      <c r="Q12" s="183">
        <v>1.040196439920493</v>
      </c>
      <c r="R12" s="183">
        <v>1.1706429446778921</v>
      </c>
      <c r="S12" s="183">
        <v>1.2791804322645386</v>
      </c>
      <c r="T12" s="183"/>
      <c r="U12" s="120"/>
      <c r="V12" s="120"/>
    </row>
    <row r="13" spans="1:23" outlineLevel="1">
      <c r="A13" s="120"/>
      <c r="B13" s="120"/>
      <c r="C13" s="128" t="s">
        <v>207</v>
      </c>
      <c r="D13" s="121" t="s">
        <v>67</v>
      </c>
      <c r="E13" s="121" t="str">
        <f t="shared" si="1"/>
        <v>$millions</v>
      </c>
      <c r="F13" s="140">
        <v>45444</v>
      </c>
      <c r="G13" s="122"/>
      <c r="H13" s="122"/>
      <c r="I13" s="121"/>
      <c r="J13" s="190"/>
      <c r="K13" s="159"/>
      <c r="L13" s="159"/>
      <c r="M13" s="159"/>
      <c r="N13" s="159"/>
      <c r="O13" s="183">
        <v>2.9030572748888868</v>
      </c>
      <c r="P13" s="183">
        <v>2.895487287397672</v>
      </c>
      <c r="Q13" s="183">
        <v>2.8551469667260383</v>
      </c>
      <c r="R13" s="183">
        <v>3.0220545629757316</v>
      </c>
      <c r="S13" s="183">
        <v>2.8879911221659929</v>
      </c>
      <c r="T13" s="183"/>
      <c r="U13" s="120"/>
      <c r="V13" s="120"/>
    </row>
    <row r="14" spans="1:23" outlineLevel="1">
      <c r="A14" s="120"/>
      <c r="B14" s="120"/>
      <c r="C14" s="128" t="s">
        <v>208</v>
      </c>
      <c r="D14" s="121" t="s">
        <v>67</v>
      </c>
      <c r="E14" s="121" t="str">
        <f t="shared" si="1"/>
        <v>$millions</v>
      </c>
      <c r="F14" s="140">
        <v>45444</v>
      </c>
      <c r="G14" s="122"/>
      <c r="H14" s="122"/>
      <c r="I14" s="121"/>
      <c r="J14" s="190"/>
      <c r="K14" s="159"/>
      <c r="L14" s="159"/>
      <c r="M14" s="159"/>
      <c r="N14" s="159"/>
      <c r="O14" s="183">
        <v>1.97</v>
      </c>
      <c r="P14" s="183">
        <v>1.97</v>
      </c>
      <c r="Q14" s="183">
        <v>1.97</v>
      </c>
      <c r="R14" s="183">
        <v>1.97</v>
      </c>
      <c r="S14" s="183">
        <v>1.97</v>
      </c>
      <c r="T14" s="183"/>
      <c r="U14" s="120"/>
      <c r="V14" s="120"/>
    </row>
    <row r="15" spans="1:23" outlineLevel="1">
      <c r="A15" s="120"/>
      <c r="B15" s="120"/>
      <c r="C15" s="128"/>
      <c r="D15" s="121" t="s">
        <v>67</v>
      </c>
      <c r="E15" s="121" t="str">
        <f t="shared" si="1"/>
        <v>$millions</v>
      </c>
      <c r="F15" s="140">
        <v>45444</v>
      </c>
      <c r="G15" s="122"/>
      <c r="H15" s="122"/>
      <c r="I15" s="121"/>
      <c r="J15" s="190"/>
      <c r="K15" s="159"/>
      <c r="L15" s="159"/>
      <c r="M15" s="159"/>
      <c r="N15" s="159"/>
      <c r="O15" s="183"/>
      <c r="P15" s="183"/>
      <c r="Q15" s="183"/>
      <c r="R15" s="183"/>
      <c r="S15" s="183"/>
      <c r="T15" s="183"/>
      <c r="U15" s="120"/>
      <c r="V15" s="120"/>
    </row>
    <row r="16" spans="1:23" outlineLevel="1">
      <c r="A16" s="120"/>
      <c r="B16" s="120"/>
      <c r="C16" s="128"/>
      <c r="D16" s="121" t="s">
        <v>67</v>
      </c>
      <c r="E16" s="121" t="str">
        <f t="shared" si="1"/>
        <v>$millions</v>
      </c>
      <c r="F16" s="140">
        <v>45444</v>
      </c>
      <c r="G16" s="122"/>
      <c r="H16" s="122"/>
      <c r="I16" s="121"/>
      <c r="J16" s="190"/>
      <c r="K16" s="159"/>
      <c r="L16" s="159"/>
      <c r="M16" s="159"/>
      <c r="N16" s="159"/>
      <c r="O16" s="183"/>
      <c r="P16" s="183"/>
      <c r="Q16" s="183"/>
      <c r="R16" s="183"/>
      <c r="S16" s="183"/>
      <c r="T16" s="183"/>
      <c r="U16" s="120"/>
      <c r="V16" s="120"/>
    </row>
    <row r="17" spans="1:23" outlineLevel="1">
      <c r="A17" s="120"/>
      <c r="B17" s="120"/>
      <c r="C17" s="128"/>
      <c r="D17" s="121" t="s">
        <v>67</v>
      </c>
      <c r="E17" s="121" t="str">
        <f t="shared" si="1"/>
        <v>$millions</v>
      </c>
      <c r="F17" s="140">
        <v>45444</v>
      </c>
      <c r="G17" s="122"/>
      <c r="H17" s="122"/>
      <c r="I17" s="121"/>
      <c r="J17" s="190"/>
      <c r="K17" s="159"/>
      <c r="L17" s="159"/>
      <c r="M17" s="159"/>
      <c r="N17" s="159"/>
      <c r="O17" s="183"/>
      <c r="P17" s="183"/>
      <c r="Q17" s="183"/>
      <c r="R17" s="183"/>
      <c r="S17" s="183"/>
      <c r="T17" s="183"/>
      <c r="U17" s="120"/>
      <c r="V17" s="120"/>
    </row>
    <row r="18" spans="1:23" outlineLevel="1">
      <c r="A18" s="120"/>
      <c r="B18" s="120"/>
      <c r="C18" s="128"/>
      <c r="D18" s="121" t="s">
        <v>67</v>
      </c>
      <c r="E18" s="121" t="str">
        <f t="shared" si="1"/>
        <v>$millions</v>
      </c>
      <c r="F18" s="140">
        <v>45444</v>
      </c>
      <c r="G18" s="122"/>
      <c r="H18" s="122"/>
      <c r="I18" s="121"/>
      <c r="J18" s="159"/>
      <c r="K18" s="159"/>
      <c r="L18" s="159"/>
      <c r="M18" s="159"/>
      <c r="N18" s="159"/>
      <c r="O18" s="183"/>
      <c r="P18" s="183"/>
      <c r="Q18" s="183"/>
      <c r="R18" s="183"/>
      <c r="S18" s="183"/>
      <c r="T18" s="183"/>
      <c r="U18" s="120"/>
      <c r="V18" s="120"/>
    </row>
    <row r="19" spans="1:23" outlineLevel="1">
      <c r="A19" s="120"/>
      <c r="B19" s="120"/>
      <c r="C19" s="128"/>
      <c r="D19" s="121" t="s">
        <v>67</v>
      </c>
      <c r="E19" s="121" t="str">
        <f t="shared" si="1"/>
        <v>$millions</v>
      </c>
      <c r="F19" s="140">
        <v>45444</v>
      </c>
      <c r="G19" s="122"/>
      <c r="H19" s="122"/>
      <c r="I19" s="121"/>
      <c r="J19" s="159"/>
      <c r="K19" s="159"/>
      <c r="L19" s="159"/>
      <c r="M19" s="159"/>
      <c r="N19" s="159"/>
      <c r="O19" s="183"/>
      <c r="P19" s="183"/>
      <c r="Q19" s="183"/>
      <c r="R19" s="183"/>
      <c r="S19" s="183"/>
      <c r="T19" s="183"/>
      <c r="U19" s="120"/>
      <c r="V19" s="120"/>
    </row>
    <row r="20" spans="1:23" outlineLevel="1">
      <c r="A20" s="120"/>
      <c r="B20" s="120"/>
      <c r="C20" s="128" t="s">
        <v>209</v>
      </c>
      <c r="D20" s="121" t="s">
        <v>67</v>
      </c>
      <c r="E20" s="121" t="str">
        <f t="shared" si="1"/>
        <v>$millions</v>
      </c>
      <c r="F20" s="140">
        <v>45444</v>
      </c>
      <c r="G20" s="122"/>
      <c r="H20" s="122"/>
      <c r="I20" s="121"/>
      <c r="J20" s="159"/>
      <c r="K20" s="159"/>
      <c r="L20" s="159"/>
      <c r="M20" s="159"/>
      <c r="N20" s="159"/>
      <c r="O20" s="183">
        <f ca="1">-'Calc|Opex forecast'!$L$37*4/5*(1+'Calc|Opex forecast'!O56)</f>
        <v>8.2660120518344797</v>
      </c>
      <c r="P20" s="183">
        <f ca="1">-'Calc|Opex forecast'!$L$37*3/5*(1+'Calc|Opex forecast'!P56)</f>
        <v>6.261758802717563</v>
      </c>
      <c r="Q20" s="183">
        <f ca="1">-'Calc|Opex forecast'!$L$37*2/5*(1+'Calc|Opex forecast'!Q56)</f>
        <v>4.2108397538130315</v>
      </c>
      <c r="R20" s="183">
        <f ca="1">-'Calc|Opex forecast'!$L$37*1/5*(1+'Calc|Opex forecast'!R56)</f>
        <v>2.1284765334010349</v>
      </c>
      <c r="S20" s="183">
        <f ca="1">-'Calc|Opex forecast'!$L$37*0/5*(1+'Calc|Opex forecast'!S56)</f>
        <v>0</v>
      </c>
      <c r="T20" s="183"/>
      <c r="U20" s="120"/>
      <c r="V20" s="120"/>
    </row>
    <row r="21" spans="1:23" outlineLevel="1">
      <c r="A21" s="120"/>
      <c r="B21" s="120"/>
      <c r="C21" s="120"/>
      <c r="D21" s="121"/>
      <c r="E21" s="121"/>
      <c r="F21" s="121"/>
      <c r="G21" s="122"/>
      <c r="H21" s="122"/>
      <c r="I21" s="121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</row>
    <row r="22" spans="1:23" outlineLevel="1">
      <c r="A22" s="120"/>
      <c r="B22" s="120"/>
      <c r="C22" s="120" t="s">
        <v>40</v>
      </c>
      <c r="D22" s="121" t="s">
        <v>95</v>
      </c>
      <c r="E22" s="121" t="s">
        <v>28</v>
      </c>
      <c r="F22" s="121" t="s">
        <v>36</v>
      </c>
      <c r="G22" s="121"/>
      <c r="H22" s="121"/>
      <c r="I22" s="121"/>
      <c r="J22" s="166" t="str">
        <f t="shared" ref="J22:S22" si="2">IF(J10=J4,IF(COUNTA($C12:$C20)=COUNT(J12:J20),"Ok","Check"),"")</f>
        <v/>
      </c>
      <c r="K22" s="166" t="str">
        <f t="shared" si="2"/>
        <v/>
      </c>
      <c r="L22" s="166" t="str">
        <f t="shared" si="2"/>
        <v/>
      </c>
      <c r="M22" s="166" t="str">
        <f t="shared" si="2"/>
        <v/>
      </c>
      <c r="N22" s="166" t="str">
        <f t="shared" si="2"/>
        <v/>
      </c>
      <c r="O22" s="166" t="str">
        <f t="shared" ca="1" si="2"/>
        <v>Ok</v>
      </c>
      <c r="P22" s="166" t="str">
        <f t="shared" ca="1" si="2"/>
        <v>Ok</v>
      </c>
      <c r="Q22" s="166" t="str">
        <f t="shared" ca="1" si="2"/>
        <v>Ok</v>
      </c>
      <c r="R22" s="166" t="str">
        <f t="shared" ca="1" si="2"/>
        <v>Ok</v>
      </c>
      <c r="S22" s="166" t="str">
        <f t="shared" ca="1" si="2"/>
        <v>Ok</v>
      </c>
      <c r="T22" s="166" t="str">
        <f t="shared" ref="T22" si="3">IF(T10=T4,IF(COUNTA($C12:$C20)=COUNT(T12:T20),"Ok","Check"),"")</f>
        <v/>
      </c>
      <c r="U22" s="167"/>
      <c r="V22" s="120"/>
      <c r="W22" s="75" t="str">
        <f ca="1">IF(COUNTIF(J22:T22,"Check")=0,"Ok","Check")</f>
        <v>Ok</v>
      </c>
    </row>
    <row r="23" spans="1:23">
      <c r="A23" s="120"/>
      <c r="B23" s="120"/>
      <c r="C23" s="120"/>
      <c r="D23" s="121"/>
      <c r="E23" s="121"/>
      <c r="F23" s="121"/>
      <c r="G23" s="122"/>
      <c r="H23" s="122"/>
      <c r="I23" s="121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</row>
    <row r="24" spans="1:23" customFormat="1" ht="12.75">
      <c r="A24" s="116"/>
      <c r="B24" s="35" t="s">
        <v>111</v>
      </c>
      <c r="C24" s="116"/>
      <c r="D24" s="116"/>
      <c r="E24" s="116"/>
      <c r="F24" s="117"/>
      <c r="G24" s="117"/>
      <c r="H24" s="117"/>
      <c r="I24" s="117"/>
      <c r="J24" s="118"/>
      <c r="K24" s="119"/>
      <c r="L24" s="118"/>
      <c r="M24" s="119"/>
      <c r="N24" s="118"/>
      <c r="O24" s="118"/>
      <c r="P24" s="118"/>
      <c r="Q24" s="118"/>
      <c r="R24" s="118"/>
      <c r="S24" s="118"/>
      <c r="T24" s="118"/>
      <c r="U24" s="118"/>
      <c r="V24" s="119"/>
      <c r="W24" s="33"/>
    </row>
    <row r="25" spans="1:23" outlineLevel="1">
      <c r="A25" s="120"/>
      <c r="B25" s="120"/>
      <c r="C25" s="120"/>
      <c r="D25" s="121"/>
      <c r="E25" s="121"/>
      <c r="F25" s="121"/>
      <c r="G25" s="122"/>
      <c r="H25" s="122"/>
      <c r="I25" s="121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</row>
    <row r="26" spans="1:23" outlineLevel="1">
      <c r="A26" s="120"/>
      <c r="B26" s="120"/>
      <c r="C26" s="123" t="s">
        <v>103</v>
      </c>
      <c r="D26" s="122" t="s">
        <v>7</v>
      </c>
      <c r="E26" s="122" t="s">
        <v>8</v>
      </c>
      <c r="F26" s="122" t="s">
        <v>22</v>
      </c>
      <c r="G26" s="122"/>
      <c r="H26" s="122"/>
      <c r="I26" s="121"/>
      <c r="J26" s="139" t="str">
        <f t="shared" ref="J26:T26" si="4">IF(YEAR(J$4)&gt;=FPFirstYear,IF(YEAR(J$4)&lt;=FPLastYear,J$4,""),"")</f>
        <v/>
      </c>
      <c r="K26" s="139" t="str">
        <f t="shared" si="4"/>
        <v/>
      </c>
      <c r="L26" s="139" t="str">
        <f t="shared" si="4"/>
        <v/>
      </c>
      <c r="M26" s="139" t="str">
        <f t="shared" si="4"/>
        <v/>
      </c>
      <c r="N26" s="139" t="str">
        <f t="shared" si="4"/>
        <v/>
      </c>
      <c r="O26" s="139">
        <f t="shared" si="4"/>
        <v>45809</v>
      </c>
      <c r="P26" s="139">
        <f t="shared" si="4"/>
        <v>46174</v>
      </c>
      <c r="Q26" s="139">
        <f t="shared" si="4"/>
        <v>46539</v>
      </c>
      <c r="R26" s="139">
        <f t="shared" si="4"/>
        <v>46905</v>
      </c>
      <c r="S26" s="139">
        <f t="shared" si="4"/>
        <v>47270</v>
      </c>
      <c r="T26" s="139" t="str">
        <f t="shared" si="4"/>
        <v/>
      </c>
      <c r="U26" s="120"/>
      <c r="V26" s="120"/>
    </row>
    <row r="27" spans="1:23" outlineLevel="1">
      <c r="A27" s="120"/>
      <c r="B27" s="120"/>
      <c r="C27" s="120"/>
      <c r="D27" s="121"/>
      <c r="E27" s="121"/>
      <c r="F27" s="121"/>
      <c r="G27" s="122"/>
      <c r="H27" s="122"/>
      <c r="I27" s="121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</row>
    <row r="28" spans="1:23" outlineLevel="1">
      <c r="A28" s="120"/>
      <c r="B28" s="120"/>
      <c r="C28" s="184"/>
      <c r="D28" s="121" t="s">
        <v>67</v>
      </c>
      <c r="E28" s="121" t="str">
        <f>units</f>
        <v>$millions</v>
      </c>
      <c r="F28" s="140">
        <f>DATE(PPLastYear,MONTH(month),1)</f>
        <v>45444</v>
      </c>
      <c r="G28" s="122"/>
      <c r="H28" s="122"/>
      <c r="I28" s="121"/>
      <c r="J28" s="159"/>
      <c r="K28" s="159"/>
      <c r="L28" s="159"/>
      <c r="M28" s="159"/>
      <c r="N28" s="183"/>
      <c r="O28" s="183"/>
      <c r="P28" s="183"/>
      <c r="Q28" s="183"/>
      <c r="R28" s="183"/>
      <c r="S28" s="183"/>
      <c r="T28" s="183"/>
      <c r="U28" s="120"/>
      <c r="V28" s="120"/>
    </row>
    <row r="29" spans="1:23" outlineLevel="1">
      <c r="A29" s="120"/>
      <c r="B29" s="120"/>
      <c r="C29" s="184"/>
      <c r="D29" s="121" t="s">
        <v>67</v>
      </c>
      <c r="E29" s="121" t="str">
        <f>units</f>
        <v>$millions</v>
      </c>
      <c r="F29" s="140">
        <f>DATE(PPLastYear,MONTH(month),1)</f>
        <v>45444</v>
      </c>
      <c r="G29" s="122"/>
      <c r="H29" s="122"/>
      <c r="I29" s="121"/>
      <c r="J29" s="159"/>
      <c r="K29" s="159"/>
      <c r="L29" s="159"/>
      <c r="M29" s="159"/>
      <c r="N29" s="183"/>
      <c r="O29" s="183"/>
      <c r="P29" s="183"/>
      <c r="Q29" s="183"/>
      <c r="R29" s="183"/>
      <c r="S29" s="183"/>
      <c r="T29" s="183"/>
      <c r="U29" s="120"/>
      <c r="V29" s="120"/>
    </row>
    <row r="30" spans="1:23" outlineLevel="1">
      <c r="A30" s="120"/>
      <c r="B30" s="120"/>
      <c r="C30" s="184"/>
      <c r="D30" s="121" t="s">
        <v>67</v>
      </c>
      <c r="E30" s="121" t="str">
        <f>units</f>
        <v>$millions</v>
      </c>
      <c r="F30" s="140">
        <f>DATE(PPLastYear,MONTH(month),1)</f>
        <v>45444</v>
      </c>
      <c r="G30" s="122"/>
      <c r="H30" s="122"/>
      <c r="I30" s="121"/>
      <c r="J30" s="159"/>
      <c r="K30" s="159"/>
      <c r="L30" s="159"/>
      <c r="M30" s="159"/>
      <c r="N30" s="183"/>
      <c r="O30" s="183"/>
      <c r="P30" s="183"/>
      <c r="Q30" s="183"/>
      <c r="R30" s="183"/>
      <c r="S30" s="183"/>
      <c r="T30" s="183"/>
      <c r="U30" s="120"/>
      <c r="V30" s="120"/>
    </row>
    <row r="31" spans="1:23" outlineLevel="1">
      <c r="A31" s="120"/>
      <c r="B31" s="120"/>
      <c r="C31" s="185"/>
      <c r="D31" s="121" t="s">
        <v>67</v>
      </c>
      <c r="E31" s="121" t="str">
        <f>units</f>
        <v>$millions</v>
      </c>
      <c r="F31" s="140">
        <f>DATE(PPLastYear,MONTH(month),1)</f>
        <v>45444</v>
      </c>
      <c r="G31" s="122"/>
      <c r="H31" s="122"/>
      <c r="I31" s="121"/>
      <c r="J31" s="159"/>
      <c r="K31" s="159"/>
      <c r="L31" s="159"/>
      <c r="M31" s="159"/>
      <c r="N31" s="183"/>
      <c r="O31" s="183"/>
      <c r="P31" s="183"/>
      <c r="Q31" s="183"/>
      <c r="R31" s="183"/>
      <c r="S31" s="183"/>
      <c r="T31" s="183"/>
      <c r="U31" s="120"/>
      <c r="V31" s="120"/>
    </row>
    <row r="32" spans="1:23" outlineLevel="1">
      <c r="A32" s="120"/>
      <c r="B32" s="120"/>
      <c r="C32" s="128"/>
      <c r="D32" s="121" t="s">
        <v>67</v>
      </c>
      <c r="E32" s="121" t="str">
        <f>units</f>
        <v>$millions</v>
      </c>
      <c r="F32" s="140">
        <f>DATE(PPLastYear,MONTH(month),1)</f>
        <v>45444</v>
      </c>
      <c r="G32" s="122"/>
      <c r="H32" s="122"/>
      <c r="I32" s="121"/>
      <c r="J32" s="159"/>
      <c r="K32" s="159"/>
      <c r="L32" s="159"/>
      <c r="M32" s="159"/>
      <c r="N32" s="183"/>
      <c r="O32" s="183"/>
      <c r="P32" s="183"/>
      <c r="Q32" s="183"/>
      <c r="R32" s="183"/>
      <c r="S32" s="183"/>
      <c r="T32" s="183"/>
      <c r="U32" s="120"/>
      <c r="V32" s="120"/>
    </row>
    <row r="33" spans="1:23" outlineLevel="1">
      <c r="A33" s="120"/>
      <c r="B33" s="120"/>
      <c r="C33" s="120"/>
      <c r="D33" s="121"/>
      <c r="E33" s="121"/>
      <c r="F33" s="121"/>
      <c r="G33" s="122"/>
      <c r="H33" s="122"/>
      <c r="I33" s="121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</row>
    <row r="34" spans="1:23" outlineLevel="1">
      <c r="A34" s="120"/>
      <c r="B34" s="120"/>
      <c r="C34" s="120" t="s">
        <v>40</v>
      </c>
      <c r="D34" s="121" t="s">
        <v>95</v>
      </c>
      <c r="E34" s="121" t="s">
        <v>28</v>
      </c>
      <c r="F34" s="121" t="s">
        <v>36</v>
      </c>
      <c r="G34" s="121"/>
      <c r="H34" s="121"/>
      <c r="I34" s="121"/>
      <c r="J34" s="166" t="str">
        <f t="shared" ref="J34:R34" si="5">IF(J26=J4,IF(COUNTA($C28:$C32)=COUNT(J28:J32),"Ok","Check"),"")</f>
        <v/>
      </c>
      <c r="K34" s="166" t="str">
        <f t="shared" si="5"/>
        <v/>
      </c>
      <c r="L34" s="166" t="str">
        <f t="shared" si="5"/>
        <v/>
      </c>
      <c r="M34" s="166" t="str">
        <f t="shared" si="5"/>
        <v/>
      </c>
      <c r="N34" s="166" t="str">
        <f t="shared" si="5"/>
        <v/>
      </c>
      <c r="O34" s="166" t="str">
        <f t="shared" si="5"/>
        <v>Ok</v>
      </c>
      <c r="P34" s="166" t="str">
        <f t="shared" si="5"/>
        <v>Ok</v>
      </c>
      <c r="Q34" s="166" t="str">
        <f t="shared" si="5"/>
        <v>Ok</v>
      </c>
      <c r="R34" s="166" t="str">
        <f t="shared" si="5"/>
        <v>Ok</v>
      </c>
      <c r="S34" s="166" t="str">
        <f>IF(S26=S4,IF(COUNTA($C28:$C32)=COUNT(S28:S32),"Ok","Check"),"")</f>
        <v>Ok</v>
      </c>
      <c r="T34" s="166" t="str">
        <f>IF(T26=T4,IF(COUNTA($C28:$C32)=COUNT(T28:T32),"Ok","Check"),"")</f>
        <v/>
      </c>
      <c r="U34" s="167"/>
      <c r="V34" s="120"/>
      <c r="W34" s="75" t="str">
        <f>IF(COUNTIF(J34:T34,"Check")=0,"Ok","Check")</f>
        <v>Ok</v>
      </c>
    </row>
    <row r="35" spans="1:23">
      <c r="A35" s="120"/>
      <c r="B35" s="120"/>
      <c r="C35" s="120"/>
      <c r="D35" s="121"/>
      <c r="E35" s="121"/>
      <c r="F35" s="121"/>
      <c r="G35" s="122"/>
      <c r="H35" s="122"/>
      <c r="I35" s="121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</row>
    <row r="36" spans="1:23" customFormat="1" ht="12.75">
      <c r="A36" s="116"/>
      <c r="B36" s="35" t="s">
        <v>44</v>
      </c>
      <c r="C36" s="116"/>
      <c r="D36" s="116"/>
      <c r="E36" s="116"/>
      <c r="F36" s="117"/>
      <c r="G36" s="117"/>
      <c r="H36" s="117"/>
      <c r="I36" s="117"/>
      <c r="J36" s="118"/>
      <c r="K36" s="119"/>
      <c r="L36" s="118"/>
      <c r="M36" s="119"/>
      <c r="N36" s="118"/>
      <c r="O36" s="118"/>
      <c r="P36" s="118"/>
      <c r="Q36" s="118"/>
      <c r="R36" s="118"/>
      <c r="S36" s="118"/>
      <c r="T36" s="118"/>
      <c r="U36" s="118"/>
      <c r="V36" s="119"/>
      <c r="W36" s="33"/>
    </row>
    <row r="37" spans="1:23" outlineLevel="1">
      <c r="A37" s="120"/>
      <c r="B37" s="120"/>
      <c r="C37" s="120"/>
      <c r="D37" s="121"/>
      <c r="E37" s="121"/>
      <c r="F37" s="121"/>
      <c r="G37" s="122"/>
      <c r="H37" s="122"/>
      <c r="I37" s="121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</row>
    <row r="38" spans="1:23" outlineLevel="1">
      <c r="A38" s="120"/>
      <c r="B38" s="120"/>
      <c r="C38" s="123" t="s">
        <v>32</v>
      </c>
      <c r="D38" s="122" t="s">
        <v>7</v>
      </c>
      <c r="E38" s="122" t="s">
        <v>8</v>
      </c>
      <c r="F38" s="122" t="s">
        <v>22</v>
      </c>
      <c r="G38" s="122"/>
      <c r="H38" s="122"/>
      <c r="I38" s="121"/>
      <c r="J38" s="139" t="str">
        <f t="shared" ref="J38:T38" si="6">IF(YEAR(J$4)&gt;=FPFirstYear,IF(YEAR(J$4)&lt;=FPLastYear,J$4,""),"")</f>
        <v/>
      </c>
      <c r="K38" s="139" t="str">
        <f t="shared" si="6"/>
        <v/>
      </c>
      <c r="L38" s="139" t="str">
        <f t="shared" si="6"/>
        <v/>
      </c>
      <c r="M38" s="139" t="str">
        <f t="shared" si="6"/>
        <v/>
      </c>
      <c r="N38" s="139" t="str">
        <f t="shared" si="6"/>
        <v/>
      </c>
      <c r="O38" s="139">
        <f t="shared" si="6"/>
        <v>45809</v>
      </c>
      <c r="P38" s="139">
        <f t="shared" si="6"/>
        <v>46174</v>
      </c>
      <c r="Q38" s="139">
        <f t="shared" si="6"/>
        <v>46539</v>
      </c>
      <c r="R38" s="139">
        <f t="shared" si="6"/>
        <v>46905</v>
      </c>
      <c r="S38" s="139">
        <f t="shared" si="6"/>
        <v>47270</v>
      </c>
      <c r="T38" s="139" t="str">
        <f t="shared" si="6"/>
        <v/>
      </c>
      <c r="U38" s="120"/>
      <c r="V38" s="120"/>
    </row>
    <row r="39" spans="1:23" outlineLevel="1">
      <c r="A39" s="120"/>
      <c r="B39" s="120"/>
      <c r="C39" s="120"/>
      <c r="D39" s="121"/>
      <c r="E39" s="121"/>
      <c r="F39" s="121"/>
      <c r="G39" s="122"/>
      <c r="H39" s="122"/>
      <c r="I39" s="121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</row>
    <row r="40" spans="1:23" outlineLevel="1">
      <c r="A40" s="120"/>
      <c r="B40" s="120"/>
      <c r="C40" s="126" t="s">
        <v>39</v>
      </c>
      <c r="D40" s="121" t="s">
        <v>70</v>
      </c>
      <c r="E40" s="121" t="s">
        <v>15</v>
      </c>
      <c r="F40" s="140">
        <f>DATE(PPLastYear,MONTH(month),1)</f>
        <v>45444</v>
      </c>
      <c r="G40" s="122"/>
      <c r="H40" s="122"/>
      <c r="I40" s="122"/>
      <c r="J40" s="183"/>
      <c r="K40" s="183"/>
      <c r="L40" s="183"/>
      <c r="M40" s="183"/>
      <c r="N40" s="183"/>
      <c r="O40" s="183">
        <v>0.59196297906529005</v>
      </c>
      <c r="P40" s="183">
        <v>0.59005978377535839</v>
      </c>
      <c r="Q40" s="183">
        <v>0.58575668307959661</v>
      </c>
      <c r="R40" s="183">
        <v>0.58797328313115338</v>
      </c>
      <c r="S40" s="183">
        <v>0.58619500198104679</v>
      </c>
      <c r="T40" s="183"/>
      <c r="U40" s="120"/>
      <c r="V40" s="120"/>
    </row>
    <row r="41" spans="1:23" outlineLevel="1">
      <c r="A41" s="120"/>
      <c r="B41" s="120"/>
      <c r="C41" s="120"/>
      <c r="D41" s="121"/>
      <c r="E41" s="121"/>
      <c r="F41" s="121"/>
      <c r="G41" s="122"/>
      <c r="H41" s="122"/>
      <c r="I41" s="121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</row>
    <row r="42" spans="1:23" outlineLevel="1">
      <c r="A42" s="120"/>
      <c r="B42" s="120"/>
      <c r="C42" s="120" t="s">
        <v>40</v>
      </c>
      <c r="D42" s="121" t="s">
        <v>95</v>
      </c>
      <c r="E42" s="121" t="s">
        <v>28</v>
      </c>
      <c r="F42" s="121" t="s">
        <v>36</v>
      </c>
      <c r="G42" s="121"/>
      <c r="H42" s="121"/>
      <c r="I42" s="121"/>
      <c r="J42" s="166" t="str">
        <f t="shared" ref="J42:R42" si="7">IF(J38=J4,IF(ISBLANK(J40),"Check","Ok"),"")</f>
        <v/>
      </c>
      <c r="K42" s="166" t="str">
        <f t="shared" si="7"/>
        <v/>
      </c>
      <c r="L42" s="166" t="str">
        <f t="shared" si="7"/>
        <v/>
      </c>
      <c r="M42" s="166" t="str">
        <f t="shared" si="7"/>
        <v/>
      </c>
      <c r="N42" s="166" t="str">
        <f t="shared" si="7"/>
        <v/>
      </c>
      <c r="O42" s="166" t="str">
        <f>IF(O38=O4,IF(ISBLANK(O40),"Check","Ok"),"")</f>
        <v>Ok</v>
      </c>
      <c r="P42" s="166" t="str">
        <f t="shared" si="7"/>
        <v>Ok</v>
      </c>
      <c r="Q42" s="166" t="str">
        <f t="shared" si="7"/>
        <v>Ok</v>
      </c>
      <c r="R42" s="166" t="str">
        <f t="shared" si="7"/>
        <v>Ok</v>
      </c>
      <c r="S42" s="166" t="str">
        <f>IF(S38=S4,IF(ISBLANK(S40),"Check","Ok"),"")</f>
        <v>Ok</v>
      </c>
      <c r="T42" s="166" t="str">
        <f>IF(T38=T4,IF(ISBLANK(T40),"Check","Ok"),"")</f>
        <v/>
      </c>
      <c r="U42" s="167"/>
      <c r="V42" s="120"/>
      <c r="W42" s="75" t="str">
        <f>IF(COUNTIF(J42:T42,"Check")=0,"Ok","Check")</f>
        <v>Ok</v>
      </c>
    </row>
    <row r="43" spans="1:23">
      <c r="A43" s="120"/>
      <c r="B43" s="120"/>
      <c r="C43" s="120"/>
      <c r="D43" s="121"/>
      <c r="E43" s="121"/>
      <c r="F43" s="121"/>
      <c r="G43" s="122"/>
      <c r="H43" s="122"/>
      <c r="I43" s="121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</row>
    <row r="44" spans="1:23" customFormat="1" ht="12.75">
      <c r="A44" s="116"/>
      <c r="B44" s="35" t="s">
        <v>21</v>
      </c>
      <c r="C44" s="116"/>
      <c r="D44" s="116"/>
      <c r="E44" s="116"/>
      <c r="F44" s="117"/>
      <c r="G44" s="117"/>
      <c r="H44" s="117"/>
      <c r="I44" s="117"/>
      <c r="J44" s="118"/>
      <c r="K44" s="119"/>
      <c r="L44" s="118"/>
      <c r="M44" s="119"/>
      <c r="N44" s="118"/>
      <c r="O44" s="118"/>
      <c r="P44" s="118"/>
      <c r="Q44" s="118"/>
      <c r="R44" s="118"/>
      <c r="S44" s="118"/>
      <c r="T44" s="118"/>
      <c r="U44" s="118"/>
      <c r="V44" s="119"/>
      <c r="W44" s="33"/>
    </row>
    <row r="45" spans="1:23" hidden="1">
      <c r="D45" s="5"/>
      <c r="E45" s="5"/>
      <c r="F45" s="5"/>
      <c r="G45" s="5"/>
      <c r="H45" s="5"/>
      <c r="I45" s="5"/>
    </row>
    <row r="46" spans="1:23" hidden="1">
      <c r="D46" s="5"/>
      <c r="E46" s="5"/>
      <c r="F46" s="5"/>
      <c r="G46" s="5"/>
      <c r="H46" s="5"/>
      <c r="I46" s="5"/>
    </row>
    <row r="47" spans="1:23" hidden="1">
      <c r="D47" s="5"/>
      <c r="E47" s="5"/>
      <c r="F47" s="5"/>
      <c r="G47" s="5"/>
      <c r="H47" s="5"/>
      <c r="I47" s="5"/>
    </row>
    <row r="48" spans="1:23" hidden="1">
      <c r="D48" s="5"/>
      <c r="E48" s="5"/>
      <c r="F48" s="5"/>
      <c r="G48" s="5"/>
      <c r="H48" s="5"/>
      <c r="I48" s="5"/>
    </row>
    <row r="49" s="5" customFormat="1" hidden="1"/>
    <row r="50" s="5" customFormat="1" hidden="1"/>
    <row r="51" s="5" customFormat="1" hidden="1"/>
    <row r="52" s="5" customFormat="1" hidden="1"/>
    <row r="53" s="5" customFormat="1" hidden="1"/>
    <row r="54" s="5" customFormat="1" hidden="1"/>
  </sheetData>
  <mergeCells count="1">
    <mergeCell ref="N3:S3"/>
  </mergeCells>
  <conditionalFormatting sqref="S1">
    <cfRule type="cellIs" dxfId="119" priority="28" operator="equal">
      <formula>"Check"</formula>
    </cfRule>
    <cfRule type="cellIs" dxfId="118" priority="29" operator="equal">
      <formula>"Ok"</formula>
    </cfRule>
  </conditionalFormatting>
  <conditionalFormatting sqref="V1">
    <cfRule type="cellIs" dxfId="117" priority="30" operator="equal">
      <formula>"Check"</formula>
    </cfRule>
    <cfRule type="cellIs" dxfId="116" priority="31" operator="equal">
      <formula>"Ok"</formula>
    </cfRule>
  </conditionalFormatting>
  <conditionalFormatting sqref="J10:T10">
    <cfRule type="expression" dxfId="115" priority="26">
      <formula>J$10=J$4</formula>
    </cfRule>
  </conditionalFormatting>
  <conditionalFormatting sqref="J18:T20 J12:N17 T12:T17">
    <cfRule type="expression" dxfId="114" priority="25">
      <formula>J$10=J$4</formula>
    </cfRule>
  </conditionalFormatting>
  <conditionalFormatting sqref="W22">
    <cfRule type="cellIs" dxfId="113" priority="21" operator="equal">
      <formula>"Check"</formula>
    </cfRule>
    <cfRule type="cellIs" dxfId="112" priority="22" operator="equal">
      <formula>"Ok"</formula>
    </cfRule>
  </conditionalFormatting>
  <conditionalFormatting sqref="J22:T22">
    <cfRule type="cellIs" dxfId="111" priority="19" operator="equal">
      <formula>"Check"</formula>
    </cfRule>
    <cfRule type="cellIs" dxfId="110" priority="20" operator="equal">
      <formula>"Ok"</formula>
    </cfRule>
  </conditionalFormatting>
  <conditionalFormatting sqref="W34">
    <cfRule type="cellIs" dxfId="109" priority="17" operator="equal">
      <formula>"Check"</formula>
    </cfRule>
    <cfRule type="cellIs" dxfId="108" priority="18" operator="equal">
      <formula>"Ok"</formula>
    </cfRule>
  </conditionalFormatting>
  <conditionalFormatting sqref="J34:T34">
    <cfRule type="cellIs" dxfId="107" priority="15" operator="equal">
      <formula>"Check"</formula>
    </cfRule>
    <cfRule type="cellIs" dxfId="106" priority="16" operator="equal">
      <formula>"Ok"</formula>
    </cfRule>
  </conditionalFormatting>
  <conditionalFormatting sqref="J28:M32 O31:O32">
    <cfRule type="expression" dxfId="105" priority="14">
      <formula>J$26=J$4</formula>
    </cfRule>
  </conditionalFormatting>
  <conditionalFormatting sqref="W42">
    <cfRule type="cellIs" dxfId="104" priority="12" operator="equal">
      <formula>"Check"</formula>
    </cfRule>
    <cfRule type="cellIs" dxfId="103" priority="13" operator="equal">
      <formula>"Ok"</formula>
    </cfRule>
  </conditionalFormatting>
  <conditionalFormatting sqref="J42:T42">
    <cfRule type="cellIs" dxfId="102" priority="10" operator="equal">
      <formula>"Check"</formula>
    </cfRule>
    <cfRule type="cellIs" dxfId="101" priority="11" operator="equal">
      <formula>"Ok"</formula>
    </cfRule>
  </conditionalFormatting>
  <conditionalFormatting sqref="P31:T32 O28:T30">
    <cfRule type="expression" dxfId="100" priority="9">
      <formula>O$10=O$4</formula>
    </cfRule>
  </conditionalFormatting>
  <conditionalFormatting sqref="N28:N32">
    <cfRule type="expression" dxfId="99" priority="8">
      <formula>N$10=N$4</formula>
    </cfRule>
  </conditionalFormatting>
  <conditionalFormatting sqref="J40:T40">
    <cfRule type="expression" dxfId="98" priority="5">
      <formula>J$38=J$4</formula>
    </cfRule>
  </conditionalFormatting>
  <conditionalFormatting sqref="J26:T26">
    <cfRule type="expression" dxfId="97" priority="4">
      <formula>J$10=J$4</formula>
    </cfRule>
  </conditionalFormatting>
  <conditionalFormatting sqref="J38:T38">
    <cfRule type="expression" dxfId="96" priority="3">
      <formula>J$10=J$4</formula>
    </cfRule>
  </conditionalFormatting>
  <conditionalFormatting sqref="O12:S15">
    <cfRule type="expression" dxfId="95" priority="2">
      <formula>O$10=O$4</formula>
    </cfRule>
  </conditionalFormatting>
  <conditionalFormatting sqref="O16:S17">
    <cfRule type="expression" dxfId="94" priority="1">
      <formula>O$10=O$4</formula>
    </cfRule>
  </conditionalFormatting>
  <dataValidations disablePrompts="1"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5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99"/>
  </sheetPr>
  <dimension ref="A1:XFD22"/>
  <sheetViews>
    <sheetView workbookViewId="0">
      <selection activeCell="J1" sqref="J1"/>
    </sheetView>
  </sheetViews>
  <sheetFormatPr defaultColWidth="10.83203125" defaultRowHeight="10.15" customHeight="1" zeroHeight="1"/>
  <cols>
    <col min="1" max="2" width="9.33203125" customWidth="1"/>
    <col min="3" max="3" width="13.5" bestFit="1" customWidth="1"/>
    <col min="4" max="23" width="9.33203125" customWidth="1"/>
    <col min="24" max="16384" width="0" hidden="1" customWidth="1"/>
  </cols>
  <sheetData>
    <row r="1" spans="1:25" s="25" customFormat="1" ht="16.5" thickBot="1">
      <c r="B1" s="22" t="s">
        <v>212</v>
      </c>
      <c r="C1" s="22"/>
      <c r="D1" s="22"/>
      <c r="E1" s="22"/>
      <c r="F1" s="23"/>
      <c r="G1" s="23"/>
      <c r="H1" s="23"/>
      <c r="I1" s="23"/>
      <c r="J1" s="24" t="s">
        <v>2</v>
      </c>
      <c r="L1" s="26" t="s">
        <v>3</v>
      </c>
      <c r="M1" s="41" t="s">
        <v>4</v>
      </c>
      <c r="N1" s="8" t="s">
        <v>5</v>
      </c>
      <c r="O1" s="9" t="s">
        <v>6</v>
      </c>
      <c r="Q1" s="29"/>
      <c r="R1" s="26" t="s">
        <v>80</v>
      </c>
      <c r="S1" s="27" t="str">
        <f>IF(COUNTA($W$7:$W$14)=COUNTIF($W$7:$W$14,"OK"),"OK","Check")</f>
        <v>OK</v>
      </c>
      <c r="U1" s="103" t="s">
        <v>24</v>
      </c>
      <c r="V1" s="27" t="str">
        <f ca="1">'Check|List'!$S$1</f>
        <v>Ok</v>
      </c>
      <c r="W1" s="29"/>
      <c r="X1" s="209"/>
      <c r="Y1" s="204"/>
    </row>
    <row r="2" spans="1:25" s="25" customFormat="1" ht="13.5" thickBot="1">
      <c r="A2" s="29"/>
      <c r="B2" s="28" t="s">
        <v>226</v>
      </c>
      <c r="C2" s="28"/>
      <c r="D2" s="28"/>
      <c r="E2" s="28"/>
      <c r="F2" s="48"/>
      <c r="G2" s="48"/>
      <c r="H2" s="48"/>
      <c r="I2" s="4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09"/>
      <c r="Y2" s="204"/>
    </row>
    <row r="3" spans="1:25" s="25" customFormat="1" ht="11.25">
      <c r="A3" s="49"/>
      <c r="B3" s="49"/>
      <c r="C3" s="49"/>
      <c r="D3" s="195"/>
      <c r="E3" s="195"/>
      <c r="F3" s="195"/>
      <c r="G3" s="195"/>
      <c r="H3" s="195"/>
      <c r="I3" s="195"/>
      <c r="J3" s="89" t="s">
        <v>114</v>
      </c>
      <c r="K3" s="94"/>
      <c r="L3" s="94"/>
      <c r="M3" s="195"/>
      <c r="N3" s="202"/>
      <c r="O3" s="202"/>
      <c r="P3" s="202"/>
      <c r="Q3" s="202"/>
      <c r="R3" s="202"/>
      <c r="S3" s="202"/>
      <c r="T3" s="50"/>
      <c r="U3" s="50"/>
      <c r="V3" s="50"/>
      <c r="W3" s="50"/>
      <c r="X3" s="209"/>
      <c r="Y3" s="204"/>
    </row>
    <row r="4" spans="1:25" s="25" customFormat="1" ht="11.25">
      <c r="A4" s="51"/>
      <c r="B4" s="51"/>
      <c r="C4" s="51"/>
      <c r="D4" s="52" t="s">
        <v>7</v>
      </c>
      <c r="E4" s="52" t="s">
        <v>8</v>
      </c>
      <c r="F4" s="53"/>
      <c r="G4" s="54"/>
      <c r="H4" s="54"/>
      <c r="I4" s="54"/>
      <c r="J4" s="87">
        <v>43983</v>
      </c>
      <c r="K4" s="87">
        <v>44348</v>
      </c>
      <c r="L4" s="87">
        <v>44713</v>
      </c>
      <c r="M4" s="87">
        <v>45078</v>
      </c>
      <c r="N4" s="87">
        <v>45444</v>
      </c>
      <c r="O4" s="87">
        <v>45809</v>
      </c>
      <c r="P4" s="87">
        <v>46174</v>
      </c>
      <c r="Q4" s="87">
        <v>46539</v>
      </c>
      <c r="R4" s="87">
        <v>46905</v>
      </c>
      <c r="S4" s="87">
        <v>47270</v>
      </c>
      <c r="T4" s="55"/>
      <c r="U4" s="55"/>
      <c r="V4" s="196"/>
      <c r="W4" s="196"/>
      <c r="X4" s="209"/>
      <c r="Y4" s="204"/>
    </row>
    <row r="5" spans="1:25" s="25" customFormat="1" ht="11.25">
      <c r="A5" s="3"/>
      <c r="B5" s="3"/>
      <c r="C5" s="3"/>
      <c r="D5" s="19"/>
      <c r="E5" s="19"/>
      <c r="F5" s="19"/>
      <c r="G5" s="19"/>
      <c r="H5" s="19"/>
      <c r="I5" s="1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09"/>
      <c r="Y5" s="204"/>
    </row>
    <row r="6" spans="1:25" s="25" customFormat="1" ht="12.75">
      <c r="A6" s="30"/>
      <c r="B6" s="35" t="s">
        <v>213</v>
      </c>
      <c r="C6" s="30"/>
      <c r="D6" s="30"/>
      <c r="E6" s="30"/>
      <c r="F6" s="31"/>
      <c r="G6" s="31"/>
      <c r="H6" s="31"/>
      <c r="I6" s="31"/>
      <c r="J6" s="31"/>
      <c r="K6" s="31"/>
      <c r="L6" s="32"/>
      <c r="M6" s="197"/>
      <c r="N6" s="32"/>
      <c r="O6" s="197"/>
      <c r="P6" s="32"/>
      <c r="Q6" s="32"/>
      <c r="R6" s="32"/>
      <c r="S6" s="32"/>
      <c r="T6" s="32"/>
      <c r="U6" s="32"/>
      <c r="V6" s="32"/>
      <c r="W6" s="197"/>
      <c r="Y6" s="204"/>
    </row>
    <row r="7" spans="1:25" s="25" customFormat="1" ht="11.25">
      <c r="A7" s="204"/>
      <c r="B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Y7" s="204"/>
    </row>
    <row r="8" spans="1:25" s="25" customFormat="1" ht="11.25">
      <c r="A8" s="204"/>
      <c r="B8" s="204"/>
      <c r="C8" s="208" t="s">
        <v>214</v>
      </c>
      <c r="D8" s="203" t="s">
        <v>7</v>
      </c>
      <c r="E8" s="203" t="s">
        <v>8</v>
      </c>
      <c r="F8"/>
      <c r="G8" s="203"/>
      <c r="H8" s="204"/>
      <c r="I8" s="204"/>
      <c r="J8" s="204"/>
      <c r="K8" s="204"/>
      <c r="L8" s="204" t="s">
        <v>215</v>
      </c>
      <c r="M8" s="204" t="s">
        <v>215</v>
      </c>
      <c r="N8" s="204" t="s">
        <v>215</v>
      </c>
      <c r="O8" s="205">
        <f>O4</f>
        <v>45809</v>
      </c>
      <c r="P8" s="205">
        <f t="shared" ref="P8:S8" si="0">P4</f>
        <v>46174</v>
      </c>
      <c r="Q8" s="205">
        <f t="shared" si="0"/>
        <v>46539</v>
      </c>
      <c r="R8" s="205">
        <f t="shared" si="0"/>
        <v>46905</v>
      </c>
      <c r="S8" s="205">
        <f t="shared" si="0"/>
        <v>47270</v>
      </c>
      <c r="T8" s="204"/>
      <c r="U8" s="204"/>
      <c r="V8" s="204"/>
      <c r="W8" s="204"/>
      <c r="Y8" s="204"/>
    </row>
    <row r="9" spans="1:25" s="25" customFormat="1" ht="11.25">
      <c r="A9" s="204"/>
      <c r="B9" s="204"/>
      <c r="C9" s="209"/>
      <c r="D9" s="210"/>
      <c r="E9" s="210"/>
      <c r="F9" s="211"/>
      <c r="G9" s="203"/>
      <c r="H9" s="204"/>
      <c r="I9" s="204"/>
      <c r="K9" s="204"/>
      <c r="L9" s="204"/>
      <c r="M9" s="204"/>
      <c r="N9" s="204"/>
      <c r="O9" s="206"/>
      <c r="P9" s="206"/>
      <c r="Q9" s="206"/>
      <c r="R9" s="206"/>
      <c r="S9" s="206"/>
      <c r="T9" s="204"/>
      <c r="U9" s="204"/>
      <c r="V9" s="204"/>
      <c r="W9" s="204"/>
      <c r="Y9" s="204"/>
    </row>
    <row r="10" spans="1:25" s="25" customFormat="1" ht="11.25">
      <c r="A10" s="34"/>
      <c r="B10" s="34"/>
      <c r="C10" s="198" t="s">
        <v>217</v>
      </c>
      <c r="D10" s="210" t="s">
        <v>66</v>
      </c>
      <c r="E10" s="199" t="s">
        <v>31</v>
      </c>
      <c r="F10" s="212"/>
      <c r="G10" s="213"/>
      <c r="H10" s="204"/>
      <c r="I10" s="204"/>
      <c r="J10" s="204"/>
      <c r="K10" s="204"/>
      <c r="L10" s="204"/>
      <c r="M10" s="204"/>
      <c r="N10" s="204"/>
      <c r="O10" s="207">
        <v>0.15773112886756205</v>
      </c>
      <c r="P10" s="207">
        <v>0.15773112886756205</v>
      </c>
      <c r="Q10" s="207">
        <v>0.15773112886756205</v>
      </c>
      <c r="R10" s="207">
        <v>0.15773112886756205</v>
      </c>
      <c r="S10" s="207">
        <v>0.15773112886756205</v>
      </c>
      <c r="T10" s="34"/>
      <c r="U10" s="34"/>
      <c r="V10" s="34"/>
      <c r="W10" s="34"/>
      <c r="Y10" s="204"/>
    </row>
    <row r="11" spans="1:25" s="25" customFormat="1" ht="11.25">
      <c r="A11" s="34"/>
      <c r="B11" s="34"/>
      <c r="C11" s="198" t="s">
        <v>216</v>
      </c>
      <c r="D11" s="210" t="s">
        <v>66</v>
      </c>
      <c r="E11" s="199" t="s">
        <v>31</v>
      </c>
      <c r="F11" s="212"/>
      <c r="G11" s="213"/>
      <c r="H11" s="204"/>
      <c r="I11" s="204"/>
      <c r="J11" s="204"/>
      <c r="K11" s="204"/>
      <c r="L11" s="204"/>
      <c r="M11" s="204"/>
      <c r="N11" s="204"/>
      <c r="O11" s="207">
        <v>0.84226887113243798</v>
      </c>
      <c r="P11" s="207">
        <v>0.84226887113243798</v>
      </c>
      <c r="Q11" s="207">
        <v>0.84226887113243798</v>
      </c>
      <c r="R11" s="207">
        <v>0.84226887113243798</v>
      </c>
      <c r="S11" s="207">
        <v>0.84226887113243798</v>
      </c>
      <c r="T11" s="34"/>
      <c r="U11" s="34"/>
      <c r="V11" s="34"/>
      <c r="W11" s="34"/>
      <c r="Y11" s="204"/>
    </row>
    <row r="12" spans="1:25" s="25" customFormat="1" ht="11.25">
      <c r="A12" s="34"/>
      <c r="B12" s="34"/>
      <c r="C12" s="215"/>
      <c r="D12" s="210"/>
      <c r="E12" s="216"/>
      <c r="F12" s="214"/>
      <c r="G12" s="213"/>
      <c r="H12" s="204"/>
      <c r="I12" s="204"/>
      <c r="J12" s="204"/>
      <c r="K12" s="204"/>
      <c r="L12" s="204"/>
      <c r="M12" s="204"/>
      <c r="N12" s="204"/>
      <c r="O12" s="207"/>
      <c r="P12" s="207"/>
      <c r="Q12" s="207"/>
      <c r="R12" s="207"/>
      <c r="S12" s="207"/>
      <c r="T12" s="34"/>
      <c r="U12" s="34"/>
      <c r="V12" s="34"/>
      <c r="W12" s="34"/>
      <c r="Y12" s="204"/>
    </row>
    <row r="13" spans="1:25" s="25" customFormat="1" ht="11.25">
      <c r="A13" s="34"/>
      <c r="B13" s="34"/>
      <c r="C13" s="217" t="s">
        <v>40</v>
      </c>
      <c r="D13" s="218" t="s">
        <v>95</v>
      </c>
      <c r="E13" s="218" t="s">
        <v>28</v>
      </c>
      <c r="F13" s="34"/>
      <c r="G13" s="204"/>
      <c r="H13" s="204"/>
      <c r="I13" s="204"/>
      <c r="J13" s="204"/>
      <c r="K13" s="204"/>
      <c r="L13" s="204"/>
      <c r="M13" s="204"/>
      <c r="N13" s="204"/>
      <c r="O13" s="166" t="str">
        <f>IF(O8=O$4,IF(SUM(O10:O11)=1,"Ok","Check"),"")</f>
        <v>Ok</v>
      </c>
      <c r="P13" s="166" t="str">
        <f t="shared" ref="P13:S13" si="1">IF(P8=P$4,IF(SUM(P10:P11)=1,"Ok","Check"),"")</f>
        <v>Ok</v>
      </c>
      <c r="Q13" s="166" t="str">
        <f t="shared" si="1"/>
        <v>Ok</v>
      </c>
      <c r="R13" s="166" t="str">
        <f t="shared" si="1"/>
        <v>Ok</v>
      </c>
      <c r="S13" s="166" t="str">
        <f t="shared" si="1"/>
        <v>Ok</v>
      </c>
      <c r="T13" s="34"/>
      <c r="U13" s="34"/>
      <c r="V13" s="34"/>
      <c r="W13" s="75" t="str">
        <f>IF(COUNTIF(J13:T13,"Check")=0,"Ok","Check")</f>
        <v>Ok</v>
      </c>
      <c r="Y13" s="204"/>
    </row>
    <row r="14" spans="1:25" s="25" customFormat="1" ht="11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Y14" s="204"/>
    </row>
    <row r="15" spans="1:25" s="25" customFormat="1" ht="12.75">
      <c r="A15" s="30"/>
      <c r="B15" s="35" t="s">
        <v>21</v>
      </c>
      <c r="C15" s="30"/>
      <c r="D15" s="30"/>
      <c r="E15" s="30"/>
      <c r="F15" s="31"/>
      <c r="G15" s="31"/>
      <c r="H15" s="31"/>
      <c r="I15" s="31"/>
      <c r="J15" s="31"/>
      <c r="K15" s="31"/>
      <c r="L15" s="32"/>
      <c r="M15" s="197"/>
      <c r="N15" s="32"/>
      <c r="O15" s="197"/>
      <c r="P15" s="32"/>
      <c r="Q15" s="32"/>
      <c r="R15" s="32"/>
      <c r="S15" s="32"/>
      <c r="T15" s="32"/>
      <c r="U15" s="32"/>
      <c r="V15" s="32"/>
      <c r="W15" s="197"/>
      <c r="Y15" s="204"/>
    </row>
    <row r="16" spans="1:25" s="25" customFormat="1" ht="11.25" hidden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Y16" s="204"/>
    </row>
    <row r="17" spans="1:23" s="25" customFormat="1" ht="10.15" hidden="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25" customFormat="1" ht="10.15" hidden="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25" customFormat="1" ht="10.15" hidden="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25" customFormat="1" ht="10.15" hidden="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25" customFormat="1" ht="10.15" hidden="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25" customFormat="1" ht="10.15" hidden="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</sheetData>
  <mergeCells count="1">
    <mergeCell ref="N3:S3"/>
  </mergeCells>
  <conditionalFormatting sqref="O8:S8">
    <cfRule type="expression" dxfId="91" priority="11">
      <formula>O$8=Q$4</formula>
    </cfRule>
  </conditionalFormatting>
  <conditionalFormatting sqref="O10:S12">
    <cfRule type="expression" dxfId="90" priority="12">
      <formula>O$8=Q$4</formula>
    </cfRule>
  </conditionalFormatting>
  <conditionalFormatting sqref="O13:S13">
    <cfRule type="cellIs" dxfId="88" priority="7" operator="equal">
      <formula>"Check"</formula>
    </cfRule>
    <cfRule type="cellIs" dxfId="87" priority="8" operator="equal">
      <formula>"Ok"</formula>
    </cfRule>
  </conditionalFormatting>
  <conditionalFormatting sqref="W13">
    <cfRule type="cellIs" dxfId="86" priority="5" operator="equal">
      <formula>"Check"</formula>
    </cfRule>
    <cfRule type="cellIs" dxfId="85" priority="6" operator="equal">
      <formula>"Ok"</formula>
    </cfRule>
  </conditionalFormatting>
  <conditionalFormatting sqref="S1">
    <cfRule type="cellIs" dxfId="84" priority="1" operator="equal">
      <formula>"Check"</formula>
    </cfRule>
    <cfRule type="cellIs" dxfId="83" priority="2" operator="equal">
      <formula>"Ok"</formula>
    </cfRule>
  </conditionalFormatting>
  <conditionalFormatting sqref="V1">
    <cfRule type="cellIs" dxfId="82" priority="3" operator="equal">
      <formula>"Check"</formula>
    </cfRule>
    <cfRule type="cellIs" dxfId="81" priority="4" operator="equal">
      <formula>"Ok"</formula>
    </cfRule>
  </conditionalFormatting>
  <hyperlinks>
    <hyperlink ref="J1" location="Index!A1" display="Back to Index" xr:uid="{00000000-0004-0000-0600-000000000000}"/>
    <hyperlink ref="U1" location="'Check|List'!A1" display="Overall Check:" xr:uid="{81E757D4-6AE7-46E3-9C3A-DFA7F4C4A7A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X100"/>
  <sheetViews>
    <sheetView showGridLines="0" topLeftCell="A22" zoomScaleNormal="100" workbookViewId="0">
      <selection activeCell="A37" sqref="A37"/>
    </sheetView>
  </sheetViews>
  <sheetFormatPr defaultColWidth="0" defaultRowHeight="11.25" zeroHeight="1" outlineLevelRow="1" outlineLevelCol="1"/>
  <cols>
    <col min="1" max="2" width="1.5" style="5" customWidth="1"/>
    <col min="3" max="3" width="76.5" style="5" bestFit="1" customWidth="1"/>
    <col min="4" max="4" width="27.6640625" style="13" customWidth="1" outlineLevel="1"/>
    <col min="5" max="5" width="15.83203125" style="13" customWidth="1" outlineLevel="1"/>
    <col min="6" max="6" width="10.6640625" style="13" customWidth="1" outlineLevel="1"/>
    <col min="7" max="9" width="3.5" style="13" customWidth="1" outlineLevel="1"/>
    <col min="10" max="11" width="10.83203125" style="5" customWidth="1" outlineLevel="1"/>
    <col min="12" max="24" width="10.83203125" style="5" customWidth="1"/>
    <col min="25" max="39" width="10.5" style="5" hidden="1" customWidth="1"/>
    <col min="40" max="16384" width="10.5" style="5" hidden="1"/>
  </cols>
  <sheetData>
    <row r="1" spans="1:24" s="25" customFormat="1" ht="15.75">
      <c r="B1" s="22" t="str">
        <f>Index!$B$1</f>
        <v>AER opex model - version: Evoenergy 24-29 DD</v>
      </c>
      <c r="C1" s="22"/>
      <c r="D1" s="22"/>
      <c r="E1" s="22"/>
      <c r="F1" s="23"/>
      <c r="G1" s="23"/>
      <c r="H1" s="23"/>
      <c r="I1" s="23"/>
      <c r="J1" s="24" t="s">
        <v>2</v>
      </c>
      <c r="L1" s="26" t="s">
        <v>3</v>
      </c>
      <c r="M1" s="41" t="s">
        <v>4</v>
      </c>
      <c r="N1" s="8" t="s">
        <v>5</v>
      </c>
      <c r="O1" s="9" t="s">
        <v>6</v>
      </c>
      <c r="R1" s="26" t="s">
        <v>80</v>
      </c>
      <c r="S1" s="27" t="s">
        <v>36</v>
      </c>
      <c r="T1" s="27"/>
      <c r="V1" s="103" t="s">
        <v>24</v>
      </c>
      <c r="W1" s="27" t="str">
        <f ca="1">'Check|List'!$S$1</f>
        <v>Ok</v>
      </c>
    </row>
    <row r="2" spans="1:24" s="29" customFormat="1" ht="13.5" thickBot="1">
      <c r="B2" s="28" t="str">
        <f>Index!$C$13</f>
        <v>Calc | Opex Forecast</v>
      </c>
      <c r="C2" s="28"/>
      <c r="D2" s="28"/>
      <c r="E2" s="28"/>
      <c r="F2" s="48"/>
      <c r="G2" s="48"/>
      <c r="H2" s="48"/>
      <c r="I2" s="48"/>
    </row>
    <row r="3" spans="1:24" s="49" customFormat="1">
      <c r="D3" s="100"/>
      <c r="E3" s="100"/>
      <c r="F3" s="100"/>
      <c r="G3" s="100"/>
      <c r="H3" s="100"/>
      <c r="I3" s="100"/>
      <c r="J3" s="94" t="s">
        <v>114</v>
      </c>
      <c r="K3" s="94"/>
      <c r="L3" s="94"/>
      <c r="M3" s="100"/>
      <c r="N3" s="202"/>
      <c r="O3" s="202"/>
      <c r="P3" s="202"/>
      <c r="Q3" s="202"/>
      <c r="R3" s="202"/>
      <c r="S3" s="202"/>
      <c r="T3" s="100"/>
      <c r="U3" s="50"/>
      <c r="V3" s="50"/>
      <c r="W3" s="50"/>
      <c r="X3" s="50"/>
    </row>
    <row r="4" spans="1:24" customFormat="1">
      <c r="A4" s="51"/>
      <c r="B4" s="51"/>
      <c r="C4" s="51"/>
      <c r="D4" s="52" t="s">
        <v>7</v>
      </c>
      <c r="E4" s="52" t="s">
        <v>8</v>
      </c>
      <c r="F4" s="53" t="s">
        <v>22</v>
      </c>
      <c r="G4" s="54"/>
      <c r="H4" s="54"/>
      <c r="I4" s="54"/>
      <c r="J4" s="87">
        <f>DATE(PPFirstYear,MONTH('Input|General'!$G$9),1)</f>
        <v>43983</v>
      </c>
      <c r="K4" s="87">
        <f>DATE(PPFirstYear+1,MONTH('Input|General'!$G$9),1)</f>
        <v>44348</v>
      </c>
      <c r="L4" s="87">
        <f>DATE(PPFirstYear+2,MONTH('Input|General'!$G$9),1)</f>
        <v>44713</v>
      </c>
      <c r="M4" s="87">
        <f>DATE(PPFirstYear+3,MONTH('Input|General'!$G$9),1)</f>
        <v>45078</v>
      </c>
      <c r="N4" s="87">
        <f>DATE(PPFirstYear+4,MONTH('Input|General'!$G$9),1)</f>
        <v>45444</v>
      </c>
      <c r="O4" s="87">
        <f>DATE(PPFirstYear+5,MONTH('Input|General'!$G$9),1)</f>
        <v>45809</v>
      </c>
      <c r="P4" s="87">
        <f>DATE(PPFirstYear+6,MONTH('Input|General'!$G$9),1)</f>
        <v>46174</v>
      </c>
      <c r="Q4" s="87">
        <f>DATE(PPFirstYear+7,MONTH('Input|General'!$G$9),1)</f>
        <v>46539</v>
      </c>
      <c r="R4" s="87">
        <f>DATE(PPFirstYear+8,MONTH('Input|General'!$G$9),1)</f>
        <v>46905</v>
      </c>
      <c r="S4" s="87">
        <f>DATE(PPFirstYear+9,MONTH('Input|General'!$G$9),1)</f>
        <v>47270</v>
      </c>
      <c r="T4" s="87">
        <f>DATE(PPFirstYear+10,MONTH('Input|General'!$G$9),1)</f>
        <v>47635</v>
      </c>
      <c r="U4" s="55"/>
      <c r="V4" s="55"/>
      <c r="W4" s="56"/>
      <c r="X4" s="56"/>
    </row>
    <row r="5" spans="1:24" s="3" customFormat="1" ht="3" customHeight="1">
      <c r="D5" s="19"/>
      <c r="E5" s="19"/>
      <c r="F5" s="19"/>
      <c r="G5" s="19"/>
      <c r="H5" s="19"/>
      <c r="I5" s="19"/>
    </row>
    <row r="6" spans="1:24" s="3" customFormat="1" ht="9" customHeight="1">
      <c r="D6" s="19"/>
      <c r="E6" s="19"/>
      <c r="F6" s="19"/>
      <c r="G6" s="19"/>
      <c r="H6" s="19"/>
      <c r="I6" s="19"/>
    </row>
    <row r="7" spans="1:24" s="3" customFormat="1" ht="3" customHeight="1">
      <c r="D7" s="19"/>
      <c r="E7" s="19"/>
      <c r="F7" s="19"/>
      <c r="G7" s="19"/>
      <c r="H7" s="19"/>
      <c r="I7" s="19"/>
    </row>
    <row r="8" spans="1:24" customFormat="1" ht="12.75">
      <c r="A8" s="30"/>
      <c r="B8" s="35" t="s">
        <v>84</v>
      </c>
      <c r="C8" s="30"/>
      <c r="D8" s="30"/>
      <c r="E8" s="47" t="s">
        <v>15</v>
      </c>
      <c r="F8" s="107">
        <f>DATE(PPLastYear,MONTH('Input|General'!$G$9),1)</f>
        <v>45444</v>
      </c>
      <c r="G8" s="31"/>
      <c r="H8" s="31"/>
      <c r="I8" s="31"/>
      <c r="J8" s="32"/>
      <c r="K8" s="33"/>
      <c r="L8" s="32"/>
      <c r="M8" s="33"/>
      <c r="N8" s="32"/>
      <c r="O8" s="32"/>
      <c r="P8" s="32"/>
      <c r="Q8" s="32"/>
      <c r="R8" s="32"/>
      <c r="S8" s="32"/>
      <c r="T8" s="32"/>
      <c r="U8" s="32"/>
      <c r="V8" s="32"/>
      <c r="W8" s="33"/>
      <c r="X8" s="33"/>
    </row>
    <row r="9" spans="1:24" outlineLevel="1"/>
    <row r="10" spans="1:24" outlineLevel="1">
      <c r="C10" s="6"/>
      <c r="D10" s="18" t="s">
        <v>7</v>
      </c>
      <c r="E10" s="18" t="s">
        <v>8</v>
      </c>
      <c r="F10" s="18" t="s">
        <v>22</v>
      </c>
      <c r="J10" s="92">
        <f t="shared" ref="J10:S10" si="0">IF(YEAR(J$4)&lt;=PPLastYear,J$4,"")</f>
        <v>43983</v>
      </c>
      <c r="K10" s="92">
        <f t="shared" si="0"/>
        <v>44348</v>
      </c>
      <c r="L10" s="92">
        <f t="shared" si="0"/>
        <v>44713</v>
      </c>
      <c r="M10" s="92">
        <f t="shared" si="0"/>
        <v>45078</v>
      </c>
      <c r="N10" s="92">
        <f t="shared" si="0"/>
        <v>45444</v>
      </c>
      <c r="O10" s="92" t="str">
        <f t="shared" si="0"/>
        <v/>
      </c>
      <c r="P10" s="92" t="str">
        <f t="shared" si="0"/>
        <v/>
      </c>
      <c r="Q10" s="92" t="str">
        <f t="shared" si="0"/>
        <v/>
      </c>
      <c r="R10" s="92" t="str">
        <f t="shared" si="0"/>
        <v/>
      </c>
      <c r="S10" s="92" t="str">
        <f t="shared" si="0"/>
        <v/>
      </c>
      <c r="T10" s="92"/>
    </row>
    <row r="11" spans="1:24" outlineLevel="1">
      <c r="C11" s="12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4" outlineLevel="1">
      <c r="C12" s="12" t="s">
        <v>153</v>
      </c>
      <c r="D12" s="59" t="s">
        <v>89</v>
      </c>
      <c r="E12" s="13" t="str">
        <f>'Input|Reported opex'!E57</f>
        <v>$millions</v>
      </c>
      <c r="F12" s="91" t="str">
        <f>'Input|Reported opex'!F57</f>
        <v>nominal</v>
      </c>
      <c r="J12" s="60">
        <f>IF(YEAR(J$4)=BaseYear,'Input|Reported opex'!J47,0)</f>
        <v>0</v>
      </c>
      <c r="K12" s="60">
        <f>IF(YEAR(K$4)=BaseYear,'Input|Reported opex'!K47,0)</f>
        <v>0</v>
      </c>
      <c r="L12" s="60">
        <f>IF(YEAR(L$4)=BaseYear,'Input|Reported opex'!L47,0)</f>
        <v>58.684788820000001</v>
      </c>
      <c r="M12" s="60">
        <f>IF(YEAR(M$4)=BaseYear,'Input|Reported opex'!M47,0)</f>
        <v>0</v>
      </c>
      <c r="N12" s="60">
        <f>IF(YEAR(N$4)=BaseYear,'Input|Reported opex'!N47,0)</f>
        <v>0</v>
      </c>
      <c r="O12" s="60">
        <f>IF(YEAR(O$4)=BaseYear,'Input|Reported opex'!O47,0)</f>
        <v>0</v>
      </c>
      <c r="P12" s="60">
        <f>IF(YEAR(P$4)=BaseYear,'Input|Reported opex'!P47,0)</f>
        <v>0</v>
      </c>
      <c r="Q12" s="60">
        <f>IF(YEAR(Q$4)=BaseYear,'Input|Reported opex'!Q47,0)</f>
        <v>0</v>
      </c>
      <c r="R12" s="60">
        <f>IF(YEAR(R$4)=BaseYear,'Input|Reported opex'!R47,0)</f>
        <v>0</v>
      </c>
      <c r="S12" s="60">
        <f>IF(YEAR(S$4)=BaseYear,'Input|Reported opex'!S47,0)</f>
        <v>0</v>
      </c>
      <c r="T12" s="60">
        <f>IF(YEAR(T$4)=BaseYear,'Input|Reported opex'!T47,0)</f>
        <v>0</v>
      </c>
    </row>
    <row r="13" spans="1:24" outlineLevel="1">
      <c r="C13" s="12" t="s">
        <v>153</v>
      </c>
      <c r="D13" s="13" t="s">
        <v>30</v>
      </c>
      <c r="E13" s="13" t="str">
        <f>$E$8</f>
        <v>$millions</v>
      </c>
      <c r="F13" s="91">
        <f>$F$8</f>
        <v>45444</v>
      </c>
      <c r="J13" s="60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0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0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66.412670695584822</v>
      </c>
      <c r="M13" s="60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0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0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0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0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0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0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0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24" outlineLevel="1">
      <c r="C14" s="12"/>
      <c r="F14" s="91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24" outlineLevel="1">
      <c r="C15" s="12" t="s">
        <v>154</v>
      </c>
      <c r="D15" s="59" t="s">
        <v>89</v>
      </c>
      <c r="E15" s="13" t="str">
        <f>'Input|Reported opex'!E64</f>
        <v>$millions</v>
      </c>
      <c r="F15" s="91" t="str">
        <f>'Input|Reported opex'!F57</f>
        <v>nominal</v>
      </c>
      <c r="J15" s="60">
        <f>IF(YEAR(J$4)=BaseYear,'Input|Reported opex'!J57,0)</f>
        <v>0</v>
      </c>
      <c r="K15" s="60">
        <f>IF(YEAR(K$4)=BaseYear,'Input|Reported opex'!K57,0)</f>
        <v>0</v>
      </c>
      <c r="L15" s="60">
        <f>IF(YEAR(L$4)=BaseYear,'Input|Reported opex'!L57,0)</f>
        <v>0</v>
      </c>
      <c r="M15" s="60">
        <f>IF(YEAR(M$4)=BaseYear,'Input|Reported opex'!M57,0)</f>
        <v>0</v>
      </c>
      <c r="N15" s="60">
        <f>IF(YEAR(N$4)=BaseYear,'Input|Reported opex'!N57,0)</f>
        <v>0</v>
      </c>
      <c r="O15" s="60">
        <f>IF(YEAR(O$4)=BaseYear,'Input|Reported opex'!O57,0)</f>
        <v>0</v>
      </c>
      <c r="P15" s="60">
        <f>IF(YEAR(P$4)=BaseYear,'Input|Reported opex'!P57,0)</f>
        <v>0</v>
      </c>
      <c r="Q15" s="60">
        <f>IF(YEAR(Q$4)=BaseYear,'Input|Reported opex'!Q57,0)</f>
        <v>0</v>
      </c>
      <c r="R15" s="60">
        <f>IF(YEAR(R$4)=BaseYear,'Input|Reported opex'!R57,0)</f>
        <v>0</v>
      </c>
      <c r="S15" s="60">
        <f>IF(YEAR(S$4)=BaseYear,'Input|Reported opex'!S57,0)</f>
        <v>0</v>
      </c>
      <c r="T15" s="60"/>
    </row>
    <row r="16" spans="1:24" outlineLevel="1">
      <c r="C16" s="12" t="s">
        <v>154</v>
      </c>
      <c r="D16" s="13" t="s">
        <v>30</v>
      </c>
      <c r="E16" s="13" t="str">
        <f>$E$8</f>
        <v>$millions</v>
      </c>
      <c r="F16" s="91">
        <f>$F$8</f>
        <v>45444</v>
      </c>
      <c r="J16" s="60">
        <f>J15*IF($F15="nominal",LOOKUP($F16,Nominal_to_Real,'Input|Rate of change'!K$26:K$32),INDEX('Input|Rate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K16" s="60">
        <f>K15*IF($F15="nominal",LOOKUP($F16,Nominal_to_Real,'Input|Rate of change'!L$26:L$32),INDEX('Input|Rate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L16" s="60">
        <f>L15*IF($F15="nominal",LOOKUP($F16,Nominal_to_Real,'Input|Rate of change'!M$26:M$32),INDEX('Input|Rate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M16" s="60">
        <f>M15*IF($F15="nominal",LOOKUP($F16,Nominal_to_Real,'Input|Rate of change'!N$26:N$32),INDEX('Input|Rate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N16" s="60">
        <f>N15*IF($F15="nominal",LOOKUP($F16,Nominal_to_Real,'Input|Rate of change'!O$26:O$32),INDEX('Input|Rate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O16" s="60">
        <f>O15*IF($F15="nominal",LOOKUP($F16,Nominal_to_Real,'Input|Rate of change'!P$26:P$32),INDEX('Input|Rate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P16" s="60">
        <f>P15*IF($F15="nominal",LOOKUP($F16,Nominal_to_Real,'Input|Rate of change'!Q$26:Q$32),INDEX('Input|Rate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Q16" s="60">
        <f>Q15*IF($F15="nominal",LOOKUP($F16,Nominal_to_Real,'Input|Rate of change'!R$26:R$32),INDEX('Input|Rate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R16" s="60">
        <f>R15*IF($F15="nominal",LOOKUP($F16,Nominal_to_Real,'Input|Rate of change'!S$26:S$32),INDEX('Input|Rate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S16" s="60">
        <f>S15*IF($F15="nominal",LOOKUP($F16,Nominal_to_Real,'Input|Rate of change'!T$26:T$32),INDEX('Input|Rate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  <c r="T16" s="60">
        <f>T15*IF($F15="nominal",LOOKUP($F16,Nominal_to_Real,'Input|Rate of change'!U$26:U$32),INDEX('Input|Rate of change'!$C$14:$P$22,MATCH('Calc|Opex forecast'!$F15,'Input|Rate of change'!$C$14:$C$22,0),MATCH('Calc|Opex forecast'!$F16,'Input|Rate of change'!$C$14:$P$14,0)))*IF($E15="$millions",1000000,IF($E15="$000",1000,1))/IF($E16="$millions",1000000,IF($E16="$000",1000,1))</f>
        <v>0</v>
      </c>
    </row>
    <row r="17" spans="3:20" outlineLevel="1">
      <c r="C17" s="12"/>
      <c r="F17" s="61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3:20" outlineLevel="1">
      <c r="C18" s="62" t="s">
        <v>131</v>
      </c>
      <c r="D18" s="63" t="s">
        <v>30</v>
      </c>
      <c r="E18" s="63" t="str">
        <f>$E$8</f>
        <v>$millions</v>
      </c>
      <c r="F18" s="91">
        <f>$F$8</f>
        <v>45444</v>
      </c>
      <c r="J18" s="64">
        <f t="shared" ref="J18:S18" ca="1" si="1">J13</f>
        <v>0</v>
      </c>
      <c r="K18" s="64">
        <f t="shared" ca="1" si="1"/>
        <v>0</v>
      </c>
      <c r="L18" s="64">
        <f t="shared" ca="1" si="1"/>
        <v>66.412670695584822</v>
      </c>
      <c r="M18" s="64">
        <f t="shared" ca="1" si="1"/>
        <v>0</v>
      </c>
      <c r="N18" s="64">
        <f t="shared" ca="1" si="1"/>
        <v>0</v>
      </c>
      <c r="O18" s="64">
        <f t="shared" ca="1" si="1"/>
        <v>0</v>
      </c>
      <c r="P18" s="64">
        <f t="shared" ca="1" si="1"/>
        <v>0</v>
      </c>
      <c r="Q18" s="64">
        <f t="shared" ca="1" si="1"/>
        <v>0</v>
      </c>
      <c r="R18" s="64">
        <f t="shared" ca="1" si="1"/>
        <v>0</v>
      </c>
      <c r="S18" s="64">
        <f t="shared" ca="1" si="1"/>
        <v>0</v>
      </c>
      <c r="T18" s="64"/>
    </row>
    <row r="19" spans="3:20" outlineLevel="1">
      <c r="C19" s="71"/>
      <c r="F19" s="91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3:20" outlineLevel="1">
      <c r="C20" s="71" t="s">
        <v>203</v>
      </c>
      <c r="D20" s="13" t="s">
        <v>30</v>
      </c>
      <c r="E20" s="13" t="str">
        <f>$E$8</f>
        <v>$millions</v>
      </c>
      <c r="F20" s="91">
        <f>$F$8</f>
        <v>45444</v>
      </c>
      <c r="J20" s="64">
        <f t="shared" ref="J20:T20" si="2">IF(YEAR(J$4)=BaseYear,-SUM($J16:$S16),0)</f>
        <v>0</v>
      </c>
      <c r="K20" s="64">
        <f t="shared" si="2"/>
        <v>0</v>
      </c>
      <c r="L20" s="64">
        <f t="shared" si="2"/>
        <v>0</v>
      </c>
      <c r="M20" s="64">
        <f t="shared" si="2"/>
        <v>0</v>
      </c>
      <c r="N20" s="64">
        <f t="shared" si="2"/>
        <v>0</v>
      </c>
      <c r="O20" s="64">
        <f t="shared" si="2"/>
        <v>0</v>
      </c>
      <c r="P20" s="64">
        <f t="shared" si="2"/>
        <v>0</v>
      </c>
      <c r="Q20" s="64">
        <f t="shared" si="2"/>
        <v>0</v>
      </c>
      <c r="R20" s="64">
        <f t="shared" si="2"/>
        <v>0</v>
      </c>
      <c r="S20" s="64">
        <f t="shared" si="2"/>
        <v>0</v>
      </c>
      <c r="T20" s="64">
        <f t="shared" si="2"/>
        <v>0</v>
      </c>
    </row>
    <row r="21" spans="3:20" outlineLevel="1">
      <c r="C21" s="71"/>
      <c r="F21" s="91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3:20" outlineLevel="1">
      <c r="C22" s="71" t="str">
        <f>'Input|Reported opex'!$C$63</f>
        <v xml:space="preserve">Administration of L-FiT </v>
      </c>
      <c r="D22" s="59" t="s">
        <v>89</v>
      </c>
      <c r="E22" s="13" t="str">
        <f>'Input|Reported opex'!E63</f>
        <v>$millions</v>
      </c>
      <c r="F22" s="91" t="str">
        <f>'Input|Reported opex'!F63</f>
        <v>nominal</v>
      </c>
      <c r="J22" s="60">
        <f>IF(YEAR(J$4)=BaseYear,'Input|Reported opex'!J63,0)</f>
        <v>0</v>
      </c>
      <c r="K22" s="60">
        <f>IF(YEAR(K$4)=BaseYear,'Input|Reported opex'!K63,0)</f>
        <v>0</v>
      </c>
      <c r="L22" s="60">
        <f>IF(YEAR(L$4)=BaseYear,'Input|Reported opex'!L63,0)</f>
        <v>-0.51056221517357325</v>
      </c>
      <c r="M22" s="60">
        <f>IF(YEAR(M$4)=BaseYear,'Input|Reported opex'!M63,0)</f>
        <v>0</v>
      </c>
      <c r="N22" s="60">
        <f>IF(YEAR(N$4)=BaseYear,'Input|Reported opex'!N63,0)</f>
        <v>0</v>
      </c>
      <c r="O22" s="60">
        <f>IF(YEAR(O$4)=BaseYear,'Input|Reported opex'!O63,0)</f>
        <v>0</v>
      </c>
      <c r="P22" s="60">
        <f>IF(YEAR(P$4)=BaseYear,'Input|Reported opex'!P63,0)</f>
        <v>0</v>
      </c>
      <c r="Q22" s="60">
        <f>IF(YEAR(Q$4)=BaseYear,'Input|Reported opex'!Q63,0)</f>
        <v>0</v>
      </c>
      <c r="R22" s="60">
        <f>IF(YEAR(R$4)=BaseYear,'Input|Reported opex'!R63,0)</f>
        <v>0</v>
      </c>
      <c r="S22" s="60">
        <f>IF(YEAR(S$4)=BaseYear,'Input|Reported opex'!S63,0)</f>
        <v>0</v>
      </c>
      <c r="T22" s="60">
        <f>IF(YEAR(T$4)=BaseYear,'Input|Reported opex'!T63,0)</f>
        <v>0</v>
      </c>
    </row>
    <row r="23" spans="3:20" outlineLevel="1">
      <c r="C23" s="71" t="str">
        <f>C22</f>
        <v xml:space="preserve">Administration of L-FiT </v>
      </c>
      <c r="D23" s="13" t="s">
        <v>30</v>
      </c>
      <c r="E23" s="13" t="str">
        <f>$E$8</f>
        <v>$millions</v>
      </c>
      <c r="F23" s="91">
        <f>$F$8</f>
        <v>45444</v>
      </c>
      <c r="J23" s="64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64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64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-0.57779538697726285</v>
      </c>
      <c r="M23" s="64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64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64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64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64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64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64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64">
        <f>T22*IF($F22="nominal",LOOKUP($F23,Nominal_to_Real,'Input|Rate of change'!U$26:U$32),INDEX('Input|Rate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</row>
    <row r="24" spans="3:20" outlineLevel="1">
      <c r="C24" s="71"/>
      <c r="F24" s="91"/>
      <c r="J24" s="64"/>
      <c r="K24" s="64"/>
      <c r="L24" s="64"/>
      <c r="M24" s="64"/>
      <c r="N24" s="64"/>
      <c r="O24" s="64"/>
      <c r="P24" s="64"/>
      <c r="Q24" s="64"/>
      <c r="R24" s="60"/>
      <c r="S24" s="60"/>
      <c r="T24" s="60"/>
    </row>
    <row r="25" spans="3:20" outlineLevel="1">
      <c r="C25" s="71" t="str">
        <f>'Input|Reported opex'!$C$64</f>
        <v>Adjustment 2</v>
      </c>
      <c r="D25" s="59" t="s">
        <v>89</v>
      </c>
      <c r="E25" s="13" t="str">
        <f>'Input|Reported opex'!$E$64</f>
        <v>$millions</v>
      </c>
      <c r="F25" s="91">
        <f>'Input|Reported opex'!$F$64</f>
        <v>45444</v>
      </c>
      <c r="J25" s="60">
        <f>IF(YEAR(J$4)=BaseYear,'Input|Reported opex'!J64,0)</f>
        <v>0</v>
      </c>
      <c r="K25" s="60">
        <f>IF(YEAR(K$4)=BaseYear,'Input|Reported opex'!K64,0)</f>
        <v>0</v>
      </c>
      <c r="L25" s="60">
        <f>IF(YEAR(L$4)=BaseYear,'Input|Reported opex'!L64,0)</f>
        <v>0</v>
      </c>
      <c r="M25" s="60">
        <f>IF(YEAR(M$4)=BaseYear,'Input|Reported opex'!M64,0)</f>
        <v>0</v>
      </c>
      <c r="N25" s="60">
        <f>IF(YEAR(N$4)=BaseYear,'Input|Reported opex'!N64,0)</f>
        <v>0</v>
      </c>
      <c r="O25" s="60">
        <f>IF(YEAR(O$4)=BaseYear,'Input|Reported opex'!O64,0)</f>
        <v>0</v>
      </c>
      <c r="P25" s="60">
        <f>IF(YEAR(P$4)=BaseYear,'Input|Reported opex'!P64,0)</f>
        <v>0</v>
      </c>
      <c r="Q25" s="60">
        <f>IF(YEAR(Q$4)=BaseYear,'Input|Reported opex'!Q64,0)</f>
        <v>0</v>
      </c>
      <c r="R25" s="60">
        <f>IF(YEAR(R$4)=BaseYear,'Input|Reported opex'!R64,0)</f>
        <v>0</v>
      </c>
      <c r="S25" s="60">
        <f>IF(YEAR(S$4)=BaseYear,'Input|Reported opex'!S64,0)</f>
        <v>0</v>
      </c>
      <c r="T25" s="60">
        <f>IF(YEAR(T$4)=BaseYear,'Input|Reported opex'!T64,0)</f>
        <v>0</v>
      </c>
    </row>
    <row r="26" spans="3:20" outlineLevel="1">
      <c r="C26" s="71" t="str">
        <f>C25</f>
        <v>Adjustment 2</v>
      </c>
      <c r="D26" s="13" t="s">
        <v>30</v>
      </c>
      <c r="E26" s="13" t="str">
        <f>$E$8</f>
        <v>$millions</v>
      </c>
      <c r="F26" s="91">
        <f>$F$8</f>
        <v>45444</v>
      </c>
      <c r="J26" s="64">
        <f>J25*IF($F25="nominal",LOOKUP($F26,Nominal_to_Real,'Input|Rate of change'!K$26:K$32),INDEX('Input|Rate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K26" s="64">
        <f>K25*IF($F25="nominal",LOOKUP($F26,Nominal_to_Real,'Input|Rate of change'!L$26:L$32),INDEX('Input|Rate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L26" s="64">
        <f>L25*IF($F25="nominal",LOOKUP($F26,Nominal_to_Real,'Input|Rate of change'!M$26:M$32),INDEX('Input|Rate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M26" s="64">
        <f>M25*IF($F25="nominal",LOOKUP($F26,Nominal_to_Real,'Input|Rate of change'!N$26:N$32),INDEX('Input|Rate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N26" s="64">
        <f>N25*IF($F25="nominal",LOOKUP($F26,Nominal_to_Real,'Input|Rate of change'!O$26:O$32),INDEX('Input|Rate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O26" s="64">
        <f>O25*IF($F25="nominal",LOOKUP($F26,Nominal_to_Real,'Input|Rate of change'!P$26:P$32),INDEX('Input|Rate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P26" s="64">
        <f>P25*IF($F25="nominal",LOOKUP($F26,Nominal_to_Real,'Input|Rate of change'!Q$26:Q$32),INDEX('Input|Rate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Q26" s="64">
        <f>Q25*IF($F25="nominal",LOOKUP($F26,Nominal_to_Real,'Input|Rate of change'!R$26:R$32),INDEX('Input|Rate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R26" s="64">
        <f>R25*IF($F25="nominal",LOOKUP($F26,Nominal_to_Real,'Input|Rate of change'!S$26:S$32),INDEX('Input|Rate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S26" s="64">
        <f>S25*IF($F25="nominal",LOOKUP($F26,Nominal_to_Real,'Input|Rate of change'!T$26:T$32),INDEX('Input|Rate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  <c r="T26" s="64">
        <f>T25*IF($F25="nominal",LOOKUP($F26,Nominal_to_Real,'Input|Rate of change'!U$26:U$32),INDEX('Input|Rate of change'!$C$14:$P$22,MATCH('Calc|Opex forecast'!$F25,'Input|Rate of change'!$C$14:$C$22,0),MATCH('Calc|Opex forecast'!$F26,'Input|Rate of change'!$C$14:$P$14,0)))*IF($E25="$millions",1000000,IF($E25="$000",1000,1))/IF($E26="$millions",1000000,IF($E26="$000",1000,1))</f>
        <v>0</v>
      </c>
    </row>
    <row r="27" spans="3:20" outlineLevel="1">
      <c r="C27" s="71"/>
      <c r="F27" s="91"/>
      <c r="J27" s="64"/>
      <c r="K27" s="64"/>
      <c r="L27" s="64"/>
      <c r="M27" s="64"/>
      <c r="N27" s="64"/>
      <c r="O27" s="64"/>
      <c r="P27" s="64"/>
      <c r="Q27" s="64"/>
      <c r="R27" s="60"/>
      <c r="S27" s="60"/>
      <c r="T27" s="60"/>
    </row>
    <row r="28" spans="3:20" outlineLevel="1">
      <c r="C28" s="71" t="str">
        <f>'Input|Reported opex'!$C$65</f>
        <v>Adjustment 3</v>
      </c>
      <c r="D28" s="59" t="s">
        <v>89</v>
      </c>
      <c r="E28" s="13" t="str">
        <f>'Input|Reported opex'!$E$65</f>
        <v>$millions</v>
      </c>
      <c r="F28" s="91">
        <f>'Input|Reported opex'!$F$65</f>
        <v>45444</v>
      </c>
      <c r="J28" s="60">
        <f>IF(YEAR(J$4)=BaseYear,'Input|Reported opex'!J65,0)</f>
        <v>0</v>
      </c>
      <c r="K28" s="60">
        <f>IF(YEAR(K$4)=BaseYear,'Input|Reported opex'!K65,0)</f>
        <v>0</v>
      </c>
      <c r="L28" s="60">
        <f>IF(YEAR(L$4)=BaseYear,'Input|Reported opex'!L65,0)</f>
        <v>0</v>
      </c>
      <c r="M28" s="60">
        <f>IF(YEAR(M$4)=BaseYear,'Input|Reported opex'!M65,0)</f>
        <v>0</v>
      </c>
      <c r="N28" s="60">
        <f>IF(YEAR(N$4)=BaseYear,'Input|Reported opex'!N65,0)</f>
        <v>0</v>
      </c>
      <c r="O28" s="60">
        <f>IF(YEAR(O$4)=BaseYear,'Input|Reported opex'!O65,0)</f>
        <v>0</v>
      </c>
      <c r="P28" s="60">
        <f>IF(YEAR(P$4)=BaseYear,'Input|Reported opex'!P65,0)</f>
        <v>0</v>
      </c>
      <c r="Q28" s="60">
        <f>IF(YEAR(Q$4)=BaseYear,'Input|Reported opex'!Q65,0)</f>
        <v>0</v>
      </c>
      <c r="R28" s="60">
        <f>IF(YEAR(R$4)=BaseYear,'Input|Reported opex'!R65,0)</f>
        <v>0</v>
      </c>
      <c r="S28" s="60">
        <f>IF(YEAR(S$4)=BaseYear,'Input|Reported opex'!S65,0)</f>
        <v>0</v>
      </c>
      <c r="T28" s="60">
        <f>IF(YEAR(T$4)=BaseYear,'Input|Reported opex'!T65,0)</f>
        <v>0</v>
      </c>
    </row>
    <row r="29" spans="3:20" outlineLevel="1">
      <c r="C29" s="71" t="str">
        <f>C28</f>
        <v>Adjustment 3</v>
      </c>
      <c r="D29" s="13" t="s">
        <v>30</v>
      </c>
      <c r="E29" s="13" t="str">
        <f>$E$8</f>
        <v>$millions</v>
      </c>
      <c r="F29" s="91">
        <f>$F$8</f>
        <v>45444</v>
      </c>
      <c r="J29" s="64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64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64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64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64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64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64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64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64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64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64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1"/>
      <c r="F30" s="91"/>
      <c r="J30" s="64"/>
      <c r="K30" s="64"/>
      <c r="L30" s="64"/>
      <c r="M30" s="64"/>
      <c r="N30" s="64"/>
      <c r="O30" s="64"/>
      <c r="P30" s="64"/>
      <c r="Q30" s="64"/>
      <c r="R30" s="60"/>
      <c r="S30" s="60"/>
      <c r="T30" s="60"/>
    </row>
    <row r="31" spans="3:20" outlineLevel="1">
      <c r="C31" s="71" t="str">
        <f>'Input|Reported opex'!$C$66</f>
        <v>Adjustment 4</v>
      </c>
      <c r="D31" s="59" t="s">
        <v>89</v>
      </c>
      <c r="E31" s="13" t="str">
        <f>'Input|Reported opex'!$E$66</f>
        <v>$millions</v>
      </c>
      <c r="F31" s="91">
        <f>'Input|Reported opex'!$F$66</f>
        <v>45444</v>
      </c>
      <c r="J31" s="60">
        <f>IF(YEAR(J$4)=BaseYear,'Input|Reported opex'!J66,0)</f>
        <v>0</v>
      </c>
      <c r="K31" s="60">
        <f>IF(YEAR(K$4)=BaseYear,'Input|Reported opex'!K66,0)</f>
        <v>0</v>
      </c>
      <c r="L31" s="60">
        <f>IF(YEAR(L$4)=BaseYear,'Input|Reported opex'!L66,0)</f>
        <v>0</v>
      </c>
      <c r="M31" s="60">
        <f>IF(YEAR(M$4)=BaseYear,'Input|Reported opex'!M66,0)</f>
        <v>0</v>
      </c>
      <c r="N31" s="60">
        <f>IF(YEAR(N$4)=BaseYear,'Input|Reported opex'!N66,0)</f>
        <v>0</v>
      </c>
      <c r="O31" s="60">
        <f>IF(YEAR(O$4)=BaseYear,'Input|Reported opex'!O66,0)</f>
        <v>0</v>
      </c>
      <c r="P31" s="60">
        <f>IF(YEAR(P$4)=BaseYear,'Input|Reported opex'!P66,0)</f>
        <v>0</v>
      </c>
      <c r="Q31" s="60">
        <f>IF(YEAR(Q$4)=BaseYear,'Input|Reported opex'!Q66,0)</f>
        <v>0</v>
      </c>
      <c r="R31" s="60">
        <f>IF(YEAR(R$4)=BaseYear,'Input|Reported opex'!R66,0)</f>
        <v>0</v>
      </c>
      <c r="S31" s="60">
        <f>IF(YEAR(S$4)=BaseYear,'Input|Reported opex'!S66,0)</f>
        <v>0</v>
      </c>
      <c r="T31" s="60">
        <f>IF(YEAR(T$4)=BaseYear,'Input|Reported opex'!T66,0)</f>
        <v>0</v>
      </c>
    </row>
    <row r="32" spans="3:20" outlineLevel="1">
      <c r="C32" s="71" t="str">
        <f>C31</f>
        <v>Adjustment 4</v>
      </c>
      <c r="D32" s="13" t="s">
        <v>30</v>
      </c>
      <c r="E32" s="13" t="str">
        <f>$E$8</f>
        <v>$millions</v>
      </c>
      <c r="F32" s="91">
        <f>$F$8</f>
        <v>45444</v>
      </c>
      <c r="J32" s="64">
        <f>J31*IF($F31="nominal",LOOKUP($F32,Nominal_to_Real,'Input|Rate of change'!K$26:K$32),INDEX('Input|Rate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K32" s="64">
        <f>K31*IF($F31="nominal",LOOKUP($F32,Nominal_to_Real,'Input|Rate of change'!L$26:L$32),INDEX('Input|Rate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L32" s="64">
        <f>L31*IF($F31="nominal",LOOKUP($F32,Nominal_to_Real,'Input|Rate of change'!M$26:M$32),INDEX('Input|Rate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M32" s="64">
        <f>M31*IF($F31="nominal",LOOKUP($F32,Nominal_to_Real,'Input|Rate of change'!N$26:N$32),INDEX('Input|Rate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N32" s="64">
        <f>N31*IF($F31="nominal",LOOKUP($F32,Nominal_to_Real,'Input|Rate of change'!O$26:O$32),INDEX('Input|Rate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O32" s="64">
        <f>O31*IF($F31="nominal",LOOKUP($F32,Nominal_to_Real,'Input|Rate of change'!P$26:P$32),INDEX('Input|Rate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P32" s="64">
        <f>P31*IF($F31="nominal",LOOKUP($F32,Nominal_to_Real,'Input|Rate of change'!Q$26:Q$32),INDEX('Input|Rate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Q32" s="64">
        <f>Q31*IF($F31="nominal",LOOKUP($F32,Nominal_to_Real,'Input|Rate of change'!R$26:R$32),INDEX('Input|Rate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R32" s="64">
        <f>R31*IF($F31="nominal",LOOKUP($F32,Nominal_to_Real,'Input|Rate of change'!S$26:S$32),INDEX('Input|Rate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S32" s="64">
        <f>S31*IF($F31="nominal",LOOKUP($F32,Nominal_to_Real,'Input|Rate of change'!T$26:T$32),INDEX('Input|Rate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  <c r="T32" s="64">
        <f>T31*IF($F31="nominal",LOOKUP($F32,Nominal_to_Real,'Input|Rate of change'!U$26:U$32),INDEX('Input|Rate of change'!$C$14:$P$22,MATCH('Calc|Opex forecast'!$F31,'Input|Rate of change'!$C$14:$C$22,0),MATCH('Calc|Opex forecast'!$F32,'Input|Rate of change'!$C$14:$P$14,0)))*IF($E31="$millions",1000000,IF($E31="$000",1000,1))/IF($E32="$millions",1000000,IF($E32="$000",1000,1))</f>
        <v>0</v>
      </c>
    </row>
    <row r="33" spans="1:24" outlineLevel="1">
      <c r="C33" s="71"/>
      <c r="F33" s="91"/>
      <c r="J33" s="64"/>
      <c r="K33" s="64"/>
      <c r="L33" s="64"/>
      <c r="M33" s="64"/>
      <c r="N33" s="64"/>
      <c r="O33" s="64"/>
      <c r="P33" s="64"/>
      <c r="Q33" s="64"/>
      <c r="R33" s="60"/>
      <c r="S33" s="60"/>
      <c r="T33" s="60"/>
    </row>
    <row r="34" spans="1:24" outlineLevel="1">
      <c r="C34" s="71" t="str">
        <f>'Input|Reported opex'!$C$67</f>
        <v>Adjustment 5</v>
      </c>
      <c r="D34" s="59" t="s">
        <v>89</v>
      </c>
      <c r="E34" s="13" t="str">
        <f>'Input|Reported opex'!$E$67</f>
        <v>$millions</v>
      </c>
      <c r="F34" s="91">
        <f>'Input|Reported opex'!$F$67</f>
        <v>45444</v>
      </c>
      <c r="J34" s="60">
        <f>IF(YEAR(J$4)=BaseYear,'Input|Reported opex'!J67,0)</f>
        <v>0</v>
      </c>
      <c r="K34" s="60">
        <f>IF(YEAR(K$4)=BaseYear,'Input|Reported opex'!K67,0)</f>
        <v>0</v>
      </c>
      <c r="L34" s="60">
        <f>IF(YEAR(L$4)=BaseYear,'Input|Reported opex'!L67,0)</f>
        <v>0</v>
      </c>
      <c r="M34" s="60">
        <f>IF(YEAR(M$4)=BaseYear,'Input|Reported opex'!M67,0)</f>
        <v>0</v>
      </c>
      <c r="N34" s="60">
        <f>IF(YEAR(N$4)=BaseYear,'Input|Reported opex'!N67,0)</f>
        <v>0</v>
      </c>
      <c r="O34" s="60">
        <f>IF(YEAR(O$4)=BaseYear,'Input|Reported opex'!O67,0)</f>
        <v>0</v>
      </c>
      <c r="P34" s="60">
        <f>IF(YEAR(P$4)=BaseYear,'Input|Reported opex'!P67,0)</f>
        <v>0</v>
      </c>
      <c r="Q34" s="60">
        <f>IF(YEAR(Q$4)=BaseYear,'Input|Reported opex'!Q67,0)</f>
        <v>0</v>
      </c>
      <c r="R34" s="60">
        <f>IF(YEAR(R$4)=BaseYear,'Input|Reported opex'!R67,0)</f>
        <v>0</v>
      </c>
      <c r="S34" s="60">
        <f>IF(YEAR(S$4)=BaseYear,'Input|Reported opex'!S67,0)</f>
        <v>0</v>
      </c>
      <c r="T34" s="60">
        <f>IF(YEAR(T$4)=BaseYear,'Input|Reported opex'!T67,0)</f>
        <v>0</v>
      </c>
    </row>
    <row r="35" spans="1:24" outlineLevel="1">
      <c r="C35" s="71" t="str">
        <f>C34</f>
        <v>Adjustment 5</v>
      </c>
      <c r="D35" s="13" t="s">
        <v>30</v>
      </c>
      <c r="E35" s="13" t="str">
        <f>$E$8</f>
        <v>$millions</v>
      </c>
      <c r="F35" s="91">
        <f>$F$8</f>
        <v>45444</v>
      </c>
      <c r="J35" s="64">
        <f>J34*IF($F34="nominal",LOOKUP($F35,Nominal_to_Real,'Input|Rate of change'!K$26:K$32),INDEX('Input|Rate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K35" s="64">
        <f>K34*IF($F34="nominal",LOOKUP($F35,Nominal_to_Real,'Input|Rate of change'!L$26:L$32),INDEX('Input|Rate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L35" s="64">
        <f>L34*IF($F34="nominal",LOOKUP($F35,Nominal_to_Real,'Input|Rate of change'!M$26:M$32),INDEX('Input|Rate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M35" s="64">
        <f>M34*IF($F34="nominal",LOOKUP($F35,Nominal_to_Real,'Input|Rate of change'!N$26:N$32),INDEX('Input|Rate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N35" s="64">
        <f>N34*IF($F34="nominal",LOOKUP($F35,Nominal_to_Real,'Input|Rate of change'!O$26:O$32),INDEX('Input|Rate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O35" s="64">
        <f>O34*IF($F34="nominal",LOOKUP($F35,Nominal_to_Real,'Input|Rate of change'!P$26:P$32),INDEX('Input|Rate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P35" s="64">
        <f>P34*IF($F34="nominal",LOOKUP($F35,Nominal_to_Real,'Input|Rate of change'!Q$26:Q$32),INDEX('Input|Rate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Q35" s="64">
        <f>Q34*IF($F34="nominal",LOOKUP($F35,Nominal_to_Real,'Input|Rate of change'!R$26:R$32),INDEX('Input|Rate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R35" s="64">
        <f>R34*IF($F34="nominal",LOOKUP($F35,Nominal_to_Real,'Input|Rate of change'!S$26:S$32),INDEX('Input|Rate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S35" s="64">
        <f>S34*IF($F34="nominal",LOOKUP($F35,Nominal_to_Real,'Input|Rate of change'!T$26:T$32),INDEX('Input|Rate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  <c r="T35" s="64">
        <f>T34*IF($F34="nominal",LOOKUP($F35,Nominal_to_Real,'Input|Rate of change'!U$26:U$32),INDEX('Input|Rate of change'!$C$14:$P$22,MATCH('Calc|Opex forecast'!$F34,'Input|Rate of change'!$C$14:$C$22,0),MATCH('Calc|Opex forecast'!$F35,'Input|Rate of change'!$C$14:$P$14,0)))*IF($E34="$millions",1000000,IF($E34="$000",1000,1))/IF($E35="$millions",1000000,IF($E35="$000",1000,1))</f>
        <v>0</v>
      </c>
    </row>
    <row r="36" spans="1:24" outlineLevel="1">
      <c r="C36" s="71"/>
      <c r="F36" s="91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1:24" outlineLevel="1">
      <c r="C37" s="71" t="s">
        <v>86</v>
      </c>
      <c r="D37" s="13" t="s">
        <v>95</v>
      </c>
      <c r="E37" s="13" t="str">
        <f>$E$8</f>
        <v>$millions</v>
      </c>
      <c r="F37" s="91">
        <f>$F$8</f>
        <v>45444</v>
      </c>
      <c r="J37" s="64">
        <f ca="1">SUM(J18,J20,J23,J26,J29,J32,J35)*'Input|Reported opex'!J69</f>
        <v>0</v>
      </c>
      <c r="K37" s="64">
        <f ca="1">SUM(K18,K20,K23,K26,K29,K32,K35)*'Input|Reported opex'!K69</f>
        <v>0</v>
      </c>
      <c r="L37" s="64">
        <f ca="1">SUM(L18,L20,L23,L26,L29,L32,L35)*'Input|Reported opex'!L69</f>
        <v>-10.329985072180635</v>
      </c>
      <c r="M37" s="64">
        <f ca="1">SUM(M18,M20,M23,M26,M29,M32,M35)*'Input|Reported opex'!M69</f>
        <v>0</v>
      </c>
      <c r="N37" s="64">
        <f ca="1">SUM(N18,N20,N23,N26,N29,N32,N35)*'Input|Reported opex'!N69</f>
        <v>0</v>
      </c>
      <c r="O37" s="64">
        <f ca="1">SUM(O18,O20,O23,O26,O29,O32,O35)*'Input|Reported opex'!O69</f>
        <v>0</v>
      </c>
      <c r="P37" s="64">
        <f ca="1">SUM(P18,P20,P23,P26,P29,P32,P35)*'Input|Reported opex'!P69</f>
        <v>0</v>
      </c>
      <c r="Q37" s="64">
        <f ca="1">SUM(Q18,Q20,Q23,Q26,Q29,Q32,Q35)*'Input|Reported opex'!Q69</f>
        <v>0</v>
      </c>
      <c r="R37" s="64">
        <f ca="1">SUM(R18,R20,R23,R26,R29,R32,R35)*'Input|Reported opex'!R69</f>
        <v>0</v>
      </c>
      <c r="S37" s="64">
        <f ca="1">SUM(S18,S20,S23,S26,S29,S32,S35)*'Input|Reported opex'!S69</f>
        <v>0</v>
      </c>
      <c r="T37" s="64">
        <f>SUM(T18,T20,T23,T26,T29,T32,T35)*'Input|Reported opex'!T69</f>
        <v>0</v>
      </c>
    </row>
    <row r="38" spans="1:24" outlineLevel="1">
      <c r="C38" s="71"/>
      <c r="F38" s="91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1:24" outlineLevel="1">
      <c r="C39" s="96" t="s">
        <v>202</v>
      </c>
      <c r="D39" s="61" t="s">
        <v>95</v>
      </c>
      <c r="E39" s="61" t="str">
        <f>$E$8</f>
        <v>$millions</v>
      </c>
      <c r="F39" s="97">
        <f>$F$8</f>
        <v>45444</v>
      </c>
      <c r="J39" s="64">
        <f t="shared" ref="J39:S39" ca="1" si="3">SUM(J18,J20,J23,J26,J29,J32,J35,J37)</f>
        <v>0</v>
      </c>
      <c r="K39" s="64">
        <f t="shared" ca="1" si="3"/>
        <v>0</v>
      </c>
      <c r="L39" s="64">
        <f t="shared" ca="1" si="3"/>
        <v>55.504890236426931</v>
      </c>
      <c r="M39" s="64">
        <f t="shared" ca="1" si="3"/>
        <v>0</v>
      </c>
      <c r="N39" s="64">
        <f t="shared" ca="1" si="3"/>
        <v>0</v>
      </c>
      <c r="O39" s="64">
        <f t="shared" ca="1" si="3"/>
        <v>0</v>
      </c>
      <c r="P39" s="64">
        <f t="shared" ca="1" si="3"/>
        <v>0</v>
      </c>
      <c r="Q39" s="64">
        <f t="shared" ca="1" si="3"/>
        <v>0</v>
      </c>
      <c r="R39" s="64">
        <f t="shared" ca="1" si="3"/>
        <v>0</v>
      </c>
      <c r="S39" s="64">
        <f t="shared" ca="1" si="3"/>
        <v>0</v>
      </c>
      <c r="T39" s="64"/>
    </row>
    <row r="40" spans="1:24">
      <c r="J40" s="58"/>
      <c r="K40" s="58"/>
      <c r="L40" s="58"/>
    </row>
    <row r="41" spans="1:24" customFormat="1" ht="12.75">
      <c r="A41" s="30"/>
      <c r="B41" s="35" t="s">
        <v>88</v>
      </c>
      <c r="C41" s="30"/>
      <c r="D41" s="30"/>
      <c r="E41" s="30"/>
      <c r="F41" s="31"/>
      <c r="G41" s="31"/>
      <c r="H41" s="31"/>
      <c r="I41" s="31"/>
      <c r="J41" s="32"/>
      <c r="K41" s="33"/>
      <c r="L41" s="32"/>
      <c r="M41" s="33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33"/>
    </row>
    <row r="42" spans="1:24" outlineLevel="1"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</row>
    <row r="43" spans="1:24" outlineLevel="1">
      <c r="C43" s="6" t="s">
        <v>42</v>
      </c>
      <c r="D43" s="18" t="s">
        <v>7</v>
      </c>
      <c r="E43" s="18" t="s">
        <v>8</v>
      </c>
      <c r="F43" s="18" t="s">
        <v>22</v>
      </c>
      <c r="J43" s="92" t="str">
        <f>IF(YEAR(J$4)&gt;BaseYear,IF(YEAR(J$4)&lt;='Input|General'!$G$14,J$4,""),"")</f>
        <v/>
      </c>
      <c r="K43" s="92" t="str">
        <f>IF(YEAR(K$4)&gt;BaseYear,IF(YEAR(K$4)&lt;='Input|General'!$G$14,K$4,""),"")</f>
        <v/>
      </c>
      <c r="L43" s="92" t="str">
        <f>IF(YEAR(L$4)&gt;BaseYear,IF(YEAR(L$4)&lt;='Input|General'!$G$14,L$4,""),"")</f>
        <v/>
      </c>
      <c r="M43" s="92">
        <f>IF(YEAR(M$4)&gt;BaseYear,IF(YEAR(M$4)&lt;='Input|General'!$G$14,M$4,""),"")</f>
        <v>45078</v>
      </c>
      <c r="N43" s="92">
        <f>IF(YEAR(N$4)&gt;BaseYear,IF(YEAR(N$4)&lt;='Input|General'!$G$14,N$4,""),"")</f>
        <v>45444</v>
      </c>
      <c r="O43" s="92">
        <f>IF(YEAR(O$4)&gt;BaseYear,IF(YEAR(O$4)&lt;='Input|General'!$G$14,O$4,""),"")</f>
        <v>45809</v>
      </c>
      <c r="P43" s="92">
        <f>IF(YEAR(P$4)&gt;BaseYear,IF(YEAR(P$4)&lt;='Input|General'!$G$14,P$4,""),"")</f>
        <v>46174</v>
      </c>
      <c r="Q43" s="92">
        <f>IF(YEAR(Q$4)&gt;BaseYear,IF(YEAR(Q$4)&lt;='Input|General'!$G$14,Q$4,""),"")</f>
        <v>46539</v>
      </c>
      <c r="R43" s="92">
        <f>IF(YEAR(R$4)&gt;BaseYear,IF(YEAR(R$4)&lt;='Input|General'!$G$14,R$4,""),"")</f>
        <v>46905</v>
      </c>
      <c r="S43" s="92">
        <f>IF(YEAR(S$4)&gt;BaseYear,IF(YEAR(S$4)&lt;='Input|General'!$G$14,S$4,""),"")</f>
        <v>47270</v>
      </c>
      <c r="T43" s="92" t="str">
        <f>IF(YEAR(T$4)&gt;BaseYear,IF(YEAR(T$4)&lt;='Input|General'!$G$14,T$4,""),"")</f>
        <v/>
      </c>
    </row>
    <row r="44" spans="1:24" outlineLevel="1">
      <c r="C44" s="6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</row>
    <row r="45" spans="1:24" outlineLevel="1">
      <c r="B45" s="6"/>
      <c r="C45" s="65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</row>
    <row r="46" spans="1:24" outlineLevel="1">
      <c r="C46" s="12" t="s">
        <v>168</v>
      </c>
      <c r="D46" s="13" t="s">
        <v>30</v>
      </c>
      <c r="E46" s="13" t="s">
        <v>31</v>
      </c>
      <c r="F46" s="13" t="s">
        <v>36</v>
      </c>
      <c r="J46" s="66">
        <f ca="1">IF(J43=J4,AVERAGE(OFFSET('Input|Rate of change'!K106,0,0,COUNTA('Input|Rate of change'!$J$93:$M$93),1)),0)</f>
        <v>0</v>
      </c>
      <c r="K46" s="66">
        <f ca="1">IF(K43=K4,AVERAGE(OFFSET('Input|Rate of change'!L106,0,0,COUNTA('Input|Rate of change'!$J$93:$M$93),1)),0)</f>
        <v>0</v>
      </c>
      <c r="L46" s="66">
        <f ca="1">IF(L43=L4,AVERAGE(OFFSET('Input|Rate of change'!M106,0,0,COUNTA('Input|Rate of change'!$J$93:$M$93),1)),0)</f>
        <v>0</v>
      </c>
      <c r="M46" s="66">
        <f ca="1">IF(M43=M4,AVERAGE(OFFSET('Input|Rate of change'!N106,0,0,COUNTA('Input|Rate of change'!$J$93:$M$93),1)),0)</f>
        <v>7.3910750754415874E-3</v>
      </c>
      <c r="N46" s="66">
        <f ca="1">IF(N43=N4,AVERAGE(OFFSET('Input|Rate of change'!O106,0,0,COUNTA('Input|Rate of change'!$J$93:$M$93),1)),0)</f>
        <v>5.4190230821870387E-3</v>
      </c>
      <c r="O46" s="66">
        <f ca="1">IF(O43=O4,AVERAGE(OFFSET('Input|Rate of change'!P106,0,0,COUNTA('Input|Rate of change'!$J$93:$M$93),1)),0)</f>
        <v>6.7111454495408429E-3</v>
      </c>
      <c r="P46" s="66">
        <f ca="1">IF(P43=P4,AVERAGE(OFFSET('Input|Rate of change'!Q106,0,0,COUNTA('Input|Rate of change'!$J$93:$M$93),1)),0)</f>
        <v>7.5282067733014151E-3</v>
      </c>
      <c r="Q46" s="66">
        <f ca="1">IF(Q43=Q4,AVERAGE(OFFSET('Input|Rate of change'!R106,0,0,COUNTA('Input|Rate of change'!$J$93:$M$93),1)),0)</f>
        <v>8.9738546241109225E-3</v>
      </c>
      <c r="R46" s="66">
        <f ca="1">IF(R43=R4,AVERAGE(OFFSET('Input|Rate of change'!S106,0,0,COUNTA('Input|Rate of change'!$J$93:$M$93),1)),0)</f>
        <v>1.1721219960082302E-2</v>
      </c>
      <c r="S46" s="66">
        <f ca="1">IF(S43=S4,AVERAGE(OFFSET('Input|Rate of change'!T106,0,0,COUNTA('Input|Rate of change'!$J$93:$M$93),1)),0)</f>
        <v>1.2417448888469962E-2</v>
      </c>
      <c r="T46" s="66">
        <f ca="1">IF(T43=T4,AVERAGE(OFFSET('Input|Rate of change'!U106,0,0,COUNTA('Input|Rate of change'!$J$93:$M$93),1)),0)</f>
        <v>0</v>
      </c>
    </row>
    <row r="47" spans="1:24" outlineLevel="1">
      <c r="C47" s="12" t="s">
        <v>171</v>
      </c>
      <c r="D47" s="13" t="s">
        <v>30</v>
      </c>
      <c r="E47" s="13" t="s">
        <v>31</v>
      </c>
      <c r="F47" s="13" t="s">
        <v>36</v>
      </c>
      <c r="J47" s="66">
        <f t="array" ref="J47">IF(J$43=J$4,PRODUCT(1+$J46:J46)-1,0)</f>
        <v>0</v>
      </c>
      <c r="K47" s="66">
        <f t="array" ref="K47">IF(K$43=K$4,PRODUCT(1+$J46:K46)-1,0)</f>
        <v>0</v>
      </c>
      <c r="L47" s="66">
        <f t="array" ref="L47">IF(L$43=L$4,PRODUCT(1+$J46:L46)-1,0)</f>
        <v>0</v>
      </c>
      <c r="M47" s="66">
        <f t="array" aca="1" ref="M47" ca="1">IF(M$43=M$4,PRODUCT(1+$J46:M46)-1,0)</f>
        <v>7.3910750754415666E-3</v>
      </c>
      <c r="N47" s="66">
        <f t="array" aca="1" ref="N47" ca="1">IF(N$43=N$4,PRODUCT(1+$J46:N46)-1,0)</f>
        <v>1.2850150564064577E-2</v>
      </c>
      <c r="O47" s="66">
        <f t="array" aca="1" ref="O47" ca="1">IF(O$43=O$4,PRODUCT(1+$J46:O46)-1,0)</f>
        <v>1.9647535243089376E-2</v>
      </c>
      <c r="P47" s="66">
        <f t="array" aca="1" ref="P47" ca="1">IF(P$43=P$4,PRODUCT(1+$J46:P46)-1,0)</f>
        <v>2.7323652724286385E-2</v>
      </c>
      <c r="Q47" s="66">
        <f t="array" aca="1" ref="Q47" ca="1">IF(Q$43=Q$4,PRODUCT(1+$J46:Q46)-1,0)</f>
        <v>3.6542705835744815E-2</v>
      </c>
      <c r="R47" s="66">
        <f t="array" aca="1" ref="R47" ca="1">IF(R$43=R$4,PRODUCT(1+$J46:R46)-1,0)</f>
        <v>4.8692250888864308E-2</v>
      </c>
      <c r="S47" s="66">
        <f t="array" aca="1" ref="S47" ca="1">IF(S$43=S$4,PRODUCT(1+$J46:S46)-1,0)</f>
        <v>6.1714333314011327E-2</v>
      </c>
      <c r="T47" s="66">
        <f t="array" ref="T47">IF(T$43=T$4,PRODUCT(1+$J46:T46)-1,0)</f>
        <v>0</v>
      </c>
    </row>
    <row r="48" spans="1:24" outlineLevel="1"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1:24" outlineLevel="1">
      <c r="C49" s="12" t="s">
        <v>169</v>
      </c>
      <c r="D49" s="13" t="s">
        <v>30</v>
      </c>
      <c r="E49" s="13" t="s">
        <v>31</v>
      </c>
      <c r="F49" s="13" t="s">
        <v>36</v>
      </c>
      <c r="J49" s="66">
        <f>SUMPRODUCT('Input|Rate of change'!K38:K45,'Input|Rate of change'!K51:K58)</f>
        <v>0</v>
      </c>
      <c r="K49" s="66">
        <f>SUMPRODUCT('Input|Rate of change'!L38:L45,'Input|Rate of change'!L51:L58)</f>
        <v>0</v>
      </c>
      <c r="L49" s="66">
        <f>SUMPRODUCT('Input|Rate of change'!M38:M45,'Input|Rate of change'!M51:M58)</f>
        <v>0</v>
      </c>
      <c r="M49" s="66">
        <f>SUMPRODUCT('Input|Rate of change'!N38:N45,'Input|Rate of change'!N51:N58)</f>
        <v>-1.2708343212457679E-2</v>
      </c>
      <c r="N49" s="66">
        <f>SUMPRODUCT('Input|Rate of change'!O38:O45,'Input|Rate of change'!O51:O58)</f>
        <v>2.3100990361736794E-3</v>
      </c>
      <c r="O49" s="66">
        <f>SUMPRODUCT('Input|Rate of change'!P38:P45,'Input|Rate of change'!P51:P58)</f>
        <v>6.3277853931228457E-3</v>
      </c>
      <c r="P49" s="66">
        <f>SUMPRODUCT('Input|Rate of change'!Q38:Q45,'Input|Rate of change'!Q51:Q58)</f>
        <v>7.5317555446092165E-3</v>
      </c>
      <c r="Q49" s="66">
        <f>SUMPRODUCT('Input|Rate of change'!R38:R45,'Input|Rate of change'!R51:R58)</f>
        <v>4.7560852180452929E-3</v>
      </c>
      <c r="R49" s="66">
        <f>SUMPRODUCT('Input|Rate of change'!S38:S45,'Input|Rate of change'!S51:S58)</f>
        <v>4.2600993611708309E-3</v>
      </c>
      <c r="S49" s="66">
        <f>SUMPRODUCT('Input|Rate of change'!T38:T45,'Input|Rate of change'!T51:T58)</f>
        <v>5.2693415820307217E-3</v>
      </c>
      <c r="T49" s="66">
        <f>SUMPRODUCT('Input|Rate of change'!U38:U45,'Input|Rate of change'!U51:U58)</f>
        <v>0</v>
      </c>
    </row>
    <row r="50" spans="1:24" outlineLevel="1">
      <c r="C50" s="12" t="s">
        <v>172</v>
      </c>
      <c r="D50" s="13" t="s">
        <v>30</v>
      </c>
      <c r="E50" s="13" t="s">
        <v>31</v>
      </c>
      <c r="F50" s="13" t="s">
        <v>36</v>
      </c>
      <c r="J50" s="66">
        <f t="array" ref="J50">IF(J$43=J$4,PRODUCT(1+$J49:J49)-1,0)</f>
        <v>0</v>
      </c>
      <c r="K50" s="66">
        <f t="array" ref="K50">IF(K$43=K$4,PRODUCT(1+$J49:K49)-1,0)</f>
        <v>0</v>
      </c>
      <c r="L50" s="66">
        <f t="array" ref="L50">IF(L$43=L$4,PRODUCT(1+$J49:L49)-1,0)</f>
        <v>0</v>
      </c>
      <c r="M50" s="66">
        <f t="array" ref="M50">IF(M$43=M$4,PRODUCT(1+$J49:M49)-1,0)</f>
        <v>-1.2708343212457729E-2</v>
      </c>
      <c r="N50" s="66">
        <f t="array" ref="N50">IF(N$43=N$4,PRODUCT(1+$J49:N49)-1,0)</f>
        <v>-1.0427601707690415E-2</v>
      </c>
      <c r="O50" s="66">
        <f t="array" ref="O50">IF(O$43=O$4,PRODUCT(1+$J49:O49)-1,0)</f>
        <v>-4.1657999403387214E-3</v>
      </c>
      <c r="P50" s="66">
        <f t="array" ref="P50">IF(P$43=P$4,PRODUCT(1+$J49:P49)-1,0)</f>
        <v>3.3345798174722052E-3</v>
      </c>
      <c r="Q50" s="66">
        <f t="array" ref="Q50">IF(Q$43=Q$4,PRODUCT(1+$J49:Q49)-1,0)</f>
        <v>8.1065245812956821E-3</v>
      </c>
      <c r="R50" s="66">
        <f t="array" ref="R50">IF(R$43=R$4,PRODUCT(1+$J49:R49)-1,0)</f>
        <v>1.2401158542656443E-2</v>
      </c>
      <c r="S50" s="66">
        <f t="array" ref="S50">IF(S$43=S$4,PRODUCT(1+$J49:S49)-1,0)</f>
        <v>1.7735846065061178E-2</v>
      </c>
      <c r="T50" s="66">
        <f t="array" ref="T50">IF(T$43=T$4,PRODUCT(1+$J49:T49)-1,0)</f>
        <v>0</v>
      </c>
    </row>
    <row r="51" spans="1:24" outlineLevel="1">
      <c r="C51" s="12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1:24" outlineLevel="1">
      <c r="C52" s="12" t="s">
        <v>170</v>
      </c>
      <c r="D52" s="13" t="s">
        <v>30</v>
      </c>
      <c r="E52" s="13" t="s">
        <v>31</v>
      </c>
      <c r="F52" s="13" t="s">
        <v>36</v>
      </c>
      <c r="J52" s="66">
        <f>'Input|Rate of change'!K115</f>
        <v>0</v>
      </c>
      <c r="K52" s="66">
        <f>'Input|Rate of change'!L115</f>
        <v>0</v>
      </c>
      <c r="L52" s="66">
        <f>'Input|Rate of change'!M115</f>
        <v>0</v>
      </c>
      <c r="M52" s="66">
        <f>'Input|Rate of change'!N115</f>
        <v>5.0000000000000001E-3</v>
      </c>
      <c r="N52" s="66">
        <f>'Input|Rate of change'!O115</f>
        <v>5.0000000000000001E-3</v>
      </c>
      <c r="O52" s="66">
        <f>'Input|Rate of change'!P115</f>
        <v>5.0000000000000001E-3</v>
      </c>
      <c r="P52" s="66">
        <f>'Input|Rate of change'!Q115</f>
        <v>5.0000000000000001E-3</v>
      </c>
      <c r="Q52" s="66">
        <f>'Input|Rate of change'!R115</f>
        <v>5.0000000000000001E-3</v>
      </c>
      <c r="R52" s="66">
        <f>'Input|Rate of change'!S115</f>
        <v>5.0000000000000001E-3</v>
      </c>
      <c r="S52" s="66">
        <f>'Input|Rate of change'!T115</f>
        <v>5.0000000000000001E-3</v>
      </c>
      <c r="T52" s="66">
        <f>'Input|Rate of change'!U115</f>
        <v>0</v>
      </c>
    </row>
    <row r="53" spans="1:24" outlineLevel="1">
      <c r="C53" s="12" t="s">
        <v>173</v>
      </c>
      <c r="D53" s="13" t="s">
        <v>30</v>
      </c>
      <c r="E53" s="13" t="s">
        <v>31</v>
      </c>
      <c r="F53" s="13" t="s">
        <v>36</v>
      </c>
      <c r="J53" s="66">
        <f t="array" ref="J53">IF(J$43=J$4,PRODUCT(1+$J52:J52)-1,0)</f>
        <v>0</v>
      </c>
      <c r="K53" s="66">
        <f t="array" ref="K53">IF(K$43=K$4,PRODUCT(1+$J52:K52)-1,0)</f>
        <v>0</v>
      </c>
      <c r="L53" s="66">
        <f t="array" ref="L53">IF(L$43=L$4,PRODUCT(1+$J52:L52)-1,0)</f>
        <v>0</v>
      </c>
      <c r="M53" s="66">
        <f t="array" ref="M53">IF(M$43=M$4,PRODUCT(1+$J52:M52)-1,0)</f>
        <v>4.9999999999998934E-3</v>
      </c>
      <c r="N53" s="66">
        <f t="array" ref="N53">IF(N$43=N$4,PRODUCT(1+$J52:N52)-1,0)</f>
        <v>1.0024999999999729E-2</v>
      </c>
      <c r="O53" s="66">
        <f t="array" ref="O53">IF(O$43=O$4,PRODUCT(1+$J52:O52)-1,0)</f>
        <v>1.5075124999999634E-2</v>
      </c>
      <c r="P53" s="66">
        <f t="array" ref="P53">IF(P$43=P$4,PRODUCT(1+$J52:P52)-1,0)</f>
        <v>2.0150500624999568E-2</v>
      </c>
      <c r="Q53" s="66">
        <f t="array" ref="Q53">IF(Q$43=Q$4,PRODUCT(1+$J52:Q52)-1,0)</f>
        <v>2.5251253128124374E-2</v>
      </c>
      <c r="R53" s="66">
        <f t="array" ref="R53">IF(R$43=R$4,PRODUCT(1+$J52:R52)-1,0)</f>
        <v>3.0377509393764823E-2</v>
      </c>
      <c r="S53" s="66">
        <f t="array" ref="S53">IF(S$43=S$4,PRODUCT(1+$J52:S52)-1,0)</f>
        <v>3.5529396940733537E-2</v>
      </c>
      <c r="T53" s="66">
        <f t="array" ref="T53">IF(T$43=T$4,PRODUCT(1+$J52:T52)-1,0)</f>
        <v>0</v>
      </c>
    </row>
    <row r="54" spans="1:24" outlineLevel="1">
      <c r="C54" s="12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4" outlineLevel="1">
      <c r="C55" s="67" t="s">
        <v>132</v>
      </c>
      <c r="D55" s="63" t="s">
        <v>30</v>
      </c>
      <c r="E55" s="63" t="s">
        <v>31</v>
      </c>
      <c r="F55" s="63" t="s">
        <v>36</v>
      </c>
      <c r="J55" s="82">
        <f ca="1">(1+J46)*(1+J49)*(1-J52)-1</f>
        <v>0</v>
      </c>
      <c r="K55" s="82">
        <f t="shared" ref="K55:S55" ca="1" si="4">(1+K46)*(1+K49)*(1-K52)-1</f>
        <v>0</v>
      </c>
      <c r="L55" s="82">
        <f t="shared" ca="1" si="4"/>
        <v>0</v>
      </c>
      <c r="M55" s="82">
        <f t="shared" ca="1" si="4"/>
        <v>-1.0384140473504999E-2</v>
      </c>
      <c r="N55" s="82">
        <f t="shared" ca="1" si="4"/>
        <v>2.7029323953680073E-3</v>
      </c>
      <c r="O55" s="82">
        <f t="shared" ca="1" si="4"/>
        <v>8.0159905431562706E-3</v>
      </c>
      <c r="P55" s="82">
        <f t="shared" ca="1" si="4"/>
        <v>1.0041079616361248E-2</v>
      </c>
      <c r="Q55" s="82">
        <f t="shared" ca="1" si="4"/>
        <v>8.7037571581853879E-3</v>
      </c>
      <c r="R55" s="82">
        <f t="shared" ca="1" si="4"/>
        <v>1.0951096618502687E-2</v>
      </c>
      <c r="S55" s="82">
        <f t="shared" ca="1" si="4"/>
        <v>1.2663461139020171E-2</v>
      </c>
      <c r="T55" s="82">
        <f t="shared" ref="T55" ca="1" si="5">(1+T46)*(1+T49)*(1-T52)-1</f>
        <v>0</v>
      </c>
    </row>
    <row r="56" spans="1:24" outlineLevel="1">
      <c r="C56" s="6" t="s">
        <v>133</v>
      </c>
      <c r="D56" s="13" t="s">
        <v>30</v>
      </c>
      <c r="E56" s="13" t="s">
        <v>31</v>
      </c>
      <c r="F56" s="13" t="s">
        <v>36</v>
      </c>
      <c r="J56" s="66" t="str">
        <f t="array" ref="J56">IF(J$43=J$4,PRODUCT(1+$J55:J55)-1,"")</f>
        <v/>
      </c>
      <c r="K56" s="66" t="str">
        <f t="array" ref="K56">IF(K$43=K$4,PRODUCT(1+$J55:K55)-1,"")</f>
        <v/>
      </c>
      <c r="L56" s="66" t="str">
        <f t="array" ref="L56">IF(L$43=L$4,PRODUCT(1+$J55:L55)-1,"")</f>
        <v/>
      </c>
      <c r="M56" s="66">
        <f t="array" aca="1" ref="M56" ca="1">IF(M$43=M$4,PRODUCT(1+$J55:M55)-1,"")</f>
        <v>-1.0384140473504999E-2</v>
      </c>
      <c r="N56" s="66">
        <f t="array" aca="1" ref="N56" ca="1">IF(N$43=N$4,PRODUCT(1+$J55:N55)-1,"")</f>
        <v>-7.7092757078208729E-3</v>
      </c>
      <c r="O56" s="66">
        <f t="array" aca="1" ref="O56" ca="1">IF(O$43=O$4,PRODUCT(1+$J55:O55)-1,"")</f>
        <v>2.4491735416698468E-4</v>
      </c>
      <c r="P56" s="66">
        <f t="array" aca="1" ref="P56" ca="1">IF(P$43=P$4,PRODUCT(1+$J55:P55)-1,"")</f>
        <v>1.0288456205180818E-2</v>
      </c>
      <c r="Q56" s="66">
        <f t="array" aca="1" ref="Q56" ca="1">IF(Q$43=Q$4,PRODUCT(1+$J55:Q55)-1,"")</f>
        <v>1.9081761587708801E-2</v>
      </c>
      <c r="R56" s="66">
        <f t="array" aca="1" ref="R56" ca="1">IF(R$43=R$4,PRODUCT(1+$J55:R55)-1,"")</f>
        <v>3.0241824421009644E-2</v>
      </c>
      <c r="S56" s="66">
        <f t="array" aca="1" ref="S56" ca="1">IF(S$43=S$4,PRODUCT(1+$J55:S55)-1,"")</f>
        <v>4.3288251728358373E-2</v>
      </c>
      <c r="T56" s="66" t="str">
        <f t="array" ref="T56">IF(T$43=T$4,PRODUCT(1+$J55:T55)-1,"")</f>
        <v/>
      </c>
    </row>
    <row r="57" spans="1:24">
      <c r="J57" s="58"/>
      <c r="K57" s="58"/>
      <c r="L57" s="58"/>
      <c r="M57" s="58"/>
      <c r="N57" s="58"/>
      <c r="O57" s="68"/>
      <c r="P57" s="68"/>
      <c r="Q57" s="68"/>
      <c r="R57" s="68"/>
      <c r="S57" s="68"/>
      <c r="T57" s="68"/>
    </row>
    <row r="58" spans="1:24" customFormat="1" ht="12.75">
      <c r="A58" s="30"/>
      <c r="B58" s="35" t="s">
        <v>87</v>
      </c>
      <c r="C58" s="30"/>
      <c r="D58" s="30"/>
      <c r="E58" s="30"/>
      <c r="F58" s="31"/>
      <c r="G58" s="31"/>
      <c r="H58" s="31"/>
      <c r="I58" s="31"/>
      <c r="J58" s="32"/>
      <c r="K58" s="33"/>
      <c r="L58" s="32"/>
      <c r="M58" s="33"/>
      <c r="N58" s="32"/>
      <c r="O58" s="32"/>
      <c r="P58" s="32"/>
      <c r="Q58" s="32"/>
      <c r="R58" s="32"/>
      <c r="S58" s="32"/>
      <c r="T58" s="32"/>
      <c r="U58" s="32"/>
      <c r="V58" s="32"/>
      <c r="W58" s="33"/>
      <c r="X58" s="33"/>
    </row>
    <row r="59" spans="1:24" outlineLevel="1">
      <c r="C59" s="12"/>
      <c r="J59" s="58"/>
      <c r="K59" s="58"/>
      <c r="L59" s="58"/>
    </row>
    <row r="60" spans="1:24" outlineLevel="1">
      <c r="C60" s="6" t="s">
        <v>99</v>
      </c>
      <c r="D60" s="18" t="s">
        <v>7</v>
      </c>
      <c r="E60" s="18" t="s">
        <v>8</v>
      </c>
      <c r="F60" s="18" t="s">
        <v>22</v>
      </c>
      <c r="J60" s="92" t="str">
        <f>IF(YEAR(J$4)&gt;='Input|General'!$G$13,IF(YEAR(J$4)&lt;='Input|General'!$G$14,J$4,""),"")</f>
        <v/>
      </c>
      <c r="K60" s="92" t="str">
        <f>IF(YEAR(K$4)&gt;='Input|General'!$G$13,IF(YEAR(K$4)&lt;='Input|General'!$G$14,K$4,""),"")</f>
        <v/>
      </c>
      <c r="L60" s="92" t="str">
        <f>IF(YEAR(L$4)&gt;='Input|General'!$G$13,IF(YEAR(L$4)&lt;='Input|General'!$G$14,L$4,""),"")</f>
        <v/>
      </c>
      <c r="M60" s="92" t="str">
        <f>IF(YEAR(M$4)&gt;='Input|General'!$G$13,IF(YEAR(M$4)&lt;='Input|General'!$G$14,M$4,""),"")</f>
        <v/>
      </c>
      <c r="N60" s="92" t="str">
        <f>IF(YEAR(N$4)&gt;='Input|General'!$G$13,IF(YEAR(N$4)&lt;='Input|General'!$G$14,N$4,""),"")</f>
        <v/>
      </c>
      <c r="O60" s="92">
        <f>IF(YEAR(O$4)&gt;='Input|General'!$G$13,IF(YEAR(O$4)&lt;='Input|General'!$G$14,O$4,""),"")</f>
        <v>45809</v>
      </c>
      <c r="P60" s="92">
        <f>IF(YEAR(P$4)&gt;='Input|General'!$G$13,IF(YEAR(P$4)&lt;='Input|General'!$G$14,P$4,""),"")</f>
        <v>46174</v>
      </c>
      <c r="Q60" s="92">
        <f>IF(YEAR(Q$4)&gt;='Input|General'!$G$13,IF(YEAR(Q$4)&lt;='Input|General'!$G$14,Q$4,""),"")</f>
        <v>46539</v>
      </c>
      <c r="R60" s="92">
        <f>IF(YEAR(R$4)&gt;='Input|General'!$G$13,IF(YEAR(R$4)&lt;='Input|General'!$G$14,R$4,""),"")</f>
        <v>46905</v>
      </c>
      <c r="S60" s="92">
        <f>IF(YEAR(S$4)&gt;='Input|General'!$G$13,IF(YEAR(S$4)&lt;='Input|General'!$G$14,S$4,""),"")</f>
        <v>47270</v>
      </c>
      <c r="T60" s="92" t="str">
        <f>IF(YEAR(T$4)&gt;='Input|General'!$G$13,IF(YEAR(T$4)&lt;='Input|General'!$G$14,T$4,""),"")</f>
        <v/>
      </c>
    </row>
    <row r="61" spans="1:24" outlineLevel="1">
      <c r="C61" s="6"/>
      <c r="J61" s="11"/>
      <c r="K61" s="11"/>
      <c r="L61" s="11"/>
      <c r="M61" s="187"/>
      <c r="N61" s="187"/>
      <c r="O61" s="11"/>
      <c r="P61" s="11"/>
      <c r="Q61" s="11"/>
      <c r="R61" s="11"/>
      <c r="S61" s="11"/>
      <c r="T61" s="11"/>
    </row>
    <row r="62" spans="1:24" outlineLevel="1">
      <c r="C62" s="69" t="str">
        <f>'Input|Step changes'!C12</f>
        <v>Insurance premiums</v>
      </c>
      <c r="D62" s="13" t="s">
        <v>30</v>
      </c>
      <c r="E62" s="13" t="str">
        <f t="shared" ref="E62:E82" si="6">$E$8</f>
        <v>$millions</v>
      </c>
      <c r="F62" s="91">
        <f t="shared" ref="F62:F72" si="7">$F$8</f>
        <v>45444</v>
      </c>
      <c r="J62" s="73">
        <f>'Input|Step changes'!J12*INDEX('Input|Rate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K62" s="73">
        <f>'Input|Step changes'!K12*INDEX('Input|Rate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L62" s="73">
        <f>'Input|Step changes'!L12*INDEX('Input|Rate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M62" s="73">
        <f>'Input|Step changes'!M12*INDEX('Input|Rate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N62" s="73">
        <f>'Input|Step changes'!N12*INDEX('Input|Rate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  <c r="O62" s="73">
        <f>'Input|Step changes'!O12*INDEX('Input|Rate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0.65947285271797185</v>
      </c>
      <c r="P62" s="73">
        <f>'Input|Step changes'!P12*INDEX('Input|Rate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0.87098092293208229</v>
      </c>
      <c r="Q62" s="73">
        <f>'Input|Step changes'!Q12*INDEX('Input|Rate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1.040196439920493</v>
      </c>
      <c r="R62" s="73">
        <f>'Input|Step changes'!R12*INDEX('Input|Rate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1.1706429446778921</v>
      </c>
      <c r="S62" s="73">
        <f>'Input|Step changes'!S12*INDEX('Input|Rate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1.2791804322645386</v>
      </c>
      <c r="T62" s="73">
        <f>'Input|Step changes'!T12*INDEX('Input|Rate of change'!$C$14:$P$22,MATCH('Input|Step changes'!$F12,'Input|Rate of change'!$C$14:$C$22,0),MATCH('Calc|Opex forecast'!$F62,'Input|Rate of change'!$C$14:$P$14,0))*IF('Input|Step changes'!$E12="$millions",1000000,IF('Input|Step changes'!$E12="$000",1000,1))/IF($E62="$millions",1000000,IF($E62="$000",1000,1))</f>
        <v>0</v>
      </c>
    </row>
    <row r="63" spans="1:24" outlineLevel="1">
      <c r="C63" s="69" t="str">
        <f>'Input|Step changes'!C13</f>
        <v>SOCI</v>
      </c>
      <c r="D63" s="13" t="s">
        <v>30</v>
      </c>
      <c r="E63" s="13" t="str">
        <f t="shared" si="6"/>
        <v>$millions</v>
      </c>
      <c r="F63" s="91">
        <f t="shared" si="7"/>
        <v>45444</v>
      </c>
      <c r="J63" s="73">
        <f>'Input|Step changes'!J13*INDEX('Input|Rate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K63" s="73">
        <f>'Input|Step changes'!K13*INDEX('Input|Rate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L63" s="73">
        <f>'Input|Step changes'!L13*INDEX('Input|Rate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M63" s="73">
        <f>'Input|Step changes'!M13*INDEX('Input|Rate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N63" s="73">
        <f>'Input|Step changes'!N13*INDEX('Input|Rate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  <c r="O63" s="73">
        <f>'Input|Step changes'!O13*INDEX('Input|Rate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2.9030572748888868</v>
      </c>
      <c r="P63" s="73">
        <f>'Input|Step changes'!P13*INDEX('Input|Rate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2.895487287397672</v>
      </c>
      <c r="Q63" s="73">
        <f>'Input|Step changes'!Q13*INDEX('Input|Rate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2.8551469667260383</v>
      </c>
      <c r="R63" s="73">
        <f>'Input|Step changes'!R13*INDEX('Input|Rate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3.0220545629757316</v>
      </c>
      <c r="S63" s="73">
        <f>'Input|Step changes'!S13*INDEX('Input|Rate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2.8879911221659929</v>
      </c>
      <c r="T63" s="73">
        <f>'Input|Step changes'!T13*INDEX('Input|Rate of change'!$C$14:$P$22,MATCH('Input|Step changes'!$F13,'Input|Rate of change'!$C$14:$C$22,0),MATCH('Calc|Opex forecast'!$F63,'Input|Rate of change'!$C$14:$P$14,0))*IF('Input|Step changes'!$E13="$millions",1000000,IF('Input|Step changes'!$E13="$000",1000,1))/IF($E63="$millions",1000000,IF($E63="$000",1000,1))</f>
        <v>0</v>
      </c>
    </row>
    <row r="64" spans="1:24" outlineLevel="1">
      <c r="C64" s="69" t="str">
        <f>'Input|Step changes'!C14</f>
        <v>DER Integration</v>
      </c>
      <c r="D64" s="13" t="s">
        <v>30</v>
      </c>
      <c r="E64" s="13" t="str">
        <f t="shared" si="6"/>
        <v>$millions</v>
      </c>
      <c r="F64" s="91">
        <f t="shared" si="7"/>
        <v>45444</v>
      </c>
      <c r="J64" s="73">
        <f>'Input|Step changes'!J14*INDEX('Input|Rate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K64" s="73">
        <f>'Input|Step changes'!K14*INDEX('Input|Rate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L64" s="73">
        <f>'Input|Step changes'!L14*INDEX('Input|Rate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M64" s="73">
        <f>'Input|Step changes'!M14*INDEX('Input|Rate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N64" s="73">
        <f>'Input|Step changes'!N14*INDEX('Input|Rate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  <c r="O64" s="73">
        <f>'Input|Step changes'!O14*INDEX('Input|Rate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1.97</v>
      </c>
      <c r="P64" s="73">
        <f>'Input|Step changes'!P14*INDEX('Input|Rate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1.97</v>
      </c>
      <c r="Q64" s="73">
        <f>'Input|Step changes'!Q14*INDEX('Input|Rate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1.97</v>
      </c>
      <c r="R64" s="73">
        <f>'Input|Step changes'!R14*INDEX('Input|Rate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1.97</v>
      </c>
      <c r="S64" s="73">
        <f>'Input|Step changes'!S14*INDEX('Input|Rate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1.97</v>
      </c>
      <c r="T64" s="73">
        <f>'Input|Step changes'!T14*INDEX('Input|Rate of change'!$C$14:$P$22,MATCH('Input|Step changes'!$F14,'Input|Rate of change'!$C$14:$C$22,0),MATCH('Calc|Opex forecast'!$F64,'Input|Rate of change'!$C$14:$P$14,0))*IF('Input|Step changes'!$E14="$millions",1000000,IF('Input|Step changes'!$E14="$000",1000,1))/IF($E64="$millions",1000000,IF($E64="$000",1000,1))</f>
        <v>0</v>
      </c>
    </row>
    <row r="65" spans="1:24" outlineLevel="1">
      <c r="C65" s="69">
        <f>'Input|Step changes'!C15</f>
        <v>0</v>
      </c>
      <c r="D65" s="13" t="s">
        <v>30</v>
      </c>
      <c r="E65" s="13" t="str">
        <f t="shared" si="6"/>
        <v>$millions</v>
      </c>
      <c r="F65" s="91">
        <f t="shared" si="7"/>
        <v>45444</v>
      </c>
      <c r="J65" s="73">
        <f>'Input|Step changes'!J15*INDEX('Input|Rate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K65" s="73">
        <f>'Input|Step changes'!K15*INDEX('Input|Rate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L65" s="73">
        <f>'Input|Step changes'!L15*INDEX('Input|Rate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M65" s="73">
        <f>'Input|Step changes'!M15*INDEX('Input|Rate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N65" s="73">
        <f>'Input|Step changes'!N15*INDEX('Input|Rate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O65" s="73">
        <f>'Input|Step changes'!O15*INDEX('Input|Rate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P65" s="73">
        <f>'Input|Step changes'!P15*INDEX('Input|Rate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Q65" s="73">
        <f>'Input|Step changes'!Q15*INDEX('Input|Rate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R65" s="73">
        <f>'Input|Step changes'!R15*INDEX('Input|Rate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S65" s="73">
        <f>'Input|Step changes'!S15*INDEX('Input|Rate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  <c r="T65" s="73">
        <f>'Input|Step changes'!T15*INDEX('Input|Rate of change'!$C$14:$P$22,MATCH('Input|Step changes'!$F15,'Input|Rate of change'!$C$14:$C$22,0),MATCH('Calc|Opex forecast'!$F65,'Input|Rate of change'!$C$14:$P$14,0))*IF('Input|Step changes'!$E15="$millions",1000000,IF('Input|Step changes'!$E15="$000",1000,1))/IF($E65="$millions",1000000,IF($E65="$000",1000,1))</f>
        <v>0</v>
      </c>
    </row>
    <row r="66" spans="1:24" outlineLevel="1">
      <c r="C66" s="69">
        <f>'Input|Step changes'!C16</f>
        <v>0</v>
      </c>
      <c r="D66" s="13" t="s">
        <v>30</v>
      </c>
      <c r="E66" s="13" t="str">
        <f t="shared" si="6"/>
        <v>$millions</v>
      </c>
      <c r="F66" s="91">
        <f t="shared" si="7"/>
        <v>45444</v>
      </c>
      <c r="J66" s="73">
        <f>'Input|Step changes'!J16*INDEX('Input|Rate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K66" s="73">
        <f>'Input|Step changes'!K16*INDEX('Input|Rate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L66" s="73">
        <f>'Input|Step changes'!L16*INDEX('Input|Rate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M66" s="73">
        <f>'Input|Step changes'!M16*INDEX('Input|Rate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N66" s="73">
        <f>'Input|Step changes'!N16*INDEX('Input|Rate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O66" s="73">
        <f>'Input|Step changes'!O16*INDEX('Input|Rate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P66" s="73">
        <f>'Input|Step changes'!P16*INDEX('Input|Rate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Q66" s="73">
        <f>'Input|Step changes'!Q16*INDEX('Input|Rate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R66" s="73">
        <f>'Input|Step changes'!R16*INDEX('Input|Rate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S66" s="73">
        <f>'Input|Step changes'!S16*INDEX('Input|Rate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  <c r="T66" s="73">
        <f>'Input|Step changes'!T16*INDEX('Input|Rate of change'!$C$14:$P$22,MATCH('Input|Step changes'!$F16,'Input|Rate of change'!$C$14:$C$22,0),MATCH('Calc|Opex forecast'!$F66,'Input|Rate of change'!$C$14:$P$14,0))*IF('Input|Step changes'!$E16="$millions",1000000,IF('Input|Step changes'!$E16="$000",1000,1))/IF($E66="$millions",1000000,IF($E66="$000",1000,1))</f>
        <v>0</v>
      </c>
    </row>
    <row r="67" spans="1:24" outlineLevel="1">
      <c r="C67" s="69">
        <f>'Input|Step changes'!C17</f>
        <v>0</v>
      </c>
      <c r="D67" s="13" t="s">
        <v>30</v>
      </c>
      <c r="E67" s="13" t="str">
        <f t="shared" si="6"/>
        <v>$millions</v>
      </c>
      <c r="F67" s="91">
        <f t="shared" si="7"/>
        <v>45444</v>
      </c>
      <c r="J67" s="73">
        <f>'Input|Step changes'!J17*INDEX('Input|Rate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K67" s="73">
        <f>'Input|Step changes'!K17*INDEX('Input|Rate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L67" s="73">
        <f>'Input|Step changes'!L17*INDEX('Input|Rate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M67" s="73">
        <f>'Input|Step changes'!M17*INDEX('Input|Rate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N67" s="73">
        <f>'Input|Step changes'!N17*INDEX('Input|Rate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O67" s="73">
        <f>'Input|Step changes'!O17*INDEX('Input|Rate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P67" s="73">
        <f>'Input|Step changes'!P17*INDEX('Input|Rate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Q67" s="73">
        <f>'Input|Step changes'!Q17*INDEX('Input|Rate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R67" s="73">
        <f>'Input|Step changes'!R17*INDEX('Input|Rate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S67" s="73">
        <f>'Input|Step changes'!S17*INDEX('Input|Rate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  <c r="T67" s="73">
        <f>'Input|Step changes'!T17*INDEX('Input|Rate of change'!$C$14:$P$22,MATCH('Input|Step changes'!$F17,'Input|Rate of change'!$C$14:$C$22,0),MATCH('Calc|Opex forecast'!$F67,'Input|Rate of change'!$C$14:$P$14,0))*IF('Input|Step changes'!$E17="$millions",1000000,IF('Input|Step changes'!$E17="$000",1000,1))/IF($E67="$millions",1000000,IF($E67="$000",1000,1))</f>
        <v>0</v>
      </c>
    </row>
    <row r="68" spans="1:24" outlineLevel="1">
      <c r="C68" s="69">
        <f>'Input|Step changes'!C18</f>
        <v>0</v>
      </c>
      <c r="D68" s="13" t="s">
        <v>30</v>
      </c>
      <c r="E68" s="13" t="str">
        <f t="shared" si="6"/>
        <v>$millions</v>
      </c>
      <c r="F68" s="91">
        <f t="shared" si="7"/>
        <v>45444</v>
      </c>
      <c r="J68" s="73">
        <f>'Input|Step changes'!J18*INDEX('Input|Rate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K68" s="73">
        <f>'Input|Step changes'!K18*INDEX('Input|Rate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L68" s="73">
        <f>'Input|Step changes'!L18*INDEX('Input|Rate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M68" s="73">
        <f>'Input|Step changes'!M18*INDEX('Input|Rate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N68" s="73">
        <f>'Input|Step changes'!N18*INDEX('Input|Rate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O68" s="73">
        <f>'Input|Step changes'!O18*INDEX('Input|Rate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P68" s="73">
        <f>'Input|Step changes'!P18*INDEX('Input|Rate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Q68" s="73">
        <f>'Input|Step changes'!Q18*INDEX('Input|Rate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R68" s="73">
        <f>'Input|Step changes'!R18*INDEX('Input|Rate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S68" s="73">
        <f>'Input|Step changes'!S18*INDEX('Input|Rate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  <c r="T68" s="73">
        <f>'Input|Step changes'!T18*INDEX('Input|Rate of change'!$C$14:$P$22,MATCH('Input|Step changes'!$F18,'Input|Rate of change'!$C$14:$C$22,0),MATCH('Calc|Opex forecast'!$F68,'Input|Rate of change'!$C$14:$P$14,0))*IF('Input|Step changes'!$E18="$millions",1000000,IF('Input|Step changes'!$E18="$000",1000,1))/IF($E68="$millions",1000000,IF($E68="$000",1000,1))</f>
        <v>0</v>
      </c>
    </row>
    <row r="69" spans="1:24" outlineLevel="1">
      <c r="C69" s="69">
        <f>'Input|Step changes'!C19</f>
        <v>0</v>
      </c>
      <c r="D69" s="13" t="s">
        <v>30</v>
      </c>
      <c r="E69" s="13" t="str">
        <f t="shared" si="6"/>
        <v>$millions</v>
      </c>
      <c r="F69" s="91">
        <f t="shared" si="7"/>
        <v>45444</v>
      </c>
      <c r="J69" s="73">
        <f>'Input|Step changes'!J19*INDEX('Input|Rate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K69" s="73">
        <f>'Input|Step changes'!K19*INDEX('Input|Rate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L69" s="73">
        <f>'Input|Step changes'!L19*INDEX('Input|Rate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M69" s="73">
        <f>'Input|Step changes'!M19*INDEX('Input|Rate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N69" s="73">
        <f>'Input|Step changes'!N19*INDEX('Input|Rate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O69" s="73">
        <f>'Input|Step changes'!O19*INDEX('Input|Rate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P69" s="73">
        <f>'Input|Step changes'!P19*INDEX('Input|Rate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Q69" s="73">
        <f>'Input|Step changes'!Q19*INDEX('Input|Rate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R69" s="73">
        <f>'Input|Step changes'!R19*INDEX('Input|Rate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S69" s="73">
        <f>'Input|Step changes'!S19*INDEX('Input|Rate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  <c r="T69" s="73">
        <f>'Input|Step changes'!T19*INDEX('Input|Rate of change'!$C$14:$P$22,MATCH('Input|Step changes'!$F19,'Input|Rate of change'!$C$14:$C$22,0),MATCH('Calc|Opex forecast'!$F69,'Input|Rate of change'!$C$14:$P$14,0))*IF('Input|Step changes'!$E19="$millions",1000000,IF('Input|Step changes'!$E19="$000",1000,1))/IF($E69="$millions",1000000,IF($E69="$000",1000,1))</f>
        <v>0</v>
      </c>
    </row>
    <row r="70" spans="1:24" outlineLevel="1">
      <c r="C70" s="69" t="str">
        <f>'Input|Step changes'!C20</f>
        <v>Transition costs</v>
      </c>
      <c r="D70" s="13" t="s">
        <v>30</v>
      </c>
      <c r="E70" s="13" t="str">
        <f t="shared" si="6"/>
        <v>$millions</v>
      </c>
      <c r="F70" s="91">
        <f t="shared" si="7"/>
        <v>45444</v>
      </c>
      <c r="J70" s="73">
        <f>'Input|Step changes'!J20*INDEX('Input|Rate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K70" s="73">
        <f>'Input|Step changes'!K20*INDEX('Input|Rate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L70" s="73">
        <f>'Input|Step changes'!L20*INDEX('Input|Rate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M70" s="73">
        <f>'Input|Step changes'!M20*INDEX('Input|Rate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N70" s="73">
        <f>'Input|Step changes'!N20*INDEX('Input|Rate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O70" s="73">
        <f ca="1">'Input|Step changes'!O20*INDEX('Input|Rate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8.2660120518344797</v>
      </c>
      <c r="P70" s="73">
        <f ca="1">'Input|Step changes'!P20*INDEX('Input|Rate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6.261758802717563</v>
      </c>
      <c r="Q70" s="73">
        <f ca="1">'Input|Step changes'!Q20*INDEX('Input|Rate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4.2108397538130315</v>
      </c>
      <c r="R70" s="73">
        <f ca="1">'Input|Step changes'!R20*INDEX('Input|Rate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2.1284765334010349</v>
      </c>
      <c r="S70" s="73">
        <f ca="1">'Input|Step changes'!S20*INDEX('Input|Rate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  <c r="T70" s="73">
        <f>'Input|Step changes'!T20*INDEX('Input|Rate of change'!$C$14:$P$22,MATCH('Input|Step changes'!$F20,'Input|Rate of change'!$C$14:$C$22,0),MATCH('Calc|Opex forecast'!$F70,'Input|Rate of change'!$C$14:$P$14,0))*IF('Input|Step changes'!$E20="$millions",1000000,IF('Input|Step changes'!$E20="$000",1000,1))/IF($E70="$millions",1000000,IF($E70="$000",1000,1))</f>
        <v>0</v>
      </c>
    </row>
    <row r="71" spans="1:24" outlineLevel="1">
      <c r="C71" s="69"/>
      <c r="F71" s="61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1:24" outlineLevel="1">
      <c r="C72" s="62" t="s">
        <v>48</v>
      </c>
      <c r="D72" s="70" t="s">
        <v>30</v>
      </c>
      <c r="E72" s="70" t="str">
        <f>$E$8</f>
        <v>$millions</v>
      </c>
      <c r="F72" s="95">
        <f t="shared" si="7"/>
        <v>45444</v>
      </c>
      <c r="G72" s="18"/>
      <c r="H72" s="18"/>
      <c r="I72" s="18"/>
      <c r="J72" s="74">
        <f>SUM(J61:J71)</f>
        <v>0</v>
      </c>
      <c r="K72" s="74">
        <f t="shared" ref="K72:S72" si="8">SUM(K61:K71)</f>
        <v>0</v>
      </c>
      <c r="L72" s="74">
        <f t="shared" si="8"/>
        <v>0</v>
      </c>
      <c r="M72" s="74">
        <f t="shared" si="8"/>
        <v>0</v>
      </c>
      <c r="N72" s="74">
        <f t="shared" si="8"/>
        <v>0</v>
      </c>
      <c r="O72" s="74">
        <f t="shared" ca="1" si="8"/>
        <v>13.798542179441338</v>
      </c>
      <c r="P72" s="74">
        <f t="shared" ca="1" si="8"/>
        <v>11.998227013047316</v>
      </c>
      <c r="Q72" s="74">
        <f t="shared" ca="1" si="8"/>
        <v>10.076183160459562</v>
      </c>
      <c r="R72" s="74">
        <f t="shared" ca="1" si="8"/>
        <v>8.2911740410546582</v>
      </c>
      <c r="S72" s="74">
        <f t="shared" ca="1" si="8"/>
        <v>6.1371715544305312</v>
      </c>
      <c r="T72" s="74">
        <f t="shared" ref="T72" si="9">SUM(T61:T71)</f>
        <v>0</v>
      </c>
    </row>
    <row r="73" spans="1:24">
      <c r="C73" s="71"/>
      <c r="J73" s="58"/>
      <c r="K73" s="58"/>
      <c r="L73" s="58"/>
      <c r="M73" s="58"/>
      <c r="N73" s="20"/>
      <c r="O73" s="20"/>
      <c r="P73" s="20"/>
      <c r="Q73" s="20"/>
      <c r="R73" s="20"/>
      <c r="S73" s="20"/>
      <c r="T73" s="20"/>
    </row>
    <row r="74" spans="1:24" customFormat="1" ht="12.75">
      <c r="A74" s="30"/>
      <c r="B74" s="35" t="s">
        <v>112</v>
      </c>
      <c r="C74" s="30"/>
      <c r="D74" s="30"/>
      <c r="E74" s="30"/>
      <c r="F74" s="31"/>
      <c r="G74" s="31"/>
      <c r="H74" s="31"/>
      <c r="I74" s="31"/>
      <c r="J74" s="32"/>
      <c r="K74" s="33"/>
      <c r="L74" s="32"/>
      <c r="M74" s="33"/>
      <c r="N74" s="32"/>
      <c r="O74" s="32"/>
      <c r="P74" s="32"/>
      <c r="Q74" s="32"/>
      <c r="R74" s="32"/>
      <c r="S74" s="32"/>
      <c r="T74" s="32"/>
      <c r="U74" s="32"/>
      <c r="V74" s="32"/>
      <c r="W74" s="33"/>
      <c r="X74" s="33"/>
    </row>
    <row r="75" spans="1:24" outlineLevel="1">
      <c r="C75" s="12"/>
      <c r="J75" s="58"/>
      <c r="K75" s="58"/>
      <c r="L75" s="58"/>
    </row>
    <row r="76" spans="1:24" outlineLevel="1">
      <c r="C76" s="6" t="s">
        <v>103</v>
      </c>
      <c r="D76" s="18" t="s">
        <v>7</v>
      </c>
      <c r="E76" s="18" t="s">
        <v>8</v>
      </c>
      <c r="F76" s="18" t="s">
        <v>22</v>
      </c>
      <c r="J76" s="92" t="str">
        <f>IF(YEAR(J$4)&gt;='Input|General'!$G$13,IF(YEAR(J$4)&lt;='Input|General'!$G$14,J$4,""),"")</f>
        <v/>
      </c>
      <c r="K76" s="92" t="str">
        <f>IF(YEAR(K$4)&gt;='Input|General'!$G$13,IF(YEAR(K$4)&lt;='Input|General'!$G$14,K$4,""),"")</f>
        <v/>
      </c>
      <c r="L76" s="92" t="str">
        <f>IF(YEAR(L$4)&gt;='Input|General'!$G$13,IF(YEAR(L$4)&lt;='Input|General'!$G$14,L$4,""),"")</f>
        <v/>
      </c>
      <c r="M76" s="92" t="str">
        <f>IF(YEAR(M$4)&gt;='Input|General'!$G$13,IF(YEAR(M$4)&lt;='Input|General'!$G$14,M$4,""),"")</f>
        <v/>
      </c>
      <c r="N76" s="92" t="str">
        <f>IF(YEAR(N$4)&gt;='Input|General'!$G$13,IF(YEAR(N$4)&lt;='Input|General'!$G$14,N$4,""),"")</f>
        <v/>
      </c>
      <c r="O76" s="92">
        <f>IF(YEAR(O$4)&gt;='Input|General'!$G$13,IF(YEAR(O$4)&lt;='Input|General'!$G$14,O$4,""),"")</f>
        <v>45809</v>
      </c>
      <c r="P76" s="92">
        <f>IF(YEAR(P$4)&gt;='Input|General'!$G$13,IF(YEAR(P$4)&lt;='Input|General'!$G$14,P$4,""),"")</f>
        <v>46174</v>
      </c>
      <c r="Q76" s="92">
        <f>IF(YEAR(Q$4)&gt;='Input|General'!$G$13,IF(YEAR(Q$4)&lt;='Input|General'!$G$14,Q$4,""),"")</f>
        <v>46539</v>
      </c>
      <c r="R76" s="92">
        <f>IF(YEAR(R$4)&gt;='Input|General'!$G$13,IF(YEAR(R$4)&lt;='Input|General'!$G$14,R$4,""),"")</f>
        <v>46905</v>
      </c>
      <c r="S76" s="92">
        <f>IF(YEAR(S$4)&gt;='Input|General'!$G$13,IF(YEAR(S$4)&lt;='Input|General'!$G$14,S$4,""),"")</f>
        <v>47270</v>
      </c>
      <c r="T76" s="92" t="str">
        <f>IF(YEAR(T$4)&gt;='Input|General'!$G$13,IF(YEAR(T$4)&lt;='Input|General'!$G$14,T$4,""),"")</f>
        <v/>
      </c>
    </row>
    <row r="77" spans="1:24" outlineLevel="1">
      <c r="C77" s="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4" outlineLevel="1">
      <c r="C78" s="69">
        <f>'Input|Step changes'!C28</f>
        <v>0</v>
      </c>
      <c r="D78" s="13" t="s">
        <v>30</v>
      </c>
      <c r="E78" s="13" t="str">
        <f t="shared" si="6"/>
        <v>$millions</v>
      </c>
      <c r="F78" s="91">
        <f t="shared" ref="F78:F82" si="10">$F$8</f>
        <v>45444</v>
      </c>
      <c r="J78" s="73">
        <f>'Input|Step changes'!J28*INDEX('Input|Rate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K78" s="73">
        <f>'Input|Step changes'!K28*INDEX('Input|Rate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L78" s="73">
        <f>'Input|Step changes'!L28*INDEX('Input|Rate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M78" s="73">
        <f>'Input|Step changes'!M28*INDEX('Input|Rate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N78" s="73">
        <f>'Input|Step changes'!N28*INDEX('Input|Rate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O78" s="73">
        <f>'Input|Step changes'!O28*INDEX('Input|Rate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P78" s="73">
        <f>'Input|Step changes'!P28*INDEX('Input|Rate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Q78" s="73">
        <f>'Input|Step changes'!Q28*INDEX('Input|Rate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R78" s="73">
        <f>'Input|Step changes'!R28*INDEX('Input|Rate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S78" s="73">
        <f>'Input|Step changes'!S28*INDEX('Input|Rate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  <c r="T78" s="73">
        <f>'Input|Step changes'!T28*INDEX('Input|Rate of change'!$C$14:$P$22,MATCH('Input|Step changes'!$F28,'Input|Rate of change'!$C$14:$C$22,0),MATCH('Calc|Opex forecast'!$F78,'Input|Rate of change'!$C$14:$P$14,0))*IF('Input|Step changes'!$E28="$millions",1000000,IF('Input|Step changes'!$E28="$000",1000,1))/IF($E78="$millions",1000000,IF($E78="$000",1000,1))</f>
        <v>0</v>
      </c>
    </row>
    <row r="79" spans="1:24" outlineLevel="1">
      <c r="C79" s="69">
        <f>'Input|Step changes'!C29</f>
        <v>0</v>
      </c>
      <c r="D79" s="13" t="s">
        <v>30</v>
      </c>
      <c r="E79" s="13" t="str">
        <f t="shared" si="6"/>
        <v>$millions</v>
      </c>
      <c r="F79" s="91">
        <f t="shared" si="10"/>
        <v>45444</v>
      </c>
      <c r="J79" s="73">
        <f>'Input|Step changes'!J29*INDEX('Input|Rate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K79" s="73">
        <f>'Input|Step changes'!K29*INDEX('Input|Rate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L79" s="73">
        <f>'Input|Step changes'!L29*INDEX('Input|Rate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M79" s="73">
        <f>'Input|Step changes'!M29*INDEX('Input|Rate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N79" s="73">
        <f>'Input|Step changes'!N29*INDEX('Input|Rate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O79" s="73">
        <f>'Input|Step changes'!O29*INDEX('Input|Rate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P79" s="73">
        <f>'Input|Step changes'!P29*INDEX('Input|Rate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Q79" s="73">
        <f>'Input|Step changes'!Q29*INDEX('Input|Rate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R79" s="73">
        <f>'Input|Step changes'!R29*INDEX('Input|Rate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S79" s="73">
        <f>'Input|Step changes'!S29*INDEX('Input|Rate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  <c r="T79" s="73">
        <f>'Input|Step changes'!T29*INDEX('Input|Rate of change'!$C$14:$P$22,MATCH('Input|Step changes'!$F29,'Input|Rate of change'!$C$14:$C$22,0),MATCH('Calc|Opex forecast'!$F79,'Input|Rate of change'!$C$14:$P$14,0))*IF('Input|Step changes'!$E29="$millions",1000000,IF('Input|Step changes'!$E29="$000",1000,1))/IF($E79="$millions",1000000,IF($E79="$000",1000,1))</f>
        <v>0</v>
      </c>
    </row>
    <row r="80" spans="1:24" outlineLevel="1">
      <c r="C80" s="69">
        <f>'Input|Step changes'!C30</f>
        <v>0</v>
      </c>
      <c r="D80" s="13" t="s">
        <v>30</v>
      </c>
      <c r="E80" s="13" t="str">
        <f t="shared" si="6"/>
        <v>$millions</v>
      </c>
      <c r="F80" s="91">
        <f t="shared" si="10"/>
        <v>45444</v>
      </c>
      <c r="J80" s="73">
        <f>'Input|Step changes'!J30*INDEX('Input|Rate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K80" s="73">
        <f>'Input|Step changes'!K30*INDEX('Input|Rate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L80" s="73">
        <f>'Input|Step changes'!L30*INDEX('Input|Rate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M80" s="73">
        <f>'Input|Step changes'!M30*INDEX('Input|Rate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N80" s="73">
        <f>'Input|Step changes'!N30*INDEX('Input|Rate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O80" s="73">
        <f>'Input|Step changes'!O30*INDEX('Input|Rate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P80" s="73">
        <f>'Input|Step changes'!P30*INDEX('Input|Rate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Q80" s="73">
        <f>'Input|Step changes'!Q30*INDEX('Input|Rate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R80" s="73">
        <f>'Input|Step changes'!R30*INDEX('Input|Rate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S80" s="73">
        <f>'Input|Step changes'!S30*INDEX('Input|Rate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  <c r="T80" s="73">
        <f>'Input|Step changes'!T30*INDEX('Input|Rate of change'!$C$14:$P$22,MATCH('Input|Step changes'!$F30,'Input|Rate of change'!$C$14:$C$22,0),MATCH('Calc|Opex forecast'!$F80,'Input|Rate of change'!$C$14:$P$14,0))*IF('Input|Step changes'!$E30="$millions",1000000,IF('Input|Step changes'!$E30="$000",1000,1))/IF($E80="$millions",1000000,IF($E80="$000",1000,1))</f>
        <v>0</v>
      </c>
    </row>
    <row r="81" spans="1:24" outlineLevel="1">
      <c r="C81" s="69">
        <f>'Input|Step changes'!C31</f>
        <v>0</v>
      </c>
      <c r="D81" s="13" t="s">
        <v>30</v>
      </c>
      <c r="E81" s="13" t="str">
        <f t="shared" si="6"/>
        <v>$millions</v>
      </c>
      <c r="F81" s="91">
        <f t="shared" si="10"/>
        <v>45444</v>
      </c>
      <c r="J81" s="73">
        <f>'Input|Step changes'!J31*INDEX('Input|Rate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K81" s="73">
        <f>'Input|Step changes'!K31*INDEX('Input|Rate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L81" s="73">
        <f>'Input|Step changes'!L31*INDEX('Input|Rate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M81" s="73">
        <f>'Input|Step changes'!M31*INDEX('Input|Rate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N81" s="73">
        <f>'Input|Step changes'!N31*INDEX('Input|Rate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O81" s="73">
        <f>'Input|Step changes'!O31*INDEX('Input|Rate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P81" s="73">
        <f>'Input|Step changes'!P31*INDEX('Input|Rate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Q81" s="73">
        <f>'Input|Step changes'!Q31*INDEX('Input|Rate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R81" s="73">
        <f>'Input|Step changes'!R31*INDEX('Input|Rate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S81" s="73">
        <f>'Input|Step changes'!S31*INDEX('Input|Rate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  <c r="T81" s="73">
        <f>'Input|Step changes'!T31*INDEX('Input|Rate of change'!$C$14:$P$22,MATCH('Input|Step changes'!$F31,'Input|Rate of change'!$C$14:$C$22,0),MATCH('Calc|Opex forecast'!$F81,'Input|Rate of change'!$C$14:$P$14,0))*IF('Input|Step changes'!$E31="$millions",1000000,IF('Input|Step changes'!$E31="$000",1000,1))/IF($E81="$millions",1000000,IF($E81="$000",1000,1))</f>
        <v>0</v>
      </c>
    </row>
    <row r="82" spans="1:24" outlineLevel="1">
      <c r="C82" s="69">
        <f>'Input|Step changes'!C32</f>
        <v>0</v>
      </c>
      <c r="D82" s="13" t="s">
        <v>30</v>
      </c>
      <c r="E82" s="13" t="str">
        <f t="shared" si="6"/>
        <v>$millions</v>
      </c>
      <c r="F82" s="91">
        <f t="shared" si="10"/>
        <v>45444</v>
      </c>
      <c r="J82" s="73">
        <f>'Input|Step changes'!J32*INDEX('Input|Rate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K82" s="73">
        <f>'Input|Step changes'!K32*INDEX('Input|Rate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L82" s="73">
        <f>'Input|Step changes'!L32*INDEX('Input|Rate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M82" s="73">
        <f>'Input|Step changes'!M32*INDEX('Input|Rate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N82" s="73">
        <f>'Input|Step changes'!N32*INDEX('Input|Rate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O82" s="73">
        <f>'Input|Step changes'!O32*INDEX('Input|Rate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P82" s="73">
        <f>'Input|Step changes'!P32*INDEX('Input|Rate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Q82" s="73">
        <f>'Input|Step changes'!Q32*INDEX('Input|Rate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R82" s="73">
        <f>'Input|Step changes'!R32*INDEX('Input|Rate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S82" s="73">
        <f>'Input|Step changes'!S32*INDEX('Input|Rate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T82" s="73">
        <f>'Input|Step changes'!T32*INDEX('Input|Rate of change'!$C$14:$P$22,MATCH('Input|Step changes'!$F32,'Input|Rate of change'!$C$14:$C$22,0),MATCH('Calc|Opex forecast'!$F82,'Input|Rate of change'!$C$14:$P$14,0))*IF('Input|Step changes'!$E32="$millions",1000000,IF('Input|Step changes'!$E32="$000",1000,1))/IF($E82="$millions",1000000,IF($E82="$000",1000,1))</f>
        <v>0</v>
      </c>
      <c r="U82" s="58"/>
      <c r="V82" s="58"/>
      <c r="W82" s="58"/>
      <c r="X82" s="58"/>
    </row>
    <row r="83" spans="1:24" outlineLevel="1">
      <c r="C83" s="69"/>
      <c r="F83" s="61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58"/>
      <c r="V83" s="58"/>
      <c r="W83" s="58"/>
      <c r="X83" s="58"/>
    </row>
    <row r="84" spans="1:24" outlineLevel="1">
      <c r="C84" s="62" t="s">
        <v>113</v>
      </c>
      <c r="D84" s="70" t="s">
        <v>30</v>
      </c>
      <c r="E84" s="70" t="str">
        <f>$E$8</f>
        <v>$millions</v>
      </c>
      <c r="F84" s="95">
        <f t="shared" ref="F84" si="11">$F$8</f>
        <v>45444</v>
      </c>
      <c r="G84" s="18"/>
      <c r="H84" s="18"/>
      <c r="I84" s="18"/>
      <c r="J84" s="74">
        <f t="shared" ref="J84:T84" si="12">SUM(J77:J82)</f>
        <v>0</v>
      </c>
      <c r="K84" s="74">
        <f t="shared" si="12"/>
        <v>0</v>
      </c>
      <c r="L84" s="74">
        <f t="shared" si="12"/>
        <v>0</v>
      </c>
      <c r="M84" s="74">
        <f t="shared" si="12"/>
        <v>0</v>
      </c>
      <c r="N84" s="74">
        <f t="shared" si="12"/>
        <v>0</v>
      </c>
      <c r="O84" s="74">
        <f t="shared" si="12"/>
        <v>0</v>
      </c>
      <c r="P84" s="74">
        <f t="shared" si="12"/>
        <v>0</v>
      </c>
      <c r="Q84" s="74">
        <f t="shared" si="12"/>
        <v>0</v>
      </c>
      <c r="R84" s="74">
        <f t="shared" si="12"/>
        <v>0</v>
      </c>
      <c r="S84" s="74">
        <f t="shared" si="12"/>
        <v>0</v>
      </c>
      <c r="T84" s="74">
        <f t="shared" si="12"/>
        <v>0</v>
      </c>
    </row>
    <row r="85" spans="1:24">
      <c r="C85" s="71"/>
      <c r="J85" s="58"/>
      <c r="K85" s="58"/>
      <c r="L85" s="58"/>
      <c r="M85" s="58"/>
      <c r="N85" s="20"/>
      <c r="O85" s="20"/>
      <c r="P85" s="20"/>
      <c r="Q85" s="20"/>
      <c r="R85" s="20"/>
      <c r="S85" s="20"/>
      <c r="T85" s="20"/>
    </row>
    <row r="86" spans="1:24" customFormat="1" ht="12.75">
      <c r="A86" s="30"/>
      <c r="B86" s="35" t="s">
        <v>88</v>
      </c>
      <c r="C86" s="30"/>
      <c r="D86" s="30"/>
      <c r="E86" s="30"/>
      <c r="F86" s="31"/>
      <c r="G86" s="31"/>
      <c r="H86" s="31"/>
      <c r="I86" s="31"/>
      <c r="J86" s="32"/>
      <c r="K86" s="33"/>
      <c r="L86" s="32"/>
      <c r="M86" s="33"/>
      <c r="N86" s="32"/>
      <c r="O86" s="32"/>
      <c r="P86" s="32"/>
      <c r="Q86" s="32"/>
      <c r="R86" s="32"/>
      <c r="S86" s="32"/>
      <c r="T86" s="32"/>
      <c r="U86" s="32"/>
      <c r="V86" s="32"/>
      <c r="W86" s="33"/>
      <c r="X86" s="33"/>
    </row>
    <row r="87" spans="1:24" outlineLevel="1">
      <c r="C87" s="12"/>
      <c r="J87" s="58"/>
      <c r="K87" s="58"/>
      <c r="L87" s="58"/>
    </row>
    <row r="88" spans="1:24" outlineLevel="1">
      <c r="C88" s="6"/>
      <c r="J88" s="92" t="str">
        <f>IF(YEAR(J$4)&gt;='Input|General'!$G$13,IF(YEAR(J$4)&lt;='Input|General'!$G$14,J$4,""),"")</f>
        <v/>
      </c>
      <c r="K88" s="92" t="str">
        <f>IF(YEAR(K$4)&gt;='Input|General'!$G$13,IF(YEAR(K$4)&lt;='Input|General'!$G$14,K$4,""),"")</f>
        <v/>
      </c>
      <c r="L88" s="92" t="str">
        <f>IF(YEAR(L$4)&gt;='Input|General'!$G$13,IF(YEAR(L$4)&lt;='Input|General'!$G$14,L$4,""),"")</f>
        <v/>
      </c>
      <c r="M88" s="92" t="str">
        <f>IF(YEAR(M$4)&gt;='Input|General'!$G$13,IF(YEAR(M$4)&lt;='Input|General'!$G$14,M$4,""),"")</f>
        <v/>
      </c>
      <c r="N88" s="92" t="str">
        <f>IF(YEAR(N$4)&gt;='Input|General'!$G$13,IF(YEAR(N$4)&lt;='Input|General'!$G$14,N$4,""),"")</f>
        <v/>
      </c>
      <c r="O88" s="92">
        <f>IF(YEAR(O$4)&gt;='Input|General'!$G$13,IF(YEAR(O$4)&lt;='Input|General'!$G$14,O$4,""),"")</f>
        <v>45809</v>
      </c>
      <c r="P88" s="92">
        <f>IF(YEAR(P$4)&gt;='Input|General'!$G$13,IF(YEAR(P$4)&lt;='Input|General'!$G$14,P$4,""),"")</f>
        <v>46174</v>
      </c>
      <c r="Q88" s="92">
        <f>IF(YEAR(Q$4)&gt;='Input|General'!$G$13,IF(YEAR(Q$4)&lt;='Input|General'!$G$14,Q$4,""),"")</f>
        <v>46539</v>
      </c>
      <c r="R88" s="92">
        <f>IF(YEAR(R$4)&gt;='Input|General'!$G$13,IF(YEAR(R$4)&lt;='Input|General'!$G$14,R$4,""),"")</f>
        <v>46905</v>
      </c>
      <c r="S88" s="92">
        <f>IF(YEAR(S$4)&gt;='Input|General'!$G$13,IF(YEAR(S$4)&lt;='Input|General'!$G$14,S$4,""),"")</f>
        <v>47270</v>
      </c>
      <c r="T88" s="92" t="str">
        <f>IF(YEAR(T$4)&gt;='Input|General'!$G$13,IF(YEAR(T$4)&lt;='Input|General'!$G$14,T$4,""),"")</f>
        <v/>
      </c>
    </row>
    <row r="89" spans="1:24" outlineLevel="1">
      <c r="C89" s="6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</row>
    <row r="90" spans="1:24" outlineLevel="1">
      <c r="C90" s="71" t="s">
        <v>129</v>
      </c>
      <c r="D90" s="18" t="s">
        <v>30</v>
      </c>
      <c r="E90" s="18" t="str">
        <f>$E$8</f>
        <v>$millions</v>
      </c>
      <c r="F90" s="95">
        <f t="shared" ref="F90:F96" si="13">$F$8</f>
        <v>45444</v>
      </c>
      <c r="J90" s="83" t="str">
        <f t="shared" ref="J90:T90" si="14">IF(YEAR(J$4)&gt;=FPFirstYear,IF(YEAR(J$4)&lt;=FPLastYear,IF(ISBLANK(J88),"",(1+J56)*SUM($J39:$S39)+J72),""),"")</f>
        <v/>
      </c>
      <c r="K90" s="83" t="str">
        <f t="shared" si="14"/>
        <v/>
      </c>
      <c r="L90" s="83" t="str">
        <f t="shared" si="14"/>
        <v/>
      </c>
      <c r="M90" s="83" t="str">
        <f t="shared" si="14"/>
        <v/>
      </c>
      <c r="N90" s="83" t="str">
        <f t="shared" si="14"/>
        <v/>
      </c>
      <c r="O90" s="83">
        <f t="shared" ca="1" si="14"/>
        <v>69.317026526728299</v>
      </c>
      <c r="P90" s="83">
        <f t="shared" ca="1" si="14"/>
        <v>68.074176881845091</v>
      </c>
      <c r="Q90" s="83">
        <f t="shared" ca="1" si="14"/>
        <v>66.640204479329938</v>
      </c>
      <c r="R90" s="83">
        <f t="shared" ca="1" si="14"/>
        <v>65.47463342251902</v>
      </c>
      <c r="S90" s="83">
        <f t="shared" ca="1" si="14"/>
        <v>64.044771451566817</v>
      </c>
      <c r="T90" s="83" t="str">
        <f t="shared" si="14"/>
        <v/>
      </c>
    </row>
    <row r="91" spans="1:24" outlineLevel="1">
      <c r="C91" s="12" t="s">
        <v>218</v>
      </c>
      <c r="D91" s="18"/>
      <c r="E91" s="18"/>
      <c r="F91" s="95"/>
      <c r="J91" s="83"/>
      <c r="K91" s="83"/>
      <c r="L91" s="83"/>
      <c r="M91" s="83"/>
      <c r="N91" s="83"/>
      <c r="O91" s="200">
        <f ca="1">IF(YEAR(O$4)&gt;=FPFirstYear,IF(YEAR(O$4)&lt;=FPLastYear,IF(ISBLANK(O88),"",O$90*'Input|Dx Tx split'!O10),""),"")</f>
        <v>10.933452843803598</v>
      </c>
      <c r="P91" s="200">
        <f ca="1">IF(YEAR(P$4)&gt;=FPFirstYear,IF(YEAR(P$4)&lt;=FPLastYear,IF(ISBLANK(P88),"",P$90*'Input|Dx Tx split'!P10),""),"")</f>
        <v>10.737416766303522</v>
      </c>
      <c r="Q91" s="200">
        <f ca="1">IF(YEAR(Q$4)&gt;=FPFirstYear,IF(YEAR(Q$4)&lt;=FPLastYear,IF(ISBLANK(Q88),"",Q$90*'Input|Dx Tx split'!Q10),""),"")</f>
        <v>10.511234680489876</v>
      </c>
      <c r="R91" s="200">
        <f ca="1">IF(YEAR(R$4)&gt;=FPFirstYear,IF(YEAR(R$4)&lt;=FPLastYear,IF(ISBLANK(R88),"",R$90*'Input|Dx Tx split'!R10),""),"")</f>
        <v>10.327387841923732</v>
      </c>
      <c r="S91" s="200">
        <f ca="1">IF(YEAR(S$4)&gt;=FPFirstYear,IF(YEAR(S$4)&lt;=FPLastYear,IF(ISBLANK(S88),"",S$90*'Input|Dx Tx split'!S10),""),"")</f>
        <v>10.101854099120644</v>
      </c>
      <c r="T91" s="83"/>
    </row>
    <row r="92" spans="1:24" outlineLevel="1">
      <c r="C92" s="12" t="s">
        <v>219</v>
      </c>
      <c r="D92" s="18"/>
      <c r="E92" s="18"/>
      <c r="F92" s="95"/>
      <c r="J92" s="83"/>
      <c r="K92" s="83"/>
      <c r="L92" s="83"/>
      <c r="M92" s="83"/>
      <c r="N92" s="83"/>
      <c r="O92" s="200">
        <f ca="1">IF(YEAR(O$4)&gt;=FPFirstYear,IF(YEAR(O$4)&lt;=FPLastYear,IF(ISBLANK(O88),"",O$90*'Input|Dx Tx split'!O11),""),"")</f>
        <v>58.383573682924705</v>
      </c>
      <c r="P92" s="200">
        <f ca="1">IF(YEAR(P$4)&gt;=FPFirstYear,IF(YEAR(P$4)&lt;=FPLastYear,IF(ISBLANK(P88),"",P$90*'Input|Dx Tx split'!P11),""),"")</f>
        <v>57.336760115541573</v>
      </c>
      <c r="Q92" s="200">
        <f ca="1">IF(YEAR(Q$4)&gt;=FPFirstYear,IF(YEAR(Q$4)&lt;=FPLastYear,IF(ISBLANK(Q88),"",Q$90*'Input|Dx Tx split'!Q11),""),"")</f>
        <v>56.12896979884006</v>
      </c>
      <c r="R92" s="200">
        <f ca="1">IF(YEAR(R$4)&gt;=FPFirstYear,IF(YEAR(R$4)&lt;=FPLastYear,IF(ISBLANK(R88),"",R$90*'Input|Dx Tx split'!R11),""),"")</f>
        <v>55.147245580595289</v>
      </c>
      <c r="S92" s="200">
        <f ca="1">IF(YEAR(S$4)&gt;=FPFirstYear,IF(YEAR(S$4)&lt;=FPLastYear,IF(ISBLANK(S88),"",S$90*'Input|Dx Tx split'!S11),""),"")</f>
        <v>53.942917352446173</v>
      </c>
      <c r="T92" s="83"/>
    </row>
    <row r="93" spans="1:24" outlineLevel="1">
      <c r="C93" s="71" t="s">
        <v>101</v>
      </c>
      <c r="D93" s="18" t="s">
        <v>30</v>
      </c>
      <c r="E93" s="18" t="str">
        <f>$E$8</f>
        <v>$millions</v>
      </c>
      <c r="F93" s="95">
        <f t="shared" si="13"/>
        <v>45444</v>
      </c>
      <c r="J93" s="83" t="str">
        <f t="shared" ref="J93:T93" si="15">IF(YEAR(J$4)&gt;=FPFirstYear,IF(YEAR(J$4)&lt;=FPLastYear,IF(ISBLANK(J88),"",(1+J56)*SUM($J39:$S39)+J72+J84),""),"")</f>
        <v/>
      </c>
      <c r="K93" s="83" t="str">
        <f t="shared" si="15"/>
        <v/>
      </c>
      <c r="L93" s="83" t="str">
        <f t="shared" si="15"/>
        <v/>
      </c>
      <c r="M93" s="83" t="str">
        <f t="shared" si="15"/>
        <v/>
      </c>
      <c r="N93" s="83" t="str">
        <f t="shared" si="15"/>
        <v/>
      </c>
      <c r="O93" s="83">
        <f t="shared" ca="1" si="15"/>
        <v>69.317026526728299</v>
      </c>
      <c r="P93" s="83">
        <f t="shared" ca="1" si="15"/>
        <v>68.074176881845091</v>
      </c>
      <c r="Q93" s="83">
        <f t="shared" ca="1" si="15"/>
        <v>66.640204479329938</v>
      </c>
      <c r="R93" s="83">
        <f t="shared" ca="1" si="15"/>
        <v>65.47463342251902</v>
      </c>
      <c r="S93" s="83">
        <f t="shared" ca="1" si="15"/>
        <v>64.044771451566817</v>
      </c>
      <c r="T93" s="83" t="str">
        <f t="shared" si="15"/>
        <v/>
      </c>
    </row>
    <row r="94" spans="1:24" outlineLevel="1">
      <c r="C94" s="12" t="s">
        <v>220</v>
      </c>
      <c r="D94" s="18"/>
      <c r="E94" s="18"/>
      <c r="F94" s="95"/>
      <c r="J94" s="83"/>
      <c r="K94" s="83"/>
      <c r="L94" s="83"/>
      <c r="M94" s="83"/>
      <c r="N94" s="83"/>
      <c r="O94" s="200">
        <f ca="1">IF(YEAR(O$4)&gt;=FPFirstYear,IF(YEAR(O$4)&lt;=FPLastYear,IF(ISBLANK(O88),"",O$93*'Input|Dx Tx split'!O10),""),"")</f>
        <v>10.933452843803598</v>
      </c>
      <c r="P94" s="200">
        <f ca="1">IF(YEAR(P$4)&gt;=FPFirstYear,IF(YEAR(P$4)&lt;=FPLastYear,IF(ISBLANK(P88),"",P$93*'Input|Dx Tx split'!P10),""),"")</f>
        <v>10.737416766303522</v>
      </c>
      <c r="Q94" s="200">
        <f ca="1">IF(YEAR(Q$4)&gt;=FPFirstYear,IF(YEAR(Q$4)&lt;=FPLastYear,IF(ISBLANK(Q88),"",Q$93*'Input|Dx Tx split'!Q10),""),"")</f>
        <v>10.511234680489876</v>
      </c>
      <c r="R94" s="200">
        <f ca="1">IF(YEAR(R$4)&gt;=FPFirstYear,IF(YEAR(R$4)&lt;=FPLastYear,IF(ISBLANK(R88),"",R$93*'Input|Dx Tx split'!R10),""),"")</f>
        <v>10.327387841923732</v>
      </c>
      <c r="S94" s="200">
        <f ca="1">IF(YEAR(S$4)&gt;=FPFirstYear,IF(YEAR(S$4)&lt;=FPLastYear,IF(ISBLANK(S88),"",S$93*'Input|Dx Tx split'!S10),""),"")</f>
        <v>10.101854099120644</v>
      </c>
      <c r="T94" s="83"/>
    </row>
    <row r="95" spans="1:24" outlineLevel="1">
      <c r="C95" s="12" t="s">
        <v>221</v>
      </c>
      <c r="D95" s="18"/>
      <c r="E95" s="18"/>
      <c r="F95" s="95"/>
      <c r="J95" s="83"/>
      <c r="K95" s="83"/>
      <c r="L95" s="83"/>
      <c r="M95" s="83"/>
      <c r="N95" s="83"/>
      <c r="O95" s="200">
        <f ca="1">IF(YEAR(O$4)&gt;=FPFirstYear,IF(YEAR(O$4)&lt;=FPLastYear,IF(ISBLANK(O88),"",O$93*'Input|Dx Tx split'!O11),""),"")</f>
        <v>58.383573682924705</v>
      </c>
      <c r="P95" s="200">
        <f ca="1">IF(YEAR(P$4)&gt;=FPFirstYear,IF(YEAR(P$4)&lt;=FPLastYear,IF(ISBLANK(P88),"",P$93*'Input|Dx Tx split'!P11),""),"")</f>
        <v>57.336760115541573</v>
      </c>
      <c r="Q95" s="200">
        <f ca="1">IF(YEAR(Q$4)&gt;=FPFirstYear,IF(YEAR(Q$4)&lt;=FPLastYear,IF(ISBLANK(Q88),"",Q$93*'Input|Dx Tx split'!Q11),""),"")</f>
        <v>56.12896979884006</v>
      </c>
      <c r="R95" s="200">
        <f ca="1">IF(YEAR(R$4)&gt;=FPFirstYear,IF(YEAR(R$4)&lt;=FPLastYear,IF(ISBLANK(R88),"",R$93*'Input|Dx Tx split'!R11),""),"")</f>
        <v>55.147245580595289</v>
      </c>
      <c r="S95" s="200">
        <f ca="1">IF(YEAR(S$4)&gt;=FPFirstYear,IF(YEAR(S$4)&lt;=FPLastYear,IF(ISBLANK(S88),"",S$93*'Input|Dx Tx split'!S11),""),"")</f>
        <v>53.942917352446173</v>
      </c>
      <c r="T95" s="83"/>
    </row>
    <row r="96" spans="1:24" outlineLevel="1">
      <c r="C96" s="71" t="s">
        <v>102</v>
      </c>
      <c r="D96" s="18" t="s">
        <v>30</v>
      </c>
      <c r="E96" s="18" t="str">
        <f>$E$8</f>
        <v>$millions</v>
      </c>
      <c r="F96" s="95">
        <f t="shared" si="13"/>
        <v>45444</v>
      </c>
      <c r="J96" s="83" t="str">
        <f>IF(YEAR(J$4)&gt;=FPFirstYear,IF(YEAR(J$4)&lt;=FPLastYear,J93+'Input|Step changes'!J40,""),"")</f>
        <v/>
      </c>
      <c r="K96" s="83" t="str">
        <f>IF(YEAR(K$4)&gt;=FPFirstYear,IF(YEAR(K$4)&lt;=FPLastYear,K93+'Input|Step changes'!K40,""),"")</f>
        <v/>
      </c>
      <c r="L96" s="83" t="str">
        <f>IF(YEAR(L$4)&gt;=FPFirstYear,IF(YEAR(L$4)&lt;=FPLastYear,L93+'Input|Step changes'!L40,""),"")</f>
        <v/>
      </c>
      <c r="M96" s="83" t="str">
        <f>IF(YEAR(M$4)&gt;=FPFirstYear,IF(YEAR(M$4)&lt;=FPLastYear,M93+'Input|Step changes'!M40,""),"")</f>
        <v/>
      </c>
      <c r="N96" s="83" t="str">
        <f>IF(YEAR(N$4)&gt;=FPFirstYear,IF(YEAR(N$4)&lt;=FPLastYear,N93+'Input|Step changes'!N40,""),"")</f>
        <v/>
      </c>
      <c r="O96" s="83">
        <f ca="1">IF(YEAR(O$4)&gt;=FPFirstYear,IF(YEAR(O$4)&lt;=FPLastYear,O93+'Input|Step changes'!O40,""),"")</f>
        <v>69.908989505793585</v>
      </c>
      <c r="P96" s="83">
        <f ca="1">IF(YEAR(P$4)&gt;=FPFirstYear,IF(YEAR(P$4)&lt;=FPLastYear,P93+'Input|Step changes'!P40,""),"")</f>
        <v>68.66423666562045</v>
      </c>
      <c r="Q96" s="83">
        <f ca="1">IF(YEAR(Q$4)&gt;=FPFirstYear,IF(YEAR(Q$4)&lt;=FPLastYear,Q93+'Input|Step changes'!Q40,""),"")</f>
        <v>67.225961162409533</v>
      </c>
      <c r="R96" s="83">
        <f ca="1">IF(YEAR(R$4)&gt;=FPFirstYear,IF(YEAR(R$4)&lt;=FPLastYear,R93+'Input|Step changes'!R40,""),"")</f>
        <v>66.062606705650168</v>
      </c>
      <c r="S96" s="83">
        <f ca="1">IF(YEAR(S$4)&gt;=FPFirstYear,IF(YEAR(S$4)&lt;=FPLastYear,S93+'Input|Step changes'!S40,""),"")</f>
        <v>64.63096645354787</v>
      </c>
      <c r="T96" s="83" t="str">
        <f>IF(YEAR(T$4)&gt;=FPFirstYear,IF(YEAR(T$4)&lt;=FPLastYear,T93+'Input|Step changes'!T40,""),"")</f>
        <v/>
      </c>
    </row>
    <row r="97" spans="1:24" outlineLevel="1">
      <c r="C97" s="12" t="s">
        <v>222</v>
      </c>
      <c r="D97" s="18"/>
      <c r="E97" s="18"/>
      <c r="F97" s="95"/>
      <c r="J97" s="83"/>
      <c r="K97" s="83"/>
      <c r="L97" s="83"/>
      <c r="M97" s="83"/>
      <c r="N97" s="83"/>
      <c r="O97" s="200">
        <f ca="1">IF(YEAR(O$4)&gt;=FPFirstYear,IF(YEAR(O$4)&lt;=FPLastYear,IF(ISBLANK(O88),"",O$96*'Input|Dx Tx split'!O10),""),"")</f>
        <v>11.026823832739371</v>
      </c>
      <c r="P97" s="200">
        <f ca="1">IF(YEAR(P$4)&gt;=FPFirstYear,IF(YEAR(P$4)&lt;=FPLastYear,IF(ISBLANK(P88),"",P$96*'Input|Dx Tx split'!P10),""),"")</f>
        <v>10.830487562097758</v>
      </c>
      <c r="Q97" s="200">
        <f ca="1">IF(YEAR(Q$4)&gt;=FPFirstYear,IF(YEAR(Q$4)&lt;=FPLastYear,IF(ISBLANK(Q88),"",Q$96*'Input|Dx Tx split'!Q10),""),"")</f>
        <v>10.60362674335374</v>
      </c>
      <c r="R97" s="200">
        <f ca="1">IF(YEAR(R$4)&gt;=FPFirstYear,IF(YEAR(R$4)&lt;=FPLastYear,IF(ISBLANK(R88),"",R$96*'Input|Dx Tx split'!R10),""),"")</f>
        <v>10.420129531615975</v>
      </c>
      <c r="S97" s="200">
        <f ca="1">IF(YEAR(S$4)&gt;=FPFirstYear,IF(YEAR(S$4)&lt;=FPLastYear,IF(ISBLANK(S88),"",S$96*'Input|Dx Tx split'!S10),""),"")</f>
        <v>10.194315298519639</v>
      </c>
      <c r="T97" s="83"/>
    </row>
    <row r="98" spans="1:24" outlineLevel="1">
      <c r="C98" s="12" t="s">
        <v>223</v>
      </c>
      <c r="D98" s="18"/>
      <c r="E98" s="18"/>
      <c r="F98" s="95"/>
      <c r="J98" s="83"/>
      <c r="K98" s="83"/>
      <c r="L98" s="83"/>
      <c r="M98" s="83"/>
      <c r="N98" s="83"/>
      <c r="O98" s="200">
        <f ca="1">IF(YEAR(O$4)&gt;=FPFirstYear,IF(YEAR(O$4)&lt;=FPLastYear,IF(ISBLANK(O88),"",O$96*'Input|Dx Tx split'!O11),""),"")</f>
        <v>58.882165673054217</v>
      </c>
      <c r="P98" s="200">
        <f ca="1">IF(YEAR(P$4)&gt;=FPFirstYear,IF(YEAR(P$4)&lt;=FPLastYear,IF(ISBLANK(P88),"",P$96*'Input|Dx Tx split'!P11),""),"")</f>
        <v>57.833749103522692</v>
      </c>
      <c r="Q98" s="200">
        <f ca="1">IF(YEAR(Q$4)&gt;=FPFirstYear,IF(YEAR(Q$4)&lt;=FPLastYear,IF(ISBLANK(Q88),"",Q$96*'Input|Dx Tx split'!Q11),""),"")</f>
        <v>56.622334419055797</v>
      </c>
      <c r="R98" s="200">
        <f ca="1">IF(YEAR(R$4)&gt;=FPFirstYear,IF(YEAR(R$4)&lt;=FPLastYear,IF(ISBLANK(R88),"",R$96*'Input|Dx Tx split'!R11),""),"")</f>
        <v>55.642477174034198</v>
      </c>
      <c r="S98" s="200">
        <f ca="1">IF(YEAR(S$4)&gt;=FPFirstYear,IF(YEAR(S$4)&lt;=FPLastYear,IF(ISBLANK(S88),"",S$96*'Input|Dx Tx split'!S11),""),"")</f>
        <v>54.436651155028237</v>
      </c>
      <c r="T98" s="83"/>
    </row>
    <row r="99" spans="1:24">
      <c r="C99" s="71"/>
      <c r="J99" s="58"/>
      <c r="K99" s="58"/>
      <c r="L99" s="58"/>
      <c r="M99" s="58"/>
      <c r="N99" s="20"/>
      <c r="O99" s="20"/>
      <c r="P99" s="20"/>
      <c r="Q99" s="20"/>
      <c r="R99" s="20"/>
      <c r="S99" s="20"/>
      <c r="T99" s="20"/>
    </row>
    <row r="100" spans="1:24" customFormat="1" ht="12.75">
      <c r="A100" s="30"/>
      <c r="B100" s="35" t="s">
        <v>21</v>
      </c>
      <c r="C100" s="30"/>
      <c r="D100" s="30"/>
      <c r="E100" s="30"/>
      <c r="F100" s="31"/>
      <c r="G100" s="31"/>
      <c r="H100" s="31"/>
      <c r="I100" s="31"/>
      <c r="J100" s="32"/>
      <c r="K100" s="33"/>
      <c r="L100" s="32"/>
      <c r="M100" s="33"/>
      <c r="N100" s="32"/>
      <c r="O100" s="32"/>
      <c r="P100" s="32"/>
      <c r="Q100" s="32"/>
      <c r="R100" s="32"/>
      <c r="S100" s="32"/>
      <c r="T100" s="32"/>
      <c r="U100" s="32"/>
      <c r="V100" s="32"/>
      <c r="W100" s="33"/>
      <c r="X100" s="33"/>
    </row>
  </sheetData>
  <mergeCells count="1">
    <mergeCell ref="N3:S3"/>
  </mergeCells>
  <conditionalFormatting sqref="S1:T1">
    <cfRule type="cellIs" dxfId="80" priority="118" operator="equal">
      <formula>"Check"</formula>
    </cfRule>
    <cfRule type="cellIs" dxfId="79" priority="119" operator="equal">
      <formula>"Ok"</formula>
    </cfRule>
  </conditionalFormatting>
  <conditionalFormatting sqref="W1">
    <cfRule type="cellIs" dxfId="78" priority="120" operator="equal">
      <formula>"Check"</formula>
    </cfRule>
    <cfRule type="cellIs" dxfId="77" priority="121" operator="equal">
      <formula>"Ok"</formula>
    </cfRule>
  </conditionalFormatting>
  <conditionalFormatting sqref="R24:T24 R27:T27 R30:T30 R33:T33 J12:T14">
    <cfRule type="cellIs" dxfId="76" priority="117" operator="equal">
      <formula>0</formula>
    </cfRule>
  </conditionalFormatting>
  <conditionalFormatting sqref="J13:T13">
    <cfRule type="cellIs" dxfId="75" priority="116" operator="equal">
      <formula>0</formula>
    </cfRule>
  </conditionalFormatting>
  <conditionalFormatting sqref="J46:T53">
    <cfRule type="cellIs" dxfId="74" priority="111" operator="equal">
      <formula>0</formula>
    </cfRule>
  </conditionalFormatting>
  <conditionalFormatting sqref="J62:T70 J78:T83">
    <cfRule type="cellIs" dxfId="73" priority="109" operator="equal">
      <formula>0</formula>
    </cfRule>
  </conditionalFormatting>
  <conditionalFormatting sqref="J21:T21 J36:T39">
    <cfRule type="cellIs" dxfId="72" priority="106" operator="equal">
      <formula>0</formula>
    </cfRule>
  </conditionalFormatting>
  <conditionalFormatting sqref="J93:T98">
    <cfRule type="cellIs" dxfId="71" priority="105" operator="equal">
      <formula>0</formula>
    </cfRule>
  </conditionalFormatting>
  <conditionalFormatting sqref="J93:T98">
    <cfRule type="cellIs" dxfId="70" priority="104" operator="equal">
      <formula>0</formula>
    </cfRule>
  </conditionalFormatting>
  <conditionalFormatting sqref="J31:T31">
    <cfRule type="cellIs" dxfId="69" priority="67" operator="equal">
      <formula>0</formula>
    </cfRule>
  </conditionalFormatting>
  <conditionalFormatting sqref="J24:Q24 J27:Q27 J30:Q30">
    <cfRule type="cellIs" dxfId="68" priority="85" operator="equal">
      <formula>0</formula>
    </cfRule>
  </conditionalFormatting>
  <conditionalFormatting sqref="J24:Q24 J27:Q27 J30:Q30">
    <cfRule type="cellIs" dxfId="67" priority="84" operator="equal">
      <formula>0</formula>
    </cfRule>
  </conditionalFormatting>
  <conditionalFormatting sqref="J22:T22">
    <cfRule type="cellIs" dxfId="66" priority="80" operator="equal">
      <formula>0</formula>
    </cfRule>
  </conditionalFormatting>
  <conditionalFormatting sqref="J22:T22">
    <cfRule type="cellIs" dxfId="65" priority="79" operator="equal">
      <formula>0</formula>
    </cfRule>
  </conditionalFormatting>
  <conditionalFormatting sqref="J33:Q33">
    <cfRule type="cellIs" dxfId="64" priority="70" operator="equal">
      <formula>0</formula>
    </cfRule>
  </conditionalFormatting>
  <conditionalFormatting sqref="J33:Q33">
    <cfRule type="cellIs" dxfId="63" priority="69" operator="equal">
      <formula>0</formula>
    </cfRule>
  </conditionalFormatting>
  <conditionalFormatting sqref="J25:T25">
    <cfRule type="cellIs" dxfId="62" priority="76" operator="equal">
      <formula>0</formula>
    </cfRule>
  </conditionalFormatting>
  <conditionalFormatting sqref="J25:T25">
    <cfRule type="cellIs" dxfId="61" priority="75" operator="equal">
      <formula>0</formula>
    </cfRule>
  </conditionalFormatting>
  <conditionalFormatting sqref="J31:T31">
    <cfRule type="cellIs" dxfId="60" priority="68" operator="equal">
      <formula>0</formula>
    </cfRule>
  </conditionalFormatting>
  <conditionalFormatting sqref="J28:T28">
    <cfRule type="cellIs" dxfId="59" priority="72" operator="equal">
      <formula>0</formula>
    </cfRule>
  </conditionalFormatting>
  <conditionalFormatting sqref="J28:T28">
    <cfRule type="cellIs" dxfId="58" priority="71" operator="equal">
      <formula>0</formula>
    </cfRule>
  </conditionalFormatting>
  <conditionalFormatting sqref="J34:T34">
    <cfRule type="cellIs" dxfId="57" priority="62" operator="equal">
      <formula>0</formula>
    </cfRule>
  </conditionalFormatting>
  <conditionalFormatting sqref="J34:T34">
    <cfRule type="cellIs" dxfId="56" priority="63" operator="equal">
      <formula>0</formula>
    </cfRule>
  </conditionalFormatting>
  <conditionalFormatting sqref="J23:T23">
    <cfRule type="cellIs" dxfId="55" priority="61" operator="equal">
      <formula>0</formula>
    </cfRule>
  </conditionalFormatting>
  <conditionalFormatting sqref="J23:T23">
    <cfRule type="cellIs" dxfId="54" priority="60" operator="equal">
      <formula>0</formula>
    </cfRule>
  </conditionalFormatting>
  <conditionalFormatting sqref="J90:T92">
    <cfRule type="cellIs" dxfId="53" priority="41" operator="equal">
      <formula>0</formula>
    </cfRule>
  </conditionalFormatting>
  <conditionalFormatting sqref="J90:T92">
    <cfRule type="cellIs" dxfId="52" priority="40" operator="equal">
      <formula>0</formula>
    </cfRule>
  </conditionalFormatting>
  <conditionalFormatting sqref="J10:T10">
    <cfRule type="expression" dxfId="51" priority="39">
      <formula>J$10=J$4</formula>
    </cfRule>
  </conditionalFormatting>
  <conditionalFormatting sqref="J17:T17">
    <cfRule type="expression" dxfId="50" priority="38">
      <formula>J$10=J$4</formula>
    </cfRule>
  </conditionalFormatting>
  <conditionalFormatting sqref="J39:T39">
    <cfRule type="expression" dxfId="49" priority="37">
      <formula>J$10=J$4</formula>
    </cfRule>
  </conditionalFormatting>
  <conditionalFormatting sqref="J18:T19">
    <cfRule type="cellIs" dxfId="48" priority="34" operator="equal">
      <formula>0</formula>
    </cfRule>
  </conditionalFormatting>
  <conditionalFormatting sqref="J56:T56">
    <cfRule type="cellIs" dxfId="47" priority="30" operator="equal">
      <formula>0</formula>
    </cfRule>
  </conditionalFormatting>
  <conditionalFormatting sqref="J20:T20">
    <cfRule type="cellIs" dxfId="46" priority="29" operator="equal">
      <formula>0</formula>
    </cfRule>
  </conditionalFormatting>
  <conditionalFormatting sqref="J20:T20">
    <cfRule type="cellIs" dxfId="45" priority="28" operator="equal">
      <formula>0</formula>
    </cfRule>
  </conditionalFormatting>
  <conditionalFormatting sqref="J15:T16">
    <cfRule type="cellIs" dxfId="44" priority="25" operator="equal">
      <formula>0</formula>
    </cfRule>
  </conditionalFormatting>
  <conditionalFormatting sqref="J16:T16">
    <cfRule type="cellIs" dxfId="43" priority="24" operator="equal">
      <formula>0</formula>
    </cfRule>
  </conditionalFormatting>
  <conditionalFormatting sqref="J26:T26">
    <cfRule type="cellIs" dxfId="42" priority="19" operator="equal">
      <formula>0</formula>
    </cfRule>
  </conditionalFormatting>
  <conditionalFormatting sqref="J26:T26">
    <cfRule type="cellIs" dxfId="41" priority="18" operator="equal">
      <formula>0</formula>
    </cfRule>
  </conditionalFormatting>
  <conditionalFormatting sqref="J29:T29">
    <cfRule type="cellIs" dxfId="40" priority="17" operator="equal">
      <formula>0</formula>
    </cfRule>
  </conditionalFormatting>
  <conditionalFormatting sqref="J29:T29">
    <cfRule type="cellIs" dxfId="39" priority="16" operator="equal">
      <formula>0</formula>
    </cfRule>
  </conditionalFormatting>
  <conditionalFormatting sqref="J32:T32">
    <cfRule type="cellIs" dxfId="38" priority="15" operator="equal">
      <formula>0</formula>
    </cfRule>
  </conditionalFormatting>
  <conditionalFormatting sqref="J32:T32">
    <cfRule type="cellIs" dxfId="37" priority="14" operator="equal">
      <formula>0</formula>
    </cfRule>
  </conditionalFormatting>
  <conditionalFormatting sqref="J35:T35">
    <cfRule type="cellIs" dxfId="36" priority="13" operator="equal">
      <formula>0</formula>
    </cfRule>
  </conditionalFormatting>
  <conditionalFormatting sqref="J35:T35">
    <cfRule type="cellIs" dxfId="35" priority="12" operator="equal">
      <formula>0</formula>
    </cfRule>
  </conditionalFormatting>
  <conditionalFormatting sqref="J55:T55">
    <cfRule type="expression" dxfId="34" priority="202">
      <formula>J$43=J$4</formula>
    </cfRule>
    <cfRule type="cellIs" dxfId="33" priority="203" operator="equal">
      <formula>0</formula>
    </cfRule>
  </conditionalFormatting>
  <conditionalFormatting sqref="J84:T84">
    <cfRule type="expression" dxfId="32" priority="204">
      <formula>J$76=J$4</formula>
    </cfRule>
    <cfRule type="cellIs" dxfId="31" priority="205" operator="equal">
      <formula>0</formula>
    </cfRule>
  </conditionalFormatting>
  <conditionalFormatting sqref="J72:T72">
    <cfRule type="expression" dxfId="30" priority="206">
      <formula>J$60=J$4</formula>
    </cfRule>
    <cfRule type="cellIs" dxfId="29" priority="207" operator="equal">
      <formula>0</formula>
    </cfRule>
  </conditionalFormatting>
  <conditionalFormatting sqref="J60:T60 J76:T76">
    <cfRule type="expression" dxfId="28" priority="1">
      <formula>J$60=J$4</formula>
    </cfRule>
  </conditionalFormatting>
  <conditionalFormatting sqref="J88:T88">
    <cfRule type="expression" dxfId="27" priority="213">
      <formula>J$88=J$4</formula>
    </cfRule>
  </conditionalFormatting>
  <conditionalFormatting sqref="J43:T43">
    <cfRule type="expression" dxfId="26" priority="208">
      <formula>J$43=J$4</formula>
    </cfRule>
  </conditionalFormatting>
  <dataValidations disablePrompts="1" count="2">
    <dataValidation type="list" allowBlank="1" showInputMessage="1" showErrorMessage="1" sqref="F85 F73 F99" xr:uid="{00000000-0002-0000-0700-000000000000}">
      <formula1>"Real 2010,Real 2011,Real 2012,Real 2013,Real 2014,Real 2015,Nominal"</formula1>
    </dataValidation>
    <dataValidation type="list" allowBlank="1" showInputMessage="1" showErrorMessage="1" sqref="F71" xr:uid="{00000000-0002-0000-0700-000001000000}">
      <formula1>$G$45:$G$54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35"/>
  <sheetViews>
    <sheetView showGridLines="0" workbookViewId="0"/>
  </sheetViews>
  <sheetFormatPr defaultColWidth="0" defaultRowHeight="11.25" zeroHeight="1"/>
  <cols>
    <col min="1" max="2" width="1.5" style="5" customWidth="1"/>
    <col min="3" max="3" width="59.6640625" style="5" bestFit="1" customWidth="1"/>
    <col min="4" max="4" width="27.6640625" style="13" customWidth="1"/>
    <col min="5" max="5" width="15.83203125" style="13" customWidth="1"/>
    <col min="6" max="6" width="10.6640625" style="13" customWidth="1"/>
    <col min="7" max="9" width="3.33203125" style="13" customWidth="1"/>
    <col min="10" max="24" width="10.83203125" style="5" customWidth="1"/>
    <col min="25" max="48" width="9.33203125" style="5" hidden="1" customWidth="1"/>
    <col min="49" max="16384" width="10.5" style="5" hidden="1"/>
  </cols>
  <sheetData>
    <row r="1" spans="1:24" s="25" customFormat="1" ht="15.75">
      <c r="B1" s="22" t="str">
        <f>Index!$B$1</f>
        <v>AER opex model - version: Evoenergy 24-29 DD</v>
      </c>
      <c r="C1" s="22"/>
      <c r="D1" s="22"/>
      <c r="E1" s="22"/>
      <c r="F1" s="23"/>
      <c r="G1" s="23"/>
      <c r="H1" s="23"/>
      <c r="I1" s="23"/>
      <c r="J1" s="24" t="s">
        <v>2</v>
      </c>
      <c r="L1" s="26" t="s">
        <v>3</v>
      </c>
      <c r="M1" s="41" t="s">
        <v>4</v>
      </c>
      <c r="N1" s="8" t="s">
        <v>5</v>
      </c>
      <c r="O1" s="9" t="s">
        <v>6</v>
      </c>
      <c r="R1" s="26" t="s">
        <v>80</v>
      </c>
      <c r="S1" s="27" t="s">
        <v>36</v>
      </c>
      <c r="T1" s="27"/>
      <c r="V1" s="103" t="s">
        <v>24</v>
      </c>
      <c r="W1" s="27" t="str">
        <f ca="1">'Check|List'!$S$1</f>
        <v>Ok</v>
      </c>
    </row>
    <row r="2" spans="1:24" s="29" customFormat="1" ht="13.5" thickBot="1">
      <c r="B2" s="28" t="str">
        <f>Index!$C$14</f>
        <v>Output | Models</v>
      </c>
      <c r="C2" s="28"/>
      <c r="D2" s="28"/>
      <c r="E2" s="28"/>
      <c r="F2" s="48"/>
      <c r="G2" s="48"/>
      <c r="H2" s="48"/>
      <c r="I2" s="48"/>
    </row>
    <row r="3" spans="1:24" s="49" customFormat="1">
      <c r="D3" s="100"/>
      <c r="E3" s="100"/>
      <c r="F3" s="100"/>
      <c r="G3" s="100"/>
      <c r="H3" s="100"/>
      <c r="I3" s="100"/>
      <c r="J3" s="94" t="s">
        <v>114</v>
      </c>
      <c r="K3" s="94"/>
      <c r="L3" s="94"/>
      <c r="M3" s="100"/>
      <c r="N3" s="202"/>
      <c r="O3" s="202"/>
      <c r="P3" s="202"/>
      <c r="Q3" s="202"/>
      <c r="R3" s="202"/>
      <c r="S3" s="202"/>
      <c r="T3" s="100"/>
      <c r="U3" s="50"/>
      <c r="V3" s="50"/>
      <c r="W3" s="50"/>
      <c r="X3" s="50"/>
    </row>
    <row r="4" spans="1:24" customFormat="1">
      <c r="A4" s="51"/>
      <c r="B4" s="51"/>
      <c r="C4" s="51"/>
      <c r="D4" s="52" t="s">
        <v>7</v>
      </c>
      <c r="E4" s="52" t="s">
        <v>8</v>
      </c>
      <c r="F4" s="53" t="s">
        <v>22</v>
      </c>
      <c r="G4" s="54"/>
      <c r="H4" s="54"/>
      <c r="I4" s="54"/>
      <c r="J4" s="87">
        <f>DATE(PPFirstYear,MONTH('Input|General'!$G$9),1)</f>
        <v>43983</v>
      </c>
      <c r="K4" s="87">
        <f>DATE(PPFirstYear+1,MONTH('Input|General'!$G$9),1)</f>
        <v>44348</v>
      </c>
      <c r="L4" s="87">
        <f>DATE(PPFirstYear+2,MONTH('Input|General'!$G$9),1)</f>
        <v>44713</v>
      </c>
      <c r="M4" s="87">
        <f>DATE(PPFirstYear+3,MONTH('Input|General'!$G$9),1)</f>
        <v>45078</v>
      </c>
      <c r="N4" s="87">
        <f>DATE(PPFirstYear+4,MONTH('Input|General'!$G$9),1)</f>
        <v>45444</v>
      </c>
      <c r="O4" s="87">
        <f>DATE(PPFirstYear+5,MONTH('Input|General'!$G$9),1)</f>
        <v>45809</v>
      </c>
      <c r="P4" s="87">
        <f>DATE(PPFirstYear+6,MONTH('Input|General'!$G$9),1)</f>
        <v>46174</v>
      </c>
      <c r="Q4" s="87">
        <f>DATE(PPFirstYear+7,MONTH('Input|General'!$G$9),1)</f>
        <v>46539</v>
      </c>
      <c r="R4" s="87">
        <f>DATE(PPFirstYear+8,MONTH('Input|General'!$G$9),1)</f>
        <v>46905</v>
      </c>
      <c r="S4" s="87">
        <f>DATE(PPFirstYear+9,MONTH('Input|General'!$G$9),1)</f>
        <v>47270</v>
      </c>
      <c r="T4" s="87">
        <f>DATE(PPFirstYear+10,MONTH('Input|General'!$G$9),1)</f>
        <v>47635</v>
      </c>
      <c r="U4" s="55"/>
      <c r="V4" s="55"/>
      <c r="W4" s="56"/>
      <c r="X4" s="56"/>
    </row>
    <row r="5" spans="1:24" s="3" customFormat="1" ht="3" customHeight="1">
      <c r="D5" s="19"/>
      <c r="E5" s="19"/>
      <c r="F5" s="19"/>
      <c r="G5" s="19"/>
      <c r="H5" s="19"/>
      <c r="I5" s="19"/>
    </row>
    <row r="6" spans="1:24" s="3" customFormat="1" ht="9" customHeight="1">
      <c r="D6" s="19"/>
      <c r="E6" s="19"/>
      <c r="F6" s="19"/>
      <c r="G6" s="19"/>
      <c r="H6" s="19"/>
      <c r="I6" s="19"/>
    </row>
    <row r="7" spans="1:24" s="3" customFormat="1" ht="3" customHeight="1">
      <c r="D7" s="19"/>
      <c r="E7" s="19"/>
      <c r="F7" s="19"/>
      <c r="G7" s="19"/>
      <c r="H7" s="19"/>
      <c r="I7" s="19"/>
    </row>
    <row r="8" spans="1:24" customFormat="1" ht="12.75">
      <c r="A8" s="30"/>
      <c r="B8" s="35" t="s">
        <v>53</v>
      </c>
      <c r="C8" s="30"/>
      <c r="D8" s="30"/>
      <c r="E8" s="47" t="s">
        <v>15</v>
      </c>
      <c r="F8" s="107">
        <f>DATE(PPLastYear,MONTH('Input|General'!$G$9),1)</f>
        <v>45444</v>
      </c>
      <c r="G8" s="31"/>
      <c r="H8" s="31"/>
      <c r="I8" s="31"/>
      <c r="J8" s="37" t="s">
        <v>54</v>
      </c>
      <c r="K8" s="33"/>
      <c r="L8" s="32"/>
      <c r="M8" s="33"/>
      <c r="N8" s="32"/>
      <c r="O8" s="32"/>
      <c r="P8" s="32"/>
      <c r="Q8" s="32"/>
      <c r="R8" s="32"/>
      <c r="S8" s="32"/>
      <c r="T8" s="32"/>
      <c r="U8" s="32"/>
      <c r="V8" s="32"/>
      <c r="W8" s="33"/>
      <c r="X8" s="33"/>
    </row>
    <row r="9" spans="1:24" ht="4.5" customHeight="1"/>
    <row r="10" spans="1:24">
      <c r="M10" s="58"/>
      <c r="N10" s="58"/>
      <c r="O10" s="58"/>
      <c r="P10" s="58"/>
      <c r="Q10" s="58"/>
      <c r="R10" s="58"/>
      <c r="S10" s="58"/>
      <c r="T10" s="58"/>
    </row>
    <row r="11" spans="1:24">
      <c r="C11" s="6" t="s">
        <v>224</v>
      </c>
      <c r="D11" s="18" t="s">
        <v>7</v>
      </c>
      <c r="E11" s="18" t="s">
        <v>8</v>
      </c>
      <c r="F11" s="18" t="s">
        <v>22</v>
      </c>
      <c r="H11" s="18"/>
      <c r="I11" s="18"/>
      <c r="J11" s="92" t="str">
        <f>IF(YEAR(J$4)&gt;='Input|General'!$G$13,IF(YEAR(J$4)&lt;='Input|General'!$G$14,J$4,""),"")</f>
        <v/>
      </c>
      <c r="K11" s="92" t="str">
        <f>IF(YEAR(K$4)&gt;='Input|General'!$G$13,IF(YEAR(K$4)&lt;='Input|General'!$G$14,K$4,""),"")</f>
        <v/>
      </c>
      <c r="L11" s="92" t="str">
        <f>IF(YEAR(L$4)&gt;='Input|General'!$G$13,IF(YEAR(L$4)&lt;='Input|General'!$G$14,L$4,""),"")</f>
        <v/>
      </c>
      <c r="M11" s="92" t="str">
        <f>IF(YEAR(M$4)&gt;='Input|General'!$G$13,IF(YEAR(M$4)&lt;='Input|General'!$G$14,M$4,""),"")</f>
        <v/>
      </c>
      <c r="N11" s="92" t="str">
        <f>IF(YEAR(N$4)&gt;='Input|General'!$G$13,IF(YEAR(N$4)&lt;='Input|General'!$G$14,N$4,""),"")</f>
        <v/>
      </c>
      <c r="O11" s="92">
        <f>IF(YEAR(O$4)&gt;='Input|General'!$G$13,IF(YEAR(O$4)&lt;='Input|General'!$G$14,O$4,""),"")</f>
        <v>45809</v>
      </c>
      <c r="P11" s="92">
        <f>IF(YEAR(P$4)&gt;='Input|General'!$G$13,IF(YEAR(P$4)&lt;='Input|General'!$G$14,P$4,""),"")</f>
        <v>46174</v>
      </c>
      <c r="Q11" s="92">
        <f>IF(YEAR(Q$4)&gt;='Input|General'!$G$13,IF(YEAR(Q$4)&lt;='Input|General'!$G$14,Q$4,""),"")</f>
        <v>46539</v>
      </c>
      <c r="R11" s="92">
        <f>IF(YEAR(R$4)&gt;='Input|General'!$G$13,IF(YEAR(R$4)&lt;='Input|General'!$G$14,R$4,""),"")</f>
        <v>46905</v>
      </c>
      <c r="S11" s="92">
        <f>IF(YEAR(S$4)&gt;='Input|General'!$G$13,IF(YEAR(S$4)&lt;='Input|General'!$G$14,S$4,""),"")</f>
        <v>47270</v>
      </c>
      <c r="T11" s="92" t="str">
        <f>IF(YEAR(T$4)&gt;='Input|General'!$G$13,IF(YEAR(T$4)&lt;='Input|General'!$G$14,T$4,""),"")</f>
        <v/>
      </c>
      <c r="V11" s="80" t="s">
        <v>52</v>
      </c>
      <c r="W11" s="81"/>
      <c r="X11" s="81"/>
    </row>
    <row r="12" spans="1:24">
      <c r="C12" s="6"/>
      <c r="D12" s="18"/>
      <c r="E12" s="18"/>
      <c r="F12" s="18"/>
      <c r="H12" s="18"/>
      <c r="I12" s="18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V12" s="6"/>
    </row>
    <row r="13" spans="1:24">
      <c r="C13" s="12" t="str">
        <f>'Calc|Opex forecast'!C90</f>
        <v>Total forecast opex, excluding category specific forecasts</v>
      </c>
      <c r="D13" s="21" t="s">
        <v>100</v>
      </c>
      <c r="E13" s="13" t="str">
        <f>$E$8</f>
        <v>$millions</v>
      </c>
      <c r="F13" s="91">
        <f>$F$8</f>
        <v>45444</v>
      </c>
      <c r="H13" s="18"/>
      <c r="I13" s="18"/>
      <c r="J13" s="98">
        <f>IF(J11="",0,'Calc|Opex forecast'!J90*INDEX('Input|Rate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K13" s="98">
        <f>IF(K11="",0,'Calc|Opex forecast'!K90*INDEX('Input|Rate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L13" s="98">
        <f>IF(L11="",0,'Calc|Opex forecast'!L90*INDEX('Input|Rate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M13" s="98">
        <f>IF(M11="",0,'Calc|Opex forecast'!M90*INDEX('Input|Rate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N13" s="98">
        <f>IF(N11="",0,'Calc|Opex forecast'!N90*INDEX('Input|Rate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O13" s="98">
        <f ca="1">IF(O11="",0,'Calc|Opex forecast'!O91*INDEX('Input|Rate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10.933452843803598</v>
      </c>
      <c r="P13" s="98">
        <f ca="1">IF(P11="",0,'Calc|Opex forecast'!P91*INDEX('Input|Rate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10.737416766303523</v>
      </c>
      <c r="Q13" s="98">
        <f ca="1">IF(Q11="",0,'Calc|Opex forecast'!Q91*INDEX('Input|Rate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10.511234680489876</v>
      </c>
      <c r="R13" s="98">
        <f ca="1">IF(R11="",0,'Calc|Opex forecast'!R91*INDEX('Input|Rate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10.327387841923732</v>
      </c>
      <c r="S13" s="98">
        <f ca="1">IF(S11="",0,'Calc|Opex forecast'!S91*INDEX('Input|Rate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10.101854099120644</v>
      </c>
      <c r="T13" s="98">
        <f>IF(T11="",0,'Calc|Opex forecast'!T90*INDEX('Input|Rate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0</v>
      </c>
      <c r="U13" s="12"/>
      <c r="V13" s="84"/>
    </row>
    <row r="14" spans="1:24">
      <c r="C14" s="12"/>
      <c r="D14" s="21" t="s">
        <v>100</v>
      </c>
      <c r="E14" s="13" t="str">
        <f t="shared" ref="E14:E18" si="0">$E$8</f>
        <v>$millions</v>
      </c>
      <c r="F14" s="91">
        <f t="shared" ref="F14:F18" si="1">$F$8</f>
        <v>45444</v>
      </c>
      <c r="H14" s="18"/>
      <c r="I14" s="18"/>
      <c r="J14" s="98">
        <f>IF(J$11="",0,'Calc|Opex forecast'!J78*INDEX('Input|Rate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K14" s="98">
        <f>IF(K$11="",0,'Calc|Opex forecast'!K78*INDEX('Input|Rate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L14" s="98">
        <f>IF(L$11="",0,'Calc|Opex forecast'!L78*INDEX('Input|Rate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M14" s="98">
        <f>IF(M$11="",0,'Calc|Opex forecast'!M78*INDEX('Input|Rate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N14" s="98">
        <f>IF(N$11="",0,'Calc|Opex forecast'!N78*INDEX('Input|Rate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O14" s="98">
        <f>IF(O$11="",0,'Calc|Opex forecast'!O78*'Input|Dx Tx split'!$O$10)</f>
        <v>0</v>
      </c>
      <c r="P14" s="98">
        <f>IF(P$11="",0,'Calc|Opex forecast'!P78*'Input|Dx Tx split'!$O$10)</f>
        <v>0</v>
      </c>
      <c r="Q14" s="98">
        <f>IF(Q$11="",0,'Calc|Opex forecast'!Q78*'Input|Dx Tx split'!$O$10)</f>
        <v>0</v>
      </c>
      <c r="R14" s="98">
        <f>IF(R$11="",0,'Calc|Opex forecast'!R78*'Input|Dx Tx split'!$O$10)</f>
        <v>0</v>
      </c>
      <c r="S14" s="98">
        <f>IF(S$11="",0,'Calc|Opex forecast'!S78*'Input|Dx Tx split'!$O$10)</f>
        <v>0</v>
      </c>
      <c r="T14" s="98">
        <f>IF(T$11="",0,'Calc|Opex forecast'!T78*INDEX('Input|Rate of change'!$C$14:$P$22,MATCH('Calc|Opex forecast'!$F78,'Input|Rate of change'!$C$14:$C$22,0),MATCH('Output|Models'!$F14,'Input|Rate of change'!$C$14:$P$14,0))*IF('Calc|Opex forecast'!$E78="$millions",1000000,IF('Calc|Opex forecast'!$E78="$000",1000,1))/IF($E14="$millions",1000000,IF($E14="$000",1000,1)))</f>
        <v>0</v>
      </c>
      <c r="U14" s="12"/>
      <c r="V14" s="84"/>
    </row>
    <row r="15" spans="1:24">
      <c r="C15" s="12"/>
      <c r="D15" s="21" t="s">
        <v>100</v>
      </c>
      <c r="E15" s="13" t="str">
        <f t="shared" si="0"/>
        <v>$millions</v>
      </c>
      <c r="F15" s="91">
        <f t="shared" si="1"/>
        <v>45444</v>
      </c>
      <c r="H15" s="18"/>
      <c r="I15" s="18"/>
      <c r="J15" s="98">
        <f>IF(J$11="",0,'Calc|Opex forecast'!J79*INDEX('Input|Rate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K15" s="98">
        <f>IF(K$11="",0,'Calc|Opex forecast'!K79*INDEX('Input|Rate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L15" s="98">
        <f>IF(L$11="",0,'Calc|Opex forecast'!L79*INDEX('Input|Rate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M15" s="98">
        <f>IF(M$11="",0,'Calc|Opex forecast'!M79*INDEX('Input|Rate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N15" s="98">
        <f>IF(N$11="",0,'Calc|Opex forecast'!N79*INDEX('Input|Rate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O15" s="98">
        <f>IF(O$11="",0,'Calc|Opex forecast'!O79*'Input|Dx Tx split'!$O$10)</f>
        <v>0</v>
      </c>
      <c r="P15" s="98">
        <f>IF(P$11="",0,'Calc|Opex forecast'!P79*'Input|Dx Tx split'!$O$10)</f>
        <v>0</v>
      </c>
      <c r="Q15" s="98">
        <f>IF(Q$11="",0,'Calc|Opex forecast'!Q79*'Input|Dx Tx split'!$O$10)</f>
        <v>0</v>
      </c>
      <c r="R15" s="98">
        <f>IF(R$11="",0,'Calc|Opex forecast'!R79*'Input|Dx Tx split'!$O$10)</f>
        <v>0</v>
      </c>
      <c r="S15" s="98">
        <f>IF(S$11="",0,'Calc|Opex forecast'!S79*'Input|Dx Tx split'!$O$10)</f>
        <v>0</v>
      </c>
      <c r="T15" s="98">
        <f>IF(T$11="",0,'Calc|Opex forecast'!T79*INDEX('Input|Rate of change'!$C$14:$P$22,MATCH('Calc|Opex forecast'!$F79,'Input|Rate of change'!$C$14:$C$22,0),MATCH('Output|Models'!$F15,'Input|Rate of change'!$C$14:$P$14,0))*IF('Calc|Opex forecast'!$E79="$millions",1000000,IF('Calc|Opex forecast'!$E79="$000",1000,1))/IF($E15="$millions",1000000,IF($E15="$000",1000,1)))</f>
        <v>0</v>
      </c>
      <c r="U15" s="12"/>
      <c r="V15" s="84"/>
    </row>
    <row r="16" spans="1:24">
      <c r="C16" s="12"/>
      <c r="D16" s="21" t="s">
        <v>100</v>
      </c>
      <c r="E16" s="13" t="str">
        <f t="shared" si="0"/>
        <v>$millions</v>
      </c>
      <c r="F16" s="91">
        <f t="shared" si="1"/>
        <v>45444</v>
      </c>
      <c r="H16" s="18"/>
      <c r="I16" s="18"/>
      <c r="J16" s="98">
        <f>IF(J$11="",0,'Calc|Opex forecast'!J80*INDEX('Input|Rate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K16" s="98">
        <f>IF(K$11="",0,'Calc|Opex forecast'!K80*INDEX('Input|Rate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L16" s="98">
        <f>IF(L$11="",0,'Calc|Opex forecast'!L80*INDEX('Input|Rate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M16" s="98">
        <f>IF(M$11="",0,'Calc|Opex forecast'!M80*INDEX('Input|Rate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N16" s="98">
        <f>IF(N$11="",0,'Calc|Opex forecast'!N80*INDEX('Input|Rate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O16" s="98">
        <f>IF(O$11="",0,'Calc|Opex forecast'!O80*'Input|Dx Tx split'!$O$10)</f>
        <v>0</v>
      </c>
      <c r="P16" s="98">
        <f>IF(P$11="",0,'Calc|Opex forecast'!P80*'Input|Dx Tx split'!$O$10)</f>
        <v>0</v>
      </c>
      <c r="Q16" s="98">
        <f>IF(Q$11="",0,'Calc|Opex forecast'!Q80*'Input|Dx Tx split'!$O$10)</f>
        <v>0</v>
      </c>
      <c r="R16" s="98">
        <f>IF(R$11="",0,'Calc|Opex forecast'!R80*'Input|Dx Tx split'!$O$10)</f>
        <v>0</v>
      </c>
      <c r="S16" s="98">
        <f>IF(S$11="",0,'Calc|Opex forecast'!S80*'Input|Dx Tx split'!$O$10)</f>
        <v>0</v>
      </c>
      <c r="T16" s="98">
        <f>IF(T$11="",0,'Calc|Opex forecast'!T80*INDEX('Input|Rate of change'!$C$14:$P$22,MATCH('Calc|Opex forecast'!$F80,'Input|Rate of change'!$C$14:$C$22,0),MATCH('Output|Models'!$F16,'Input|Rate of change'!$C$14:$P$14,0))*IF('Calc|Opex forecast'!$E80="$millions",1000000,IF('Calc|Opex forecast'!$E80="$000",1000,1))/IF($E16="$millions",1000000,IF($E16="$000",1000,1)))</f>
        <v>0</v>
      </c>
      <c r="U16" s="12"/>
      <c r="V16" s="84"/>
    </row>
    <row r="17" spans="1:24">
      <c r="C17" s="12"/>
      <c r="D17" s="21" t="s">
        <v>100</v>
      </c>
      <c r="E17" s="13" t="str">
        <f t="shared" si="0"/>
        <v>$millions</v>
      </c>
      <c r="F17" s="91">
        <f t="shared" si="1"/>
        <v>45444</v>
      </c>
      <c r="H17" s="18"/>
      <c r="I17" s="18"/>
      <c r="J17" s="98">
        <f>IF(J$11="",0,'Calc|Opex forecast'!J81*INDEX('Input|Rate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K17" s="98">
        <f>IF(K$11="",0,'Calc|Opex forecast'!K81*INDEX('Input|Rate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L17" s="98">
        <f>IF(L$11="",0,'Calc|Opex forecast'!L81*INDEX('Input|Rate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M17" s="98">
        <f>IF(M$11="",0,'Calc|Opex forecast'!M81*INDEX('Input|Rate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N17" s="98">
        <f>IF(N$11="",0,'Calc|Opex forecast'!N81*INDEX('Input|Rate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O17" s="98">
        <f>IF(O$11="",0,'Calc|Opex forecast'!O81*'Input|Dx Tx split'!$O$10)</f>
        <v>0</v>
      </c>
      <c r="P17" s="98">
        <f>IF(P$11="",0,'Calc|Opex forecast'!P81*'Input|Dx Tx split'!$O$10)</f>
        <v>0</v>
      </c>
      <c r="Q17" s="98">
        <f>IF(Q$11="",0,'Calc|Opex forecast'!Q81*'Input|Dx Tx split'!$O$10)</f>
        <v>0</v>
      </c>
      <c r="R17" s="98">
        <f>IF(R$11="",0,'Calc|Opex forecast'!R81*'Input|Dx Tx split'!$O$10)</f>
        <v>0</v>
      </c>
      <c r="S17" s="98">
        <f>IF(S$11="",0,'Calc|Opex forecast'!S81*'Input|Dx Tx split'!$O$10)</f>
        <v>0</v>
      </c>
      <c r="T17" s="98">
        <f>IF(T$11="",0,'Calc|Opex forecast'!T81*INDEX('Input|Rate of change'!$C$14:$P$22,MATCH('Calc|Opex forecast'!$F81,'Input|Rate of change'!$C$14:$C$22,0),MATCH('Output|Models'!$F17,'Input|Rate of change'!$C$14:$P$14,0))*IF('Calc|Opex forecast'!$E81="$millions",1000000,IF('Calc|Opex forecast'!$E81="$000",1000,1))/IF($E17="$millions",1000000,IF($E17="$000",1000,1)))</f>
        <v>0</v>
      </c>
      <c r="U17" s="12"/>
      <c r="V17" s="108"/>
    </row>
    <row r="18" spans="1:24">
      <c r="C18" s="12"/>
      <c r="D18" s="21" t="s">
        <v>100</v>
      </c>
      <c r="E18" s="13" t="str">
        <f t="shared" si="0"/>
        <v>$millions</v>
      </c>
      <c r="F18" s="91">
        <f t="shared" si="1"/>
        <v>45444</v>
      </c>
      <c r="H18" s="18"/>
      <c r="I18" s="18"/>
      <c r="J18" s="98">
        <f>IF(J$11="",0,'Calc|Opex forecast'!J82*INDEX('Input|Rate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K18" s="98">
        <f>IF(K$11="",0,'Calc|Opex forecast'!K82*INDEX('Input|Rate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L18" s="98">
        <f>IF(L$11="",0,'Calc|Opex forecast'!L82*INDEX('Input|Rate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M18" s="98">
        <f>IF(M$11="",0,'Calc|Opex forecast'!M82*INDEX('Input|Rate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N18" s="98">
        <f>IF(N$11="",0,'Calc|Opex forecast'!N82*INDEX('Input|Rate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O18" s="98">
        <f>IF(O$11="",0,'Calc|Opex forecast'!O82*'Input|Dx Tx split'!$O$10)</f>
        <v>0</v>
      </c>
      <c r="P18" s="98">
        <f>IF(P$11="",0,'Calc|Opex forecast'!P82*'Input|Dx Tx split'!$O$10)</f>
        <v>0</v>
      </c>
      <c r="Q18" s="98">
        <f>IF(Q$11="",0,'Calc|Opex forecast'!Q82*'Input|Dx Tx split'!$O$10)</f>
        <v>0</v>
      </c>
      <c r="R18" s="98">
        <f>IF(R$11="",0,'Calc|Opex forecast'!R82*'Input|Dx Tx split'!$O$10)</f>
        <v>0</v>
      </c>
      <c r="S18" s="98">
        <f>IF(S$11="",0,'Calc|Opex forecast'!S82*'Input|Dx Tx split'!$O$10)</f>
        <v>0</v>
      </c>
      <c r="T18" s="98">
        <f>IF(T$11="",0,'Calc|Opex forecast'!T82*INDEX('Input|Rate of change'!$C$14:$P$22,MATCH('Calc|Opex forecast'!$F82,'Input|Rate of change'!$C$14:$C$22,0),MATCH('Output|Models'!$F18,'Input|Rate of change'!$C$14:$P$14,0))*IF('Calc|Opex forecast'!$E82="$millions",1000000,IF('Calc|Opex forecast'!$E82="$000",1000,1))/IF($E18="$millions",1000000,IF($E18="$000",1000,1)))</f>
        <v>0</v>
      </c>
      <c r="U18" s="12"/>
      <c r="V18" s="108"/>
    </row>
    <row r="19" spans="1:24">
      <c r="D19" s="21"/>
      <c r="H19" s="18"/>
      <c r="I19" s="18"/>
      <c r="S19" s="20"/>
      <c r="T19" s="20"/>
    </row>
    <row r="20" spans="1:24">
      <c r="C20" s="6" t="s">
        <v>225</v>
      </c>
      <c r="D20" s="18" t="s">
        <v>7</v>
      </c>
      <c r="E20" s="18" t="s">
        <v>8</v>
      </c>
      <c r="F20" s="18" t="s">
        <v>22</v>
      </c>
      <c r="H20" s="18"/>
      <c r="I20" s="18"/>
      <c r="S20" s="20"/>
      <c r="T20" s="20"/>
    </row>
    <row r="21" spans="1:24">
      <c r="C21" s="6"/>
      <c r="D21" s="18"/>
      <c r="E21" s="18"/>
      <c r="F21" s="18"/>
      <c r="H21" s="18"/>
      <c r="I21" s="18"/>
      <c r="S21" s="20"/>
      <c r="T21" s="20"/>
    </row>
    <row r="22" spans="1:24">
      <c r="C22" s="12" t="str">
        <f>'Calc|Opex forecast'!C90</f>
        <v>Total forecast opex, excluding category specific forecasts</v>
      </c>
      <c r="D22" s="21" t="s">
        <v>100</v>
      </c>
      <c r="E22" s="13" t="str">
        <f>$E$8</f>
        <v>$millions</v>
      </c>
      <c r="F22" s="91">
        <f>$F$8</f>
        <v>45444</v>
      </c>
      <c r="H22" s="18"/>
      <c r="I22" s="18"/>
      <c r="O22" s="201">
        <f ca="1">IF(O11="",0,'Calc|Opex forecast'!O92*INDEX('Input|Rate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58.383573682924705</v>
      </c>
      <c r="P22" s="201">
        <f ca="1">IF(P11="",0,'Calc|Opex forecast'!P92*INDEX('Input|Rate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57.336760115541573</v>
      </c>
      <c r="Q22" s="201">
        <f ca="1">IF(Q11="",0,'Calc|Opex forecast'!Q92*INDEX('Input|Rate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56.12896979884006</v>
      </c>
      <c r="R22" s="201">
        <f ca="1">IF(R11="",0,'Calc|Opex forecast'!R92*INDEX('Input|Rate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55.147245580595289</v>
      </c>
      <c r="S22" s="201">
        <f ca="1">IF(S11="",0,'Calc|Opex forecast'!S92*INDEX('Input|Rate of change'!$C$14:$P$22,MATCH('Calc|Opex forecast'!$F$90,'Input|Rate of change'!$C$14:$C$22,0),MATCH('Output|Models'!$F13,'Input|Rate of change'!$C$14:$P$14,0))*IF('Calc|Opex forecast'!$E$90="$millions",1000000,IF('Calc|Opex forecast'!$E$90="$000",1000,1))/IF($E13="$millions",1000000,IF($E13="$000",1000,1)))</f>
        <v>53.942917352446173</v>
      </c>
      <c r="T22" s="20"/>
    </row>
    <row r="23" spans="1:24">
      <c r="C23" s="12"/>
      <c r="D23" s="21" t="s">
        <v>100</v>
      </c>
      <c r="E23" s="13" t="str">
        <f t="shared" ref="E23:E27" si="2">$E$8</f>
        <v>$millions</v>
      </c>
      <c r="F23" s="91">
        <f t="shared" ref="F23:F27" si="3">$F$8</f>
        <v>45444</v>
      </c>
      <c r="H23" s="18"/>
      <c r="I23" s="18"/>
      <c r="O23" s="98">
        <f>IF(O$11="",0,'Calc|Opex forecast'!O78*'Input|Dx Tx split'!$O$11)</f>
        <v>0</v>
      </c>
      <c r="P23" s="98">
        <f>IF(P$11="",0,'Calc|Opex forecast'!P78*'Input|Dx Tx split'!$O$11)</f>
        <v>0</v>
      </c>
      <c r="Q23" s="98">
        <f>IF(Q$11="",0,'Calc|Opex forecast'!Q78*'Input|Dx Tx split'!$O$11)</f>
        <v>0</v>
      </c>
      <c r="R23" s="98">
        <f>IF(R$11="",0,'Calc|Opex forecast'!R78*'Input|Dx Tx split'!$O$11)</f>
        <v>0</v>
      </c>
      <c r="S23" s="98">
        <f>IF(S$11="",0,'Calc|Opex forecast'!S78*'Input|Dx Tx split'!$O$11)</f>
        <v>0</v>
      </c>
      <c r="T23" s="20"/>
    </row>
    <row r="24" spans="1:24">
      <c r="C24" s="12"/>
      <c r="D24" s="21" t="s">
        <v>100</v>
      </c>
      <c r="E24" s="13" t="str">
        <f t="shared" si="2"/>
        <v>$millions</v>
      </c>
      <c r="F24" s="91">
        <f t="shared" si="3"/>
        <v>45444</v>
      </c>
      <c r="H24" s="18"/>
      <c r="I24" s="18"/>
      <c r="O24" s="98">
        <f>IF(O$11="",0,'Calc|Opex forecast'!O79*'Input|Dx Tx split'!$O$11)</f>
        <v>0</v>
      </c>
      <c r="P24" s="98">
        <f>IF(P$11="",0,'Calc|Opex forecast'!P79*'Input|Dx Tx split'!$O$11)</f>
        <v>0</v>
      </c>
      <c r="Q24" s="98">
        <f>IF(Q$11="",0,'Calc|Opex forecast'!Q79*'Input|Dx Tx split'!$O$11)</f>
        <v>0</v>
      </c>
      <c r="R24" s="98">
        <f>IF(R$11="",0,'Calc|Opex forecast'!R79*'Input|Dx Tx split'!$O$11)</f>
        <v>0</v>
      </c>
      <c r="S24" s="98">
        <f>IF(S$11="",0,'Calc|Opex forecast'!S79*'Input|Dx Tx split'!$O$11)</f>
        <v>0</v>
      </c>
      <c r="T24" s="20"/>
    </row>
    <row r="25" spans="1:24">
      <c r="C25" s="12"/>
      <c r="D25" s="21" t="s">
        <v>100</v>
      </c>
      <c r="E25" s="13" t="str">
        <f t="shared" si="2"/>
        <v>$millions</v>
      </c>
      <c r="F25" s="91">
        <f t="shared" si="3"/>
        <v>45444</v>
      </c>
      <c r="H25" s="18"/>
      <c r="I25" s="18"/>
      <c r="O25" s="98">
        <f>IF(O$11="",0,'Calc|Opex forecast'!O80*'Input|Dx Tx split'!$O$11)</f>
        <v>0</v>
      </c>
      <c r="P25" s="98">
        <f>IF(P$11="",0,'Calc|Opex forecast'!P80*'Input|Dx Tx split'!$O$11)</f>
        <v>0</v>
      </c>
      <c r="Q25" s="98">
        <f>IF(Q$11="",0,'Calc|Opex forecast'!Q80*'Input|Dx Tx split'!$O$11)</f>
        <v>0</v>
      </c>
      <c r="R25" s="98">
        <f>IF(R$11="",0,'Calc|Opex forecast'!R80*'Input|Dx Tx split'!$O$11)</f>
        <v>0</v>
      </c>
      <c r="S25" s="98">
        <f>IF(S$11="",0,'Calc|Opex forecast'!S80*'Input|Dx Tx split'!$O$11)</f>
        <v>0</v>
      </c>
      <c r="T25" s="20"/>
    </row>
    <row r="26" spans="1:24">
      <c r="C26" s="12"/>
      <c r="D26" s="21" t="s">
        <v>100</v>
      </c>
      <c r="E26" s="13" t="str">
        <f t="shared" si="2"/>
        <v>$millions</v>
      </c>
      <c r="F26" s="91">
        <f t="shared" si="3"/>
        <v>45444</v>
      </c>
      <c r="H26" s="18"/>
      <c r="I26" s="18"/>
      <c r="O26" s="98">
        <f>IF(O$11="",0,'Calc|Opex forecast'!O81*'Input|Dx Tx split'!$O$11)</f>
        <v>0</v>
      </c>
      <c r="P26" s="98">
        <f>IF(P$11="",0,'Calc|Opex forecast'!P81*'Input|Dx Tx split'!$O$11)</f>
        <v>0</v>
      </c>
      <c r="Q26" s="98">
        <f>IF(Q$11="",0,'Calc|Opex forecast'!Q81*'Input|Dx Tx split'!$O$11)</f>
        <v>0</v>
      </c>
      <c r="R26" s="98">
        <f>IF(R$11="",0,'Calc|Opex forecast'!R81*'Input|Dx Tx split'!$O$11)</f>
        <v>0</v>
      </c>
      <c r="S26" s="98">
        <f>IF(S$11="",0,'Calc|Opex forecast'!S81*'Input|Dx Tx split'!$O$11)</f>
        <v>0</v>
      </c>
      <c r="T26" s="20"/>
    </row>
    <row r="27" spans="1:24">
      <c r="C27" s="12"/>
      <c r="D27" s="21" t="s">
        <v>100</v>
      </c>
      <c r="E27" s="13" t="str">
        <f t="shared" si="2"/>
        <v>$millions</v>
      </c>
      <c r="F27" s="91">
        <f t="shared" si="3"/>
        <v>45444</v>
      </c>
      <c r="H27" s="18"/>
      <c r="I27" s="18"/>
      <c r="O27" s="98">
        <f>IF(O$11="",0,'Calc|Opex forecast'!O82*'Input|Dx Tx split'!$O$11)</f>
        <v>0</v>
      </c>
      <c r="P27" s="98">
        <f>IF(P$11="",0,'Calc|Opex forecast'!P82*'Input|Dx Tx split'!$O$11)</f>
        <v>0</v>
      </c>
      <c r="Q27" s="98">
        <f>IF(Q$11="",0,'Calc|Opex forecast'!Q82*'Input|Dx Tx split'!$O$11)</f>
        <v>0</v>
      </c>
      <c r="R27" s="98">
        <f>IF(R$11="",0,'Calc|Opex forecast'!R82*'Input|Dx Tx split'!$O$11)</f>
        <v>0</v>
      </c>
      <c r="S27" s="98">
        <f>IF(S$11="",0,'Calc|Opex forecast'!S82*'Input|Dx Tx split'!$O$11)</f>
        <v>0</v>
      </c>
      <c r="T27" s="20"/>
    </row>
    <row r="28" spans="1:24">
      <c r="D28" s="21"/>
      <c r="H28" s="18"/>
      <c r="I28" s="18"/>
      <c r="S28" s="20"/>
      <c r="T28" s="20"/>
    </row>
    <row r="29" spans="1:24" customFormat="1" ht="12.75">
      <c r="A29" s="30"/>
      <c r="B29" s="35" t="s">
        <v>21</v>
      </c>
      <c r="C29" s="30"/>
      <c r="D29" s="30"/>
      <c r="E29" s="30"/>
      <c r="F29" s="31"/>
      <c r="G29" s="31"/>
      <c r="H29" s="31"/>
      <c r="I29" s="31"/>
      <c r="J29" s="32"/>
      <c r="K29" s="33"/>
      <c r="L29" s="32"/>
      <c r="M29" s="33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33"/>
    </row>
    <row r="30" spans="1:24" hidden="1">
      <c r="D30" s="5"/>
      <c r="E30" s="5"/>
      <c r="F30" s="5"/>
      <c r="G30" s="5"/>
      <c r="H30" s="5"/>
      <c r="I30" s="5"/>
    </row>
    <row r="31" spans="1:24" hidden="1">
      <c r="D31" s="5"/>
      <c r="E31" s="5"/>
      <c r="F31" s="5"/>
      <c r="G31" s="5"/>
      <c r="H31" s="5"/>
      <c r="I31" s="5"/>
    </row>
    <row r="32" spans="1:24" hidden="1">
      <c r="D32" s="5"/>
      <c r="E32" s="5"/>
      <c r="F32" s="5"/>
      <c r="G32" s="5"/>
      <c r="H32" s="5"/>
      <c r="I32" s="5"/>
    </row>
    <row r="33" s="5" customFormat="1" hidden="1"/>
    <row r="34" s="5" customFormat="1" hidden="1"/>
    <row r="35" s="5" customFormat="1" hidden="1"/>
  </sheetData>
  <mergeCells count="1">
    <mergeCell ref="N3:S3"/>
  </mergeCells>
  <conditionalFormatting sqref="W1">
    <cfRule type="cellIs" dxfId="25" priority="31" operator="equal">
      <formula>"Check"</formula>
    </cfRule>
    <cfRule type="cellIs" dxfId="24" priority="32" operator="equal">
      <formula>"Ok"</formula>
    </cfRule>
  </conditionalFormatting>
  <conditionalFormatting sqref="J13:T18">
    <cfRule type="expression" dxfId="23" priority="21">
      <formula>AND($C13=0,J$11=J$4)</formula>
    </cfRule>
    <cfRule type="expression" dxfId="22" priority="22">
      <formula>NOT(J$11=J$4)</formula>
    </cfRule>
    <cfRule type="expression" dxfId="21" priority="23">
      <formula>J$11=J$4</formula>
    </cfRule>
  </conditionalFormatting>
  <conditionalFormatting sqref="J11:T11">
    <cfRule type="expression" dxfId="20" priority="25">
      <formula>J$11=J$4</formula>
    </cfRule>
  </conditionalFormatting>
  <conditionalFormatting sqref="S1:T1">
    <cfRule type="cellIs" dxfId="19" priority="19" operator="equal">
      <formula>"Check"</formula>
    </cfRule>
    <cfRule type="cellIs" dxfId="18" priority="20" operator="equal">
      <formula>"Ok"</formula>
    </cfRule>
  </conditionalFormatting>
  <conditionalFormatting sqref="O22:S22">
    <cfRule type="expression" dxfId="17" priority="4">
      <formula>AND($C22=0,O$11=O$4)</formula>
    </cfRule>
    <cfRule type="expression" dxfId="16" priority="5">
      <formula>NOT(O$11=O$4)</formula>
    </cfRule>
    <cfRule type="expression" dxfId="15" priority="6">
      <formula>O$11=O$4</formula>
    </cfRule>
  </conditionalFormatting>
  <conditionalFormatting sqref="O23:S27">
    <cfRule type="expression" dxfId="14" priority="1">
      <formula>AND($C23=0,O$11=O$4)</formula>
    </cfRule>
    <cfRule type="expression" dxfId="13" priority="2">
      <formula>NOT(O$11=O$4)</formula>
    </cfRule>
    <cfRule type="expression" dxfId="12" priority="3">
      <formula>O$11=O$4</formula>
    </cfRule>
  </conditionalFormatting>
  <dataValidations count="2">
    <dataValidation type="list" allowBlank="1" showInputMessage="1" showErrorMessage="1" sqref="F19 F28" xr:uid="{00000000-0002-0000-0800-000001000000}">
      <formula1>#REF!</formula1>
    </dataValidation>
    <dataValidation type="list" allowBlank="1" showInputMessage="1" showErrorMessage="1" sqref="F13:F18 F22:F27" xr:uid="{00000000-0002-0000-0800-000000000000}">
      <formula1>$G$32:$G$37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D22" location="'Calc|Opex forecast'!A1" display="Calc | Opex forecast" xr:uid="{00000000-0004-0000-0800-000008000000}"/>
    <hyperlink ref="D23" location="'Calc|Opex forecast'!A1" display="Calc | Opex forecast" xr:uid="{00000000-0004-0000-0800-000009000000}"/>
    <hyperlink ref="D24" location="'Calc|Opex forecast'!A1" display="Calc | Opex forecast" xr:uid="{00000000-0004-0000-0800-00000A000000}"/>
    <hyperlink ref="D26" location="'Calc|Opex forecast'!A1" display="Calc | Opex forecast" xr:uid="{00000000-0004-0000-0800-00000B000000}"/>
    <hyperlink ref="D25" location="'Calc|Opex forecast'!A1" display="Calc | Opex forecast" xr:uid="{00000000-0004-0000-0800-00000C000000}"/>
    <hyperlink ref="D27" location="'Calc|Opex forecast'!A1" display="Calc | Opex forecast" xr:uid="{00000000-0004-0000-0800-00000D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W85"/>
  <sheetViews>
    <sheetView showGridLines="0" workbookViewId="0"/>
  </sheetViews>
  <sheetFormatPr defaultColWidth="0" defaultRowHeight="11.25" zeroHeight="1"/>
  <cols>
    <col min="1" max="2" width="1.5" style="5" customWidth="1"/>
    <col min="3" max="3" width="42" style="5" customWidth="1"/>
    <col min="4" max="4" width="17" style="4" customWidth="1"/>
    <col min="5" max="5" width="15.83203125" style="4" customWidth="1"/>
    <col min="6" max="6" width="10.6640625" style="4" customWidth="1"/>
    <col min="7" max="7" width="15" style="13" customWidth="1"/>
    <col min="8" max="9" width="15" style="5" customWidth="1"/>
    <col min="10" max="23" width="10.83203125" style="5" customWidth="1"/>
    <col min="24" max="16384" width="10.5" style="5" hidden="1"/>
  </cols>
  <sheetData>
    <row r="1" spans="1:23" s="25" customFormat="1" ht="15.75">
      <c r="B1" s="22" t="str">
        <f>Index!$B$1</f>
        <v>AER opex model - version: Evoenergy 24-29 DD</v>
      </c>
      <c r="C1" s="22"/>
      <c r="D1" s="22"/>
      <c r="E1" s="22"/>
      <c r="F1" s="23"/>
      <c r="G1" s="23"/>
      <c r="H1" s="23"/>
      <c r="I1" s="23"/>
      <c r="J1" s="24" t="s">
        <v>2</v>
      </c>
      <c r="L1" s="26" t="s">
        <v>3</v>
      </c>
      <c r="M1" s="41" t="s">
        <v>4</v>
      </c>
      <c r="N1" s="8" t="s">
        <v>5</v>
      </c>
      <c r="O1" s="9" t="s">
        <v>6</v>
      </c>
      <c r="R1" s="26"/>
      <c r="S1" s="27"/>
      <c r="U1" s="99" t="s">
        <v>24</v>
      </c>
      <c r="V1" s="27" t="str">
        <f ca="1">'Check|List'!$S$1</f>
        <v>Ok</v>
      </c>
    </row>
    <row r="2" spans="1:23" s="25" customFormat="1" ht="12.75">
      <c r="B2" s="38" t="str">
        <f>Index!$C$15</f>
        <v>Lookup | Tables</v>
      </c>
      <c r="C2" s="38"/>
      <c r="D2" s="38"/>
      <c r="E2" s="38"/>
      <c r="F2" s="39"/>
      <c r="G2" s="39"/>
      <c r="H2" s="39"/>
      <c r="I2" s="39"/>
    </row>
    <row r="3" spans="1:23" s="40" customFormat="1" ht="12.75">
      <c r="A3" s="30"/>
      <c r="B3" s="35"/>
      <c r="C3" s="30"/>
      <c r="D3" s="30"/>
      <c r="E3" s="30"/>
      <c r="F3" s="31"/>
      <c r="G3" s="31"/>
      <c r="H3" s="31"/>
      <c r="I3" s="31"/>
      <c r="J3" s="32"/>
      <c r="K3" s="33"/>
      <c r="L3" s="32"/>
      <c r="M3" s="33"/>
      <c r="N3" s="32"/>
      <c r="O3" s="32"/>
      <c r="P3" s="32"/>
      <c r="Q3" s="32"/>
      <c r="R3" s="32"/>
      <c r="S3" s="32"/>
      <c r="T3" s="32"/>
      <c r="U3" s="32"/>
      <c r="V3" s="33"/>
      <c r="W3" s="33"/>
    </row>
    <row r="4" spans="1:23" s="3" customFormat="1" ht="3" customHeight="1">
      <c r="D4" s="17"/>
      <c r="E4" s="17"/>
    </row>
    <row r="5" spans="1:23" customFormat="1" ht="12.75">
      <c r="A5" s="30"/>
      <c r="B5" s="35" t="s">
        <v>183</v>
      </c>
      <c r="C5" s="30"/>
      <c r="D5" s="30"/>
      <c r="E5" s="30"/>
      <c r="F5" s="31"/>
      <c r="G5" s="31"/>
      <c r="H5" s="31"/>
      <c r="I5" s="31"/>
      <c r="J5" s="32"/>
      <c r="K5" s="33"/>
      <c r="L5" s="32"/>
      <c r="M5" s="33"/>
      <c r="N5" s="32"/>
      <c r="O5" s="32"/>
      <c r="P5" s="32"/>
      <c r="Q5" s="32"/>
      <c r="R5" s="32"/>
      <c r="S5" s="32"/>
      <c r="T5" s="32"/>
      <c r="U5" s="32"/>
      <c r="V5" s="33"/>
      <c r="W5" s="33"/>
    </row>
    <row r="6" spans="1:23"/>
    <row r="7" spans="1:23">
      <c r="C7" s="10" t="str">
        <f>B5</f>
        <v>Stage</v>
      </c>
      <c r="D7" s="18" t="s">
        <v>7</v>
      </c>
      <c r="E7" s="18"/>
      <c r="F7" s="11"/>
      <c r="G7" s="11" t="s">
        <v>9</v>
      </c>
      <c r="H7" s="11"/>
    </row>
    <row r="8" spans="1:23">
      <c r="C8" s="12" t="s">
        <v>184</v>
      </c>
      <c r="D8" s="13" t="s">
        <v>187</v>
      </c>
      <c r="E8" s="13"/>
      <c r="F8" s="13"/>
      <c r="G8" s="36" t="s">
        <v>184</v>
      </c>
    </row>
    <row r="9" spans="1:23">
      <c r="C9" s="12" t="s">
        <v>185</v>
      </c>
      <c r="D9" s="13" t="s">
        <v>187</v>
      </c>
      <c r="E9" s="13"/>
      <c r="F9" s="13"/>
      <c r="G9" s="36" t="s">
        <v>185</v>
      </c>
    </row>
    <row r="10" spans="1:23">
      <c r="C10" s="12" t="s">
        <v>186</v>
      </c>
      <c r="D10" s="13" t="s">
        <v>67</v>
      </c>
      <c r="E10" s="13"/>
      <c r="F10" s="13"/>
      <c r="G10" s="36" t="s">
        <v>186</v>
      </c>
      <c r="T10" s="14"/>
    </row>
    <row r="11" spans="1:23">
      <c r="C11" s="12" t="s">
        <v>188</v>
      </c>
      <c r="D11" s="13" t="s">
        <v>187</v>
      </c>
      <c r="E11" s="13"/>
      <c r="F11" s="13"/>
      <c r="G11" s="36" t="s">
        <v>188</v>
      </c>
    </row>
    <row r="12" spans="1:23">
      <c r="C12" s="12" t="s">
        <v>189</v>
      </c>
      <c r="D12" s="13" t="s">
        <v>67</v>
      </c>
      <c r="E12" s="13"/>
      <c r="F12" s="13"/>
      <c r="G12" s="36" t="s">
        <v>189</v>
      </c>
      <c r="T12" s="14"/>
    </row>
    <row r="13" spans="1:23">
      <c r="F13" s="5"/>
      <c r="G13" s="5"/>
    </row>
    <row r="14" spans="1:23" customFormat="1" ht="12.75">
      <c r="A14" s="30"/>
      <c r="B14" s="35" t="s">
        <v>19</v>
      </c>
      <c r="C14" s="30"/>
      <c r="D14" s="30"/>
      <c r="E14" s="30"/>
      <c r="F14" s="31"/>
      <c r="G14" s="31"/>
      <c r="H14" s="31"/>
      <c r="I14" s="31"/>
      <c r="J14" s="32"/>
      <c r="K14" s="33"/>
      <c r="L14" s="32"/>
      <c r="M14" s="33"/>
      <c r="N14" s="32"/>
      <c r="O14" s="32"/>
      <c r="P14" s="32"/>
      <c r="Q14" s="32"/>
      <c r="R14" s="32"/>
      <c r="S14" s="32"/>
      <c r="T14" s="32"/>
      <c r="U14" s="32"/>
      <c r="V14" s="33"/>
      <c r="W14" s="33"/>
    </row>
    <row r="15" spans="1:23"/>
    <row r="16" spans="1:23">
      <c r="C16" s="10" t="str">
        <f>B14</f>
        <v>Unit Denominations</v>
      </c>
      <c r="D16" s="18" t="s">
        <v>7</v>
      </c>
      <c r="E16" s="18"/>
      <c r="F16" s="11"/>
      <c r="G16" s="11" t="s">
        <v>9</v>
      </c>
      <c r="H16" s="11"/>
    </row>
    <row r="17" spans="1:23">
      <c r="C17" s="12" t="s">
        <v>10</v>
      </c>
      <c r="D17" s="13" t="s">
        <v>67</v>
      </c>
      <c r="E17" s="13"/>
      <c r="F17" s="13"/>
      <c r="G17" s="36" t="s">
        <v>12</v>
      </c>
    </row>
    <row r="18" spans="1:23">
      <c r="C18" s="12" t="s">
        <v>13</v>
      </c>
      <c r="D18" s="13" t="s">
        <v>67</v>
      </c>
      <c r="E18" s="13"/>
      <c r="F18" s="13"/>
      <c r="G18" s="36" t="s">
        <v>20</v>
      </c>
    </row>
    <row r="19" spans="1:23">
      <c r="C19" s="12" t="s">
        <v>14</v>
      </c>
      <c r="D19" s="13" t="s">
        <v>67</v>
      </c>
      <c r="E19" s="13"/>
      <c r="F19" s="13"/>
      <c r="G19" s="36" t="s">
        <v>15</v>
      </c>
      <c r="T19" s="14"/>
    </row>
    <row r="20" spans="1:23">
      <c r="F20" s="5"/>
      <c r="G20" s="5"/>
    </row>
    <row r="21" spans="1:23">
      <c r="C21" s="12" t="s">
        <v>16</v>
      </c>
      <c r="D21" s="13" t="s">
        <v>67</v>
      </c>
      <c r="E21" s="13"/>
      <c r="F21" s="13"/>
      <c r="G21" s="36" t="s">
        <v>31</v>
      </c>
    </row>
    <row r="22" spans="1:23">
      <c r="C22" s="12" t="s">
        <v>8</v>
      </c>
      <c r="D22" s="13" t="s">
        <v>67</v>
      </c>
      <c r="E22" s="13"/>
      <c r="F22" s="13"/>
      <c r="G22" s="36" t="s">
        <v>11</v>
      </c>
    </row>
    <row r="23" spans="1:23">
      <c r="C23" s="12" t="s">
        <v>17</v>
      </c>
      <c r="D23" s="13" t="s">
        <v>67</v>
      </c>
      <c r="E23" s="13"/>
      <c r="F23" s="13"/>
      <c r="G23" s="36" t="s">
        <v>18</v>
      </c>
    </row>
    <row r="24" spans="1:23">
      <c r="C24" s="12" t="s">
        <v>37</v>
      </c>
      <c r="D24" s="13" t="s">
        <v>67</v>
      </c>
      <c r="E24" s="13"/>
      <c r="F24" s="13"/>
      <c r="G24" s="36" t="s">
        <v>38</v>
      </c>
    </row>
    <row r="25" spans="1:23">
      <c r="C25" s="12"/>
      <c r="D25" s="13"/>
      <c r="E25" s="13"/>
      <c r="F25" s="13"/>
      <c r="G25" s="5"/>
    </row>
    <row r="26" spans="1:23">
      <c r="C26" s="12" t="s">
        <v>23</v>
      </c>
      <c r="D26" s="13" t="s">
        <v>67</v>
      </c>
      <c r="E26" s="13"/>
      <c r="F26" s="13"/>
      <c r="G26" s="36" t="s">
        <v>23</v>
      </c>
    </row>
    <row r="27" spans="1:23">
      <c r="C27" s="12" t="s">
        <v>72</v>
      </c>
      <c r="D27" s="13" t="s">
        <v>67</v>
      </c>
      <c r="E27" s="13"/>
      <c r="F27" s="13"/>
      <c r="G27" s="36" t="s">
        <v>72</v>
      </c>
    </row>
    <row r="28" spans="1:23">
      <c r="C28" s="12"/>
      <c r="D28" s="13"/>
      <c r="E28" s="13"/>
      <c r="F28" s="13"/>
      <c r="G28" s="5"/>
    </row>
    <row r="29" spans="1:23" customFormat="1" ht="12.75">
      <c r="A29" s="30"/>
      <c r="B29" s="35" t="s">
        <v>115</v>
      </c>
      <c r="C29" s="30"/>
      <c r="D29" s="30"/>
      <c r="E29" s="30"/>
      <c r="F29" s="31"/>
      <c r="G29" s="31"/>
      <c r="H29" s="31"/>
      <c r="I29" s="31"/>
      <c r="J29" s="32"/>
      <c r="K29" s="33"/>
      <c r="L29" s="32"/>
      <c r="M29" s="33"/>
      <c r="N29" s="32"/>
      <c r="O29" s="32"/>
      <c r="P29" s="32"/>
      <c r="Q29" s="32"/>
      <c r="R29" s="32"/>
      <c r="S29" s="32"/>
      <c r="T29" s="32"/>
      <c r="U29" s="32"/>
      <c r="V29" s="33"/>
      <c r="W29" s="33"/>
    </row>
    <row r="30" spans="1:23"/>
    <row r="31" spans="1:23">
      <c r="C31" s="10" t="str">
        <f>B29</f>
        <v>Months</v>
      </c>
      <c r="D31" s="18" t="s">
        <v>7</v>
      </c>
      <c r="E31" s="18"/>
      <c r="F31" s="11"/>
      <c r="G31" s="11" t="s">
        <v>9</v>
      </c>
      <c r="H31" s="11"/>
    </row>
    <row r="32" spans="1:23">
      <c r="C32" s="12" t="s">
        <v>116</v>
      </c>
      <c r="D32" s="13" t="s">
        <v>67</v>
      </c>
      <c r="E32" s="13"/>
      <c r="F32" s="13"/>
      <c r="G32" s="85">
        <v>36526</v>
      </c>
      <c r="H32" s="11"/>
    </row>
    <row r="33" spans="1:23">
      <c r="C33" s="12" t="s">
        <v>117</v>
      </c>
      <c r="D33" s="13" t="s">
        <v>67</v>
      </c>
      <c r="E33" s="13"/>
      <c r="F33" s="13"/>
      <c r="G33" s="85">
        <v>36557</v>
      </c>
      <c r="H33" s="11"/>
    </row>
    <row r="34" spans="1:23">
      <c r="C34" s="12" t="s">
        <v>118</v>
      </c>
      <c r="D34" s="13" t="s">
        <v>67</v>
      </c>
      <c r="E34" s="13"/>
      <c r="F34" s="13"/>
      <c r="G34" s="85">
        <v>36586</v>
      </c>
      <c r="H34" s="11"/>
    </row>
    <row r="35" spans="1:23">
      <c r="C35" s="12" t="s">
        <v>119</v>
      </c>
      <c r="D35" s="13" t="s">
        <v>67</v>
      </c>
      <c r="E35" s="13"/>
      <c r="F35" s="13"/>
      <c r="G35" s="85">
        <v>36617</v>
      </c>
    </row>
    <row r="36" spans="1:23">
      <c r="C36" s="12" t="s">
        <v>120</v>
      </c>
      <c r="D36" s="13" t="s">
        <v>67</v>
      </c>
      <c r="E36" s="13"/>
      <c r="F36" s="13"/>
      <c r="G36" s="85">
        <v>36647</v>
      </c>
    </row>
    <row r="37" spans="1:23">
      <c r="C37" s="12" t="s">
        <v>121</v>
      </c>
      <c r="D37" s="13" t="s">
        <v>67</v>
      </c>
      <c r="E37" s="13"/>
      <c r="F37" s="13"/>
      <c r="G37" s="85">
        <v>36678</v>
      </c>
      <c r="T37" s="14"/>
    </row>
    <row r="38" spans="1:23">
      <c r="C38" s="12" t="s">
        <v>122</v>
      </c>
      <c r="D38" s="13" t="s">
        <v>67</v>
      </c>
      <c r="E38" s="13"/>
      <c r="F38" s="13"/>
      <c r="G38" s="85">
        <v>36708</v>
      </c>
      <c r="T38" s="14"/>
    </row>
    <row r="39" spans="1:23">
      <c r="C39" s="12" t="s">
        <v>123</v>
      </c>
      <c r="D39" s="13" t="s">
        <v>67</v>
      </c>
      <c r="E39" s="13"/>
      <c r="F39" s="13"/>
      <c r="G39" s="85">
        <v>36739</v>
      </c>
      <c r="T39" s="14"/>
    </row>
    <row r="40" spans="1:23">
      <c r="C40" s="12" t="s">
        <v>124</v>
      </c>
      <c r="D40" s="13" t="s">
        <v>67</v>
      </c>
      <c r="E40" s="13"/>
      <c r="F40" s="13"/>
      <c r="G40" s="85">
        <v>36770</v>
      </c>
      <c r="T40" s="14"/>
    </row>
    <row r="41" spans="1:23">
      <c r="C41" s="12" t="s">
        <v>125</v>
      </c>
      <c r="D41" s="13" t="s">
        <v>67</v>
      </c>
      <c r="E41" s="13"/>
      <c r="F41" s="13"/>
      <c r="G41" s="85">
        <v>36800</v>
      </c>
      <c r="T41" s="14"/>
    </row>
    <row r="42" spans="1:23">
      <c r="C42" s="12" t="s">
        <v>126</v>
      </c>
      <c r="D42" s="13" t="s">
        <v>67</v>
      </c>
      <c r="E42" s="13"/>
      <c r="F42" s="13"/>
      <c r="G42" s="85">
        <v>36831</v>
      </c>
      <c r="T42" s="14"/>
    </row>
    <row r="43" spans="1:23">
      <c r="C43" s="12" t="s">
        <v>127</v>
      </c>
      <c r="D43" s="13" t="s">
        <v>67</v>
      </c>
      <c r="E43" s="13"/>
      <c r="F43" s="13"/>
      <c r="G43" s="85">
        <v>36861</v>
      </c>
      <c r="T43" s="14"/>
    </row>
    <row r="44" spans="1:23">
      <c r="C44" s="12"/>
      <c r="D44" s="13"/>
      <c r="E44" s="13"/>
      <c r="F44" s="13"/>
      <c r="T44" s="14"/>
    </row>
    <row r="45" spans="1:23" customFormat="1" ht="12.75">
      <c r="A45" s="30"/>
      <c r="B45" s="35" t="s">
        <v>68</v>
      </c>
      <c r="C45" s="30"/>
      <c r="D45" s="30"/>
      <c r="E45" s="30"/>
      <c r="F45" s="31"/>
      <c r="G45" s="31"/>
      <c r="H45" s="31"/>
      <c r="I45" s="31"/>
      <c r="J45" s="32"/>
      <c r="K45" s="33"/>
      <c r="L45" s="32"/>
      <c r="M45" s="33"/>
      <c r="N45" s="32"/>
      <c r="O45" s="32"/>
      <c r="P45" s="32"/>
      <c r="Q45" s="32"/>
      <c r="R45" s="32"/>
      <c r="S45" s="32"/>
      <c r="T45" s="32"/>
      <c r="U45" s="32"/>
      <c r="V45" s="33"/>
      <c r="W45" s="33"/>
    </row>
    <row r="46" spans="1:23"/>
    <row r="47" spans="1:23">
      <c r="C47" s="10" t="str">
        <f>B45</f>
        <v>Years</v>
      </c>
      <c r="D47" s="18" t="s">
        <v>7</v>
      </c>
      <c r="E47" s="18"/>
      <c r="F47" s="11"/>
      <c r="G47" s="11" t="s">
        <v>150</v>
      </c>
      <c r="H47" s="11" t="s">
        <v>148</v>
      </c>
      <c r="I47" s="11" t="s">
        <v>149</v>
      </c>
    </row>
    <row r="48" spans="1:23">
      <c r="C48" s="90">
        <v>40695</v>
      </c>
      <c r="D48" s="13" t="s">
        <v>67</v>
      </c>
      <c r="E48" s="13"/>
      <c r="F48" s="13"/>
      <c r="G48" s="86">
        <v>2011</v>
      </c>
      <c r="H48" s="102">
        <f>DATE(G48,MONTH('Input|General'!$G$9),1)</f>
        <v>40695</v>
      </c>
      <c r="I48" s="101" t="str">
        <f>G48-1&amp;"–"&amp;RIGHT(G48,2)</f>
        <v>2010–11</v>
      </c>
    </row>
    <row r="49" spans="3:20">
      <c r="C49" s="90">
        <v>41061</v>
      </c>
      <c r="D49" s="13" t="s">
        <v>67</v>
      </c>
      <c r="E49" s="13"/>
      <c r="F49" s="13"/>
      <c r="G49" s="86">
        <v>2012</v>
      </c>
      <c r="H49" s="102">
        <f>DATE(G49,MONTH('Input|General'!$G$9),1)</f>
        <v>41061</v>
      </c>
      <c r="I49" s="101" t="str">
        <f t="shared" ref="I49:I67" si="0">G49-1&amp;"–"&amp;RIGHT(G49,2)</f>
        <v>2011–12</v>
      </c>
    </row>
    <row r="50" spans="3:20">
      <c r="C50" s="90">
        <v>41426</v>
      </c>
      <c r="D50" s="13" t="s">
        <v>67</v>
      </c>
      <c r="E50" s="13"/>
      <c r="F50" s="13"/>
      <c r="G50" s="86">
        <v>2013</v>
      </c>
      <c r="H50" s="102">
        <f>DATE(G50,MONTH('Input|General'!$G$9),1)</f>
        <v>41426</v>
      </c>
      <c r="I50" s="101" t="str">
        <f t="shared" si="0"/>
        <v>2012–13</v>
      </c>
    </row>
    <row r="51" spans="3:20">
      <c r="C51" s="90">
        <v>41791</v>
      </c>
      <c r="D51" s="13" t="s">
        <v>67</v>
      </c>
      <c r="E51" s="13"/>
      <c r="F51" s="13"/>
      <c r="G51" s="86">
        <v>2014</v>
      </c>
      <c r="H51" s="102">
        <f>DATE(G51,MONTH('Input|General'!$G$9),1)</f>
        <v>41791</v>
      </c>
      <c r="I51" s="101" t="str">
        <f t="shared" si="0"/>
        <v>2013–14</v>
      </c>
    </row>
    <row r="52" spans="3:20">
      <c r="C52" s="90">
        <v>42156</v>
      </c>
      <c r="D52" s="13" t="s">
        <v>67</v>
      </c>
      <c r="E52" s="13"/>
      <c r="F52" s="13"/>
      <c r="G52" s="86">
        <v>2015</v>
      </c>
      <c r="H52" s="102">
        <f>DATE(G52,MONTH('Input|General'!$G$9),1)</f>
        <v>42156</v>
      </c>
      <c r="I52" s="101" t="str">
        <f t="shared" si="0"/>
        <v>2014–15</v>
      </c>
      <c r="T52" s="14"/>
    </row>
    <row r="53" spans="3:20">
      <c r="C53" s="90">
        <v>42522</v>
      </c>
      <c r="D53" s="13" t="s">
        <v>67</v>
      </c>
      <c r="E53" s="13"/>
      <c r="F53" s="13"/>
      <c r="G53" s="86">
        <v>2016</v>
      </c>
      <c r="H53" s="102">
        <f>DATE(G53,MONTH('Input|General'!$G$9),1)</f>
        <v>42522</v>
      </c>
      <c r="I53" s="101" t="str">
        <f t="shared" si="0"/>
        <v>2015–16</v>
      </c>
      <c r="T53" s="14"/>
    </row>
    <row r="54" spans="3:20">
      <c r="C54" s="90">
        <v>42887</v>
      </c>
      <c r="D54" s="13" t="s">
        <v>67</v>
      </c>
      <c r="E54" s="13"/>
      <c r="F54" s="13"/>
      <c r="G54" s="86">
        <v>2017</v>
      </c>
      <c r="H54" s="102">
        <f>DATE(G54,MONTH('Input|General'!$G$9),1)</f>
        <v>42887</v>
      </c>
      <c r="I54" s="101" t="str">
        <f t="shared" si="0"/>
        <v>2016–17</v>
      </c>
      <c r="T54" s="14"/>
    </row>
    <row r="55" spans="3:20">
      <c r="C55" s="90">
        <v>43252</v>
      </c>
      <c r="D55" s="13" t="s">
        <v>67</v>
      </c>
      <c r="E55" s="13"/>
      <c r="F55" s="13"/>
      <c r="G55" s="86">
        <v>2018</v>
      </c>
      <c r="H55" s="102">
        <f>DATE(G55,MONTH('Input|General'!$G$9),1)</f>
        <v>43252</v>
      </c>
      <c r="I55" s="101" t="str">
        <f t="shared" si="0"/>
        <v>2017–18</v>
      </c>
      <c r="T55" s="14"/>
    </row>
    <row r="56" spans="3:20">
      <c r="C56" s="90">
        <v>43617</v>
      </c>
      <c r="D56" s="13" t="s">
        <v>67</v>
      </c>
      <c r="E56" s="13"/>
      <c r="F56" s="13"/>
      <c r="G56" s="86">
        <v>2019</v>
      </c>
      <c r="H56" s="102">
        <f>DATE(G56,MONTH('Input|General'!$G$9),1)</f>
        <v>43617</v>
      </c>
      <c r="I56" s="101" t="str">
        <f t="shared" si="0"/>
        <v>2018–19</v>
      </c>
      <c r="T56" s="14"/>
    </row>
    <row r="57" spans="3:20">
      <c r="C57" s="90">
        <v>43983</v>
      </c>
      <c r="D57" s="13" t="s">
        <v>67</v>
      </c>
      <c r="E57" s="13"/>
      <c r="F57" s="13"/>
      <c r="G57" s="86">
        <v>2020</v>
      </c>
      <c r="H57" s="102">
        <f>DATE(G57,MONTH('Input|General'!$G$9),1)</f>
        <v>43983</v>
      </c>
      <c r="I57" s="101" t="str">
        <f t="shared" si="0"/>
        <v>2019–20</v>
      </c>
      <c r="T57" s="14"/>
    </row>
    <row r="58" spans="3:20">
      <c r="C58" s="90">
        <v>44348</v>
      </c>
      <c r="D58" s="13" t="s">
        <v>67</v>
      </c>
      <c r="E58" s="13"/>
      <c r="F58" s="13"/>
      <c r="G58" s="86">
        <v>2021</v>
      </c>
      <c r="H58" s="102">
        <f>DATE(G58,MONTH('Input|General'!$G$9),1)</f>
        <v>44348</v>
      </c>
      <c r="I58" s="101" t="str">
        <f t="shared" si="0"/>
        <v>2020–21</v>
      </c>
      <c r="T58" s="14"/>
    </row>
    <row r="59" spans="3:20">
      <c r="C59" s="90">
        <v>44713</v>
      </c>
      <c r="D59" s="13" t="s">
        <v>67</v>
      </c>
      <c r="E59" s="13"/>
      <c r="F59" s="13"/>
      <c r="G59" s="86">
        <v>2022</v>
      </c>
      <c r="H59" s="102">
        <f>DATE(G59,MONTH('Input|General'!$G$9),1)</f>
        <v>44713</v>
      </c>
      <c r="I59" s="101" t="str">
        <f t="shared" si="0"/>
        <v>2021–22</v>
      </c>
      <c r="T59" s="14"/>
    </row>
    <row r="60" spans="3:20">
      <c r="C60" s="90">
        <v>45078</v>
      </c>
      <c r="D60" s="13" t="s">
        <v>67</v>
      </c>
      <c r="E60" s="13"/>
      <c r="F60" s="13"/>
      <c r="G60" s="86">
        <v>2023</v>
      </c>
      <c r="H60" s="102">
        <f>DATE(G60,MONTH('Input|General'!$G$9),1)</f>
        <v>45078</v>
      </c>
      <c r="I60" s="101" t="str">
        <f t="shared" si="0"/>
        <v>2022–23</v>
      </c>
      <c r="T60" s="14"/>
    </row>
    <row r="61" spans="3:20">
      <c r="C61" s="90">
        <v>45444</v>
      </c>
      <c r="D61" s="13" t="s">
        <v>67</v>
      </c>
      <c r="E61" s="13"/>
      <c r="F61" s="13"/>
      <c r="G61" s="86">
        <v>2024</v>
      </c>
      <c r="H61" s="102">
        <f>DATE(G61,MONTH('Input|General'!$G$9),1)</f>
        <v>45444</v>
      </c>
      <c r="I61" s="101" t="str">
        <f t="shared" si="0"/>
        <v>2023–24</v>
      </c>
      <c r="T61" s="14"/>
    </row>
    <row r="62" spans="3:20">
      <c r="C62" s="90">
        <v>45809</v>
      </c>
      <c r="D62" s="13" t="s">
        <v>67</v>
      </c>
      <c r="E62" s="13"/>
      <c r="F62" s="13"/>
      <c r="G62" s="86">
        <v>2025</v>
      </c>
      <c r="H62" s="102">
        <f>DATE(G62,MONTH('Input|General'!$G$9),1)</f>
        <v>45809</v>
      </c>
      <c r="I62" s="101" t="str">
        <f t="shared" si="0"/>
        <v>2024–25</v>
      </c>
      <c r="T62" s="14"/>
    </row>
    <row r="63" spans="3:20">
      <c r="C63" s="90">
        <v>46174</v>
      </c>
      <c r="D63" s="13" t="s">
        <v>67</v>
      </c>
      <c r="E63" s="13"/>
      <c r="F63" s="13"/>
      <c r="G63" s="86">
        <v>2026</v>
      </c>
      <c r="H63" s="102">
        <f>DATE(G63,MONTH('Input|General'!$G$9),1)</f>
        <v>46174</v>
      </c>
      <c r="I63" s="101" t="str">
        <f t="shared" si="0"/>
        <v>2025–26</v>
      </c>
      <c r="T63" s="14"/>
    </row>
    <row r="64" spans="3:20">
      <c r="C64" s="90">
        <v>46539</v>
      </c>
      <c r="D64" s="13" t="s">
        <v>67</v>
      </c>
      <c r="E64" s="13"/>
      <c r="F64" s="13"/>
      <c r="G64" s="86">
        <v>2027</v>
      </c>
      <c r="H64" s="102">
        <f>DATE(G64,MONTH('Input|General'!$G$9),1)</f>
        <v>46539</v>
      </c>
      <c r="I64" s="101" t="str">
        <f t="shared" si="0"/>
        <v>2026–27</v>
      </c>
      <c r="T64" s="14"/>
    </row>
    <row r="65" spans="1:23">
      <c r="C65" s="90">
        <v>46905</v>
      </c>
      <c r="D65" s="13" t="s">
        <v>67</v>
      </c>
      <c r="E65" s="13"/>
      <c r="F65" s="13"/>
      <c r="G65" s="86">
        <v>2028</v>
      </c>
      <c r="H65" s="102">
        <f>DATE(G65,MONTH('Input|General'!$G$9),1)</f>
        <v>46905</v>
      </c>
      <c r="I65" s="101" t="str">
        <f t="shared" si="0"/>
        <v>2027–28</v>
      </c>
      <c r="T65" s="14"/>
    </row>
    <row r="66" spans="1:23">
      <c r="C66" s="90">
        <v>47270</v>
      </c>
      <c r="D66" s="13" t="s">
        <v>67</v>
      </c>
      <c r="E66" s="13"/>
      <c r="F66" s="13"/>
      <c r="G66" s="86">
        <v>2029</v>
      </c>
      <c r="H66" s="102">
        <f>DATE(G66,MONTH('Input|General'!$G$9),1)</f>
        <v>47270</v>
      </c>
      <c r="I66" s="101" t="str">
        <f t="shared" si="0"/>
        <v>2028–29</v>
      </c>
      <c r="T66" s="14"/>
    </row>
    <row r="67" spans="1:23">
      <c r="C67" s="90">
        <v>47635</v>
      </c>
      <c r="D67" s="13" t="s">
        <v>67</v>
      </c>
      <c r="E67" s="13"/>
      <c r="F67" s="13"/>
      <c r="G67" s="86">
        <v>2030</v>
      </c>
      <c r="H67" s="102">
        <f>DATE(G67,MONTH('Input|General'!$G$9),1)</f>
        <v>47635</v>
      </c>
      <c r="I67" s="101" t="str">
        <f t="shared" si="0"/>
        <v>2029–30</v>
      </c>
      <c r="T67" s="14"/>
    </row>
    <row r="68" spans="1:23"/>
    <row r="69" spans="1:23" customFormat="1" ht="12.75">
      <c r="A69" s="30"/>
      <c r="B69" s="35" t="s">
        <v>146</v>
      </c>
      <c r="C69" s="30"/>
      <c r="D69" s="30"/>
      <c r="E69" s="30"/>
      <c r="F69" s="31"/>
      <c r="G69" s="31"/>
      <c r="H69" s="31"/>
      <c r="I69" s="31"/>
      <c r="J69" s="32"/>
      <c r="K69" s="33"/>
      <c r="L69" s="32"/>
      <c r="M69" s="33"/>
      <c r="N69" s="32"/>
      <c r="O69" s="32"/>
      <c r="P69" s="32"/>
      <c r="Q69" s="32"/>
      <c r="R69" s="32"/>
      <c r="S69" s="32"/>
      <c r="T69" s="32"/>
      <c r="U69" s="32"/>
      <c r="V69" s="33"/>
      <c r="W69" s="33"/>
    </row>
    <row r="70" spans="1:23"/>
    <row r="71" spans="1:23">
      <c r="C71" s="10" t="str">
        <f>B69</f>
        <v>Regulatory years</v>
      </c>
      <c r="D71" s="18" t="s">
        <v>7</v>
      </c>
      <c r="E71" s="18"/>
      <c r="F71" s="11"/>
      <c r="G71" s="11" t="s">
        <v>147</v>
      </c>
      <c r="H71" s="11" t="s">
        <v>114</v>
      </c>
    </row>
    <row r="72" spans="1:23">
      <c r="C72" s="12" t="s">
        <v>163</v>
      </c>
      <c r="D72" s="13" t="s">
        <v>95</v>
      </c>
      <c r="E72" s="18"/>
      <c r="F72" s="11"/>
      <c r="G72" s="101" t="str">
        <f>IF(H72="","",IF(MONTH(H72)=12,YEAR(H72),YEAR(H72)-1&amp;"–"&amp;RIGHT(YEAR(H72),2)))</f>
        <v>2018–19</v>
      </c>
      <c r="H72" s="102">
        <f>DATE(PPFirstYear-1,MONTH('Input|General'!$G$9),1)</f>
        <v>43617</v>
      </c>
    </row>
    <row r="73" spans="1:23">
      <c r="C73" s="12" t="s">
        <v>134</v>
      </c>
      <c r="D73" s="13" t="s">
        <v>95</v>
      </c>
      <c r="E73" s="13"/>
      <c r="F73" s="13"/>
      <c r="G73" s="101" t="str">
        <f t="shared" ref="G73:G82" si="1">IF(H73="","",IF(MONTH(H73)=12,YEAR(H73),YEAR(H73)-1&amp;"–"&amp;RIGHT(YEAR(H73),2)))</f>
        <v>2019–20</v>
      </c>
      <c r="H73" s="102">
        <f>DATE(PPFirstYear,MONTH('Input|General'!$G$9),1)</f>
        <v>43983</v>
      </c>
    </row>
    <row r="74" spans="1:23">
      <c r="C74" s="12" t="s">
        <v>135</v>
      </c>
      <c r="D74" s="13" t="s">
        <v>95</v>
      </c>
      <c r="E74" s="13"/>
      <c r="F74" s="13"/>
      <c r="G74" s="101" t="str">
        <f t="shared" si="1"/>
        <v>2020–21</v>
      </c>
      <c r="H74" s="102">
        <f>IF(PPLastYear-PPFirstYear&lt;1,"",DATE(PPFirstYear+1,MONTH('Input|General'!$G$9),1))</f>
        <v>44348</v>
      </c>
    </row>
    <row r="75" spans="1:23">
      <c r="C75" s="12" t="s">
        <v>136</v>
      </c>
      <c r="D75" s="13" t="s">
        <v>95</v>
      </c>
      <c r="E75" s="13"/>
      <c r="F75" s="13"/>
      <c r="G75" s="101" t="str">
        <f t="shared" si="1"/>
        <v>2021–22</v>
      </c>
      <c r="H75" s="102">
        <f>IF(PPLastYear-PPFirstYear&lt;2,"",DATE(PPFirstYear+2,MONTH('Input|General'!$G$9),1))</f>
        <v>44713</v>
      </c>
    </row>
    <row r="76" spans="1:23">
      <c r="C76" s="12" t="s">
        <v>137</v>
      </c>
      <c r="D76" s="13" t="s">
        <v>95</v>
      </c>
      <c r="E76" s="13"/>
      <c r="F76" s="13"/>
      <c r="G76" s="101" t="str">
        <f t="shared" si="1"/>
        <v>2022–23</v>
      </c>
      <c r="H76" s="102">
        <f>IF(PPLastYear-PPFirstYear&lt;3,"",DATE(PPFirstYear+3,MONTH('Input|General'!$G$9),1))</f>
        <v>45078</v>
      </c>
    </row>
    <row r="77" spans="1:23">
      <c r="C77" s="12" t="s">
        <v>138</v>
      </c>
      <c r="D77" s="13" t="s">
        <v>95</v>
      </c>
      <c r="E77" s="13"/>
      <c r="F77" s="13"/>
      <c r="G77" s="101" t="str">
        <f t="shared" si="1"/>
        <v>2023–24</v>
      </c>
      <c r="H77" s="102">
        <f>IF(PPLastYear-PPFirstYear&lt;4,"",DATE(PPFirstYear+4,MONTH('Input|General'!$G$9),1))</f>
        <v>45444</v>
      </c>
    </row>
    <row r="78" spans="1:23">
      <c r="C78" s="12" t="s">
        <v>165</v>
      </c>
      <c r="D78" s="13" t="s">
        <v>95</v>
      </c>
      <c r="E78" s="13"/>
      <c r="F78" s="13"/>
      <c r="G78" s="101" t="str">
        <f t="shared" si="1"/>
        <v/>
      </c>
      <c r="H78" s="102" t="str">
        <f>IF(PPLastYear-PPFirstYear&lt;5,"",DATE(PPFirstYear+5,MONTH('Input|General'!$G$9),1))</f>
        <v/>
      </c>
    </row>
    <row r="79" spans="1:23">
      <c r="C79" s="12" t="s">
        <v>139</v>
      </c>
      <c r="D79" s="13" t="s">
        <v>95</v>
      </c>
      <c r="E79" s="13"/>
      <c r="F79" s="13"/>
      <c r="G79" s="101" t="str">
        <f t="shared" si="1"/>
        <v>2024–25</v>
      </c>
      <c r="H79" s="102">
        <f>DATE(FPFirstYear,MONTH('Input|General'!$G$9),1)</f>
        <v>45809</v>
      </c>
      <c r="T79" s="14"/>
    </row>
    <row r="80" spans="1:23">
      <c r="C80" s="12" t="s">
        <v>140</v>
      </c>
      <c r="D80" s="13" t="s">
        <v>95</v>
      </c>
      <c r="E80" s="13"/>
      <c r="F80" s="13"/>
      <c r="G80" s="101" t="str">
        <f t="shared" si="1"/>
        <v>2025–26</v>
      </c>
      <c r="H80" s="102">
        <f>IF(FPLastYear-FPFirstYear&lt;1,"",DATE(FPFirstYear+1,MONTH('Input|General'!$G$9),1))</f>
        <v>46174</v>
      </c>
      <c r="T80" s="14"/>
    </row>
    <row r="81" spans="1:23">
      <c r="C81" s="12" t="s">
        <v>141</v>
      </c>
      <c r="D81" s="13" t="s">
        <v>95</v>
      </c>
      <c r="E81" s="13"/>
      <c r="F81" s="13"/>
      <c r="G81" s="101" t="str">
        <f t="shared" si="1"/>
        <v>2026–27</v>
      </c>
      <c r="H81" s="102">
        <f>IF(FPLastYear-FPFirstYear&lt;2,"",DATE(FPFirstYear+2,MONTH('Input|General'!$G$9),1))</f>
        <v>46539</v>
      </c>
      <c r="T81" s="14"/>
    </row>
    <row r="82" spans="1:23">
      <c r="C82" s="12" t="s">
        <v>142</v>
      </c>
      <c r="D82" s="13" t="s">
        <v>95</v>
      </c>
      <c r="E82" s="13"/>
      <c r="F82" s="13"/>
      <c r="G82" s="101" t="str">
        <f t="shared" si="1"/>
        <v>2027–28</v>
      </c>
      <c r="H82" s="102">
        <f>IF(FPLastYear-FPFirstYear&lt;3,"",DATE(FPFirstYear+3,MONTH('Input|General'!$G$9),1))</f>
        <v>46905</v>
      </c>
      <c r="T82" s="14"/>
    </row>
    <row r="83" spans="1:23">
      <c r="C83" s="12" t="s">
        <v>143</v>
      </c>
      <c r="D83" s="13" t="s">
        <v>95</v>
      </c>
      <c r="E83" s="13"/>
      <c r="F83" s="13"/>
      <c r="G83" s="101" t="str">
        <f>IF(H83="","",IF(MONTH(H83)=12,YEAR(H83),YEAR(H83)-1&amp;"–"&amp;RIGHT(YEAR(H83),2)))</f>
        <v>2028–29</v>
      </c>
      <c r="H83" s="102">
        <f>IF(FPLastYear-FPFirstYear&lt;4,"",DATE(FPFirstYear+4,MONTH('Input|General'!$G$9),1))</f>
        <v>47270</v>
      </c>
      <c r="T83" s="14"/>
    </row>
    <row r="84" spans="1:23">
      <c r="C84" s="12"/>
      <c r="D84" s="13"/>
      <c r="E84" s="13"/>
      <c r="F84" s="13"/>
      <c r="G84" s="109"/>
      <c r="H84" s="110"/>
      <c r="T84" s="14"/>
    </row>
    <row r="85" spans="1:23" customFormat="1" ht="12.75">
      <c r="A85" s="30"/>
      <c r="B85" s="35" t="s">
        <v>21</v>
      </c>
      <c r="C85" s="30"/>
      <c r="D85" s="30"/>
      <c r="E85" s="30"/>
      <c r="F85" s="31"/>
      <c r="G85" s="31"/>
      <c r="H85" s="31"/>
      <c r="I85" s="31"/>
      <c r="J85" s="32"/>
      <c r="K85" s="33"/>
      <c r="L85" s="32"/>
      <c r="M85" s="33"/>
      <c r="N85" s="32"/>
      <c r="O85" s="32"/>
      <c r="P85" s="32"/>
      <c r="Q85" s="32"/>
      <c r="R85" s="32"/>
      <c r="S85" s="32"/>
      <c r="T85" s="32"/>
      <c r="U85" s="32"/>
      <c r="V85" s="33"/>
      <c r="W85" s="33"/>
    </row>
  </sheetData>
  <conditionalFormatting sqref="P21:Q28">
    <cfRule type="expression" dxfId="11" priority="56" stopIfTrue="1">
      <formula>#REF!="Actual"</formula>
    </cfRule>
  </conditionalFormatting>
  <conditionalFormatting sqref="P21:P28">
    <cfRule type="expression" dxfId="10" priority="55" stopIfTrue="1">
      <formula>#REF!="Actual"</formula>
    </cfRule>
  </conditionalFormatting>
  <conditionalFormatting sqref="V1">
    <cfRule type="cellIs" dxfId="9" priority="5" operator="equal">
      <formula>"Check"</formula>
    </cfRule>
    <cfRule type="cellIs" dxfId="8" priority="6" operator="equal">
      <formula>"Ok"</formula>
    </cfRule>
  </conditionalFormatting>
  <conditionalFormatting sqref="S1">
    <cfRule type="cellIs" dxfId="7" priority="3" operator="equal">
      <formula>"Check"</formula>
    </cfRule>
    <cfRule type="cellIs" dxfId="6" priority="4" operator="equal">
      <formula>"Ok"</formula>
    </cfRule>
  </conditionalFormatting>
  <conditionalFormatting sqref="P68">
    <cfRule type="expression" dxfId="5" priority="2" stopIfTrue="1">
      <formula>#REF!="Actual"</formula>
    </cfRule>
  </conditionalFormatting>
  <conditionalFormatting sqref="Q68">
    <cfRule type="expression" dxfId="4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W23"/>
  <sheetViews>
    <sheetView showGridLines="0" workbookViewId="0">
      <selection activeCell="C15" sqref="C15"/>
    </sheetView>
  </sheetViews>
  <sheetFormatPr defaultColWidth="0" defaultRowHeight="11.25" zeroHeight="1"/>
  <cols>
    <col min="1" max="2" width="1.5" style="5" customWidth="1"/>
    <col min="3" max="3" width="42" style="5" customWidth="1"/>
    <col min="4" max="4" width="26.33203125" style="4" bestFit="1" customWidth="1"/>
    <col min="5" max="5" width="15.83203125" style="4" customWidth="1"/>
    <col min="6" max="6" width="10.6640625" style="4" customWidth="1"/>
    <col min="7" max="7" width="15" style="13" customWidth="1"/>
    <col min="8" max="9" width="5.33203125" style="5" customWidth="1"/>
    <col min="10" max="20" width="10.83203125" style="5" customWidth="1"/>
    <col min="21" max="23" width="10.83203125" style="5" hidden="1" customWidth="1"/>
    <col min="24" max="38" width="10.5" style="5" hidden="1" customWidth="1"/>
    <col min="39" max="16384" width="10.5" style="5" hidden="1"/>
  </cols>
  <sheetData>
    <row r="1" spans="1:20" s="25" customFormat="1" ht="15.75">
      <c r="B1" s="22" t="str">
        <f>Index!$B$1</f>
        <v>AER opex model - version: Evoenergy 24-29 DD</v>
      </c>
      <c r="C1" s="22"/>
      <c r="D1" s="22"/>
      <c r="E1" s="22"/>
      <c r="F1" s="23"/>
      <c r="G1" s="23"/>
      <c r="H1" s="23"/>
      <c r="I1" s="23"/>
      <c r="J1" s="24" t="s">
        <v>2</v>
      </c>
      <c r="L1" s="26" t="s">
        <v>3</v>
      </c>
      <c r="M1" s="41" t="s">
        <v>4</v>
      </c>
      <c r="N1" s="8" t="s">
        <v>5</v>
      </c>
      <c r="O1" s="9" t="s">
        <v>6</v>
      </c>
      <c r="R1" s="99" t="s">
        <v>24</v>
      </c>
      <c r="S1" s="27" t="str">
        <f ca="1">IF(COUNTIF(G10:G17,"Check")=0,"Ok","Check")</f>
        <v>Ok</v>
      </c>
    </row>
    <row r="2" spans="1:20" s="25" customFormat="1" ht="12.75">
      <c r="B2" s="38" t="str">
        <f>Index!$C$16</f>
        <v>Check | List</v>
      </c>
      <c r="C2" s="38"/>
      <c r="D2" s="38"/>
      <c r="E2" s="38"/>
      <c r="F2" s="39"/>
      <c r="G2" s="39"/>
      <c r="H2" s="39"/>
      <c r="I2" s="39"/>
    </row>
    <row r="3" spans="1:20" s="40" customFormat="1" ht="12.75">
      <c r="A3" s="30"/>
      <c r="B3" s="35"/>
      <c r="C3" s="30"/>
      <c r="D3" s="30"/>
      <c r="E3" s="30"/>
      <c r="F3" s="31"/>
      <c r="G3" s="31"/>
      <c r="H3" s="31"/>
      <c r="I3" s="31"/>
      <c r="J3" s="32"/>
      <c r="K3" s="33"/>
      <c r="L3" s="32"/>
      <c r="M3" s="33"/>
      <c r="N3" s="32"/>
      <c r="O3" s="32"/>
      <c r="P3" s="32"/>
      <c r="Q3" s="32"/>
      <c r="R3" s="32"/>
      <c r="S3" s="32"/>
      <c r="T3" s="32"/>
    </row>
    <row r="4" spans="1:20" s="3" customFormat="1" ht="3" customHeight="1"/>
    <row r="5" spans="1:20" s="3" customFormat="1" ht="9" customHeight="1"/>
    <row r="6" spans="1:20" s="3" customFormat="1" ht="3" customHeight="1"/>
    <row r="7" spans="1:20" customFormat="1" ht="12.75">
      <c r="A7" s="30"/>
      <c r="B7" s="35" t="s">
        <v>26</v>
      </c>
      <c r="C7" s="30"/>
      <c r="D7" s="30"/>
      <c r="E7" s="30"/>
      <c r="F7" s="31"/>
      <c r="G7" s="31"/>
      <c r="H7" s="31"/>
      <c r="I7" s="31"/>
      <c r="J7" s="32"/>
      <c r="K7" s="33"/>
      <c r="L7" s="32"/>
      <c r="M7" s="33"/>
      <c r="N7" s="32"/>
      <c r="O7" s="32"/>
      <c r="P7" s="32"/>
      <c r="Q7" s="32"/>
      <c r="R7" s="32"/>
      <c r="S7" s="32"/>
      <c r="T7" s="32"/>
    </row>
    <row r="8" spans="1:20"/>
    <row r="9" spans="1:20">
      <c r="C9" s="10" t="s">
        <v>27</v>
      </c>
      <c r="D9" s="11" t="s">
        <v>7</v>
      </c>
      <c r="E9" s="11" t="s">
        <v>8</v>
      </c>
      <c r="F9" s="11"/>
      <c r="G9" s="11" t="s">
        <v>29</v>
      </c>
    </row>
    <row r="10" spans="1:20">
      <c r="C10" s="12" t="str">
        <f>Index!C7</f>
        <v>Input | General</v>
      </c>
      <c r="D10" s="21" t="str">
        <f>C10</f>
        <v>Input | General</v>
      </c>
      <c r="E10" s="13" t="s">
        <v>28</v>
      </c>
      <c r="F10" s="13"/>
      <c r="G10" s="15" t="str">
        <f>'Input|General'!S1</f>
        <v>OK</v>
      </c>
      <c r="T10" s="14"/>
    </row>
    <row r="11" spans="1:20">
      <c r="C11" s="12" t="str">
        <f>Index!C8</f>
        <v>Input | Inflation</v>
      </c>
      <c r="D11" s="93" t="str">
        <f>C11</f>
        <v>Input | Inflation</v>
      </c>
      <c r="E11" s="13" t="s">
        <v>28</v>
      </c>
      <c r="F11" s="13"/>
      <c r="G11" s="15" t="str">
        <f>'Input|Inflation'!V1</f>
        <v>OK</v>
      </c>
      <c r="T11" s="14"/>
    </row>
    <row r="12" spans="1:20">
      <c r="C12" s="12" t="str">
        <f>Index!C9</f>
        <v>Input | Reported opex</v>
      </c>
      <c r="D12" s="21" t="str">
        <f t="shared" ref="D12:D17" si="0">C12</f>
        <v>Input | Reported opex</v>
      </c>
      <c r="E12" s="13" t="s">
        <v>28</v>
      </c>
      <c r="G12" s="15" t="str">
        <f>'Input|Reported opex'!S1</f>
        <v>OK</v>
      </c>
      <c r="H12" s="13"/>
      <c r="T12" s="14"/>
    </row>
    <row r="13" spans="1:20">
      <c r="C13" s="12" t="str">
        <f>Index!C10</f>
        <v>Input | Rate of change</v>
      </c>
      <c r="D13" s="21" t="str">
        <f t="shared" si="0"/>
        <v>Input | Rate of change</v>
      </c>
      <c r="E13" s="13" t="s">
        <v>28</v>
      </c>
      <c r="F13" s="13"/>
      <c r="G13" s="15" t="str">
        <f>'Input|Rate of change'!T1</f>
        <v>Ok</v>
      </c>
      <c r="H13" s="13"/>
      <c r="T13" s="14"/>
    </row>
    <row r="14" spans="1:20">
      <c r="C14" s="12" t="str">
        <f>Index!C11</f>
        <v>Input | Step changes</v>
      </c>
      <c r="D14" s="21" t="str">
        <f t="shared" si="0"/>
        <v>Input | Step changes</v>
      </c>
      <c r="E14" s="13" t="s">
        <v>28</v>
      </c>
      <c r="F14" s="13"/>
      <c r="G14" s="15" t="str">
        <f ca="1">'Input|Step changes'!S1</f>
        <v>OK</v>
      </c>
      <c r="H14" s="13"/>
      <c r="T14" s="14"/>
    </row>
    <row r="15" spans="1:20">
      <c r="C15" s="12" t="s">
        <v>226</v>
      </c>
      <c r="D15" s="21" t="str">
        <f>C15</f>
        <v>Input | Dx Tx split</v>
      </c>
      <c r="E15" s="13" t="s">
        <v>28</v>
      </c>
      <c r="F15" s="13"/>
      <c r="G15" s="15" t="str">
        <f>'Input|Dx Tx split'!S1</f>
        <v>OK</v>
      </c>
      <c r="H15" s="13"/>
      <c r="T15" s="14"/>
    </row>
    <row r="16" spans="1:20">
      <c r="C16" s="12" t="str">
        <f>Index!C13</f>
        <v>Calc | Opex Forecast</v>
      </c>
      <c r="D16" s="21" t="str">
        <f t="shared" si="0"/>
        <v>Calc | Opex Forecast</v>
      </c>
      <c r="E16" s="13" t="s">
        <v>28</v>
      </c>
      <c r="F16" s="13"/>
      <c r="G16" s="15" t="str">
        <f>'Calc|Opex forecast'!S1</f>
        <v>n/a</v>
      </c>
      <c r="H16" s="13"/>
      <c r="T16" s="14"/>
    </row>
    <row r="17" spans="1:20">
      <c r="C17" s="12" t="str">
        <f>Index!C14</f>
        <v>Output | Models</v>
      </c>
      <c r="D17" s="21" t="str">
        <f t="shared" si="0"/>
        <v>Output | Models</v>
      </c>
      <c r="E17" s="13" t="s">
        <v>28</v>
      </c>
      <c r="F17" s="13"/>
      <c r="G17" s="15" t="str">
        <f>'Output|Models'!S1</f>
        <v>n/a</v>
      </c>
      <c r="H17" s="13"/>
      <c r="T17" s="14"/>
    </row>
    <row r="18" spans="1:20">
      <c r="C18" s="12"/>
    </row>
    <row r="19" spans="1:20" customFormat="1" ht="12.75">
      <c r="A19" s="30"/>
      <c r="B19" s="35" t="s">
        <v>21</v>
      </c>
      <c r="C19" s="30"/>
      <c r="D19" s="30"/>
      <c r="E19" s="30"/>
      <c r="F19" s="31"/>
      <c r="G19" s="31"/>
      <c r="H19" s="31"/>
      <c r="I19" s="31"/>
      <c r="J19" s="32"/>
      <c r="K19" s="33"/>
      <c r="L19" s="32"/>
      <c r="M19" s="33"/>
      <c r="N19" s="32"/>
      <c r="O19" s="32"/>
      <c r="P19" s="32"/>
      <c r="Q19" s="32"/>
      <c r="R19" s="32"/>
      <c r="S19" s="32"/>
      <c r="T19" s="32"/>
    </row>
    <row r="20" spans="1:20" hidden="1">
      <c r="D20" s="5"/>
      <c r="E20" s="5"/>
      <c r="F20" s="5"/>
      <c r="G20" s="5"/>
    </row>
    <row r="21" spans="1:20" hidden="1">
      <c r="D21" s="5"/>
      <c r="E21" s="5"/>
      <c r="F21" s="5"/>
      <c r="G21" s="5"/>
    </row>
    <row r="22" spans="1:20" hidden="1">
      <c r="D22" s="5"/>
      <c r="E22" s="5"/>
      <c r="F22" s="5"/>
      <c r="G22" s="5"/>
    </row>
    <row r="23" spans="1:20" hidden="1">
      <c r="D23" s="5"/>
      <c r="E23" s="5"/>
      <c r="F23" s="5"/>
      <c r="G23" s="5"/>
    </row>
  </sheetData>
  <conditionalFormatting sqref="G10:G17">
    <cfRule type="cellIs" dxfId="3" priority="13" operator="equal">
      <formula>"Check"</formula>
    </cfRule>
    <cfRule type="cellIs" dxfId="2" priority="1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6" location="'Calc|Opex forecast'!A1" display="'Calc|Opex forecast'!A1" xr:uid="{00000000-0004-0000-0C00-000005000000}"/>
    <hyperlink ref="D17" location="'Output|Models'!A1" display="'Output|Models'!A1" xr:uid="{00000000-0004-0000-0C00-000006000000}"/>
    <hyperlink ref="D11" location="'Input|Inflation'!A1" display="'Input|Inflation'!A1" xr:uid="{00000000-0004-0000-0C00-000007000000}"/>
    <hyperlink ref="R1" location="'Check|List'!A1" display="Overall Check:" xr:uid="{00000000-0004-0000-0C00-000008000000}"/>
    <hyperlink ref="D15" location="'Input|Dx Tx split'!A1" display="'Input|Dx Tx split'!A1" xr:uid="{14BA65E3-01D1-44E9-B60C-D9B2630FAF86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Input|Dx Tx split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2023-09-21T03:56:24Z</dcterms:created>
  <dcterms:modified xsi:type="dcterms:W3CDTF">2023-09-21T03:56:41Z</dcterms:modified>
</cp:coreProperties>
</file>