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sjerg\AppData\Roaming\iManage\Work\Recent\AER212494 - Endeavour Energy Determination 2024-29 (DX)\"/>
    </mc:Choice>
  </mc:AlternateContent>
  <xr:revisionPtr revIDLastSave="0" documentId="13_ncr:1_{E5FB3FA1-981D-4327-BE73-0E596874C3F1}" xr6:coauthVersionLast="47" xr6:coauthVersionMax="47" xr10:uidLastSave="{00000000-0000-0000-0000-000000000000}"/>
  <bookViews>
    <workbookView xWindow="-120" yWindow="-120" windowWidth="29040" windowHeight="15840" xr2:uid="{00000000-000D-0000-FFFF-FFFF00000000}"/>
  </bookViews>
  <sheets>
    <sheet name="Index" sheetId="22" r:id="rId1"/>
    <sheet name="Lookup tables" sheetId="24" r:id="rId2"/>
    <sheet name="Data|Overheads" sheetId="42" r:id="rId3"/>
    <sheet name="Data|EBRIN" sheetId="30" r:id="rId4"/>
    <sheet name="Data|OEFs - Short" sheetId="40" r:id="rId5"/>
    <sheet name="Data|OEFs - Long" sheetId="41" r:id="rId6"/>
    <sheet name="Data|CPI" sheetId="33" r:id="rId7"/>
    <sheet name="Data|Forecasts" sheetId="31" r:id="rId8"/>
    <sheet name="Input|Parameters" sheetId="20" r:id="rId9"/>
    <sheet name="Input|Econometrics - Short" sheetId="34" r:id="rId10"/>
    <sheet name="Input|Econometrics - Long" sheetId="25" r:id="rId11"/>
    <sheet name="Calc|Cost drivers" sheetId="23" r:id="rId12"/>
    <sheet name="Calc|Efficiency target" sheetId="27" r:id="rId13"/>
    <sheet name="Calc|Opex forecasts - Short" sheetId="37" r:id="rId14"/>
    <sheet name="Calc|Opex forecasts - Long" sheetId="28" r:id="rId15"/>
    <sheet name="Output|Summary" sheetId="29" r:id="rId16"/>
  </sheets>
  <externalReferences>
    <externalReference r:id="rId17"/>
    <externalReference r:id="rId18"/>
    <externalReference r:id="rId19"/>
    <externalReference r:id="rId20"/>
    <externalReference r:id="rId21"/>
  </externalReferences>
  <definedNames>
    <definedName name="_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513</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5" hidden="1">[1]PCOR00!#REF!</definedName>
    <definedName name="_BQ4.1" localSheetId="8" hidden="1">[1]PCOR00!#REF!</definedName>
    <definedName name="_BQ4.1" hidden="1">[1]PCOR00!#REF!</definedName>
    <definedName name="_BQ4.5" localSheetId="5" hidden="1">#REF!</definedName>
    <definedName name="_BQ4.5" localSheetId="8" hidden="1">#REF!</definedName>
    <definedName name="_BQ4.5" hidden="1">#REF!</definedName>
    <definedName name="_BQ4.6" localSheetId="5" hidden="1">#REF!</definedName>
    <definedName name="_BQ4.6" localSheetId="8" hidden="1">#REF!</definedName>
    <definedName name="_BQ4.6" hidden="1">#REF!</definedName>
    <definedName name="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a" hidden="1">{#N/A,#N/A,FALSE,"Bgt";#N/A,#N/A,FALSE,"Act";#N/A,#N/A,FALSE,"Chrt Data";#N/A,#N/A,FALSE,"Bus Result";#N/A,#N/A,FALSE,"Main Charts";#N/A,#N/A,FALSE,"P&amp;L Ttl";#N/A,#N/A,FALSE,"P&amp;L C_Ttl";#N/A,#N/A,FALSE,"P&amp;L C_Oct";#N/A,#N/A,FALSE,"P&amp;L C_Sep";#N/A,#N/A,FALSE,"1996";#N/A,#N/A,FALSE,"Data"}</definedName>
    <definedName name="AA" hidden="1">{#N/A,#N/A,FALSE,"Bgt";#N/A,#N/A,FALSE,"Act";#N/A,#N/A,FALSE,"Chrt Data";#N/A,#N/A,FALSE,"Bus Result";#N/A,#N/A,FALSE,"Main Charts";#N/A,#N/A,FALSE,"P&amp;L Ttl";#N/A,#N/A,FALSE,"P&amp;L C_Ttl";#N/A,#N/A,FALSE,"P&amp;L C_Oct";#N/A,#N/A,FALSE,"P&amp;L C_Sep";#N/A,#N/A,FALSE,"1996";#N/A,#N/A,FALSE,"Data"}</definedName>
    <definedName name="animal" hidden="1">{#N/A,#N/A,FALSE,"Bgt";#N/A,#N/A,FALSE,"Act";#N/A,#N/A,FALSE,"Chrt Data";#N/A,#N/A,FALSE,"Bus Result";#N/A,#N/A,FALSE,"Main Charts";#N/A,#N/A,FALSE,"P&amp;L Ttl";#N/A,#N/A,FALSE,"P&amp;L C_Ttl";#N/A,#N/A,FALSE,"P&amp;L C_Oct";#N/A,#N/A,FALSE,"P&amp;L C_Sep";#N/A,#N/A,FALSE,"1996";#N/A,#N/A,FALSE,"Data"}</definedName>
    <definedName name="anscount" hidden="1">1</definedName>
    <definedName name="as" hidden="1">{#N/A,#N/A,FALSE,"SUM QTR 3";#N/A,#N/A,FALSE,"Detail QTR 3 (w_o ly)"}</definedName>
    <definedName name="b" hidden="1">{#N/A,#N/A,FALSE,"Bgt";#N/A,#N/A,FALSE,"Act";#N/A,#N/A,FALSE,"Chrt Data";#N/A,#N/A,FALSE,"Bus Result";#N/A,#N/A,FALSE,"Main Charts";#N/A,#N/A,FALSE,"P&amp;L Ttl";#N/A,#N/A,FALSE,"P&amp;L C_Ttl";#N/A,#N/A,FALSE,"P&amp;L C_Oct";#N/A,#N/A,FALSE,"P&amp;L C_Sep";#N/A,#N/A,FALSE,"1996";#N/A,#N/A,FALSE,"Data"}</definedName>
    <definedName name="BEx0017DGUEDPCFJUPUZOOLJCS2B" hidden="1">'[2]Reco Sheet for Fcast'!$I$9:$J$9</definedName>
    <definedName name="BEx001CNWHJ5RULCSFM36ZCGJ1UH" hidden="1">'[2]Reco Sheet for Fcast'!$F$11:$G$11</definedName>
    <definedName name="BEx004791UAJIJSN57OT7YBLNP82" hidden="1">'[2]Reco Sheet for Fcast'!$H$2:$I$2</definedName>
    <definedName name="BEx008P2NVFDLBHL7IZ5WTMVOQ1F" localSheetId="5" hidden="1">'[3]AMI P &amp; L'!#REF!</definedName>
    <definedName name="BEx008P2NVFDLBHL7IZ5WTMVOQ1F" localSheetId="8" hidden="1">'[3]AMI P &amp; L'!#REF!</definedName>
    <definedName name="BEx008P2NVFDLBHL7IZ5WTMVOQ1F" hidden="1">'[3]AMI P &amp; L'!#REF!</definedName>
    <definedName name="BEx009G00IN0JUIAQ4WE9NHTMQE2" hidden="1">'[2]Reco Sheet for Fcast'!$I$8:$J$8</definedName>
    <definedName name="BEx00DXTY2JDVGWQKV8H7FG4SV30" hidden="1">'[2]Reco Sheet for Fcast'!$F$11:$G$11</definedName>
    <definedName name="BEx00GHLTYRH5N2S6P78YW1CD30N" hidden="1">'[2]Reco Sheet for Fcast'!$F$11:$G$11</definedName>
    <definedName name="BEx00JC31DY11L45SEU4B10BIN6W" hidden="1">'[2]Reco Sheet for Fcast'!$K$2</definedName>
    <definedName name="BEx00KZHZBHP3TDV1YMX4B19B95O" localSheetId="5" hidden="1">'[3]AMI P &amp; L'!#REF!</definedName>
    <definedName name="BEx00KZHZBHP3TDV1YMX4B19B95O" localSheetId="8" hidden="1">'[3]AMI P &amp; L'!#REF!</definedName>
    <definedName name="BEx00KZHZBHP3TDV1YMX4B19B95O" hidden="1">'[3]AMI P &amp; L'!#REF!</definedName>
    <definedName name="BEx00WOACHDXJ6I70WQ2OGP79902" localSheetId="5" hidden="1">#REF!</definedName>
    <definedName name="BEx00WOACHDXJ6I70WQ2OGP79902" localSheetId="8" hidden="1">#REF!</definedName>
    <definedName name="BEx00WOACHDXJ6I70WQ2OGP79902" hidden="1">#REF!</definedName>
    <definedName name="BEx01DAZE5WX4UTU2TLKODE60MKZ" hidden="1">'[2]Reco Sheet for Fcast'!$F$6:$G$6</definedName>
    <definedName name="BEx01HY6E3GJ66ABU5ABN26V6Q13" hidden="1">'[2]Reco Sheet for Fcast'!$G$2</definedName>
    <definedName name="BEx01PW5YQKEGAR8JDDI5OARYXDF" hidden="1">'[2]Reco Sheet for Fcast'!$F$9:$G$9</definedName>
    <definedName name="BEx01XJ94SHJ1YQ7ORPW0RQGKI2H" hidden="1">'[2]Reco Sheet for Fcast'!$F$11:$G$11</definedName>
    <definedName name="BEx02Q08R9G839Q4RFGG9026C7PX" localSheetId="5" hidden="1">'[3]AMI P &amp; L'!#REF!</definedName>
    <definedName name="BEx02Q08R9G839Q4RFGG9026C7PX" localSheetId="8" hidden="1">'[3]AMI P &amp; L'!#REF!</definedName>
    <definedName name="BEx02Q08R9G839Q4RFGG9026C7PX" hidden="1">'[3]AMI P &amp; L'!#REF!</definedName>
    <definedName name="BEx02SEL3Z1QWGAHXDPUA9WLTTPS" hidden="1">'[2]Reco Sheet for Fcast'!$F$11:$G$11</definedName>
    <definedName name="BEx02Y3KJZH5BGDM9QEZ1PVVI114" hidden="1">'[2]Reco Sheet for Fcast'!$F$8:$G$8</definedName>
    <definedName name="BEx0313GRLLASDTVPW5DHTXHE74M" hidden="1">'[2]Reco Sheet for Fcast'!$I$6:$J$6</definedName>
    <definedName name="BEx1F0SOZ3H5XUHXD7O01TCR8T6J" hidden="1">'[2]Reco Sheet for Fcast'!$F$10:$G$10</definedName>
    <definedName name="BEx1F9HL824UCNCVZ2U62J4KZCX8" hidden="1">'[2]Reco Sheet for Fcast'!$F$7:$G$7</definedName>
    <definedName name="BEx1FEVSJKTI1Q1Z874QZVFSJSVA" hidden="1">'[2]Reco Sheet for Fcast'!$I$6:$J$6</definedName>
    <definedName name="BEx1FGDRUHHLI1GBHELT4PK0LY4V" hidden="1">'[2]Reco Sheet for Fcast'!$I$9:$J$9</definedName>
    <definedName name="BEx1FJZ7GKO99IYTP6GGGF7EUL3Z" hidden="1">'[2]Reco Sheet for Fcast'!$I$7:$J$7</definedName>
    <definedName name="BEx1FSDBU7WQN41S8RKJEK69AVRU" hidden="1">'[2]Reco Sheet for Fcast'!$F$6:$G$6</definedName>
    <definedName name="BEx1FZV2CM77TBH1R6YYV9P06KA2" hidden="1">'[2]Reco Sheet for Fcast'!$F$9:$G$9</definedName>
    <definedName name="BEx1G59AY8195JTUM6P18VXUFJ3E" hidden="1">'[2]Reco Sheet for Fcast'!$F$9:$G$9</definedName>
    <definedName name="BEx1GVBYVO13O10BPURJQKD3L4DD" hidden="1">'[4]Bud Mth'!$I$8:$J$8</definedName>
    <definedName name="BEx1GVMRHFXUP6XYYY9NR12PV5TF" hidden="1">'[2]Reco Sheet for Fcast'!$F$8:$G$8</definedName>
    <definedName name="BEx1H6KIT7BHUH6MDDWC935V9N47" hidden="1">'[2]Reco Sheet for Fcast'!$I$8:$J$8</definedName>
    <definedName name="BEx1H8YTIDTTO90YLC2ZSSNJ7TNN" localSheetId="5" hidden="1">'[5]Capital orders'!#REF!</definedName>
    <definedName name="BEx1H8YTIDTTO90YLC2ZSSNJ7TNN" localSheetId="8" hidden="1">'[5]Capital orders'!#REF!</definedName>
    <definedName name="BEx1H8YTIDTTO90YLC2ZSSNJ7TNN" hidden="1">'[5]Capital orders'!#REF!</definedName>
    <definedName name="BEx1HDGOOJ3SKHYMWUZJ1P0RQZ9N" hidden="1">'[2]Reco Sheet for Fcast'!$H$2:$I$2</definedName>
    <definedName name="BEx1HDM5ZXSJG6JQEMSFV52PZ10V" hidden="1">'[2]Reco Sheet for Fcast'!$I$9:$J$9</definedName>
    <definedName name="BEx1HETBBZVN5F43LKOFMC4QB0CR" hidden="1">'[2]Reco Sheet for Fcast'!$F$9:$G$9</definedName>
    <definedName name="BEx1HGWNWPLNXICOTP90TKQVVE4E" hidden="1">'[2]Reco Sheet for Fcast'!$H$2:$I$2</definedName>
    <definedName name="BEx1HH266WCSRYYOY23LANSAM8Z1" localSheetId="5" hidden="1">#REF!</definedName>
    <definedName name="BEx1HH266WCSRYYOY23LANSAM8Z1" localSheetId="8" hidden="1">#REF!</definedName>
    <definedName name="BEx1HH266WCSRYYOY23LANSAM8Z1" hidden="1">#REF!</definedName>
    <definedName name="BEx1HIPLJZABY0EMUOTZN0EQMDPU" hidden="1">'[2]Reco Sheet for Fcast'!$F$7:$G$7</definedName>
    <definedName name="BEx1HO94JIRX219MPWMB5E5XZ04X" hidden="1">'[2]Reco Sheet for Fcast'!$F$10:$G$10</definedName>
    <definedName name="BEx1HQNF6KHM21E3XLW0NMSSEI9S" hidden="1">'[2]Reco Sheet for Fcast'!$F$9:$G$9</definedName>
    <definedName name="BEx1HSLNWIW4S97ZBYY7I7M5YVH4" hidden="1">'[2]Reco Sheet for Fcast'!$I$8:$J$8</definedName>
    <definedName name="BEx1I4L21EMOYZ97EOEQ30N9KV83" localSheetId="5" hidden="1">#REF!</definedName>
    <definedName name="BEx1I4L21EMOYZ97EOEQ30N9KV83" localSheetId="8" hidden="1">#REF!</definedName>
    <definedName name="BEx1I4L21EMOYZ97EOEQ30N9KV83" hidden="1">#REF!</definedName>
    <definedName name="BEx1I4QKTILCKZUSOJCVZN7SNHL5" hidden="1">'[2]Reco Sheet for Fcast'!$F$6:$G$6</definedName>
    <definedName name="BEx1IE0ZP7RIFM9FI24S9I6AAJ14" hidden="1">'[2]Reco Sheet for Fcast'!$F$15</definedName>
    <definedName name="BEx1IGQ5B697MNDOE06MVSR0H58E" hidden="1">'[2]Reco Sheet for Fcast'!$F$11:$G$11</definedName>
    <definedName name="BEx1IKRPW8MLB9Y485M1TL2IT9SH" hidden="1">'[2]Reco Sheet for Fcast'!$F$15</definedName>
    <definedName name="BEx1J0CSSHDJGBJUHVOEMCF2P4DL" hidden="1">'[2]Reco Sheet for Fcast'!$I$9:$J$9</definedName>
    <definedName name="BEx1J6NC9DE7CANGLXQGIAHI2C92" hidden="1">'[2]Reco Sheet for Fcast'!$I$8:$J$8</definedName>
    <definedName name="BEx1J7E8VCGLPYU82QXVUG5N3ZAI" localSheetId="5" hidden="1">'[3]AMI P &amp; L'!#REF!</definedName>
    <definedName name="BEx1J7E8VCGLPYU82QXVUG5N3ZAI" localSheetId="8" hidden="1">'[3]AMI P &amp; L'!#REF!</definedName>
    <definedName name="BEx1J7E8VCGLPYU82QXVUG5N3ZAI" hidden="1">'[3]AMI P &amp; L'!#REF!</definedName>
    <definedName name="BEx1JGE2YQWH8S25USOY08XVGO0D" hidden="1">'[2]Reco Sheet for Fcast'!$I$10:$J$10</definedName>
    <definedName name="BEx1JJJC9T1W7HY4V7HP1S1W4JO1" hidden="1">'[2]Reco Sheet for Fcast'!$F$10:$G$10</definedName>
    <definedName name="BEx1JKKZSJ7DI4PTFVI9VVFMB1X2" hidden="1">'[2]Reco Sheet for Fcast'!$F$6:$G$6</definedName>
    <definedName name="BEx1JPJ2JSOQN114PESLM5AHS817" localSheetId="5" hidden="1">#REF!</definedName>
    <definedName name="BEx1JPJ2JSOQN114PESLM5AHS817" localSheetId="8" hidden="1">#REF!</definedName>
    <definedName name="BEx1JPJ2JSOQN114PESLM5AHS817" hidden="1">#REF!</definedName>
    <definedName name="BEx1JUBQFRVMASSFK4B3V0AD7YP9" hidden="1">'[2]Reco Sheet for Fcast'!$I$7:$J$7</definedName>
    <definedName name="BEx1JXBM5W4YRWNQ0P95QQS6JWD6" hidden="1">'[2]Reco Sheet for Fcast'!$I$6:$J$6</definedName>
    <definedName name="BEx1KGY9QEHZ9QSARMQUTQKRK4UX" hidden="1">'[2]Reco Sheet for Fcast'!$I$8:$J$8</definedName>
    <definedName name="BEx1KKP1ELIF2UII2FWVGL7M1X7J" hidden="1">'[2]Reco Sheet for Fcast'!$F$10:$G$10</definedName>
    <definedName name="BEx1KUVWMB0QCWA3RBE4CADFVRIS" hidden="1">'[2]Reco Sheet for Fcast'!$F$15</definedName>
    <definedName name="BEx1KZZC3KMOCVC65KUPQLQG4VI6" localSheetId="5" hidden="1">'[5]Capital orders'!#REF!</definedName>
    <definedName name="BEx1KZZC3KMOCVC65KUPQLQG4VI6" localSheetId="8" hidden="1">'[5]Capital orders'!#REF!</definedName>
    <definedName name="BEx1KZZC3KMOCVC65KUPQLQG4VI6" hidden="1">'[5]Capital orders'!#REF!</definedName>
    <definedName name="BEx1L2OG1SDFK2TPXELJ77YP4NI2" hidden="1">'[2]Reco Sheet for Fcast'!$I$7:$J$7</definedName>
    <definedName name="BEx1L6Q60MWRDJB4L20LK0XPA0Z2" hidden="1">'[2]Reco Sheet for Fcast'!$I$9:$J$9</definedName>
    <definedName name="BEx1LD63FP2Z4BR9TKSHOZW9KKZ5" hidden="1">'[2]Reco Sheet for Fcast'!$G$2</definedName>
    <definedName name="BEx1LDMB9RW982DUILM2WPT5VWQ3" hidden="1">'[2]Reco Sheet for Fcast'!$H$2:$I$2</definedName>
    <definedName name="BEx1LRPGDQCOEMW8YT80J1XCDCIV" hidden="1">'[2]Reco Sheet for Fcast'!$F$6:$G$6</definedName>
    <definedName name="BEx1LRUSJW4JG54X07QWD9R27WV9" localSheetId="5" hidden="1">'[3]AMI P &amp; L'!#REF!</definedName>
    <definedName name="BEx1LRUSJW4JG54X07QWD9R27WV9" localSheetId="8" hidden="1">'[3]AMI P &amp; L'!#REF!</definedName>
    <definedName name="BEx1LRUSJW4JG54X07QWD9R27WV9" hidden="1">'[3]AMI P &amp; L'!#REF!</definedName>
    <definedName name="BEx1M1WBK5T0LP1AK2JYV6W87ID6" hidden="1">'[2]Reco Sheet for Fcast'!$F$10:$G$10</definedName>
    <definedName name="BEx1M2CEKIG7U2M98E8QT7PXKFJI" localSheetId="5" hidden="1">#REF!</definedName>
    <definedName name="BEx1M2CEKIG7U2M98E8QT7PXKFJI" localSheetId="8" hidden="1">#REF!</definedName>
    <definedName name="BEx1M2CEKIG7U2M98E8QT7PXKFJI" hidden="1">#REF!</definedName>
    <definedName name="BEx1M51HHDYGIT8PON7U8ICL2S95" hidden="1">'[2]Reco Sheet for Fcast'!$F$10:$G$10</definedName>
    <definedName name="BEx1M9DVXW1QKW4BT3H733BJ74CE" localSheetId="5" hidden="1">#REF!</definedName>
    <definedName name="BEx1M9DVXW1QKW4BT3H733BJ74CE" localSheetId="8" hidden="1">#REF!</definedName>
    <definedName name="BEx1M9DVXW1QKW4BT3H733BJ74CE" hidden="1">#REF!</definedName>
    <definedName name="BEx1MJVIWNE5X8L7TRVWT9WWEUBJ" localSheetId="5" hidden="1">#REF!</definedName>
    <definedName name="BEx1MJVIWNE5X8L7TRVWT9WWEUBJ" localSheetId="8" hidden="1">#REF!</definedName>
    <definedName name="BEx1MJVIWNE5X8L7TRVWT9WWEUBJ" hidden="1">#REF!</definedName>
    <definedName name="BEx1MMFAHNWB5B2QUWBELI39PCEY" hidden="1">'[4]Bud Mth'!$C$15:$D$29</definedName>
    <definedName name="BEx1MTRKKVCHOZ0YGID6HZ49LJTO" localSheetId="5" hidden="1">'[3]AMI P &amp; L'!#REF!</definedName>
    <definedName name="BEx1MTRKKVCHOZ0YGID6HZ49LJTO" localSheetId="8" hidden="1">'[3]AMI P &amp; L'!#REF!</definedName>
    <definedName name="BEx1MTRKKVCHOZ0YGID6HZ49LJTO" hidden="1">'[3]AMI P &amp; L'!#REF!</definedName>
    <definedName name="BEx1N0CYK8OCCI654CPSXGPO2B4B" localSheetId="5" hidden="1">#REF!</definedName>
    <definedName name="BEx1N0CYK8OCCI654CPSXGPO2B4B" localSheetId="8" hidden="1">#REF!</definedName>
    <definedName name="BEx1N0CYK8OCCI654CPSXGPO2B4B" hidden="1">#REF!</definedName>
    <definedName name="BEx1N3CUJ3UX61X38ZAJVPEN4KMC" hidden="1">'[2]Reco Sheet for Fcast'!$K$2</definedName>
    <definedName name="BEx1NM34KQTO1LDNSAFD1L82UZFG" hidden="1">'[2]Reco Sheet for Fcast'!$F$15</definedName>
    <definedName name="BEx1NO6TXZVOGCUWCCRTXRXWW0XL" hidden="1">'[2]Reco Sheet for Fcast'!$I$10:$J$10</definedName>
    <definedName name="BEx1NS8EU5P9FQV3S0WRTXI5L361" hidden="1">'[2]Reco Sheet for Fcast'!$F$7:$G$7</definedName>
    <definedName name="BEx1NUBX5VUYZFKQH69FN6BTLWCR" hidden="1">'[2]Reco Sheet for Fcast'!$I$7:$J$7</definedName>
    <definedName name="BEx1NZ4K1L8UON80Y2A4RASKWGNP" hidden="1">'[2]Reco Sheet for Fcast'!$F$15:$G$16</definedName>
    <definedName name="BEx1OLAZ915OGYWP0QP1QQWDLCRX" hidden="1">'[2]Reco Sheet for Fcast'!$I$6:$J$6</definedName>
    <definedName name="BEx1OO5ER042IS6IC4TLDI75JNVH" hidden="1">'[2]Reco Sheet for Fcast'!$G$2</definedName>
    <definedName name="BEx1ORG3LGKCPSRMVQ2O9REG2US8" localSheetId="5" hidden="1">#REF!</definedName>
    <definedName name="BEx1ORG3LGKCPSRMVQ2O9REG2US8" localSheetId="8" hidden="1">#REF!</definedName>
    <definedName name="BEx1ORG3LGKCPSRMVQ2O9REG2US8" hidden="1">#REF!</definedName>
    <definedName name="BEx1OTE54CBSUT8FWKRALEDCUWN4" hidden="1">'[2]Reco Sheet for Fcast'!$F$11:$G$11</definedName>
    <definedName name="BEx1OVSMPADTX95QUOX34KZQ8EDY" hidden="1">'[2]Reco Sheet for Fcast'!$I$11:$J$11</definedName>
    <definedName name="BEx1OX544IO9FQJI7YYQGZCEHB3O" hidden="1">'[2]Reco Sheet for Fcast'!$I$8:$J$8</definedName>
    <definedName name="BEx1OY6SVEUT2EQ26P7EKEND342G" hidden="1">'[2]Reco Sheet for Fcast'!$I$9:$J$9</definedName>
    <definedName name="BEx1OYN1LPIPI12O9G6F7QAOS9T4" hidden="1">'[2]Reco Sheet for Fcast'!$I$7:$J$7</definedName>
    <definedName name="BEx1P1HHKJA799O3YZXQAX6KFH58" hidden="1">'[2]Reco Sheet for Fcast'!$F$6:$G$6</definedName>
    <definedName name="BEx1P34W467WGPOXPK292QFJIPHJ" hidden="1">'[2]Reco Sheet for Fcast'!$H$2:$I$2</definedName>
    <definedName name="BEx1P34WRUTVZPX177UUQ9BT3Q9X" localSheetId="5" hidden="1">'[5]Capital orders'!#REF!</definedName>
    <definedName name="BEx1P34WRUTVZPX177UUQ9BT3Q9X" localSheetId="8" hidden="1">'[5]Capital orders'!#REF!</definedName>
    <definedName name="BEx1P34WRUTVZPX177UUQ9BT3Q9X" hidden="1">'[5]Capital orders'!#REF!</definedName>
    <definedName name="BEx1P7S1J4TKGVJ43C2Q2R3M9WRB" hidden="1">'[2]Reco Sheet for Fcast'!$I$6:$J$6</definedName>
    <definedName name="BEx1PA11BLPVZM8RC5BL46WX8YB5" hidden="1">'[2]Reco Sheet for Fcast'!$F$8:$G$8</definedName>
    <definedName name="BEx1PBZ4BEFIPGMQXT9T8S4PZ2IM" hidden="1">'[2]Reco Sheet for Fcast'!$F$10:$G$10</definedName>
    <definedName name="BEx1PLF2CFSXBZPVI6CJ534EIJDN" hidden="1">'[2]Reco Sheet for Fcast'!$I$8:$J$8</definedName>
    <definedName name="BEx1PMWZB2DO6EM9BKLUICZJ65HD" hidden="1">'[2]Reco Sheet for Fcast'!$I$10:$J$10</definedName>
    <definedName name="BEx1QA54J2A4I7IBQR19BTY28ZMR" hidden="1">'[2]Reco Sheet for Fcast'!$I$10:$J$10</definedName>
    <definedName name="BEx1QM4PKKBHXHR5BZ2NON028UYL" localSheetId="5" hidden="1">#REF!</definedName>
    <definedName name="BEx1QM4PKKBHXHR5BZ2NON028UYL" localSheetId="8" hidden="1">#REF!</definedName>
    <definedName name="BEx1QM4PKKBHXHR5BZ2NON028UYL" hidden="1">#REF!</definedName>
    <definedName name="BEx1QMQAHG3KQUK59DVM68SWKZIZ" hidden="1">'[2]Reco Sheet for Fcast'!$I$10:$J$10</definedName>
    <definedName name="BEx1R9YFKJCMSEST8OVCAO5E47FO" hidden="1">'[2]Reco Sheet for Fcast'!$F$9:$G$9</definedName>
    <definedName name="BEx1RBGC06B3T52OIC0EQ1KGVP1I" hidden="1">'[2]Reco Sheet for Fcast'!$F$10:$G$10</definedName>
    <definedName name="BEx1RHLLW599ZLQG0S5YT7QI63BA" localSheetId="5" hidden="1">'[5]Capital orders'!#REF!</definedName>
    <definedName name="BEx1RHLLW599ZLQG0S5YT7QI63BA" localSheetId="8" hidden="1">'[5]Capital orders'!#REF!</definedName>
    <definedName name="BEx1RHLLW599ZLQG0S5YT7QI63BA" hidden="1">'[5]Capital orders'!#REF!</definedName>
    <definedName name="BEx1RRC7X4NI1CU4EO5XYE2GVARJ" hidden="1">'[2]Reco Sheet for Fcast'!$I$11:$J$11</definedName>
    <definedName name="BEx1RZA1NCGT832L7EMR7GMF588W" hidden="1">'[2]Reco Sheet for Fcast'!$I$10:$J$10</definedName>
    <definedName name="BEx1S0XGIPUSZQUCSGWSK10GKW7Y" hidden="1">'[2]Reco Sheet for Fcast'!$F$8:$G$8</definedName>
    <definedName name="BEx1S3BSDAKCI9LVFYLTM3MJY3BE" localSheetId="5" hidden="1">'[5]Capital orders'!#REF!</definedName>
    <definedName name="BEx1S3BSDAKCI9LVFYLTM3MJY3BE" localSheetId="8" hidden="1">'[5]Capital orders'!#REF!</definedName>
    <definedName name="BEx1S3BSDAKCI9LVFYLTM3MJY3BE" hidden="1">'[5]Capital orders'!#REF!</definedName>
    <definedName name="BEx1S5VFNKIXHTTCWSV60UC50EZ8" hidden="1">'[2]Reco Sheet for Fcast'!$I$7:$J$7</definedName>
    <definedName name="BEx1SEKAWOQJB87D3XQKKK1S7Q7X" localSheetId="5" hidden="1">#REF!</definedName>
    <definedName name="BEx1SEKAWOQJB87D3XQKKK1S7Q7X" localSheetId="8" hidden="1">#REF!</definedName>
    <definedName name="BEx1SEKAWOQJB87D3XQKKK1S7Q7X" hidden="1">#REF!</definedName>
    <definedName name="BEx1SK3U02H0RGKEYXW7ZMCEOF3V" hidden="1">'[2]Reco Sheet for Fcast'!$E$2:$F$2</definedName>
    <definedName name="BEx1SSNEZINBJT29QVS62VS1THT4" hidden="1">'[2]Reco Sheet for Fcast'!$F$9:$G$9</definedName>
    <definedName name="BEx1STULPAG4G6PQYHP3DRYTPCHJ" localSheetId="5" hidden="1">'[5]Capital orders'!#REF!</definedName>
    <definedName name="BEx1STULPAG4G6PQYHP3DRYTPCHJ" localSheetId="8" hidden="1">'[5]Capital orders'!#REF!</definedName>
    <definedName name="BEx1STULPAG4G6PQYHP3DRYTPCHJ" hidden="1">'[5]Capital orders'!#REF!</definedName>
    <definedName name="BEx1SVNCHNANBJIDIQVB8AFK4HAN" localSheetId="5" hidden="1">'[3]AMI P &amp; L'!#REF!</definedName>
    <definedName name="BEx1SVNCHNANBJIDIQVB8AFK4HAN" localSheetId="8" hidden="1">'[3]AMI P &amp; L'!#REF!</definedName>
    <definedName name="BEx1SVNCHNANBJIDIQVB8AFK4HAN" hidden="1">'[3]AMI P &amp; L'!#REF!</definedName>
    <definedName name="BEx1TJ0WLS9O7KNSGIPWTYHDYI1D" localSheetId="5" hidden="1">'[3]AMI P &amp; L'!#REF!</definedName>
    <definedName name="BEx1TJ0WLS9O7KNSGIPWTYHDYI1D" localSheetId="8" hidden="1">'[3]AMI P &amp; L'!#REF!</definedName>
    <definedName name="BEx1TJ0WLS9O7KNSGIPWTYHDYI1D" hidden="1">'[3]AMI P &amp; L'!#REF!</definedName>
    <definedName name="BEx1TYR9YIVMD6E36LEX70E5H1UT" localSheetId="5" hidden="1">#REF!</definedName>
    <definedName name="BEx1TYR9YIVMD6E36LEX70E5H1UT" localSheetId="8" hidden="1">#REF!</definedName>
    <definedName name="BEx1TYR9YIVMD6E36LEX70E5H1UT" hidden="1">#REF!</definedName>
    <definedName name="BEx1U7WFO8OZKB1EBF4H386JW91L" hidden="1">'[2]Reco Sheet for Fcast'!$I$9:$J$9</definedName>
    <definedName name="BEx1U87938YR9N6HYI24KVBKLOS3" hidden="1">'[2]Reco Sheet for Fcast'!$G$2</definedName>
    <definedName name="BEx1UESH4KDWHYESQU2IE55RS3LI" hidden="1">'[2]Reco Sheet for Fcast'!$F$11:$G$11</definedName>
    <definedName name="BEx1UI8N9KTCPSOJ7RDW0T8UEBNP" hidden="1">'[2]Reco Sheet for Fcast'!$F$10:$G$10</definedName>
    <definedName name="BEx1UML0HHJFHA5TBOYQ24I3RV1W" hidden="1">'[2]Reco Sheet for Fcast'!$F$6:$G$6</definedName>
    <definedName name="BEx1UOOOMCXM376QJ65W95MJ4RT3" localSheetId="5" hidden="1">'[5]Capital orders'!#REF!</definedName>
    <definedName name="BEx1UOOOMCXM376QJ65W95MJ4RT3" localSheetId="8" hidden="1">'[5]Capital orders'!#REF!</definedName>
    <definedName name="BEx1UOOOMCXM376QJ65W95MJ4RT3" hidden="1">'[5]Capital orders'!#REF!</definedName>
    <definedName name="BEx1UUDIQPZ23XQ79GUL0RAWRSCK" hidden="1">'[2]Reco Sheet for Fcast'!$I$7:$J$7</definedName>
    <definedName name="BEx1V50N55N07Q5LD91VS9QF1WB6" localSheetId="5" hidden="1">#REF!</definedName>
    <definedName name="BEx1V50N55N07Q5LD91VS9QF1WB6" localSheetId="8" hidden="1">#REF!</definedName>
    <definedName name="BEx1V50N55N07Q5LD91VS9QF1WB6" hidden="1">#REF!</definedName>
    <definedName name="BEx1V67SEV778NVW68J8W5SND1J7" hidden="1">'[2]Reco Sheet for Fcast'!$I$9:$J$9</definedName>
    <definedName name="BEx1VIY9SQLRESD11CC4PHYT0XSG" hidden="1">'[2]Reco Sheet for Fcast'!$H$2:$I$2</definedName>
    <definedName name="BEx1WC67EH10SC38QWX3WEA5KH3A" hidden="1">'[2]Reco Sheet for Fcast'!$F$10:$G$10</definedName>
    <definedName name="BEx1WGYTKZZIPM1577W5FEYKFH3V" hidden="1">'[2]Reco Sheet for Fcast'!$F$15:$J$123</definedName>
    <definedName name="BEx1WHPURIV3D3PTJJ359H1OP7ZV" localSheetId="5" hidden="1">'[3]AMI P &amp; L'!#REF!</definedName>
    <definedName name="BEx1WHPURIV3D3PTJJ359H1OP7ZV" localSheetId="8" hidden="1">'[3]AMI P &amp; L'!#REF!</definedName>
    <definedName name="BEx1WHPURIV3D3PTJJ359H1OP7ZV" hidden="1">'[3]AMI P &amp; L'!#REF!</definedName>
    <definedName name="BEx1WLWY2CR1WRD694JJSWSDFAIR" hidden="1">'[2]Reco Sheet for Fcast'!$I$7:$J$7</definedName>
    <definedName name="BEx1WMD1LWPWRIK6GGAJRJAHJM8I" hidden="1">'[2]Reco Sheet for Fcast'!$I$10:$J$10</definedName>
    <definedName name="BEx1WR0D41MR174LBF3P9E3K0J51" hidden="1">'[2]Reco Sheet for Fcast'!$F$7:$G$7</definedName>
    <definedName name="BEx1WUB1FAS5PHU33TJ60SUHR618" hidden="1">'[2]Reco Sheet for Fcast'!$I$8:$J$8</definedName>
    <definedName name="BEx1WX04G0INSPPG9NTNR3DYR6PZ" hidden="1">'[2]Reco Sheet for Fcast'!$I$11:$J$11</definedName>
    <definedName name="BEx1X3LHU9DPG01VWX2IF65TRATF" hidden="1">'[2]Reco Sheet for Fcast'!$F$8:$G$8</definedName>
    <definedName name="BEx1XK8AAMO0AH0Z1OUKW30CA7EQ" hidden="1">'[2]Reco Sheet for Fcast'!$H$2:$I$2</definedName>
    <definedName name="BEx1XL4MZ7C80495GHQRWOBS16PQ" hidden="1">'[2]Reco Sheet for Fcast'!$F$6:$G$6</definedName>
    <definedName name="BEx1XYBEF60AUNIQ381B562NLYEL" localSheetId="5" hidden="1">#REF!</definedName>
    <definedName name="BEx1XYBEF60AUNIQ381B562NLYEL" localSheetId="8" hidden="1">#REF!</definedName>
    <definedName name="BEx1XYBEF60AUNIQ381B562NLYEL" hidden="1">#REF!</definedName>
    <definedName name="BEx1Y2IGS2K95E1M51PEF9KJZ0KB" hidden="1">'[2]Reco Sheet for Fcast'!$F$15</definedName>
    <definedName name="BEx1Y3PKK83X2FN9SAALFHOWKMRQ" hidden="1">'[2]Reco Sheet for Fcast'!$F$9:$G$9</definedName>
    <definedName name="BEx1YL3DJ7Y4AZ01ERCOGW0FJ26T" localSheetId="5" hidden="1">'[3]AMI P &amp; L'!#REF!</definedName>
    <definedName name="BEx1YL3DJ7Y4AZ01ERCOGW0FJ26T" localSheetId="8" hidden="1">'[3]AMI P &amp; L'!#REF!</definedName>
    <definedName name="BEx1YL3DJ7Y4AZ01ERCOGW0FJ26T" hidden="1">'[3]AMI P &amp; L'!#REF!</definedName>
    <definedName name="BEx1Z2RYHSVD1H37817SN93VMURZ" hidden="1">'[2]Reco Sheet for Fcast'!$F$7:$G$7</definedName>
    <definedName name="BEx3AMAKWI6458B67VKZO56MCNJW" hidden="1">'[2]Reco Sheet for Fcast'!$H$2:$I$2</definedName>
    <definedName name="BEx3AOOVM42G82TNF53W0EKXLUSI" localSheetId="5" hidden="1">'[3]AMI P &amp; L'!#REF!</definedName>
    <definedName name="BEx3AOOVM42G82TNF53W0EKXLUSI" localSheetId="8" hidden="1">'[3]AMI P &amp; L'!#REF!</definedName>
    <definedName name="BEx3AOOVM42G82TNF53W0EKXLUSI" hidden="1">'[3]AMI P &amp; L'!#REF!</definedName>
    <definedName name="BEx3APL8D18BCFDD4AZK12WFXA67" hidden="1">'[2]Reco Sheet for Fcast'!$G$2:$H$2</definedName>
    <definedName name="BEx3AZH9W4SUFCAHNDOQ728R9V4L" hidden="1">'[2]Reco Sheet for Fcast'!$F$6:$G$6</definedName>
    <definedName name="BEx3BNR9ES4KY7Q1DK83KC5NDGL8" hidden="1">'[2]Reco Sheet for Fcast'!$E$2:$F$2</definedName>
    <definedName name="BEx3BQR5VZXNQ4H949ORM8ESU3B3" localSheetId="5" hidden="1">'[3]AMI P &amp; L'!#REF!</definedName>
    <definedName name="BEx3BQR5VZXNQ4H949ORM8ESU3B3" localSheetId="8" hidden="1">'[3]AMI P &amp; L'!#REF!</definedName>
    <definedName name="BEx3BQR5VZXNQ4H949ORM8ESU3B3" hidden="1">'[3]AMI P &amp; L'!#REF!</definedName>
    <definedName name="BEx3BTLL3ASJN134DLEQTQM70VZM" hidden="1">'[2]Reco Sheet for Fcast'!$F$6:$G$6</definedName>
    <definedName name="BEx3BW5CTV0DJU5AQS3ZQFK2VLF3" hidden="1">'[2]Reco Sheet for Fcast'!$I$8:$J$8</definedName>
    <definedName name="BEx3BYP0FG369M7G3JEFLMMXAKTS" hidden="1">'[2]Reco Sheet for Fcast'!$F$9:$G$9</definedName>
    <definedName name="BEx3C2QR0WUD19QSVO8EMIPNQJKH" hidden="1">'[2]Reco Sheet for Fcast'!$F$7:$G$7</definedName>
    <definedName name="BEx3CKFCCPZZ6ROLAT5C1DZNIC1U" hidden="1">'[2]Reco Sheet for Fcast'!$H$2:$I$2</definedName>
    <definedName name="BEx3CO0SVO4WLH0DO43DCHYDTH1P" hidden="1">'[2]Reco Sheet for Fcast'!$F$15</definedName>
    <definedName name="BEx3CP7ZOFGLSCYTIG9VMZOBZ5BQ" localSheetId="5" hidden="1">#REF!</definedName>
    <definedName name="BEx3CP7ZOFGLSCYTIG9VMZOBZ5BQ" localSheetId="8" hidden="1">#REF!</definedName>
    <definedName name="BEx3CP7ZOFGLSCYTIG9VMZOBZ5BQ" hidden="1">#REF!</definedName>
    <definedName name="BEx3D9G6QTSPF9UYI4X0XY0VE896" hidden="1">'[2]Reco Sheet for Fcast'!$F$6:$G$6</definedName>
    <definedName name="BEx3DCQU9PBRXIMLO62KS5RLH447" hidden="1">'[2]Reco Sheet for Fcast'!$I$11:$J$11</definedName>
    <definedName name="BEx3DZDFGLYD8RLUYGMKDC4PRP04" hidden="1">'[2]Reco Sheet for Fcast'!$G$2:$H$2</definedName>
    <definedName name="BEx3EF99FD6QNNCNOKDEE67JHTUJ" hidden="1">'[2]Reco Sheet for Fcast'!$I$9:$J$9</definedName>
    <definedName name="BEx3EHCSERZ2O2OAG8Y95UPG2IY9" localSheetId="5" hidden="1">'[3]AMI P &amp; L'!#REF!</definedName>
    <definedName name="BEx3EHCSERZ2O2OAG8Y95UPG2IY9" localSheetId="8" hidden="1">'[3]AMI P &amp; L'!#REF!</definedName>
    <definedName name="BEx3EHCSERZ2O2OAG8Y95UPG2IY9" hidden="1">'[3]AMI P &amp; L'!#REF!</definedName>
    <definedName name="BEx3EJR3TCJDYS7ZXNDS5N9KTGIK" hidden="1">'[2]Reco Sheet for Fcast'!$F$8:$G$8</definedName>
    <definedName name="BEx3ELJTTBS6P05CNISMGOJOA60V" hidden="1">'[2]Reco Sheet for Fcast'!$I$9:$J$9</definedName>
    <definedName name="BEx3EQSLJBDDJRHNX19PBFCKNY2I" hidden="1">'[2]Reco Sheet for Fcast'!$F$11:$G$11</definedName>
    <definedName name="BEx3EUUAX947Q5N6MY6W0KSNY78Y" hidden="1">'[2]Reco Sheet for Fcast'!$I$7:$J$7</definedName>
    <definedName name="BEx3FERRE7HC84YCYRFTW3IGBJS0" localSheetId="5" hidden="1">#REF!</definedName>
    <definedName name="BEx3FERRE7HC84YCYRFTW3IGBJS0" localSheetId="8" hidden="1">#REF!</definedName>
    <definedName name="BEx3FERRE7HC84YCYRFTW3IGBJS0" hidden="1">#REF!</definedName>
    <definedName name="BEx3FHMD1P5XBCH23ZKIFO6ZTCNB" hidden="1">'[2]Reco Sheet for Fcast'!$I$6:$J$6</definedName>
    <definedName name="BEx3FI2G3YYIACQHXNXEA15M8ZK5" hidden="1">'[2]Reco Sheet for Fcast'!$F$11:$G$11</definedName>
    <definedName name="BEx3FJ9MHSLDK8W91GO85FX1GX57" hidden="1">'[2]Reco Sheet for Fcast'!$F$8:$G$8</definedName>
    <definedName name="BEx3FR251HFU7A33PU01SJUENL2B" hidden="1">'[2]Reco Sheet for Fcast'!$K$2</definedName>
    <definedName name="BEx3FX7EJL47JSLSWP3EOC265WAE" localSheetId="5" hidden="1">'[3]AMI P &amp; L'!#REF!</definedName>
    <definedName name="BEx3FX7EJL47JSLSWP3EOC265WAE" localSheetId="8" hidden="1">'[3]AMI P &amp; L'!#REF!</definedName>
    <definedName name="BEx3FX7EJL47JSLSWP3EOC265WAE" hidden="1">'[3]AMI P &amp; L'!#REF!</definedName>
    <definedName name="BEx3FZG91H1CY5ASLHP4YHKREYG9" localSheetId="5" hidden="1">#REF!</definedName>
    <definedName name="BEx3FZG91H1CY5ASLHP4YHKREYG9" localSheetId="8" hidden="1">#REF!</definedName>
    <definedName name="BEx3FZG91H1CY5ASLHP4YHKREYG9" hidden="1">#REF!</definedName>
    <definedName name="BEx3G201R8NLJ6FIHO2QS0SW9QVV" hidden="1">'[2]Reco Sheet for Fcast'!$H$2:$I$2</definedName>
    <definedName name="BEx3G2LL2II66XY5YCDPG4JE13A3" hidden="1">'[2]Reco Sheet for Fcast'!$F$9:$G$9</definedName>
    <definedName name="BEx3G2WA0DTYY9D8AGHHOBTPE2B2" hidden="1">'[2]Reco Sheet for Fcast'!$F$7:$G$7</definedName>
    <definedName name="BEx3GCXR6IAS0B6WJ03GJVH7CO52" hidden="1">'[2]Reco Sheet for Fcast'!$F$15</definedName>
    <definedName name="BEx3GEVV18SEQDI1JGY7EN6D1GT1" localSheetId="5" hidden="1">'[3]AMI P &amp; L'!#REF!</definedName>
    <definedName name="BEx3GEVV18SEQDI1JGY7EN6D1GT1" localSheetId="8" hidden="1">'[3]AMI P &amp; L'!#REF!</definedName>
    <definedName name="BEx3GEVV18SEQDI1JGY7EN6D1GT1" hidden="1">'[3]AMI P &amp; L'!#REF!</definedName>
    <definedName name="BEx3GKFH64MKQX61S7DYTZ15JCPY" hidden="1">'[2]Reco Sheet for Fcast'!$G$2</definedName>
    <definedName name="BEx3GMJ1Y6UU02DLRL0QXCEKDA6C" localSheetId="5" hidden="1">'[3]AMI P &amp; L'!#REF!</definedName>
    <definedName name="BEx3GMJ1Y6UU02DLRL0QXCEKDA6C" localSheetId="8" hidden="1">'[3]AMI P &amp; L'!#REF!</definedName>
    <definedName name="BEx3GMJ1Y6UU02DLRL0QXCEKDA6C" hidden="1">'[3]AMI P &amp; L'!#REF!</definedName>
    <definedName name="BEx3GN4LY0135CBDIN1TU2UEODGF" hidden="1">'[2]Reco Sheet for Fcast'!$I$10:$J$10</definedName>
    <definedName name="BEx3GPDH2AH4QKT4OOSN563XUHBD" hidden="1">'[2]Reco Sheet for Fcast'!$I$9:$J$9</definedName>
    <definedName name="BEx3H0RFPKED2NN6LBYFK5P5HLK6" hidden="1">'[2]Reco Sheet for Fcast'!$I$6:$J$6</definedName>
    <definedName name="BEx3H5UX2GZFZZT657YR76RHW5I6" localSheetId="5" hidden="1">'[3]AMI P &amp; L'!#REF!</definedName>
    <definedName name="BEx3H5UX2GZFZZT657YR76RHW5I6" localSheetId="8" hidden="1">'[3]AMI P &amp; L'!#REF!</definedName>
    <definedName name="BEx3H5UX2GZFZZT657YR76RHW5I6" hidden="1">'[3]AMI P &amp; L'!#REF!</definedName>
    <definedName name="BEx3HA1YAMCT0GK89031ZWXQ3VK3" localSheetId="5" hidden="1">#REF!</definedName>
    <definedName name="BEx3HA1YAMCT0GK89031ZWXQ3VK3" localSheetId="8" hidden="1">#REF!</definedName>
    <definedName name="BEx3HA1YAMCT0GK89031ZWXQ3VK3" hidden="1">#REF!</definedName>
    <definedName name="BEx3HJ1MIYFNI7Y25LLE6AGZ52U2" localSheetId="5" hidden="1">'[5]Capital orders'!#REF!</definedName>
    <definedName name="BEx3HJ1MIYFNI7Y25LLE6AGZ52U2" localSheetId="8" hidden="1">'[5]Capital orders'!#REF!</definedName>
    <definedName name="BEx3HJ1MIYFNI7Y25LLE6AGZ52U2" hidden="1">'[5]Capital orders'!#REF!</definedName>
    <definedName name="BEx3HMN4HBR0MZ546XIBTOE5PHAT" localSheetId="5" hidden="1">'[5]Capital orders'!#REF!</definedName>
    <definedName name="BEx3HMN4HBR0MZ546XIBTOE5PHAT" localSheetId="8" hidden="1">'[5]Capital orders'!#REF!</definedName>
    <definedName name="BEx3HMN4HBR0MZ546XIBTOE5PHAT" hidden="1">'[5]Capital orders'!#REF!</definedName>
    <definedName name="BEx3HMSEFOP6DBM4R97XA6B7NFG6" hidden="1">'[2]Reco Sheet for Fcast'!$F$8:$G$8</definedName>
    <definedName name="BEx3HOQN57QKFWCTSFFBV19FE17U" localSheetId="5" hidden="1">'[5]Capital orders'!#REF!</definedName>
    <definedName name="BEx3HOQN57QKFWCTSFFBV19FE17U" localSheetId="8" hidden="1">'[5]Capital orders'!#REF!</definedName>
    <definedName name="BEx3HOQN57QKFWCTSFFBV19FE17U" hidden="1">'[5]Capital orders'!#REF!</definedName>
    <definedName name="BEx3HWJ5SQSD2CVCQNR183X44FR8" hidden="1">'[2]Reco Sheet for Fcast'!$H$2:$I$2</definedName>
    <definedName name="BEx3I09YVXO0G4X7KGSA4WGORM35" hidden="1">'[2]Reco Sheet for Fcast'!$F$6:$G$6</definedName>
    <definedName name="BEx3ICF1GY8HQEBIU9S43PDJ90BX" hidden="1">'[2]Reco Sheet for Fcast'!$F$6:$G$6</definedName>
    <definedName name="BEx3IYAH2DEBFWO8F94H4MXE3RLY" localSheetId="5" hidden="1">'[3]AMI P &amp; L'!#REF!</definedName>
    <definedName name="BEx3IYAH2DEBFWO8F94H4MXE3RLY" localSheetId="8" hidden="1">'[3]AMI P &amp; L'!#REF!</definedName>
    <definedName name="BEx3IYAH2DEBFWO8F94H4MXE3RLY" hidden="1">'[3]AMI P &amp; L'!#REF!</definedName>
    <definedName name="BEx3IZXXSYEW50379N2EAFWO8DZV" localSheetId="5" hidden="1">'[3]AMI P &amp; L'!#REF!</definedName>
    <definedName name="BEx3IZXXSYEW50379N2EAFWO8DZV" localSheetId="8" hidden="1">'[3]AMI P &amp; L'!#REF!</definedName>
    <definedName name="BEx3IZXXSYEW50379N2EAFWO8DZV" hidden="1">'[3]AMI P &amp; L'!#REF!</definedName>
    <definedName name="BEx3J1VZVGTKT4ATPO9O5JCSFTTR" hidden="1">'[2]Reco Sheet for Fcast'!$I$9:$J$9</definedName>
    <definedName name="BEx3JC2TY7JNAAC3L7QHVPQXLGQ8" hidden="1">'[2]Reco Sheet for Fcast'!$I$11:$J$11</definedName>
    <definedName name="BEx3JIYZIVBGXQG29MDJG53D99D8" hidden="1">'[2]Reco Sheet for Fcast'!$L$6:$M$10</definedName>
    <definedName name="BEx3JX23SYDIGOGM4Y0CQFBW8ZBV" hidden="1">'[2]Reco Sheet for Fcast'!$F$8:$G$8</definedName>
    <definedName name="BEx3JXCXCVBZJGV5VEG9MJEI01AL" hidden="1">'[2]Reco Sheet for Fcast'!$I$7:$J$7</definedName>
    <definedName name="BEx3JYK2N7X59TPJSKYZ77ENY8SS" hidden="1">'[2]Reco Sheet for Fcast'!$I$6:$J$6</definedName>
    <definedName name="BEx3K4EII7GU1CG0BN7UL15M6J8Z" localSheetId="5" hidden="1">'[3]AMI P &amp; L'!#REF!</definedName>
    <definedName name="BEx3K4EII7GU1CG0BN7UL15M6J8Z" localSheetId="8" hidden="1">'[3]AMI P &amp; L'!#REF!</definedName>
    <definedName name="BEx3K4EII7GU1CG0BN7UL15M6J8Z" hidden="1">'[3]AMI P &amp; L'!#REF!</definedName>
    <definedName name="BEx3K4ZXQUQ2KYZF74B84SO48XMW" hidden="1">'[2]Reco Sheet for Fcast'!$I$9:$J$9</definedName>
    <definedName name="BEx3KEFXUCVNVPH7KSEGAZYX13B5" hidden="1">'[2]Reco Sheet for Fcast'!$F$6:$G$6</definedName>
    <definedName name="BEx3KFXUAF6YXAA47B7Q6X9B3VGB" hidden="1">'[2]Reco Sheet for Fcast'!$I$10:$J$10</definedName>
    <definedName name="BEx3KHFTUPUPZJH4ER0RQ5CMQ7ZC" localSheetId="5" hidden="1">#REF!</definedName>
    <definedName name="BEx3KHFTUPUPZJH4ER0RQ5CMQ7ZC" localSheetId="8" hidden="1">#REF!</definedName>
    <definedName name="BEx3KHFTUPUPZJH4ER0RQ5CMQ7ZC" hidden="1">#REF!</definedName>
    <definedName name="BEx3KIXQYOGMPK4WJJAVBRX4NR28" localSheetId="5" hidden="1">'[3]AMI P &amp; L'!#REF!</definedName>
    <definedName name="BEx3KIXQYOGMPK4WJJAVBRX4NR28" localSheetId="8" hidden="1">'[3]AMI P &amp; L'!#REF!</definedName>
    <definedName name="BEx3KIXQYOGMPK4WJJAVBRX4NR28" hidden="1">'[3]AMI P &amp; L'!#REF!</definedName>
    <definedName name="BEx3KJOMVOSFZVJUL3GKCNP6DQDS" hidden="1">'[2]Reco Sheet for Fcast'!$F$6:$G$6</definedName>
    <definedName name="BEx3KP2VRBMORK0QEAZUYCXL3DHJ" hidden="1">'[2]Reco Sheet for Fcast'!$I$6:$J$6</definedName>
    <definedName name="BEx3L4IN3LI4C26SITKTGAH27CDU" hidden="1">'[2]Reco Sheet for Fcast'!$F$15</definedName>
    <definedName name="BEx3L4YQ0J7ZU0M5QM6YIPCEYC9K" localSheetId="5" hidden="1">'[3]AMI P &amp; L'!#REF!</definedName>
    <definedName name="BEx3L4YQ0J7ZU0M5QM6YIPCEYC9K" localSheetId="8" hidden="1">'[3]AMI P &amp; L'!#REF!</definedName>
    <definedName name="BEx3L4YQ0J7ZU0M5QM6YIPCEYC9K" hidden="1">'[3]AMI P &amp; L'!#REF!</definedName>
    <definedName name="BEx3L60DJOR7NQN42G7YSAODP1EX" hidden="1">'[2]Reco Sheet for Fcast'!$I$7:$J$7</definedName>
    <definedName name="BEx3L7D0PI38HWZ7VADU16C9E33D" hidden="1">'[2]Reco Sheet for Fcast'!$I$7:$J$7</definedName>
    <definedName name="BEx3LLANOTINBHAJ3AOID9T7Y05X" localSheetId="5" hidden="1">#REF!</definedName>
    <definedName name="BEx3LLANOTINBHAJ3AOID9T7Y05X" localSheetId="8" hidden="1">#REF!</definedName>
    <definedName name="BEx3LLANOTINBHAJ3AOID9T7Y05X" hidden="1">#REF!</definedName>
    <definedName name="BEx3LM1PR4Y7KINKMTMKR984GX8Q" hidden="1">'[2]Reco Sheet for Fcast'!$I$8:$J$8</definedName>
    <definedName name="BEx3LPCEZ1C0XEKNCM3YT09JWCUO" hidden="1">'[2]Reco Sheet for Fcast'!$I$10:$J$10</definedName>
    <definedName name="BEx3M1BZ3GQC6D7YTGDIT0JUJ9EC" localSheetId="5" hidden="1">#REF!</definedName>
    <definedName name="BEx3M1BZ3GQC6D7YTGDIT0JUJ9EC" localSheetId="8" hidden="1">#REF!</definedName>
    <definedName name="BEx3M1BZ3GQC6D7YTGDIT0JUJ9EC" hidden="1">#REF!</definedName>
    <definedName name="BEx3M1MR1K1NQD03H74BFWOK4MWQ" hidden="1">'[2]Reco Sheet for Fcast'!$F$15</definedName>
    <definedName name="BEx3M4H77MYUKOOD31H9F80NMVK8" hidden="1">'[2]Reco Sheet for Fcast'!$H$2:$I$2</definedName>
    <definedName name="BEx3M9VFX329PZWYC4DMZ6P3W9R2" hidden="1">'[2]Reco Sheet for Fcast'!$F$8:$G$8</definedName>
    <definedName name="BEx3MCQ0VEBV0CZXDS505L38EQ8N" hidden="1">'[2]Reco Sheet for Fcast'!$I$11:$J$11</definedName>
    <definedName name="BEx3MEYV5LQY0BAL7V3CFAFVOM3T" hidden="1">'[2]Reco Sheet for Fcast'!$I$9:$J$9</definedName>
    <definedName name="BEx3MREOFWJQEYMCMBL7ZE06NBN6" hidden="1">'[2]Reco Sheet for Fcast'!$G$2</definedName>
    <definedName name="BEx3MSAX474ABZKYQ7WBYQI19FN1" localSheetId="5" hidden="1">#REF!</definedName>
    <definedName name="BEx3MSAX474ABZKYQ7WBYQI19FN1" localSheetId="8" hidden="1">#REF!</definedName>
    <definedName name="BEx3MSAX474ABZKYQ7WBYQI19FN1" hidden="1">#REF!</definedName>
    <definedName name="BEx3N9JDP50MA4MMRXI6DO38SIEQ" localSheetId="5" hidden="1">#REF!</definedName>
    <definedName name="BEx3N9JDP50MA4MMRXI6DO38SIEQ" localSheetId="8" hidden="1">#REF!</definedName>
    <definedName name="BEx3N9JDP50MA4MMRXI6DO38SIEQ" hidden="1">#REF!</definedName>
    <definedName name="BEx3NBS83TP04EO9LQWM9XWO1JEV" localSheetId="5" hidden="1">'[5]Capital orders'!#REF!</definedName>
    <definedName name="BEx3NBS83TP04EO9LQWM9XWO1JEV" localSheetId="8" hidden="1">'[5]Capital orders'!#REF!</definedName>
    <definedName name="BEx3NBS83TP04EO9LQWM9XWO1JEV" hidden="1">'[5]Capital orders'!#REF!</definedName>
    <definedName name="BEx3NLIZ7PHF2XE59ECZ3MD04ZG1" hidden="1">'[2]Reco Sheet for Fcast'!$F$6:$G$6</definedName>
    <definedName name="BEx3NMQ4BVC94728AUM7CCX7UHTU" hidden="1">'[2]Reco Sheet for Fcast'!$F$15</definedName>
    <definedName name="BEx3NR2I4OUFP3Z2QZEDU2PIFIDI" hidden="1">'[2]Reco Sheet for Fcast'!$F$10:$G$10</definedName>
    <definedName name="BEx3O19B8FTTAPVT5DZXQGQXWFR8" hidden="1">'[2]Reco Sheet for Fcast'!$F$15</definedName>
    <definedName name="BEx3O37KIVMTEXDNBMSQLK0KFCF6" localSheetId="5" hidden="1">#REF!</definedName>
    <definedName name="BEx3O37KIVMTEXDNBMSQLK0KFCF6" localSheetId="8" hidden="1">#REF!</definedName>
    <definedName name="BEx3O37KIVMTEXDNBMSQLK0KFCF6" hidden="1">#REF!</definedName>
    <definedName name="BEx3O85IKWARA6NCJOLRBRJFMEWW" localSheetId="5" hidden="1">'[3]AMI P &amp; L'!#REF!</definedName>
    <definedName name="BEx3O85IKWARA6NCJOLRBRJFMEWW" localSheetId="8" hidden="1">'[3]AMI P &amp; L'!#REF!</definedName>
    <definedName name="BEx3O85IKWARA6NCJOLRBRJFMEWW" hidden="1">'[3]AMI P &amp; L'!#REF!</definedName>
    <definedName name="BEx3OJZSCGFRW7SVGBFI0X9DNVMM" hidden="1">'[2]Reco Sheet for Fcast'!$H$2:$I$2</definedName>
    <definedName name="BEx3ORSBUXAF21MKEY90YJV9AY9A" hidden="1">'[2]Reco Sheet for Fcast'!$G$2:$H$2</definedName>
    <definedName name="BEx3OV8BH6PYNZT7C246LOAU9SVX" hidden="1">'[2]Reco Sheet for Fcast'!$F$9:$G$9</definedName>
    <definedName name="BEx3OVDR9BY1SBRX3I92LJ228GPZ" localSheetId="5" hidden="1">#REF!</definedName>
    <definedName name="BEx3OVDR9BY1SBRX3I92LJ228GPZ" localSheetId="8" hidden="1">#REF!</definedName>
    <definedName name="BEx3OVDR9BY1SBRX3I92LJ228GPZ" hidden="1">#REF!</definedName>
    <definedName name="BEx3OXRYJZUEY6E72UJU0PHLMYAR" hidden="1">'[2]Reco Sheet for Fcast'!$F$7:$G$7</definedName>
    <definedName name="BEx3P59TTRSGQY888P5C1O7M2PQT" hidden="1">'[2]Reco Sheet for Fcast'!$F$7:$G$7</definedName>
    <definedName name="BEx3PDNRRNKD5GOUBUQFXAHIXLD9" hidden="1">'[2]Reco Sheet for Fcast'!$I$6:$J$6</definedName>
    <definedName name="BEx3PDT8GNPWLLN02IH1XPV90XYK" hidden="1">'[2]Reco Sheet for Fcast'!$F$7:$G$7</definedName>
    <definedName name="BEx3PKEMDW8KZEP11IL927C5O7I2" hidden="1">'[2]Reco Sheet for Fcast'!$F$15</definedName>
    <definedName name="BEx3PKJZ1Z7L9S6KV8KXVS6B2FX4" hidden="1">'[2]Reco Sheet for Fcast'!$I$10:$J$10</definedName>
    <definedName name="BEx3PMNG53Z5HY138H99QOMTX8W3" hidden="1">'[2]Reco Sheet for Fcast'!$I$6:$J$6</definedName>
    <definedName name="BEx3PP1RRSFZ8UC0JC9R91W6LNKW" hidden="1">'[2]Reco Sheet for Fcast'!$I$7:$J$7</definedName>
    <definedName name="BEx3PVXYZC8WB9ZJE7OCKUXZ46EA" hidden="1">'[2]Reco Sheet for Fcast'!$H$2:$I$2</definedName>
    <definedName name="BEx3Q0VWPU5EQECK7MQ47TYJ3SWW" hidden="1">'[2]Reco Sheet for Fcast'!$F$15</definedName>
    <definedName name="BEx3Q5U1E8DSCYITLNZG4FG813OR" localSheetId="5" hidden="1">'[5]Capital orders'!#REF!</definedName>
    <definedName name="BEx3Q5U1E8DSCYITLNZG4FG813OR" localSheetId="8" hidden="1">'[5]Capital orders'!#REF!</definedName>
    <definedName name="BEx3Q5U1E8DSCYITLNZG4FG813OR" hidden="1">'[5]Capital orders'!#REF!</definedName>
    <definedName name="BEx3Q7BZ9PUXK2RLIOFSIS9AHU1B" hidden="1">'[2]Reco Sheet for Fcast'!$F$9:$G$9</definedName>
    <definedName name="BEx3Q8J42S9VU6EAN2Y28MR6DF88" hidden="1">'[2]Reco Sheet for Fcast'!$I$9:$J$9</definedName>
    <definedName name="BEx3QEDFOYFY5NBTININ5W4RLD4Q" hidden="1">'[2]Reco Sheet for Fcast'!$F$11:$G$11</definedName>
    <definedName name="BEx3QIKJ3U962US1Q564NZDLU8LD" hidden="1">'[2]Reco Sheet for Fcast'!$F$6:$G$6</definedName>
    <definedName name="BEx3QOEY7IL4PZNO1XW0Q5KZ3BPA" hidden="1">'[2]Reco Sheet for Fcast'!$O$6:$P$10</definedName>
    <definedName name="BEx3QPGNBFAPHNWN14HP5HGBZUHY" localSheetId="5" hidden="1">#REF!</definedName>
    <definedName name="BEx3QPGNBFAPHNWN14HP5HGBZUHY" localSheetId="8" hidden="1">#REF!</definedName>
    <definedName name="BEx3QPGNBFAPHNWN14HP5HGBZUHY" hidden="1">#REF!</definedName>
    <definedName name="BEx3QR9D45DHW50VQ7Y3Q1AXPOB9" hidden="1">'[2]Reco Sheet for Fcast'!$F$10:$G$10</definedName>
    <definedName name="BEx3QSWT2S5KWG6U2V9711IYDQBM" hidden="1">'[2]Reco Sheet for Fcast'!$K$2</definedName>
    <definedName name="BEx3QVGG7Q2X4HZHJAM35A8T3VR7" hidden="1">'[2]Reco Sheet for Fcast'!$I$9:$J$9</definedName>
    <definedName name="BEx3R0JUB9YN8PHPPQTAMIT1IHWK" hidden="1">'[2]Reco Sheet for Fcast'!$F$10:$G$10</definedName>
    <definedName name="BEx3R6JNDZ5SKLXPE4E8AGJCT6XV" hidden="1">'[4]Bud Mth'!$I$10:$J$10</definedName>
    <definedName name="BEx3R81NFRO7M81VHVKOBFT0QBIL" hidden="1">'[2]Reco Sheet for Fcast'!$I$11:$J$11</definedName>
    <definedName name="BEx3RHC2ZD5UFS6QD4OPFCNNMWH1" localSheetId="5" hidden="1">'[3]AMI P &amp; L'!#REF!</definedName>
    <definedName name="BEx3RHC2ZD5UFS6QD4OPFCNNMWH1" localSheetId="8" hidden="1">'[3]AMI P &amp; L'!#REF!</definedName>
    <definedName name="BEx3RHC2ZD5UFS6QD4OPFCNNMWH1" hidden="1">'[3]AMI P &amp; L'!#REF!</definedName>
    <definedName name="BEx3RQ10QIWBAPHALAA91BUUCM2X" hidden="1">'[2]Reco Sheet for Fcast'!$H$2:$I$2</definedName>
    <definedName name="BEx3RV4E1WT43SZBUN09RTB8EK1O" hidden="1">'[2]Reco Sheet for Fcast'!$F$6:$G$6</definedName>
    <definedName name="BEx3RXYU0QLFXSFTM5EB20GD03W5" hidden="1">'[2]Reco Sheet for Fcast'!$I$6:$J$6</definedName>
    <definedName name="BEx3RYKLC3QQO3XTUN7BEW2AQL98" hidden="1">'[2]Reco Sheet for Fcast'!$F$6:$G$6</definedName>
    <definedName name="BEx3S6YJ4FSE6L232EC7JMBHL9LG" localSheetId="5" hidden="1">'[5]Capital orders'!#REF!</definedName>
    <definedName name="BEx3S6YJ4FSE6L232EC7JMBHL9LG" localSheetId="8" hidden="1">'[5]Capital orders'!#REF!</definedName>
    <definedName name="BEx3S6YJ4FSE6L232EC7JMBHL9LG" hidden="1">'[5]Capital orders'!#REF!</definedName>
    <definedName name="BEx3SICJ45BYT6FHBER86PJT25FC" hidden="1">'[2]Reco Sheet for Fcast'!$I$11:$J$11</definedName>
    <definedName name="BEx3SMUCMJVGQ2H4EHQI5ZFHEF0P" hidden="1">'[2]Reco Sheet for Fcast'!$F$7:$G$7</definedName>
    <definedName name="BEx3SN56F03CPDRDA7LZ763V0N4I" hidden="1">'[2]Reco Sheet for Fcast'!$F$10:$G$10</definedName>
    <definedName name="BEx3SPE6N1ORXPRCDL3JPZD73Z9F" hidden="1">'[2]Reco Sheet for Fcast'!$F$10:$G$10</definedName>
    <definedName name="BEx3T29ZTULQE0OMSMWUMZDU9ZZ0" hidden="1">'[2]Reco Sheet for Fcast'!$F$9:$G$9</definedName>
    <definedName name="BEx3T2FG1ZY4WZBQSPCTC91YU2YJ" localSheetId="5" hidden="1">#REF!</definedName>
    <definedName name="BEx3T2FG1ZY4WZBQSPCTC91YU2YJ" localSheetId="8" hidden="1">#REF!</definedName>
    <definedName name="BEx3T2FG1ZY4WZBQSPCTC91YU2YJ" hidden="1">#REF!</definedName>
    <definedName name="BEx3T6H1GANMM2I05ZEVPCP6MRU2" localSheetId="5" hidden="1">'[5]Capital orders'!#REF!</definedName>
    <definedName name="BEx3T6H1GANMM2I05ZEVPCP6MRU2" localSheetId="8" hidden="1">'[5]Capital orders'!#REF!</definedName>
    <definedName name="BEx3T6H1GANMM2I05ZEVPCP6MRU2" hidden="1">'[5]Capital orders'!#REF!</definedName>
    <definedName name="BEx3T6MJ1QDJ929WMUDVZ0O3UW0Y" hidden="1">'[2]Reco Sheet for Fcast'!$K$2</definedName>
    <definedName name="BEx3TL0EBCEEUJ1A7EWNJRIN2795" localSheetId="5" hidden="1">'[5]Capital orders'!#REF!</definedName>
    <definedName name="BEx3TL0EBCEEUJ1A7EWNJRIN2795" localSheetId="8" hidden="1">'[5]Capital orders'!#REF!</definedName>
    <definedName name="BEx3TL0EBCEEUJ1A7EWNJRIN2795" hidden="1">'[5]Capital orders'!#REF!</definedName>
    <definedName name="BEx3TPCSI16OAB2L9M9IULQMQ9J9" hidden="1">'[2]Reco Sheet for Fcast'!$F$7:$G$7</definedName>
    <definedName name="BEx3U64YUOZ419BAJS2W78UMATAW" hidden="1">'[2]Reco Sheet for Fcast'!$I$7:$J$7</definedName>
    <definedName name="BEx3U94WCEA5DKMWBEX1GU0LKYG2" hidden="1">'[2]Reco Sheet for Fcast'!$I$9:$J$9</definedName>
    <definedName name="BEx3U9VZ8SQVYS6ZA038J7AP7ZGW" hidden="1">'[2]Reco Sheet for Fcast'!$F$9:$G$9</definedName>
    <definedName name="BEx3UIQ5WRJBGNTFCCLOR4N7B1OQ" hidden="1">'[2]Reco Sheet for Fcast'!$H$2:$I$2</definedName>
    <definedName name="BEx3UJMIX2NUSSWGMSI25A5DM4CH" hidden="1">'[2]Reco Sheet for Fcast'!$I$7:$J$7</definedName>
    <definedName name="BEx3UKOCOQG7S1YQ436S997K1KWV" hidden="1">'[2]Reco Sheet for Fcast'!$I$6:$J$6</definedName>
    <definedName name="BEx3UM0THK7XHBY53ADQX650TQR3" localSheetId="5" hidden="1">'[5]Capital orders'!#REF!</definedName>
    <definedName name="BEx3UM0THK7XHBY53ADQX650TQR3" localSheetId="8" hidden="1">'[5]Capital orders'!#REF!</definedName>
    <definedName name="BEx3UM0THK7XHBY53ADQX650TQR3" hidden="1">'[5]Capital orders'!#REF!</definedName>
    <definedName name="BEx3UO4CSA2W3UIZSAB83N5MOYUI" localSheetId="5" hidden="1">#REF!</definedName>
    <definedName name="BEx3UO4CSA2W3UIZSAB83N5MOYUI" localSheetId="8" hidden="1">#REF!</definedName>
    <definedName name="BEx3UO4CSA2W3UIZSAB83N5MOYUI" hidden="1">#REF!</definedName>
    <definedName name="BEx3UYM19VIXLA0EU7LB9NHA77PB" hidden="1">'[2]Reco Sheet for Fcast'!$F$6:$G$6</definedName>
    <definedName name="BEx3VML7CG70HPISMVYIUEN3711Q" hidden="1">'[2]Reco Sheet for Fcast'!$H$2:$I$2</definedName>
    <definedName name="BEx56ZID5H04P9AIYLP1OASFGV56" hidden="1">'[2]Reco Sheet for Fcast'!$F$11:$G$11</definedName>
    <definedName name="BEx587EYSS57E3PI8DT973HLJM9E" hidden="1">'[2]Reco Sheet for Fcast'!$I$11:$J$11</definedName>
    <definedName name="BEx587KFQ3VKCOCY1SA5F24PQGUI" hidden="1">'[2]Reco Sheet for Fcast'!$F$11:$G$11</definedName>
    <definedName name="BEx589O00VWB2CRMRCLO3I5IX5HO" localSheetId="5" hidden="1">#REF!</definedName>
    <definedName name="BEx589O00VWB2CRMRCLO3I5IX5HO" localSheetId="8" hidden="1">#REF!</definedName>
    <definedName name="BEx589O00VWB2CRMRCLO3I5IX5HO" hidden="1">#REF!</definedName>
    <definedName name="BEx58O780PQ05NF0Z1SKKRB3N099" hidden="1">'[2]Reco Sheet for Fcast'!$F$7:$G$7</definedName>
    <definedName name="BEx58XHO7ZULLF2EUD7YIS0MGQJ5" localSheetId="5" hidden="1">'[3]AMI P &amp; L'!#REF!</definedName>
    <definedName name="BEx58XHO7ZULLF2EUD7YIS0MGQJ5" localSheetId="8" hidden="1">'[3]AMI P &amp; L'!#REF!</definedName>
    <definedName name="BEx58XHO7ZULLF2EUD7YIS0MGQJ5" hidden="1">'[3]AMI P &amp; L'!#REF!</definedName>
    <definedName name="BEx58ZW0HAIGIPEX9CVA1PQQTR6X" hidden="1">'[2]Reco Sheet for Fcast'!$I$7:$J$7</definedName>
    <definedName name="BEx59AZ7IMWYQU6DW5MVTLDMFU8X" localSheetId="5" hidden="1">#REF!</definedName>
    <definedName name="BEx59AZ7IMWYQU6DW5MVTLDMFU8X" localSheetId="8" hidden="1">#REF!</definedName>
    <definedName name="BEx59AZ7IMWYQU6DW5MVTLDMFU8X" hidden="1">#REF!</definedName>
    <definedName name="BEx59BA1KH3RG6K1LHL7YS2VB79N" hidden="1">'[2]Reco Sheet for Fcast'!$F$11:$G$11</definedName>
    <definedName name="BEx59E9WABJP2TN71QAIKK79HPK9" hidden="1">'[2]Reco Sheet for Fcast'!$I$8:$J$8</definedName>
    <definedName name="BEx59P7MAPNU129ZTC5H3EH892G1" hidden="1">'[2]Reco Sheet for Fcast'!$F$15</definedName>
    <definedName name="BEx5A11WZRQSIE089QE119AOX9ZG" hidden="1">'[2]Reco Sheet for Fcast'!$I$7:$J$7</definedName>
    <definedName name="BEx5A7CIGCOTHJKHGUBDZG91JGPZ" hidden="1">'[2]Reco Sheet for Fcast'!$F$11:$G$11</definedName>
    <definedName name="BEx5A8UFLT2SWVSG5COFA9B8P376" hidden="1">'[2]Reco Sheet for Fcast'!$F$10:$G$10</definedName>
    <definedName name="BEx5AFFTN3IXIBHDKM0FYC4OFL1S" hidden="1">'[2]Reco Sheet for Fcast'!$G$2</definedName>
    <definedName name="BEx5AOFIO8KVRHIZ1RII337AA8ML" hidden="1">'[2]Reco Sheet for Fcast'!$I$7:$J$7</definedName>
    <definedName name="BEx5APRZ66L5BWHFE8E4YYNEDTI4" hidden="1">'[2]Reco Sheet for Fcast'!$G$2</definedName>
    <definedName name="BEx5B4RHHX0J1BF2FZKEA0SPP29O" hidden="1">'[2]Reco Sheet for Fcast'!$I$8:$J$8</definedName>
    <definedName name="BEx5B5YMSWP0OVI5CIQRP5V18D0C" hidden="1">'[2]Reco Sheet for Fcast'!$I$8:$J$8</definedName>
    <definedName name="BEx5B825RW35M5H0UB2IZGGRS4ER" hidden="1">'[2]Reco Sheet for Fcast'!$F$15</definedName>
    <definedName name="BEx5BAWPMY0TL684WDXX6KKJLRCN" hidden="1">'[2]Reco Sheet for Fcast'!$F$10:$G$10</definedName>
    <definedName name="BEx5BBI61U4Y65GD0ARMTALPP7SJ" hidden="1">'[2]Reco Sheet for Fcast'!$F$9:$G$9</definedName>
    <definedName name="BEx5BDR56MEV4IHY6CIH2SVNG1UB" hidden="1">'[2]Reco Sheet for Fcast'!$F$8:$G$8</definedName>
    <definedName name="BEx5BESZC5H329SKHGJOHZFILYJJ" hidden="1">'[2]Reco Sheet for Fcast'!$I$6:$J$6</definedName>
    <definedName name="BEx5BHSQ42B50IU1TEQFUXFX9XQD" localSheetId="5" hidden="1">'[3]AMI P &amp; L'!#REF!</definedName>
    <definedName name="BEx5BHSQ42B50IU1TEQFUXFX9XQD" localSheetId="8" hidden="1">'[3]AMI P &amp; L'!#REF!</definedName>
    <definedName name="BEx5BHSQ42B50IU1TEQFUXFX9XQD" hidden="1">'[3]AMI P &amp; L'!#REF!</definedName>
    <definedName name="BEx5BKSM4UN4C1DM3EYKM79MRC5K" hidden="1">'[2]Reco Sheet for Fcast'!$F$6:$G$6</definedName>
    <definedName name="BEx5BNN8NPH9KVOBARB9CDD9WLB6" hidden="1">'[2]Reco Sheet for Fcast'!$F$9:$G$9</definedName>
    <definedName name="BEx5BYFMZ80TDDN2EZO8CF39AIAC" hidden="1">'[2]Reco Sheet for Fcast'!$F$15</definedName>
    <definedName name="BEx5C2BWFW6SHZBFDEISKGXHZCQW" hidden="1">'[2]Reco Sheet for Fcast'!$I$8:$J$8</definedName>
    <definedName name="BEx5C49ZFH8TO9ZU55729C3F7XG7" hidden="1">'[2]Reco Sheet for Fcast'!$F$9:$G$9</definedName>
    <definedName name="BEx5C8GZQK13G60ZM70P63I5OS0L" hidden="1">'[2]Reco Sheet for Fcast'!$F$10:$G$10</definedName>
    <definedName name="BEx5CAPTVN2NBT3UOMA1UFAL1C2R" hidden="1">'[2]Reco Sheet for Fcast'!$I$6:$J$6</definedName>
    <definedName name="BEx5CEM3SYF9XP0ZZVE0GEPCLV3F" hidden="1">'[2]Reco Sheet for Fcast'!$I$10:$J$10</definedName>
    <definedName name="BEx5CFYQ0F1Z6P8SCVJ0I3UPVFE4" localSheetId="5" hidden="1">'[3]AMI P &amp; L'!#REF!</definedName>
    <definedName name="BEx5CFYQ0F1Z6P8SCVJ0I3UPVFE4" localSheetId="8" hidden="1">'[3]AMI P &amp; L'!#REF!</definedName>
    <definedName name="BEx5CFYQ0F1Z6P8SCVJ0I3UPVFE4" hidden="1">'[3]AMI P &amp; L'!#REF!</definedName>
    <definedName name="BEx5CKWQHHP966IXELUOVK2L3J48" localSheetId="5" hidden="1">'[5]Capital orders'!#REF!</definedName>
    <definedName name="BEx5CKWQHHP966IXELUOVK2L3J48" localSheetId="8" hidden="1">'[5]Capital orders'!#REF!</definedName>
    <definedName name="BEx5CKWQHHP966IXELUOVK2L3J48" hidden="1">'[5]Capital orders'!#REF!</definedName>
    <definedName name="BEx5CPEKNSJORIPFQC2E1LTRYY8L" hidden="1">'[2]Reco Sheet for Fcast'!$I$7:$J$7</definedName>
    <definedName name="BEx5CSUOL05D8PAM2TRDA9VRJT1O" hidden="1">'[2]Reco Sheet for Fcast'!$I$10:$J$10</definedName>
    <definedName name="BEx5CUNFOO4YDFJ22HCMI2QKIGKM" hidden="1">'[2]Reco Sheet for Fcast'!$F$10:$G$10</definedName>
    <definedName name="BEx5CWLOBFBDZZLDMZV6E0Z1VJA6" hidden="1">'[2]Reco Sheet for Fcast'!$F$10:$G$10</definedName>
    <definedName name="BEx5D7U7MZFE0E9SNH9NX01XLKLP" localSheetId="5" hidden="1">#REF!</definedName>
    <definedName name="BEx5D7U7MZFE0E9SNH9NX01XLKLP" localSheetId="8" hidden="1">#REF!</definedName>
    <definedName name="BEx5D7U7MZFE0E9SNH9NX01XLKLP" hidden="1">#REF!</definedName>
    <definedName name="BEx5D8L47OF0WHBPFWXGZINZWUBZ" hidden="1">'[2]Reco Sheet for Fcast'!$I$10:$J$10</definedName>
    <definedName name="BEx5DAJAHQ2SKUPCKSCR3PYML67L" hidden="1">'[2]Reco Sheet for Fcast'!$I$8:$J$8</definedName>
    <definedName name="BEx5DAZEGUTH4C1FCHVO3EWOQDU3" localSheetId="5" hidden="1">#REF!</definedName>
    <definedName name="BEx5DAZEGUTH4C1FCHVO3EWOQDU3" localSheetId="8" hidden="1">#REF!</definedName>
    <definedName name="BEx5DAZEGUTH4C1FCHVO3EWOQDU3" hidden="1">#REF!</definedName>
    <definedName name="BEx5DC18JM1KJCV44PF18E0LNRKA" hidden="1">'[2]Reco Sheet for Fcast'!$F$8:$G$8</definedName>
    <definedName name="BEx5DJIZBTNS011R9IIG2OQ2L6ZX" hidden="1">'[2]Reco Sheet for Fcast'!$H$2:$I$2</definedName>
    <definedName name="BEx5E123OLO9WQUOIRIDJ967KAGK" hidden="1">'[2]Reco Sheet for Fcast'!$F$15</definedName>
    <definedName name="BEx5E2UU5NES6W779W2OZTZOB4O7" hidden="1">'[2]Reco Sheet for Fcast'!$I$10:$J$10</definedName>
    <definedName name="BEx5ELQL9B0VR6UT18KP11DHOTFX" hidden="1">'[2]Reco Sheet for Fcast'!$I$10:$J$10</definedName>
    <definedName name="BEx5ER4TJTFPN7IB1MNEB1ZFR5M6" hidden="1">'[2]Reco Sheet for Fcast'!$H$2:$I$2</definedName>
    <definedName name="BEx5ERQE4JE8890QDCQFB0IMTC4I" localSheetId="5" hidden="1">'[5]Capital orders'!#REF!</definedName>
    <definedName name="BEx5ERQE4JE8890QDCQFB0IMTC4I" localSheetId="8" hidden="1">'[5]Capital orders'!#REF!</definedName>
    <definedName name="BEx5ERQE4JE8890QDCQFB0IMTC4I" hidden="1">'[5]Capital orders'!#REF!</definedName>
    <definedName name="BEx5F6V72QTCK7O39Y59R0EVM6CW" hidden="1">'[2]Reco Sheet for Fcast'!$I$8:$J$8</definedName>
    <definedName name="BEx5FGLQVACD5F5YZG4DGSCHCGO2" hidden="1">'[2]Reco Sheet for Fcast'!$H$2:$I$2</definedName>
    <definedName name="BEx5FLJWHLW3BTZILDPN5NMA449V" hidden="1">'[2]Reco Sheet for Fcast'!$I$6:$J$6</definedName>
    <definedName name="BEx5FNI2O10YN2SI1NO4X5GP3GTF" hidden="1">'[2]Reco Sheet for Fcast'!$F$10:$G$10</definedName>
    <definedName name="BEx5FO8YRFSZCG3L608EHIHIHFY4" localSheetId="5" hidden="1">'[3]AMI P &amp; L'!#REF!</definedName>
    <definedName name="BEx5FO8YRFSZCG3L608EHIHIHFY4" localSheetId="8" hidden="1">'[3]AMI P &amp; L'!#REF!</definedName>
    <definedName name="BEx5FO8YRFSZCG3L608EHIHIHFY4" hidden="1">'[3]AMI P &amp; L'!#REF!</definedName>
    <definedName name="BEx5FQNA6V4CNYSH013K45RI4BCV" hidden="1">'[2]Reco Sheet for Fcast'!$F$8:$G$8</definedName>
    <definedName name="BEx5FVQPPEU32CPNV9RRQ9MNLLVE" hidden="1">'[2]Reco Sheet for Fcast'!$H$2:$I$2</definedName>
    <definedName name="BEx5G08KGMG5X2AQKDGPFYG5GH94" hidden="1">'[2]Reco Sheet for Fcast'!$I$6:$J$6</definedName>
    <definedName name="BEx5G1A8TFN4C4QII35U9DKYNIS8" localSheetId="5" hidden="1">'[3]AMI P &amp; L'!#REF!</definedName>
    <definedName name="BEx5G1A8TFN4C4QII35U9DKYNIS8" localSheetId="8" hidden="1">'[3]AMI P &amp; L'!#REF!</definedName>
    <definedName name="BEx5G1A8TFN4C4QII35U9DKYNIS8" hidden="1">'[3]AMI P &amp; L'!#REF!</definedName>
    <definedName name="BEx5G1L0QO91KEPDMV1D8OT4BT73" hidden="1">'[2]Reco Sheet for Fcast'!$I$6:$J$6</definedName>
    <definedName name="BEx5G86DZL1VYUX6KWODAP3WFAWP" hidden="1">'[2]Reco Sheet for Fcast'!$E$2:$F$2</definedName>
    <definedName name="BEx5G8BV2GIOCM3C7IUFK8L04A6M" hidden="1">'[2]Reco Sheet for Fcast'!$I$11:$J$11</definedName>
    <definedName name="BEx5GAVIL220VIPAKH02UYIUB7EU" localSheetId="5" hidden="1">'[5]Capital orders'!#REF!</definedName>
    <definedName name="BEx5GAVIL220VIPAKH02UYIUB7EU" localSheetId="8" hidden="1">'[5]Capital orders'!#REF!</definedName>
    <definedName name="BEx5GAVIL220VIPAKH02UYIUB7EU" hidden="1">'[5]Capital orders'!#REF!</definedName>
    <definedName name="BEx5GID9MVBUPFFT9M8K8B5MO9NV" hidden="1">'[2]Reco Sheet for Fcast'!$F$15:$G$16</definedName>
    <definedName name="BEx5GLD6CMDEYT8QI3HVPGEES2A5" localSheetId="5" hidden="1">#REF!</definedName>
    <definedName name="BEx5GLD6CMDEYT8QI3HVPGEES2A5" localSheetId="8" hidden="1">#REF!</definedName>
    <definedName name="BEx5GLD6CMDEYT8QI3HVPGEES2A5" hidden="1">#REF!</definedName>
    <definedName name="BEx5GN0EWA9SCQDPQ7NTUQH82QVK" hidden="1">'[2]Reco Sheet for Fcast'!$F$6:$G$6</definedName>
    <definedName name="BEx5GNBCU4WZ74I0UXFL9ZG2XSGJ" hidden="1">'[2]Reco Sheet for Fcast'!$F$6:$G$6</definedName>
    <definedName name="BEx5GUCTYC7QCWGWU5BTO7Y7HDZX" hidden="1">'[2]Reco Sheet for Fcast'!$I$6:$J$6</definedName>
    <definedName name="BEx5GYUPJULJQ624TEESYFG1NFOH" hidden="1">'[2]Reco Sheet for Fcast'!$I$9:$J$9</definedName>
    <definedName name="BEx5H0NEE0AIN5E2UHJ9J9ISU9N1" hidden="1">'[2]Reco Sheet for Fcast'!$F$8:$G$8</definedName>
    <definedName name="BEx5H1UJSEUQM2K8QHQXO5THVHSO" hidden="1">'[2]Reco Sheet for Fcast'!$F$9:$G$9</definedName>
    <definedName name="BEx5HAOT9XWUF7XIFRZZS8B9F5TZ" hidden="1">'[2]Reco Sheet for Fcast'!$K$2</definedName>
    <definedName name="BEx5HE4XRF9BUY04MENWY9CHHN5H" hidden="1">'[2]Reco Sheet for Fcast'!$I$11:$J$11</definedName>
    <definedName name="BEx5HFHMABAT0H9KKS754X4T304E" hidden="1">'[2]Reco Sheet for Fcast'!$I$11:$J$11</definedName>
    <definedName name="BEx5HGDZ7MX1S3KNXLRL9WU565V4" hidden="1">'[2]Reco Sheet for Fcast'!$F$11:$G$11</definedName>
    <definedName name="BEx5HJZ9FAVNZSSBTAYRPZDYM9NU" hidden="1">'[2]Reco Sheet for Fcast'!$F$8:$G$8</definedName>
    <definedName name="BEx5HZ9JMKHNLFWLVUB1WP5B39BL" hidden="1">'[2]Reco Sheet for Fcast'!$F$10:$G$10</definedName>
    <definedName name="BEx5HZV4KY20K2E2E581QT80KGFL" localSheetId="5" hidden="1">'[5]Capital orders'!#REF!</definedName>
    <definedName name="BEx5HZV4KY20K2E2E581QT80KGFL" localSheetId="8" hidden="1">'[5]Capital orders'!#REF!</definedName>
    <definedName name="BEx5HZV4KY20K2E2E581QT80KGFL" hidden="1">'[5]Capital orders'!#REF!</definedName>
    <definedName name="BEx5I244LQHZTF3XI66J8705R9XX" localSheetId="5" hidden="1">'[3]AMI P &amp; L'!#REF!</definedName>
    <definedName name="BEx5I244LQHZTF3XI66J8705R9XX" localSheetId="8" hidden="1">'[3]AMI P &amp; L'!#REF!</definedName>
    <definedName name="BEx5I244LQHZTF3XI66J8705R9XX" hidden="1">'[3]AMI P &amp; L'!#REF!</definedName>
    <definedName name="BEx5I8PBP4LIXDGID5BP0THLO0AQ" localSheetId="5" hidden="1">'[3]AMI P &amp; L'!#REF!</definedName>
    <definedName name="BEx5I8PBP4LIXDGID5BP0THLO0AQ" localSheetId="8" hidden="1">'[3]AMI P &amp; L'!#REF!</definedName>
    <definedName name="BEx5I8PBP4LIXDGID5BP0THLO0AQ" hidden="1">'[3]AMI P &amp; L'!#REF!</definedName>
    <definedName name="BEx5I8USVUB3JP4S9OXGMZVMOQXR" hidden="1">'[2]Reco Sheet for Fcast'!$G$2</definedName>
    <definedName name="BEx5I9GDQSYIAL65UQNDMNFQCS9Y" hidden="1">'[2]Reco Sheet for Fcast'!$I$11:$J$11</definedName>
    <definedName name="BEx5IBUPG9AWNW5PK7JGRGEJ4OLM" hidden="1">'[2]Reco Sheet for Fcast'!$H$2:$I$2</definedName>
    <definedName name="BEx5IC06RVN8BSAEPREVKHKLCJ2L" hidden="1">'[2]Reco Sheet for Fcast'!$I$8:$J$8</definedName>
    <definedName name="BEx5IFLNF3FADLCRC1334L3LVOSY" localSheetId="5" hidden="1">'[5]Capital orders'!#REF!</definedName>
    <definedName name="BEx5IFLNF3FADLCRC1334L3LVOSY" localSheetId="8" hidden="1">'[5]Capital orders'!#REF!</definedName>
    <definedName name="BEx5IFLNF3FADLCRC1334L3LVOSY" hidden="1">'[5]Capital orders'!#REF!</definedName>
    <definedName name="BEx5J0FFP1KS4NGY20AEJI8VREEA" hidden="1">'[2]Reco Sheet for Fcast'!$I$9:$J$9</definedName>
    <definedName name="BEx5JF3ZXLDIS8VNKDCY7ZI7H1CI" hidden="1">'[2]Reco Sheet for Fcast'!$F$11:$G$11</definedName>
    <definedName name="BEx5JHCZJ8G6OOOW6EF3GABXKH6F" localSheetId="5" hidden="1">'[3]AMI P &amp; L'!#REF!</definedName>
    <definedName name="BEx5JHCZJ8G6OOOW6EF3GABXKH6F" localSheetId="8" hidden="1">'[3]AMI P &amp; L'!#REF!</definedName>
    <definedName name="BEx5JHCZJ8G6OOOW6EF3GABXKH6F" hidden="1">'[3]AMI P &amp; L'!#REF!</definedName>
    <definedName name="BEx5JJB6W446THXQCRUKD3I7RKLP" hidden="1">'[2]Reco Sheet for Fcast'!$F$8:$G$8</definedName>
    <definedName name="BEx5JNCT8Z7XSSPD5EMNAJELCU2V" localSheetId="5" hidden="1">'[3]AMI P &amp; L'!#REF!</definedName>
    <definedName name="BEx5JNCT8Z7XSSPD5EMNAJELCU2V" localSheetId="8" hidden="1">'[3]AMI P &amp; L'!#REF!</definedName>
    <definedName name="BEx5JNCT8Z7XSSPD5EMNAJELCU2V" hidden="1">'[3]AMI P &amp; L'!#REF!</definedName>
    <definedName name="BEx5JQCNT9Y4RM306CHC8IPY3HBZ" hidden="1">'[2]Reco Sheet for Fcast'!$F$15</definedName>
    <definedName name="BEx5K08PYKE6JOKBYIB006TX619P" hidden="1">'[2]Reco Sheet for Fcast'!$F$9:$G$9</definedName>
    <definedName name="BEx5K51DSERT1TR7B4A29R41W4NX" hidden="1">'[2]Reco Sheet for Fcast'!$I$7:$J$7</definedName>
    <definedName name="BEx5K7A7V5B87CW37IBINCOQ134P" localSheetId="5" hidden="1">#REF!</definedName>
    <definedName name="BEx5K7A7V5B87CW37IBINCOQ134P" localSheetId="8" hidden="1">#REF!</definedName>
    <definedName name="BEx5K7A7V5B87CW37IBINCOQ134P" hidden="1">#REF!</definedName>
    <definedName name="BEx5KYER580I4T7WTLMUN7NLNP5K" hidden="1">'[2]Reco Sheet for Fcast'!$F$10:$G$10</definedName>
    <definedName name="BEx5L4UOHIBIXCOOD5809ABRZ9A8" hidden="1">'[2]Reco Sheet for Fcast'!$I$11:$J$11</definedName>
    <definedName name="BEx5LHLB3M6K4ZKY2F42QBZT30ZH" hidden="1">'[2]Reco Sheet for Fcast'!$I$9:$J$9</definedName>
    <definedName name="BEx5LRMNU3HXIE1BUMDHRU31F7JJ" hidden="1">'[2]Reco Sheet for Fcast'!$F$6:$G$6</definedName>
    <definedName name="BEx5LSJ1LPUAX3ENSPECWPG4J7D1" localSheetId="5" hidden="1">'[3]AMI P &amp; L'!#REF!</definedName>
    <definedName name="BEx5LSJ1LPUAX3ENSPECWPG4J7D1" localSheetId="8" hidden="1">'[3]AMI P &amp; L'!#REF!</definedName>
    <definedName name="BEx5LSJ1LPUAX3ENSPECWPG4J7D1" hidden="1">'[3]AMI P &amp; L'!#REF!</definedName>
    <definedName name="BEx5LTKQ8RQWJE4BC88OP928893U" localSheetId="5" hidden="1">'[3]AMI P &amp; L'!#REF!</definedName>
    <definedName name="BEx5LTKQ8RQWJE4BC88OP928893U" localSheetId="8" hidden="1">'[3]AMI P &amp; L'!#REF!</definedName>
    <definedName name="BEx5LTKQ8RQWJE4BC88OP928893U" hidden="1">'[3]AMI P &amp; L'!#REF!</definedName>
    <definedName name="BEx5MB9BR71LZDG7XXQ2EO58JC5F" hidden="1">'[2]Reco Sheet for Fcast'!$H$2:$I$2</definedName>
    <definedName name="BEx5MLQZM68YQSKARVWTTPINFQ2C" localSheetId="5" hidden="1">'[3]AMI P &amp; L'!#REF!</definedName>
    <definedName name="BEx5MLQZM68YQSKARVWTTPINFQ2C" localSheetId="8" hidden="1">'[3]AMI P &amp; L'!#REF!</definedName>
    <definedName name="BEx5MLQZM68YQSKARVWTTPINFQ2C" hidden="1">'[3]AMI P &amp; L'!#REF!</definedName>
    <definedName name="BEx5MVHOG4GCI4HKTOTP194VMNRA" localSheetId="5" hidden="1">#REF!</definedName>
    <definedName name="BEx5MVHOG4GCI4HKTOTP194VMNRA" localSheetId="8" hidden="1">#REF!</definedName>
    <definedName name="BEx5MVHOG4GCI4HKTOTP194VMNRA" hidden="1">#REF!</definedName>
    <definedName name="BEx5MVXTKNBXHNWTL43C670E4KXC" hidden="1">'[2]Reco Sheet for Fcast'!$F$15</definedName>
    <definedName name="BEx5N4XI4PWB1W9PMZ4O5R0HWTYD" hidden="1">'[2]Reco Sheet for Fcast'!$I$8:$J$8</definedName>
    <definedName name="BEx5NA68N6FJFX9UJXK4M14U487F" hidden="1">'[2]Reco Sheet for Fcast'!$F$6:$G$6</definedName>
    <definedName name="BEx5NIKBG2GDJOYGE3WCXKU7YY51" hidden="1">'[2]Reco Sheet for Fcast'!$I$6:$J$6</definedName>
    <definedName name="BEx5NV06L5J5IMKGOMGKGJ4PBZCD" localSheetId="5" hidden="1">'[3]AMI P &amp; L'!#REF!</definedName>
    <definedName name="BEx5NV06L5J5IMKGOMGKGJ4PBZCD" localSheetId="8" hidden="1">'[3]AMI P &amp; L'!#REF!</definedName>
    <definedName name="BEx5NV06L5J5IMKGOMGKGJ4PBZCD" hidden="1">'[3]AMI P &amp; L'!#REF!</definedName>
    <definedName name="BEx5NZSSQ6PY99ZX2D7Q9IGOR34W" hidden="1">'[2]Reco Sheet for Fcast'!$F$10:$G$10</definedName>
    <definedName name="BEx5O3ZUQ2OARA1CDOZ3NC4UE5AA" hidden="1">'[2]Reco Sheet for Fcast'!$F$11:$G$11</definedName>
    <definedName name="BEx5O8N0SPY10WRHN2NNGU5BUWPZ" localSheetId="5" hidden="1">#REF!</definedName>
    <definedName name="BEx5O8N0SPY10WRHN2NNGU5BUWPZ" localSheetId="8" hidden="1">#REF!</definedName>
    <definedName name="BEx5O8N0SPY10WRHN2NNGU5BUWPZ" hidden="1">#REF!</definedName>
    <definedName name="BEx5OAFS0NJ2CB86A02E1JYHMLQ1" hidden="1">'[2]Reco Sheet for Fcast'!$I$6:$J$6</definedName>
    <definedName name="BEx5OG4RPU8W1ETWDWM234NYYYEN" hidden="1">'[2]Reco Sheet for Fcast'!$F$8:$G$8</definedName>
    <definedName name="BEx5OP9Y43F99O2IT69MKCCXGL61" hidden="1">'[2]Reco Sheet for Fcast'!$F$9:$G$9</definedName>
    <definedName name="BEx5P9Y9RDXNUAJ6CZ2LHMM8IM7T" hidden="1">'[2]Reco Sheet for Fcast'!$F$8:$G$8</definedName>
    <definedName name="BEx5PHWB2C0D5QLP3BZIP3UO7DIZ" hidden="1">'[2]Reco Sheet for Fcast'!$I$6:$J$6</definedName>
    <definedName name="BEx5PJP02W68K2E46L5C5YBSNU6T" hidden="1">'[2]Reco Sheet for Fcast'!$H$2:$I$2</definedName>
    <definedName name="BEx5PLCA8DOMAU315YCS5275L2HS" hidden="1">'[2]Reco Sheet for Fcast'!$I$11:$J$11</definedName>
    <definedName name="BEx5PRXMZ5M65Z732WNNGV564C2J" hidden="1">'[2]Reco Sheet for Fcast'!$I$9:$J$9</definedName>
    <definedName name="BEx5QPSW4IPLH50WSR87HRER05RF" hidden="1">'[2]Reco Sheet for Fcast'!$F$10:$G$10</definedName>
    <definedName name="BEx73V0EP8EMNRC3EZJJKKVKWQVB" hidden="1">'[2]Reco Sheet for Fcast'!$I$7:$J$7</definedName>
    <definedName name="BEx741WJHIJVXUX131SBXTVW8D71" hidden="1">'[2]Reco Sheet for Fcast'!$G$2</definedName>
    <definedName name="BEx74FOW04FOAHD3W8FOXUQCGEE0" hidden="1">'[4]Bud Mth'!$C$15:$D$29</definedName>
    <definedName name="BEx74Q6H3O7133AWQXWC21MI2UFT" hidden="1">'[2]Reco Sheet for Fcast'!$I$6:$J$6</definedName>
    <definedName name="BEx74SQ5R0VH9X24PI4DADFFLZ9N" localSheetId="5" hidden="1">#REF!</definedName>
    <definedName name="BEx74SQ5R0VH9X24PI4DADFFLZ9N" localSheetId="8" hidden="1">#REF!</definedName>
    <definedName name="BEx74SQ5R0VH9X24PI4DADFFLZ9N" hidden="1">#REF!</definedName>
    <definedName name="BEx74W6BJ8ENO3J25WNM5H5APKA3" localSheetId="5" hidden="1">'[3]AMI P &amp; L'!#REF!</definedName>
    <definedName name="BEx74W6BJ8ENO3J25WNM5H5APKA3" localSheetId="8" hidden="1">'[3]AMI P &amp; L'!#REF!</definedName>
    <definedName name="BEx74W6BJ8ENO3J25WNM5H5APKA3" hidden="1">'[3]AMI P &amp; L'!#REF!</definedName>
    <definedName name="BEx755GRRD9BL27YHLH5QWIYLWB7" hidden="1">'[2]Reco Sheet for Fcast'!$F$7:$G$7</definedName>
    <definedName name="BEx759D1D5SXS5ELLZVBI0SXYUNF" hidden="1">'[2]Reco Sheet for Fcast'!$I$10:$J$10</definedName>
    <definedName name="BEx75GJZSZHUDN6OOAGQYFUDA2LP" hidden="1">'[2]Reco Sheet for Fcast'!$F$11:$G$11</definedName>
    <definedName name="BEx75HGCCV5K4UCJWYV8EV9AG5YT" hidden="1">'[2]Reco Sheet for Fcast'!$F$8:$G$8</definedName>
    <definedName name="BEx75M8YU9VISUVICOSCP5YAMZPI" localSheetId="5" hidden="1">#REF!</definedName>
    <definedName name="BEx75M8YU9VISUVICOSCP5YAMZPI" localSheetId="8" hidden="1">#REF!</definedName>
    <definedName name="BEx75M8YU9VISUVICOSCP5YAMZPI" hidden="1">#REF!</definedName>
    <definedName name="BEx75PZT8TY5P13U978NVBUXKHT4" hidden="1">'[2]Reco Sheet for Fcast'!$F$8:$G$8</definedName>
    <definedName name="BEx75T55F7GML8V1DMWL26WRT006" hidden="1">'[2]Reco Sheet for Fcast'!$F$10:$G$10</definedName>
    <definedName name="BEx75VJGR07JY6UUWURQ4PJ29UKC" hidden="1">'[2]Reco Sheet for Fcast'!$F$6:$G$6</definedName>
    <definedName name="BEx76SNOC6R18OVRQYBQ0JGPW2Z7" localSheetId="5" hidden="1">#REF!</definedName>
    <definedName name="BEx76SNOC6R18OVRQYBQ0JGPW2Z7" localSheetId="8" hidden="1">#REF!</definedName>
    <definedName name="BEx76SNOC6R18OVRQYBQ0JGPW2Z7" hidden="1">#REF!</definedName>
    <definedName name="BEx771SMWJDAFC6Y4FKDDGEFBQ4W" localSheetId="5" hidden="1">'[5]Capital orders'!#REF!</definedName>
    <definedName name="BEx771SMWJDAFC6Y4FKDDGEFBQ4W" localSheetId="8" hidden="1">'[5]Capital orders'!#REF!</definedName>
    <definedName name="BEx771SMWJDAFC6Y4FKDDGEFBQ4W" hidden="1">'[5]Capital orders'!#REF!</definedName>
    <definedName name="BEx7741OUGLA0WJQLQRUJSL4DE00" hidden="1">'[2]Reco Sheet for Fcast'!$F$6:$G$6</definedName>
    <definedName name="BEx774N83DXLJZ54Q42PWIJZ2DN1" hidden="1">'[2]Reco Sheet for Fcast'!$F$15</definedName>
    <definedName name="BEx779QNIY3061ZV9BR462WKEGRW" hidden="1">'[2]Reco Sheet for Fcast'!$H$2:$I$2</definedName>
    <definedName name="BEx77G19QU9A95CNHE6QMVSQR2T3" hidden="1">'[2]Reco Sheet for Fcast'!$F$9:$G$9</definedName>
    <definedName name="BEx77KOE3LX3JOLFV1E0VZZVCULJ" localSheetId="5" hidden="1">#REF!</definedName>
    <definedName name="BEx77KOE3LX3JOLFV1E0VZZVCULJ" localSheetId="8" hidden="1">#REF!</definedName>
    <definedName name="BEx77KOE3LX3JOLFV1E0VZZVCULJ" hidden="1">#REF!</definedName>
    <definedName name="BEx77P0S3GVMS7BJUL9OWUGJ1B02" hidden="1">'[2]Reco Sheet for Fcast'!$I$6:$J$6</definedName>
    <definedName name="BEx77QDESURI6WW5582YXSK3A972" hidden="1">'[2]Reco Sheet for Fcast'!$I$11:$J$11</definedName>
    <definedName name="BEx77VBI9XOPFHKEWU5EHQ9J675Y" hidden="1">'[2]Reco Sheet for Fcast'!$I$11:$J$11</definedName>
    <definedName name="BEx7809GQOCLHSNH95VOYIX7P1TV" hidden="1">'[2]Reco Sheet for Fcast'!$I$11:$J$11</definedName>
    <definedName name="BEx780K8XAXUHGVZGZWQ74DK4CI3" hidden="1">'[2]Reco Sheet for Fcast'!$I$11:$J$11</definedName>
    <definedName name="BEx78226TN58UE0CTY98YEDU0LSL" hidden="1">'[2]Reco Sheet for Fcast'!$F$15</definedName>
    <definedName name="BEx7881ZZBWHRAX6W2GY19J8MGEQ" hidden="1">'[2]Reco Sheet for Fcast'!$I$9:$J$9</definedName>
    <definedName name="BEx78HHRIWDLHQX2LG0HWFRYEL1T" hidden="1">'[2]Reco Sheet for Fcast'!$H$2:$I$2</definedName>
    <definedName name="BEx78QMXZ2P1ZB3HJ9O50DWHCMXR" hidden="1">'[2]Reco Sheet for Fcast'!$F$7:$G$7</definedName>
    <definedName name="BEx78SFO5VR28677DWZEMDN7G86X" hidden="1">'[2]Reco Sheet for Fcast'!$K$2</definedName>
    <definedName name="BEx78SFOYH1Z0ZDTO47W2M60TW6K" hidden="1">'[2]Reco Sheet for Fcast'!$I$10:$J$10</definedName>
    <definedName name="BEx79JK3E6JO8MX4O35A5G8NZCC8" hidden="1">'[2]Reco Sheet for Fcast'!$I$8:$J$8</definedName>
    <definedName name="BEx79LCTDQFKD1KV7R8NW15KLAFT" localSheetId="5" hidden="1">#REF!</definedName>
    <definedName name="BEx79LCTDQFKD1KV7R8NW15KLAFT" localSheetId="8" hidden="1">#REF!</definedName>
    <definedName name="BEx79LCTDQFKD1KV7R8NW15KLAFT" hidden="1">#REF!</definedName>
    <definedName name="BEx79OCP4HQ6XP8EWNGEUDLOZBBS" hidden="1">'[2]Reco Sheet for Fcast'!$F$15</definedName>
    <definedName name="BEx79SEAYKUZB0H4LYBCD6WWJBG2" hidden="1">'[2]Reco Sheet for Fcast'!$I$11:$J$11</definedName>
    <definedName name="BEx79SJRHTLS9PYM69O9BWW1FMJK" hidden="1">'[2]Reco Sheet for Fcast'!$F$7:$G$7</definedName>
    <definedName name="BEx79YJJLBELICW9F9FRYSCQ101L" localSheetId="5" hidden="1">'[3]AMI P &amp; L'!#REF!</definedName>
    <definedName name="BEx79YJJLBELICW9F9FRYSCQ101L" localSheetId="8" hidden="1">'[3]AMI P &amp; L'!#REF!</definedName>
    <definedName name="BEx79YJJLBELICW9F9FRYSCQ101L" hidden="1">'[3]AMI P &amp; L'!#REF!</definedName>
    <definedName name="BEx79YUC7B0V77FSBGIRCY1BR4VK" hidden="1">'[2]Reco Sheet for Fcast'!$F$6:$G$6</definedName>
    <definedName name="BEx7A06T3RC2891FUX05G3QPRAUE" localSheetId="5" hidden="1">'[3]AMI P &amp; L'!#REF!</definedName>
    <definedName name="BEx7A06T3RC2891FUX05G3QPRAUE" localSheetId="8" hidden="1">'[3]AMI P &amp; L'!#REF!</definedName>
    <definedName name="BEx7A06T3RC2891FUX05G3QPRAUE" hidden="1">'[3]AMI P &amp; L'!#REF!</definedName>
    <definedName name="BEx7A4ZGTC3XLZR6M7XK0UX2T49X" localSheetId="5" hidden="1">#REF!</definedName>
    <definedName name="BEx7A4ZGTC3XLZR6M7XK0UX2T49X" localSheetId="8" hidden="1">#REF!</definedName>
    <definedName name="BEx7A4ZGTC3XLZR6M7XK0UX2T49X" hidden="1">#REF!</definedName>
    <definedName name="BEx7A9S3JA1X7FH4CFSQLTZC4691" hidden="1">'[2]Reco Sheet for Fcast'!$H$2:$I$2</definedName>
    <definedName name="BEx7ABA2C9IWH5VSLVLLLCY62161" hidden="1">'[2]Reco Sheet for Fcast'!$F$15</definedName>
    <definedName name="BEx7ABKU462F6424CGX2QB38TAZN" hidden="1">'[4]Bud Mth'!$J$2:$K$2</definedName>
    <definedName name="BEx7AE4LPLX8N85BYB0WCO5S7ZPV" hidden="1">'[2]Reco Sheet for Fcast'!$F$7:$G$7</definedName>
    <definedName name="BEx7ASD1I654MEDCO6GGWA95PXSC" localSheetId="5" hidden="1">'[3]AMI P &amp; L'!#REF!</definedName>
    <definedName name="BEx7ASD1I654MEDCO6GGWA95PXSC" localSheetId="8" hidden="1">'[3]AMI P &amp; L'!#REF!</definedName>
    <definedName name="BEx7ASD1I654MEDCO6GGWA95PXSC" hidden="1">'[3]AMI P &amp; L'!#REF!</definedName>
    <definedName name="BEx7AVCX9S5RJP3NSZ4QM4E6ERDT" localSheetId="5" hidden="1">'[3]AMI P &amp; L'!#REF!</definedName>
    <definedName name="BEx7AVCX9S5RJP3NSZ4QM4E6ERDT" localSheetId="8" hidden="1">'[3]AMI P &amp; L'!#REF!</definedName>
    <definedName name="BEx7AVCX9S5RJP3NSZ4QM4E6ERDT" hidden="1">'[3]AMI P &amp; L'!#REF!</definedName>
    <definedName name="BEx7AVYIGP0930MV5JEBWRYCJN68" hidden="1">'[2]Reco Sheet for Fcast'!$I$7:$J$7</definedName>
    <definedName name="BEx7B6LH6917TXOSAAQ6U7HVF018" hidden="1">'[2]Reco Sheet for Fcast'!$F$15</definedName>
    <definedName name="BEx7BPXFZXJ79FQ0E8AQE21PGVHA" hidden="1">'[2]Reco Sheet for Fcast'!$I$11:$J$11</definedName>
    <definedName name="BEx7C04AM39DQMC1TIX7CFZ2ADHX" hidden="1">'[2]Reco Sheet for Fcast'!$F$9:$G$9</definedName>
    <definedName name="BEx7C40F0PQURHPI6YQ39NFIR86Z" hidden="1">'[2]Reco Sheet for Fcast'!$I$10:$J$10</definedName>
    <definedName name="BEx7C93VR7SYRIJS1JO8YZKSFAW9" hidden="1">'[2]Reco Sheet for Fcast'!$I$9:$J$9</definedName>
    <definedName name="BEx7CCPC6R1KQQZ2JQU6EFI1G0RM" hidden="1">'[2]Reco Sheet for Fcast'!$I$7:$J$7</definedName>
    <definedName name="BEx7CIJST9GLS2QD383UK7VUDTGL" hidden="1">'[2]Reco Sheet for Fcast'!$G$2</definedName>
    <definedName name="BEx7CO8T2XKC7GHDSYNAWTZ9L7YR" localSheetId="5" hidden="1">'[3]AMI P &amp; L'!#REF!</definedName>
    <definedName name="BEx7CO8T2XKC7GHDSYNAWTZ9L7YR" localSheetId="8" hidden="1">'[3]AMI P &amp; L'!#REF!</definedName>
    <definedName name="BEx7CO8T2XKC7GHDSYNAWTZ9L7YR" hidden="1">'[3]AMI P &amp; L'!#REF!</definedName>
    <definedName name="BEx7CW1CF00DO8A36UNC2X7K65C2" hidden="1">'[2]Reco Sheet for Fcast'!$G$2</definedName>
    <definedName name="BEx7CW6NFRL2P4XWP0MWHIYA97KF" hidden="1">'[2]Reco Sheet for Fcast'!$I$11:$J$11</definedName>
    <definedName name="BEx7D5RWKRS4W71J4NZ6ZSFHPKFT" hidden="1">'[2]Reco Sheet for Fcast'!$F$15</definedName>
    <definedName name="BEx7D8H1TPOX1UN17QZYEV7Q58GA" hidden="1">'[2]Reco Sheet for Fcast'!$I$6:$J$6</definedName>
    <definedName name="BEx7DGF13H2074LRWFZQ45PZ6JPX" hidden="1">'[2]Reco Sheet for Fcast'!$I$9:$J$9</definedName>
    <definedName name="BEx7DKWUXEDIISSX4GDD4YYT887F" hidden="1">'[2]Reco Sheet for Fcast'!$I$8:$J$8</definedName>
    <definedName name="BEx7DMUYR2HC26WW7AOB1TULERMB" hidden="1">'[2]Reco Sheet for Fcast'!$I$12:$J$13</definedName>
    <definedName name="BEx7DVJTRV44IMJIBFXELE67SZ7S" hidden="1">'[2]Reco Sheet for Fcast'!$F$15</definedName>
    <definedName name="BEx7DVUMFCI5INHMVFIJ44RTTSTT" hidden="1">'[2]Reco Sheet for Fcast'!$F$7:$G$7</definedName>
    <definedName name="BEx7E2QT2U8THYOKBPXONB1B47WH" localSheetId="5" hidden="1">'[3]AMI P &amp; L'!#REF!</definedName>
    <definedName name="BEx7E2QT2U8THYOKBPXONB1B47WH" localSheetId="8" hidden="1">'[3]AMI P &amp; L'!#REF!</definedName>
    <definedName name="BEx7E2QT2U8THYOKBPXONB1B47WH" hidden="1">'[3]AMI P &amp; L'!#REF!</definedName>
    <definedName name="BEx7E5QP7W6UKO74F5Y0VJ741HS5" hidden="1">'[2]Reco Sheet for Fcast'!$I$11:$J$11</definedName>
    <definedName name="BEx7E66XF797M3VAMVIZK8WXZGRE" localSheetId="5" hidden="1">#REF!</definedName>
    <definedName name="BEx7E66XF797M3VAMVIZK8WXZGRE" localSheetId="8" hidden="1">#REF!</definedName>
    <definedName name="BEx7E66XF797M3VAMVIZK8WXZGRE" hidden="1">#REF!</definedName>
    <definedName name="BEx7E6N29HGH3I47AFB2DCS6MVS6" hidden="1">'[2]Reco Sheet for Fcast'!$G$2</definedName>
    <definedName name="BEx7EBA8IYHQKT7IQAOAML660SYA" hidden="1">'[2]Reco Sheet for Fcast'!$I$9:$J$9</definedName>
    <definedName name="BEx7EI6C8MCRZFEQYUBE5FSUTIHK" hidden="1">'[2]Reco Sheet for Fcast'!$F$8:$G$8</definedName>
    <definedName name="BEx7EI6DL1Z6UWLFBXAKVGZTKHWJ" localSheetId="5" hidden="1">'[3]AMI P &amp; L'!#REF!</definedName>
    <definedName name="BEx7EI6DL1Z6UWLFBXAKVGZTKHWJ" localSheetId="8" hidden="1">'[3]AMI P &amp; L'!#REF!</definedName>
    <definedName name="BEx7EI6DL1Z6UWLFBXAKVGZTKHWJ" hidden="1">'[3]AMI P &amp; L'!#REF!</definedName>
    <definedName name="BEx7EQKHX7GZYOLXRDU534TT4H64" hidden="1">'[2]Reco Sheet for Fcast'!$F$9:$G$9</definedName>
    <definedName name="BEx7ERM6499BJKCAJ9DPN8MU140B" hidden="1">'[4]Bud Mth'!$F$10:$G$10</definedName>
    <definedName name="BEx7ETV6L1TM7JSXJIGK3FC6RVZW" hidden="1">'[2]Reco Sheet for Fcast'!$F$11:$G$11</definedName>
    <definedName name="BEx7EYYLHMBYQTH6I377FCQS7CSX" hidden="1">'[2]Reco Sheet for Fcast'!$I$6:$J$6</definedName>
    <definedName name="BEx7FCLG1RYI2SNOU1Y2GQZNZSWA" hidden="1">'[2]Reco Sheet for Fcast'!$I$8:$J$8</definedName>
    <definedName name="BEx7FD1P2YDISQM4TTRYZB37K00O" hidden="1">'[4]Bud Mth'!$I$7:$J$7</definedName>
    <definedName name="BEx7FN32ZGWOAA4TTH79KINTDWR9" hidden="1">'[2]Reco Sheet for Fcast'!$F$9:$G$9</definedName>
    <definedName name="BEx7FOFQ7MR21UZFTP7X4HI7UWRR" localSheetId="5" hidden="1">#REF!</definedName>
    <definedName name="BEx7FOFQ7MR21UZFTP7X4HI7UWRR" localSheetId="8" hidden="1">#REF!</definedName>
    <definedName name="BEx7FOFQ7MR21UZFTP7X4HI7UWRR" hidden="1">#REF!</definedName>
    <definedName name="BEx7G82CKM3NIY1PHNFK28M09PCH" hidden="1">'[2]Reco Sheet for Fcast'!$I$7:$J$7</definedName>
    <definedName name="BEx7GR3ENYWRXXS5IT0UMEGOLGUH" hidden="1">'[2]Reco Sheet for Fcast'!$F$15</definedName>
    <definedName name="BEx7GSAL6P7TASL8MB63RFST1LJL" hidden="1">'[2]Reco Sheet for Fcast'!$I$10:$J$10</definedName>
    <definedName name="BEx7GTN79OJWGSCA62UELE41F0A6" hidden="1">'[2]Reco Sheet for Fcast'!$E$1</definedName>
    <definedName name="BEx7H0JD6I5I8WQLLWOYWY5YWPQE" hidden="1">'[2]Reco Sheet for Fcast'!$I$11:$J$11</definedName>
    <definedName name="BEx7H14XCXH7WEXEY1HVO53A6AGH" hidden="1">'[2]Reco Sheet for Fcast'!$F$15</definedName>
    <definedName name="BEx7HGVBEF4LEIF6RC14N3PSU461" hidden="1">'[2]Reco Sheet for Fcast'!$I$10:$J$10</definedName>
    <definedName name="BEx7HL7W9TZ7FC8JOMGNE06BJAQG" localSheetId="5" hidden="1">#REF!</definedName>
    <definedName name="BEx7HL7W9TZ7FC8JOMGNE06BJAQG" localSheetId="8" hidden="1">#REF!</definedName>
    <definedName name="BEx7HL7W9TZ7FC8JOMGNE06BJAQG" hidden="1">#REF!</definedName>
    <definedName name="BEx7HQ5T9FZ42QWS09UO4DT42Y0R" hidden="1">'[2]Reco Sheet for Fcast'!$I$11:$J$11</definedName>
    <definedName name="BEx7HRCZE3CVGON1HV07MT5MNDZ3" hidden="1">'[2]Reco Sheet for Fcast'!$F$9:$G$9</definedName>
    <definedName name="BEx7HWGE2CANG5M17X4C8YNC3N8F" hidden="1">'[2]Reco Sheet for Fcast'!$I$6:$J$6</definedName>
    <definedName name="BEx7IBVYN47SFZIA0K4MDKQZNN9V" hidden="1">'[2]Reco Sheet for Fcast'!$I$8:$J$8</definedName>
    <definedName name="BEx7IV2IJ5WT7UC0UG7WP0WF2JZI" hidden="1">'[2]Reco Sheet for Fcast'!$F$10:$G$10</definedName>
    <definedName name="BEx7IXGU74GE5E4S6W4Z13AR092Y" hidden="1">'[2]Reco Sheet for Fcast'!$G$2</definedName>
    <definedName name="BEx7J4YL8Q3BI1MLH16YYQ18IJRD" hidden="1">'[2]Reco Sheet for Fcast'!$H$2:$I$2</definedName>
    <definedName name="BEx7JH3HGBPI07OHZ5LFYK0UFZQR" hidden="1">'[2]Reco Sheet for Fcast'!$I$8:$J$8</definedName>
    <definedName name="BEx7JV194190CNM6WWGQ3UBJ3CHH" hidden="1">'[2]Reco Sheet for Fcast'!$I$9:$J$9</definedName>
    <definedName name="BEx7JW2YB57L6MPYI5CXCAC5VO24" localSheetId="5" hidden="1">#REF!</definedName>
    <definedName name="BEx7JW2YB57L6MPYI5CXCAC5VO24" localSheetId="8" hidden="1">#REF!</definedName>
    <definedName name="BEx7JW2YB57L6MPYI5CXCAC5VO24" hidden="1">#REF!</definedName>
    <definedName name="BEx7K7GZ607XQOGB81A1HINBTGOZ" hidden="1">'[2]Reco Sheet for Fcast'!$I$8:$J$8</definedName>
    <definedName name="BEx7KEYPBDXSNROH8M6CDCBN6B50" hidden="1">'[2]Reco Sheet for Fcast'!$I$2</definedName>
    <definedName name="BEx7KSAS8BZT6H8OQCZ5DNSTMO07" hidden="1">'[2]Reco Sheet for Fcast'!$K$2</definedName>
    <definedName name="BEx7KWHTBD21COXVI4HNEQH0Z3L8" hidden="1">'[2]Reco Sheet for Fcast'!$I$8:$J$8</definedName>
    <definedName name="BEx7KXUGRMRSUXCM97Z7VRZQ9JH2" hidden="1">'[2]Reco Sheet for Fcast'!$F$9:$G$9</definedName>
    <definedName name="BEx7L5C6U8MP6IZ67BD649WQYJEK" hidden="1">'[2]Reco Sheet for Fcast'!$F$6:$G$6</definedName>
    <definedName name="BEx7L8HEYEVTATR0OG5JJO647KNI" hidden="1">'[2]Reco Sheet for Fcast'!$F$10:$G$10</definedName>
    <definedName name="BEx7L8XOV64OMS15ZFURFEUXLMWF" hidden="1">'[2]Reco Sheet for Fcast'!$F$15</definedName>
    <definedName name="BEx7LRNWHYRP8KY04FDJ7BHTLOMC" localSheetId="5" hidden="1">#REF!</definedName>
    <definedName name="BEx7LRNWHYRP8KY04FDJ7BHTLOMC" localSheetId="8" hidden="1">#REF!</definedName>
    <definedName name="BEx7LRNWHYRP8KY04FDJ7BHTLOMC" hidden="1">#REF!</definedName>
    <definedName name="BEx7MAUI1JJFDIJGDW4RWY5384LY" hidden="1">'[2]Reco Sheet for Fcast'!$G$2</definedName>
    <definedName name="BEx7MJZO3UKAMJ53UWOJ5ZD4GGMQ" hidden="1">'[2]Reco Sheet for Fcast'!$I$11:$J$11</definedName>
    <definedName name="BEx7MT4MFNXIVQGAT6D971GZW7CA" hidden="1">'[2]Reco Sheet for Fcast'!$I$8:$J$8</definedName>
    <definedName name="BEx7NFB22WBK00BOG2H7GYRN05R1" hidden="1">'[4]Bud Mth'!$F$9:$G$9</definedName>
    <definedName name="BEx7NI062THZAM6I8AJWTFJL91CS" hidden="1">'[2]Reco Sheet for Fcast'!$F$8:$G$8</definedName>
    <definedName name="BEx8ZRLGUR6D7DSDJNOT3MGNPIHT" localSheetId="5" hidden="1">'[5]Capital orders'!#REF!</definedName>
    <definedName name="BEx8ZRLGUR6D7DSDJNOT3MGNPIHT" localSheetId="8" hidden="1">'[5]Capital orders'!#REF!</definedName>
    <definedName name="BEx8ZRLGUR6D7DSDJNOT3MGNPIHT" hidden="1">'[5]Capital orders'!#REF!</definedName>
    <definedName name="BEx900ACZ0V1VYSC0W43QEUHOVZS" hidden="1">'[2]Reco Sheet for Fcast'!$F$10:$G$10</definedName>
    <definedName name="BEx904S75BPRYMHF0083JF7ES4NG" hidden="1">'[2]Reco Sheet for Fcast'!$I$11:$J$11</definedName>
    <definedName name="BEx90HDD4RWF7JZGA8GCGG7D63MG" hidden="1">'[2]Reco Sheet for Fcast'!$I$7:$J$7</definedName>
    <definedName name="BEx90LPR7EPY9B2HQPUT8UY7S0EO" hidden="1">'[2]Reco Sheet for Fcast'!$F$11:$G$11</definedName>
    <definedName name="BEx90VGH5H09ON2QXYC9WIIEU98T" hidden="1">'[2]Reco Sheet for Fcast'!$H$2:$I$2</definedName>
    <definedName name="BEx9175B70QXYAU5A8DJPGZQ46L9" hidden="1">'[2]Reco Sheet for Fcast'!$F$10:$G$10</definedName>
    <definedName name="BEx91AQQRTV87AO27VWHSFZAD4ZR" hidden="1">'[2]Reco Sheet for Fcast'!$F$10:$G$10</definedName>
    <definedName name="BEx91L8FLL5CWLA2CDHKCOMGVDZN" hidden="1">'[2]Reco Sheet for Fcast'!$H$2:$I$2</definedName>
    <definedName name="BEx91OTVH9ZDBC3QTORU8RZX4EOC" hidden="1">'[2]Reco Sheet for Fcast'!$I$7:$J$7</definedName>
    <definedName name="BEx91QH5JRZKQP1GPN2SQMR3CKAG" localSheetId="5" hidden="1">'[3]AMI P &amp; L'!#REF!</definedName>
    <definedName name="BEx91QH5JRZKQP1GPN2SQMR3CKAG" localSheetId="8" hidden="1">'[3]AMI P &amp; L'!#REF!</definedName>
    <definedName name="BEx91QH5JRZKQP1GPN2SQMR3CKAG" hidden="1">'[3]AMI P &amp; L'!#REF!</definedName>
    <definedName name="BEx91ROALDNHO7FI4X8L61RH4UJE" localSheetId="5" hidden="1">'[3]AMI P &amp; L'!#REF!</definedName>
    <definedName name="BEx91ROALDNHO7FI4X8L61RH4UJE" localSheetId="8" hidden="1">'[3]AMI P &amp; L'!#REF!</definedName>
    <definedName name="BEx91ROALDNHO7FI4X8L61RH4UJE" hidden="1">'[3]AMI P &amp; L'!#REF!</definedName>
    <definedName name="BEx91TMID71GVYH0U16QM1RV3PX0" hidden="1">'[2]Reco Sheet for Fcast'!$I$9:$J$9</definedName>
    <definedName name="BEx91VF2D78PAF337E3L2L81K9W2" hidden="1">'[2]Reco Sheet for Fcast'!$H$2:$I$2</definedName>
    <definedName name="BEx921PNZ46VORG2VRMWREWIC0SE" hidden="1">'[2]Reco Sheet for Fcast'!$I$8:$J$8</definedName>
    <definedName name="BEx926YKM8TTG7PUO1UYIDCBXTWU" localSheetId="5" hidden="1">#REF!</definedName>
    <definedName name="BEx926YKM8TTG7PUO1UYIDCBXTWU" localSheetId="8" hidden="1">#REF!</definedName>
    <definedName name="BEx926YKM8TTG7PUO1UYIDCBXTWU" hidden="1">#REF!</definedName>
    <definedName name="BEx92DPEKL5WM5A3CN8674JI0PR3" hidden="1">'[2]Reco Sheet for Fcast'!$F$8:$G$8</definedName>
    <definedName name="BEx92ER2RMY93TZK0D9L9T3H0GI5" hidden="1">'[2]Reco Sheet for Fcast'!$K$2</definedName>
    <definedName name="BEx92FI04PJT4LI23KKIHRXWJDTT" hidden="1">'[2]Reco Sheet for Fcast'!$F$9:$G$9</definedName>
    <definedName name="BEx92HR14HQ9D5JXCSPA4SS4RT62" hidden="1">'[2]Reco Sheet for Fcast'!$F$11:$G$11</definedName>
    <definedName name="BEx92HWA2D6A5EX9MFG68G0NOMSN" hidden="1">'[2]Reco Sheet for Fcast'!$I$10:$J$10</definedName>
    <definedName name="BEx92JZTWI2NV5R3DXEP4NS1NVLT" hidden="1">'[2]Reco Sheet for Fcast'!$I$11:$J$11</definedName>
    <definedName name="BEx92PUBDIXAU1FW5ZAXECMAU0LN" hidden="1">'[2]Reco Sheet for Fcast'!$K$2</definedName>
    <definedName name="BEx92S8MHFFIVRQ2YSHZNQGOFUHD" hidden="1">'[2]Reco Sheet for Fcast'!$F$15</definedName>
    <definedName name="BEx92VOMR5U4BPW19GODTNNQPLQS" localSheetId="5" hidden="1">#REF!</definedName>
    <definedName name="BEx92VOMR5U4BPW19GODTNNQPLQS" localSheetId="8" hidden="1">#REF!</definedName>
    <definedName name="BEx92VOMR5U4BPW19GODTNNQPLQS" hidden="1">#REF!</definedName>
    <definedName name="BEx92YOIWN6IEUE1U85XCO40QLR1" localSheetId="5" hidden="1">'[5]Capital orders'!#REF!</definedName>
    <definedName name="BEx92YOIWN6IEUE1U85XCO40QLR1" localSheetId="8" hidden="1">'[5]Capital orders'!#REF!</definedName>
    <definedName name="BEx92YOIWN6IEUE1U85XCO40QLR1" hidden="1">'[5]Capital orders'!#REF!</definedName>
    <definedName name="BEx93B9OULL2YGC896XXYAAJSTRK" hidden="1">'[2]Reco Sheet for Fcast'!$H$2:$I$2</definedName>
    <definedName name="BEx93FRKF99NRT3LH99UTIH7AAYF" hidden="1">'[2]Reco Sheet for Fcast'!$F$6:$G$6</definedName>
    <definedName name="BEx93M7FSHP50OG34A4W8W8DF12U" hidden="1">'[2]Reco Sheet for Fcast'!$I$10:$J$10</definedName>
    <definedName name="BEx93OLWY2O3PRA74U41VG5RXT4Q" hidden="1">'[2]Reco Sheet for Fcast'!$I$7:$J$7</definedName>
    <definedName name="BEx93RWFAF6YJGYUTITVM445C02U" hidden="1">'[2]Reco Sheet for Fcast'!$H$2:$I$2</definedName>
    <definedName name="BEx93SY9RWG3HUV4YXQKXJH9FH14" hidden="1">'[2]Reco Sheet for Fcast'!$F$15</definedName>
    <definedName name="BEx93TJUX3U0FJDBG6DDSNQ91R5J" hidden="1">'[2]Reco Sheet for Fcast'!$I$9:$J$9</definedName>
    <definedName name="BEx93YY393Z5DLMHRK8KZL5903S3" localSheetId="5" hidden="1">#REF!</definedName>
    <definedName name="BEx93YY393Z5DLMHRK8KZL5903S3" localSheetId="8" hidden="1">#REF!</definedName>
    <definedName name="BEx93YY393Z5DLMHRK8KZL5903S3" hidden="1">#REF!</definedName>
    <definedName name="BEx942UCRHMI4B0US31HO95GSC2X" hidden="1">'[2]Reco Sheet for Fcast'!$I$7:$J$7</definedName>
    <definedName name="BEx948ZFFQWVIDNG4AZAUGGGEB5U" hidden="1">'[2]Reco Sheet for Fcast'!$F$6:$G$6</definedName>
    <definedName name="BEx94CKXG92OMURH41SNU6IOHK4J" localSheetId="5" hidden="1">'[3]AMI P &amp; L'!#REF!</definedName>
    <definedName name="BEx94CKXG92OMURH41SNU6IOHK4J" localSheetId="8" hidden="1">'[3]AMI P &amp; L'!#REF!</definedName>
    <definedName name="BEx94CKXG92OMURH41SNU6IOHK4J" hidden="1">'[3]AMI P &amp; L'!#REF!</definedName>
    <definedName name="BEx94GXG30CIVB6ZQN3X3IK6BZXQ" localSheetId="5" hidden="1">'[3]AMI P &amp; L'!#REF!</definedName>
    <definedName name="BEx94GXG30CIVB6ZQN3X3IK6BZXQ" localSheetId="8" hidden="1">'[3]AMI P &amp; L'!#REF!</definedName>
    <definedName name="BEx94GXG30CIVB6ZQN3X3IK6BZXQ" hidden="1">'[3]AMI P &amp; L'!#REF!</definedName>
    <definedName name="BEx94HZ5LURYM9ST744ALV6ZCKYP" localSheetId="5" hidden="1">'[3]AMI P &amp; L'!#REF!</definedName>
    <definedName name="BEx94HZ5LURYM9ST744ALV6ZCKYP" localSheetId="8" hidden="1">'[3]AMI P &amp; L'!#REF!</definedName>
    <definedName name="BEx94HZ5LURYM9ST744ALV6ZCKYP" hidden="1">'[3]AMI P &amp; L'!#REF!</definedName>
    <definedName name="BEx94IQ75E90YUMWJ9N591LR7DQQ" localSheetId="5" hidden="1">'[3]AMI P &amp; L'!#REF!</definedName>
    <definedName name="BEx94IQ75E90YUMWJ9N591LR7DQQ" localSheetId="8" hidden="1">'[3]AMI P &amp; L'!#REF!</definedName>
    <definedName name="BEx94IQ75E90YUMWJ9N591LR7DQQ" hidden="1">'[3]AMI P &amp; L'!#REF!</definedName>
    <definedName name="BEx94N7W5T3U7UOE97D6OVIBUCXS" hidden="1">'[2]Reco Sheet for Fcast'!$I$6:$J$6</definedName>
    <definedName name="BEx94XK7HTOCAI9XPVFSIIW2YKUT" localSheetId="5" hidden="1">#REF!</definedName>
    <definedName name="BEx94XK7HTOCAI9XPVFSIIW2YKUT" localSheetId="8" hidden="1">#REF!</definedName>
    <definedName name="BEx94XK7HTOCAI9XPVFSIIW2YKUT" hidden="1">#REF!</definedName>
    <definedName name="BEx955NIAWX5OLAHMTV6QFUZPR30" localSheetId="5" hidden="1">'[3]AMI P &amp; L'!#REF!</definedName>
    <definedName name="BEx955NIAWX5OLAHMTV6QFUZPR30" localSheetId="8" hidden="1">'[3]AMI P &amp; L'!#REF!</definedName>
    <definedName name="BEx955NIAWX5OLAHMTV6QFUZPR30" hidden="1">'[3]AMI P &amp; L'!#REF!</definedName>
    <definedName name="BEx9581TYVI2M5TT4ISDAJV4W7Z6" hidden="1">'[2]Reco Sheet for Fcast'!$I$10:$J$10</definedName>
    <definedName name="BEx95NHF4RVUE0YDOAFZEIVBYJXD" hidden="1">'[2]Reco Sheet for Fcast'!$I$6:$J$6</definedName>
    <definedName name="BEx95QBZMG0E2KQ9BERJ861QLYN3" hidden="1">'[2]Reco Sheet for Fcast'!$F$6:$G$6</definedName>
    <definedName name="BEx95QHBVDN795UNQJLRXG3RDU49" hidden="1">'[2]Reco Sheet for Fcast'!$I$6:$J$6</definedName>
    <definedName name="BEx95TBVUWV7L7OMFMZDQEXGVHU6" hidden="1">'[2]Reco Sheet for Fcast'!$F$9:$G$9</definedName>
    <definedName name="BEx95U89DZZSVO39TGS62CX8G9N4" hidden="1">'[2]Reco Sheet for Fcast'!$F$11:$G$11</definedName>
    <definedName name="BEx9602K2GHNBUEUVT9ONRQU1GMD" hidden="1">'[2]Reco Sheet for Fcast'!$F$9:$G$9</definedName>
    <definedName name="BEx962BL3Y4LA53EBYI64ZYMZE8U" hidden="1">'[2]Reco Sheet for Fcast'!$F$7:$G$7</definedName>
    <definedName name="BEx96DPEANYPFX7M8LZ2UWJN17P5" localSheetId="5" hidden="1">'[5]Capital orders'!#REF!</definedName>
    <definedName name="BEx96DPEANYPFX7M8LZ2UWJN17P5" localSheetId="8" hidden="1">'[5]Capital orders'!#REF!</definedName>
    <definedName name="BEx96DPEANYPFX7M8LZ2UWJN17P5" hidden="1">'[5]Capital orders'!#REF!</definedName>
    <definedName name="BEx96JP7X7K0JLFXG5H49RXRME5R" localSheetId="5" hidden="1">#REF!</definedName>
    <definedName name="BEx96JP7X7K0JLFXG5H49RXRME5R" localSheetId="8" hidden="1">#REF!</definedName>
    <definedName name="BEx96JP7X7K0JLFXG5H49RXRME5R" hidden="1">#REF!</definedName>
    <definedName name="BEx96KR21O7H9R29TN0S45Y3QPUK" hidden="1">'[2]Reco Sheet for Fcast'!$I$9:$J$9</definedName>
    <definedName name="BEx96SUFKHHFE8XQ6UUO6ILDOXHO" hidden="1">'[2]Reco Sheet for Fcast'!$I$11:$J$11</definedName>
    <definedName name="BEx96UN4YWXBDEZ1U1ZUIPP41Z7I" hidden="1">'[2]Reco Sheet for Fcast'!$H$2:$I$2</definedName>
    <definedName name="BEx978KSD61YJH3S9DGO050R2EHA" hidden="1">'[2]Reco Sheet for Fcast'!$F$7:$G$7</definedName>
    <definedName name="BEx97H9O1NAKAPK4MX4PKO34ICL5" hidden="1">'[2]Reco Sheet for Fcast'!$F$11:$G$11</definedName>
    <definedName name="BEx97MNUZQ1Z0AO2FL7XQYVNCPR7" hidden="1">'[2]Reco Sheet for Fcast'!$I$8:$J$8</definedName>
    <definedName name="BEx97NPQBACJVD9K1YXI08RTW9E2" localSheetId="5" hidden="1">'[3]AMI P &amp; L'!#REF!</definedName>
    <definedName name="BEx97NPQBACJVD9K1YXI08RTW9E2" localSheetId="8" hidden="1">'[3]AMI P &amp; L'!#REF!</definedName>
    <definedName name="BEx97NPQBACJVD9K1YXI08RTW9E2" hidden="1">'[3]AMI P &amp; L'!#REF!</definedName>
    <definedName name="BEx97O0DV0K9YPP91QBJAT6MS3RD" localSheetId="5" hidden="1">#REF!</definedName>
    <definedName name="BEx97O0DV0K9YPP91QBJAT6MS3RD" localSheetId="8" hidden="1">#REF!</definedName>
    <definedName name="BEx97O0DV0K9YPP91QBJAT6MS3RD" hidden="1">#REF!</definedName>
    <definedName name="BEx97RWQLXS0OORDCN69IGA58CWU" hidden="1">'[2]Reco Sheet for Fcast'!$F$6:$G$6</definedName>
    <definedName name="BEx97YNGGDFIXHTMGFL2IHAQX9MI" hidden="1">'[2]Reco Sheet for Fcast'!$F$8:$G$8</definedName>
    <definedName name="BEx980G6OO93SXIQ4H0NMENRJJHQ" hidden="1">'[2]Reco Sheet for Fcast'!$I$9:$J$9</definedName>
    <definedName name="BEx981HW73BUZWT14TBTZHC0ZTJ4" hidden="1">'[2]Reco Sheet for Fcast'!$F$7:$G$7</definedName>
    <definedName name="BEx9871KU0N99P0900EAK69VFYT2" hidden="1">'[2]Reco Sheet for Fcast'!$F$15</definedName>
    <definedName name="BEx98IFKNJFGZFLID1YTRFEG1SXY" hidden="1">'[2]Reco Sheet for Fcast'!$F$9:$G$9</definedName>
    <definedName name="BEx98KZ7LNKCVOT9D2LOYY4QBVY3" localSheetId="5" hidden="1">#REF!</definedName>
    <definedName name="BEx98KZ7LNKCVOT9D2LOYY4QBVY3" localSheetId="8" hidden="1">#REF!</definedName>
    <definedName name="BEx98KZ7LNKCVOT9D2LOYY4QBVY3" hidden="1">#REF!</definedName>
    <definedName name="BEx98VGU9QUYP1365CXZRT20O3L4" localSheetId="5" hidden="1">'[5]Capital orders'!#REF!</definedName>
    <definedName name="BEx98VGU9QUYP1365CXZRT20O3L4" localSheetId="8" hidden="1">'[5]Capital orders'!#REF!</definedName>
    <definedName name="BEx98VGU9QUYP1365CXZRT20O3L4" hidden="1">'[5]Capital orders'!#REF!</definedName>
    <definedName name="BEx9915UVD4G7RA3IMLFZ0LG3UA2" hidden="1">'[2]Reco Sheet for Fcast'!$F$7:$G$7</definedName>
    <definedName name="BEx992CZON8AO7U7V88VN1JBO0MG" hidden="1">'[2]Reco Sheet for Fcast'!$I$8:$J$8</definedName>
    <definedName name="BEx9952469XMFGSPXL7CMXHPJF90" hidden="1">'[2]Reco Sheet for Fcast'!$I$9:$J$9</definedName>
    <definedName name="BEx99B77I7TUSHRR4HIZ9FU2EIUT" hidden="1">'[2]Reco Sheet for Fcast'!$F$11:$G$11</definedName>
    <definedName name="BEx99Q6PH5F3OQKCCAAO75PYDEFN" hidden="1">'[2]Reco Sheet for Fcast'!$G$2</definedName>
    <definedName name="BEx99UDROAK28GWTG7FXE0N78XYN" hidden="1">'[2]Reco Sheet for Fcast'!$I$11:$J$11</definedName>
    <definedName name="BEx99WBYT2D6UUC1PT7A40ENYID4" hidden="1">'[2]Reco Sheet for Fcast'!$I$11:$J$11</definedName>
    <definedName name="BEx99ZRZ4I7FHDPGRAT5VW7NVBPU" hidden="1">'[2]Reco Sheet for Fcast'!$I$7:$J$7</definedName>
    <definedName name="BEx9AT5E3ZSHKSOL35O38L8HF9TH" hidden="1">'[2]Reco Sheet for Fcast'!$I$9:$J$9</definedName>
    <definedName name="BEx9AV8W1FAWF5BHATYEN47X12JN" hidden="1">'[2]Reco Sheet for Fcast'!$F$15</definedName>
    <definedName name="BEx9B8A5186FNTQQNLIO5LK02ABI" localSheetId="5" hidden="1">'[3]AMI P &amp; L'!#REF!</definedName>
    <definedName name="BEx9B8A5186FNTQQNLIO5LK02ABI" localSheetId="8" hidden="1">'[3]AMI P &amp; L'!#REF!</definedName>
    <definedName name="BEx9B8A5186FNTQQNLIO5LK02ABI" hidden="1">'[3]AMI P &amp; L'!#REF!</definedName>
    <definedName name="BEx9B8VR20E2CILU4CDQUQQ9ONXK" hidden="1">'[2]Reco Sheet for Fcast'!$G$2</definedName>
    <definedName name="BEx9B917EUP13X6FQ3NPQL76XM5V" hidden="1">'[2]Reco Sheet for Fcast'!$F$11:$G$11</definedName>
    <definedName name="BEx9BAJ5WYEQ623HUT9NNCMP3RUG" hidden="1">'[2]Reco Sheet for Fcast'!$I$11:$J$11</definedName>
    <definedName name="BEx9BAOHDIFZFPSM1WYA3RHQ0G9I" localSheetId="5" hidden="1">'[5]Capital orders'!#REF!</definedName>
    <definedName name="BEx9BAOHDIFZFPSM1WYA3RHQ0G9I" localSheetId="8" hidden="1">'[5]Capital orders'!#REF!</definedName>
    <definedName name="BEx9BAOHDIFZFPSM1WYA3RHQ0G9I" hidden="1">'[5]Capital orders'!#REF!</definedName>
    <definedName name="BEx9BYSYW7QCPXS2NAVLFAU5Y2Z2" hidden="1">'[2]Reco Sheet for Fcast'!$I$6:$J$6</definedName>
    <definedName name="BEx9C590HJ2O31IWJB73C1HR74AI" hidden="1">'[2]Reco Sheet for Fcast'!$I$11:$J$11</definedName>
    <definedName name="BEx9CCQRMYYOGIOYTOM73VKDIPS1" hidden="1">'[2]Reco Sheet for Fcast'!$I$6:$J$6</definedName>
    <definedName name="BEx9D1BC9FT19KY0INAABNDBAMR1" hidden="1">'[2]Reco Sheet for Fcast'!$I$10:$J$10</definedName>
    <definedName name="BEx9DN6ZMF18Q39MPMXSDJTZQNJ3" hidden="1">'[2]Reco Sheet for Fcast'!$F$10:$G$10</definedName>
    <definedName name="BEx9E14TDNSEMI784W0OTIEQMWN6" hidden="1">'[2]Reco Sheet for Fcast'!$K$2</definedName>
    <definedName name="BEx9E2BZ2B1R41FMGJCJ7JLGLUAJ" hidden="1">'[2]Reco Sheet for Fcast'!$F$15:$G$16</definedName>
    <definedName name="BEx9EG9KBJ77M8LEOR9ITOKN5KXY" hidden="1">'[2]Reco Sheet for Fcast'!$I$7:$J$7</definedName>
    <definedName name="BEx9ELT9J5NDVVY4N2UDXPELXQC3" hidden="1">'[4]Bud Mth'!$F$9:$G$9</definedName>
    <definedName name="BEx9EMK6HAJJMVYZTN5AUIV7O1E6" hidden="1">'[2]Reco Sheet for Fcast'!$I$11:$J$11</definedName>
    <definedName name="BEx9EQLVZHYQ1TPX7WH3SOWXCZLE" hidden="1">'[2]Reco Sheet for Fcast'!$I$6:$J$6</definedName>
    <definedName name="BEx9ETLU0EK5LGEM1QCNYN2S8O5F" hidden="1">'[2]Reco Sheet for Fcast'!$F$7:$G$7</definedName>
    <definedName name="BEx9F0Y2ESUNE3U7TQDLMPE9BO67" hidden="1">'[2]Reco Sheet for Fcast'!$I$10:$J$10</definedName>
    <definedName name="BEx9F5W18ZGFOKGRE8PR6T1MO6GT" hidden="1">'[2]Reco Sheet for Fcast'!$I$11:$J$11</definedName>
    <definedName name="BEx9F78N4HY0XFGBQ4UJRD52L1EI" hidden="1">'[2]Reco Sheet for Fcast'!$K$2</definedName>
    <definedName name="BEx9FF16LOQP5QIR4UHW5EIFGQB8" hidden="1">'[2]Reco Sheet for Fcast'!$G$2</definedName>
    <definedName name="BEx9FJTSRCZ3ZXT3QVBJT5NF8T7V" hidden="1">'[2]Reco Sheet for Fcast'!$K$2</definedName>
    <definedName name="BEx9FRBEEYPS5HLS3XT34AKZN94G" hidden="1">'[2]Reco Sheet for Fcast'!$F$7:$G$7</definedName>
    <definedName name="BEx9GDY4D8ZPQJCYFIMYM0V0C51Y" hidden="1">'[2]Reco Sheet for Fcast'!$F$8:$G$8</definedName>
    <definedName name="BEx9GGY04V0ZWI6O9KZH4KSBB389" hidden="1">'[2]Reco Sheet for Fcast'!$I$11:$J$11</definedName>
    <definedName name="BEx9GNOPB6OZ2RH3FCDNJR38RJOS" hidden="1">'[2]Reco Sheet for Fcast'!$F$9:$G$9</definedName>
    <definedName name="BEx9GOA9AZX8DJGLEVWAJIIXRVFO" hidden="1">'[2]Reco Sheet for Fcast'!$F$9:$G$9</definedName>
    <definedName name="BEx9GTJ6YTNR09A1J3DJOTVV6SGI" hidden="1">'[2]Reco Sheet for Fcast'!$G$2:$H$2</definedName>
    <definedName name="BEx9GUQALUWCD30UKUQGSWW8KBQ7" hidden="1">'[2]Reco Sheet for Fcast'!$I$6:$J$6</definedName>
    <definedName name="BEx9GY6BVFQGCLMOWVT6PIC9WP5X" hidden="1">'[2]Reco Sheet for Fcast'!$F$15</definedName>
    <definedName name="BEx9GZ2P3FDHKXEBXX2VS0BG2NP2" hidden="1">'[2]Reco Sheet for Fcast'!$F$6:$G$6</definedName>
    <definedName name="BEx9H04IB14E1437FF2OIRRWBSD7" hidden="1">'[2]Reco Sheet for Fcast'!$F$15</definedName>
    <definedName name="BEx9H5O1KDZJCW91Q29VRPY5YS6P" hidden="1">'[2]Reco Sheet for Fcast'!$I$9:$J$9</definedName>
    <definedName name="BEx9H8YR0E906F1JXZMBX3LNT004" hidden="1">'[2]Reco Sheet for Fcast'!$F$9:$G$9</definedName>
    <definedName name="BEx9HLP8FC22WFQ6C2PNR5A9187F" localSheetId="5" hidden="1">'[5]Capital orders'!#REF!</definedName>
    <definedName name="BEx9HLP8FC22WFQ6C2PNR5A9187F" localSheetId="8" hidden="1">'[5]Capital orders'!#REF!</definedName>
    <definedName name="BEx9HLP8FC22WFQ6C2PNR5A9187F" hidden="1">'[5]Capital orders'!#REF!</definedName>
    <definedName name="BEx9HZ1G1J0CB5PC45ZW4S9Q4EFY" localSheetId="5" hidden="1">#REF!</definedName>
    <definedName name="BEx9HZ1G1J0CB5PC45ZW4S9Q4EFY" localSheetId="8" hidden="1">#REF!</definedName>
    <definedName name="BEx9HZ1G1J0CB5PC45ZW4S9Q4EFY" hidden="1">#REF!</definedName>
    <definedName name="BEx9I8XIG7E5NB48QQHXP23FIN60" hidden="1">'[2]Reco Sheet for Fcast'!$I$10:$J$10</definedName>
    <definedName name="BEx9IQRF01ATLVK0YE60ARKQJ68L" hidden="1">'[2]Reco Sheet for Fcast'!$I$8:$J$8</definedName>
    <definedName name="BEx9IT5QNZWKM6YQ5WER0DC2PMMU" hidden="1">'[2]Reco Sheet for Fcast'!$I$9:$J$9</definedName>
    <definedName name="BEx9IW5MFLXTVCJHVUZTUH93AXOS" localSheetId="5" hidden="1">'[3]AMI P &amp; L'!#REF!</definedName>
    <definedName name="BEx9IW5MFLXTVCJHVUZTUH93AXOS" localSheetId="8" hidden="1">'[3]AMI P &amp; L'!#REF!</definedName>
    <definedName name="BEx9IW5MFLXTVCJHVUZTUH93AXOS" hidden="1">'[3]AMI P &amp; L'!#REF!</definedName>
    <definedName name="BEx9IXCSPSZC80YZUPRCYTG326KV" hidden="1">'[2]Reco Sheet for Fcast'!$I$10:$J$10</definedName>
    <definedName name="BEx9IZR39NHDGOM97H4E6F81RTQW" hidden="1">'[2]Reco Sheet for Fcast'!$F$6:$G$6</definedName>
    <definedName name="BEx9J6CH5E7YZPER7HXEIOIKGPCA" localSheetId="5" hidden="1">'[3]AMI P &amp; L'!#REF!</definedName>
    <definedName name="BEx9J6CH5E7YZPER7HXEIOIKGPCA" localSheetId="8" hidden="1">'[3]AMI P &amp; L'!#REF!</definedName>
    <definedName name="BEx9J6CH5E7YZPER7HXEIOIKGPCA" hidden="1">'[3]AMI P &amp; L'!#REF!</definedName>
    <definedName name="BEx9JJTZKVUJAVPTRE0RAVTEH41G" hidden="1">'[2]Reco Sheet for Fcast'!$I$11:$J$11</definedName>
    <definedName name="BEx9JLBYK239B3F841C7YG1GT7ST" localSheetId="5" hidden="1">'[3]AMI P &amp; L'!#REF!</definedName>
    <definedName name="BEx9JLBYK239B3F841C7YG1GT7ST" localSheetId="8" hidden="1">'[3]AMI P &amp; L'!#REF!</definedName>
    <definedName name="BEx9JLBYK239B3F841C7YG1GT7ST" hidden="1">'[3]AMI P &amp; L'!#REF!</definedName>
    <definedName name="BEx9KLW9GH3AS7L6X2QVYRX4MP47" localSheetId="5" hidden="1">#REF!</definedName>
    <definedName name="BEx9KLW9GH3AS7L6X2QVYRX4MP47" localSheetId="8" hidden="1">#REF!</definedName>
    <definedName name="BEx9KLW9GH3AS7L6X2QVYRX4MP47" hidden="1">#REF!</definedName>
    <definedName name="BExAW4IIW5D0MDY6TJ3G4FOLPYIR" hidden="1">'[2]Reco Sheet for Fcast'!$H$2:$I$2</definedName>
    <definedName name="BExAWEPCKLF5GHCVH6O4GKOE0SW1" hidden="1">'[2]Reco Sheet for Fcast'!$F$10:$G$10</definedName>
    <definedName name="BExAX28937OH2SJJ980WOFXSWR07" hidden="1">'[2]Reco Sheet for Fcast'!$F$7:$G$7</definedName>
    <definedName name="BExAX410NB4F2XOB84OR2197H8M5" localSheetId="5" hidden="1">'[3]AMI P &amp; L'!#REF!</definedName>
    <definedName name="BExAX410NB4F2XOB84OR2197H8M5" localSheetId="8" hidden="1">'[3]AMI P &amp; L'!#REF!</definedName>
    <definedName name="BExAX410NB4F2XOB84OR2197H8M5" hidden="1">'[3]AMI P &amp; L'!#REF!</definedName>
    <definedName name="BExAX8TNG8LQ5Q4904SAYQIPGBSV" hidden="1">'[2]Reco Sheet for Fcast'!$I$7:$J$7</definedName>
    <definedName name="BExAXH2FJ8S1SX2XRI17ZABSFERB" localSheetId="5" hidden="1">#REF!</definedName>
    <definedName name="BExAXH2FJ8S1SX2XRI17ZABSFERB" localSheetId="8" hidden="1">#REF!</definedName>
    <definedName name="BExAXH2FJ8S1SX2XRI17ZABSFERB" hidden="1">#REF!</definedName>
    <definedName name="BExAY0EAT2LXR5MFGM0DLIB45PLO" hidden="1">'[2]Reco Sheet for Fcast'!$F$6:$G$6</definedName>
    <definedName name="BExAYDA8H0HQ51AQDS0QEQS4IUSJ" localSheetId="5" hidden="1">'[5]Capital orders'!#REF!</definedName>
    <definedName name="BExAYDA8H0HQ51AQDS0QEQS4IUSJ" localSheetId="8" hidden="1">'[5]Capital orders'!#REF!</definedName>
    <definedName name="BExAYDA8H0HQ51AQDS0QEQS4IUSJ" hidden="1">'[5]Capital orders'!#REF!</definedName>
    <definedName name="BExAYE6LNIEBR9DSNI5JGNITGKIT" hidden="1">'[2]Reco Sheet for Fcast'!$I$7:$J$7</definedName>
    <definedName name="BExAYHMLXGGO25P8HYB2S75DEB4F" hidden="1">'[2]Reco Sheet for Fcast'!$F$10:$G$10</definedName>
    <definedName name="BExAYHXJ3CVLPZX5R6UR0U1MNDXJ" hidden="1">'[2]Reco Sheet for Fcast'!$C$15:$D$23</definedName>
    <definedName name="BExAYKXAUWGDOPG952TEJ2UKZKWN" hidden="1">'[2]Reco Sheet for Fcast'!$F$8:$G$8</definedName>
    <definedName name="BExAYP9TDTI2MBP6EYE0H39CPMXN" hidden="1">'[2]Reco Sheet for Fcast'!$F$9:$G$9</definedName>
    <definedName name="BExAYPPWJPWDKU59O051WMGB7O0J" hidden="1">'[2]Reco Sheet for Fcast'!$F$11:$G$11</definedName>
    <definedName name="BExAYR2JZCJBUH6F1LZC2A7JIVRJ" hidden="1">'[2]Reco Sheet for Fcast'!$F$7:$G$7</definedName>
    <definedName name="BExAYTGVRD3DLKO75RFPMBKCIWB8" hidden="1">'[2]Reco Sheet for Fcast'!$F$8:$G$8</definedName>
    <definedName name="BExAYY9H9COOT46HJLPVDLTO12UL" hidden="1">'[2]Reco Sheet for Fcast'!$I$11:$J$11</definedName>
    <definedName name="BExAZCNEGB4JYHC8CZ51KTN890US" hidden="1">'[2]Reco Sheet for Fcast'!$F$9:$G$9</definedName>
    <definedName name="BExAZFCI302YFYRDJYQDWQQL0Q0O" hidden="1">'[2]Reco Sheet for Fcast'!$I$7:$J$7</definedName>
    <definedName name="BExAZLHLST9OP89R1HJMC1POQG8H" hidden="1">'[2]Reco Sheet for Fcast'!$F$10:$G$10</definedName>
    <definedName name="BExAZMDYMIAA7RX1BMCKU1VLBRGY" hidden="1">'[2]Reco Sheet for Fcast'!$F$6:$G$6</definedName>
    <definedName name="BExAZNL6BHI8DCQWXOX4I2P839UX" hidden="1">'[2]Reco Sheet for Fcast'!$I$2:$J$2</definedName>
    <definedName name="BExAZRMWSONMCG9KDUM4KAQ7BONM" hidden="1">'[2]Reco Sheet for Fcast'!$H$2:$I$2</definedName>
    <definedName name="BExAZTFG4SJRG4TW6JXRF7N08JFI" hidden="1">'[2]Reco Sheet for Fcast'!$I$10:$J$10</definedName>
    <definedName name="BExAZUS4A8OHDZK0MWAOCCCKTH73" hidden="1">'[2]Reco Sheet for Fcast'!$F$8:$G$8</definedName>
    <definedName name="BExAZX6FECVK3E07KXM2XPYKGM6U" hidden="1">'[2]Reco Sheet for Fcast'!$G$2</definedName>
    <definedName name="BExB012NJ8GASTNNPBRRFTLHIOC9" hidden="1">'[2]Reco Sheet for Fcast'!$F$9:$G$9</definedName>
    <definedName name="BExB072HHXVMUC0VYNGG48GRSH5Q" localSheetId="5" hidden="1">'[3]AMI P &amp; L'!#REF!</definedName>
    <definedName name="BExB072HHXVMUC0VYNGG48GRSH5Q" localSheetId="8" hidden="1">'[3]AMI P &amp; L'!#REF!</definedName>
    <definedName name="BExB072HHXVMUC0VYNGG48GRSH5Q" hidden="1">'[3]AMI P &amp; L'!#REF!</definedName>
    <definedName name="BExB0FRDEYDEUEAB1W8KD6D965XA" hidden="1">'[2]Reco Sheet for Fcast'!$K$2</definedName>
    <definedName name="BExB0KPCN7YJORQAYUCF4YKIKPMC" hidden="1">'[2]Reco Sheet for Fcast'!$I$11:$J$11</definedName>
    <definedName name="BExB0WE4PI3NOBXXVO9CTEN4DIU2" hidden="1">'[2]Reco Sheet for Fcast'!$G$2</definedName>
    <definedName name="BExB10QNIVITUYS55OAEKK3VLJFE" hidden="1">'[2]Reco Sheet for Fcast'!$G$2</definedName>
    <definedName name="BExB15ZDRY4CIJ911DONP0KCY9KU" hidden="1">'[2]Reco Sheet for Fcast'!$F$6:$G$6</definedName>
    <definedName name="BExB16VQY0O0RLZYJFU3OFEONVTE" hidden="1">'[2]Reco Sheet for Fcast'!$I$6:$J$6</definedName>
    <definedName name="BExB1713OG4CGOEQ7O0FXSI2FQWZ" localSheetId="5" hidden="1">#REF!</definedName>
    <definedName name="BExB1713OG4CGOEQ7O0FXSI2FQWZ" localSheetId="8" hidden="1">#REF!</definedName>
    <definedName name="BExB1713OG4CGOEQ7O0FXSI2FQWZ" hidden="1">#REF!</definedName>
    <definedName name="BExB1FKNY2UO4W5FUGFHJOA2WFGG" localSheetId="5" hidden="1">'[3]AMI P &amp; L'!#REF!</definedName>
    <definedName name="BExB1FKNY2UO4W5FUGFHJOA2WFGG" localSheetId="8" hidden="1">'[3]AMI P &amp; L'!#REF!</definedName>
    <definedName name="BExB1FKNY2UO4W5FUGFHJOA2WFGG" hidden="1">'[3]AMI P &amp; L'!#REF!</definedName>
    <definedName name="BExB1GMD0PIDGTFBGQOPRWQSP9I4" localSheetId="5" hidden="1">'[3]AMI P &amp; L'!#REF!</definedName>
    <definedName name="BExB1GMD0PIDGTFBGQOPRWQSP9I4" localSheetId="8" hidden="1">'[3]AMI P &amp; L'!#REF!</definedName>
    <definedName name="BExB1GMD0PIDGTFBGQOPRWQSP9I4" hidden="1">'[3]AMI P &amp; L'!#REF!</definedName>
    <definedName name="BExB1PWZDAO1V9N18MU22F75P6Y5" hidden="1">'[2]Reco Sheet for Fcast'!$I$6:$J$6</definedName>
    <definedName name="BExB1Q29OO6LNFNT1EQLA3KYE7MX" hidden="1">'[2]Reco Sheet for Fcast'!$F$7:$G$7</definedName>
    <definedName name="BExB1TNRV5EBWZEHYLHI76T0FVA7" hidden="1">'[2]Reco Sheet for Fcast'!$I$9:$J$9</definedName>
    <definedName name="BExB1WI6M8I0EEP1ANUQZCFY24EV" localSheetId="5" hidden="1">'[3]AMI P &amp; L'!#REF!</definedName>
    <definedName name="BExB1WI6M8I0EEP1ANUQZCFY24EV" localSheetId="8" hidden="1">'[3]AMI P &amp; L'!#REF!</definedName>
    <definedName name="BExB1WI6M8I0EEP1ANUQZCFY24EV" hidden="1">'[3]AMI P &amp; L'!#REF!</definedName>
    <definedName name="BExB1Z7GTT7CR0FJMG7GTKH7A4KN" hidden="1">'[2]Reco Sheet for Fcast'!$O$6:$P$10</definedName>
    <definedName name="BExB203OWC9QZA3BYOKQ18L4FUJE" hidden="1">'[2]Reco Sheet for Fcast'!$F$9:$G$9</definedName>
    <definedName name="BExB2CJHTU7C591BR4WRL5L2F2K6" hidden="1">'[2]Reco Sheet for Fcast'!$I$9:$J$9</definedName>
    <definedName name="BExB2K1AV4PGNS1O6C7D7AO411AX" hidden="1">'[2]Reco Sheet for Fcast'!$F$11:$G$11</definedName>
    <definedName name="BExB2O2UYHKI324YE324E1N7FVIB" hidden="1">'[2]Reco Sheet for Fcast'!$I$10:$J$10</definedName>
    <definedName name="BExB2Q0VJ0MU2URO3JOVUAVHEI3V" localSheetId="5" hidden="1">'[3]AMI P &amp; L'!#REF!</definedName>
    <definedName name="BExB2Q0VJ0MU2URO3JOVUAVHEI3V" localSheetId="8" hidden="1">'[3]AMI P &amp; L'!#REF!</definedName>
    <definedName name="BExB2Q0VJ0MU2URO3JOVUAVHEI3V" hidden="1">'[3]AMI P &amp; L'!#REF!</definedName>
    <definedName name="BExB2TBPD6APUT2TO3BGE6IU9G7C" hidden="1">'[4]Bud Mth'!$I$11:$J$11</definedName>
    <definedName name="BExB2TRVKQUUYWEZA4GM0V7NE7IX" localSheetId="5" hidden="1">'[5]Capital orders'!#REF!</definedName>
    <definedName name="BExB2TRVKQUUYWEZA4GM0V7NE7IX" localSheetId="8" hidden="1">'[5]Capital orders'!#REF!</definedName>
    <definedName name="BExB2TRVKQUUYWEZA4GM0V7NE7IX" hidden="1">'[5]Capital orders'!#REF!</definedName>
    <definedName name="BExB30IP1DNKNQ6PZ5ERUGR5MK4Z" hidden="1">'[2]Reco Sheet for Fcast'!$I$11:$J$11</definedName>
    <definedName name="BExB42VLHX3FLYCON9QDRE70MBLO" localSheetId="5" hidden="1">#REF!</definedName>
    <definedName name="BExB42VLHX3FLYCON9QDRE70MBLO" localSheetId="8" hidden="1">#REF!</definedName>
    <definedName name="BExB42VLHX3FLYCON9QDRE70MBLO" hidden="1">#REF!</definedName>
    <definedName name="BExB442RX0T3L6HUL6X5T21CENW6" localSheetId="5" hidden="1">'[3]AMI P &amp; L'!#REF!</definedName>
    <definedName name="BExB442RX0T3L6HUL6X5T21CENW6" localSheetId="8" hidden="1">'[3]AMI P &amp; L'!#REF!</definedName>
    <definedName name="BExB442RX0T3L6HUL6X5T21CENW6" hidden="1">'[3]AMI P &amp; L'!#REF!</definedName>
    <definedName name="BExB4ADD0L7417CII901XTFKXD1J" hidden="1">'[2]Reco Sheet for Fcast'!$I$7:$J$7</definedName>
    <definedName name="BExB4DYU06HCGRIPBSWRCXK804UM" hidden="1">'[2]Reco Sheet for Fcast'!$F$11:$G$11</definedName>
    <definedName name="BExB4KEQ72L2ONQ7IFMYZAK0153C" hidden="1">'[2]Reco Sheet for Fcast'!$F$11:$G$11</definedName>
    <definedName name="BExB4M24SMODJ32BDKDH2DWLGTXO" localSheetId="5" hidden="1">#REF!</definedName>
    <definedName name="BExB4M24SMODJ32BDKDH2DWLGTXO" localSheetId="8" hidden="1">#REF!</definedName>
    <definedName name="BExB4M24SMODJ32BDKDH2DWLGTXO" hidden="1">#REF!</definedName>
    <definedName name="BExB4Z3EZBGYYI33U0KQ8NEIH8PY" hidden="1">'[2]Reco Sheet for Fcast'!$I$8:$J$8</definedName>
    <definedName name="BExB55368XW7UX657ZSPC6BFE92S" hidden="1">'[2]Reco Sheet for Fcast'!$I$8:$J$8</definedName>
    <definedName name="BExB57MZEPL2SA2ONPK66YFLZWJU" hidden="1">'[2]Reco Sheet for Fcast'!$I$8:$J$8</definedName>
    <definedName name="BExB5833OAOJ22VK1YK47FHUSVK2" localSheetId="5" hidden="1">'[3]AMI P &amp; L'!#REF!</definedName>
    <definedName name="BExB5833OAOJ22VK1YK47FHUSVK2" localSheetId="8" hidden="1">'[3]AMI P &amp; L'!#REF!</definedName>
    <definedName name="BExB5833OAOJ22VK1YK47FHUSVK2" hidden="1">'[3]AMI P &amp; L'!#REF!</definedName>
    <definedName name="BExB58JDIHS42JZT9DJJMKA8QFCO" hidden="1">'[2]Reco Sheet for Fcast'!$I$11:$J$11</definedName>
    <definedName name="BExB58U5FQC5JWV9CGC83HLLZUZI" hidden="1">'[2]Reco Sheet for Fcast'!$F$7:$G$7</definedName>
    <definedName name="BExB5EDO9XUKHF74X3HAU2WPPHZH" hidden="1">'[2]Reco Sheet for Fcast'!$I$6:$J$6</definedName>
    <definedName name="BExB5G6EH68AYEP1UT0GHUEL3SLN" hidden="1">'[2]Reco Sheet for Fcast'!$F$11:$G$11</definedName>
    <definedName name="BExB5QYVEZWFE5DQVHAM760EV05X" hidden="1">'[2]Reco Sheet for Fcast'!$I$7:$J$7</definedName>
    <definedName name="BExB5U9IRH14EMOE0YGIE3WIVLFS" hidden="1">'[2]Reco Sheet for Fcast'!$I$6:$J$6</definedName>
    <definedName name="BExB5VWYMOV6BAIH7XUBBVPU7MMD" hidden="1">'[2]Reco Sheet for Fcast'!$F$9:$G$9</definedName>
    <definedName name="BExB610DZWIJP1B72U9QM42COH2B" hidden="1">'[2]Reco Sheet for Fcast'!$F$9:$G$9</definedName>
    <definedName name="BExB6C3FUAKK9ML5T767NMWGA9YB" hidden="1">'[2]Reco Sheet for Fcast'!$F$7:$G$7</definedName>
    <definedName name="BExB6C8X6JYRLKZKK17VE3QUNL3D" hidden="1">'[2]Reco Sheet for Fcast'!$G$2</definedName>
    <definedName name="BExB6HN3QRFPXM71MDUK21BKM7PF" hidden="1">'[2]Reco Sheet for Fcast'!$F$11:$G$11</definedName>
    <definedName name="BExB6IZMHCZ3LB7N73KD90YB1HBZ" hidden="1">'[2]Reco Sheet for Fcast'!$F$9:$G$9</definedName>
    <definedName name="BExB719SGNX4Y8NE6JEXC555K596" hidden="1">'[2]Reco Sheet for Fcast'!$F$10:$G$10</definedName>
    <definedName name="BExB7265DCHKS7V2OWRBXCZTEIW9" hidden="1">'[2]Reco Sheet for Fcast'!$F$6:$G$6</definedName>
    <definedName name="BExB74PS5P9G0P09Y6DZSCX0FLTJ" hidden="1">'[2]Reco Sheet for Fcast'!$I$6:$J$6</definedName>
    <definedName name="BExB78RH79J0MIF7H8CAZ0CFE88Q" localSheetId="5" hidden="1">'[3]AMI P &amp; L'!#REF!</definedName>
    <definedName name="BExB78RH79J0MIF7H8CAZ0CFE88Q" localSheetId="8" hidden="1">'[3]AMI P &amp; L'!#REF!</definedName>
    <definedName name="BExB78RH79J0MIF7H8CAZ0CFE88Q" hidden="1">'[3]AMI P &amp; L'!#REF!</definedName>
    <definedName name="BExB7ELT09HGDVO5BJC1ZY9D09GZ" hidden="1">'[2]Reco Sheet for Fcast'!$H$2:$I$2</definedName>
    <definedName name="BExB806PAXX70XUTA3ZI7OORD78R" hidden="1">'[2]Reco Sheet for Fcast'!$F$15</definedName>
    <definedName name="BExB8HF4UBVZKQCSRFRUQL2EE6VL" hidden="1">'[2]Reco Sheet for Fcast'!$F$8:$G$8</definedName>
    <definedName name="BExB8HKHKZ1ORJZUYGG2M4VSCC39" hidden="1">'[2]Reco Sheet for Fcast'!$F$9:$G$9</definedName>
    <definedName name="BExB8K9L3ECVVHYODX1ITUTEHJTR" hidden="1">'[2]Reco Sheet for Fcast'!$L$6:$M$10</definedName>
    <definedName name="BExB8QPH8DC5BESEVPSMBCWVN6PO" hidden="1">'[2]Reco Sheet for Fcast'!$F$6:$G$6</definedName>
    <definedName name="BExB8U5N0D85YR8APKN3PPKG0FWP" localSheetId="5" hidden="1">'[3]AMI P &amp; L'!#REF!</definedName>
    <definedName name="BExB8U5N0D85YR8APKN3PPKG0FWP" localSheetId="8" hidden="1">'[3]AMI P &amp; L'!#REF!</definedName>
    <definedName name="BExB8U5N0D85YR8APKN3PPKG0FWP" hidden="1">'[3]AMI P &amp; L'!#REF!</definedName>
    <definedName name="BExB8WJYEQ55LDAYQH0NXEDCQOVD" localSheetId="5" hidden="1">#REF!</definedName>
    <definedName name="BExB8WJYEQ55LDAYQH0NXEDCQOVD" localSheetId="8" hidden="1">#REF!</definedName>
    <definedName name="BExB8WJYEQ55LDAYQH0NXEDCQOVD" hidden="1">#REF!</definedName>
    <definedName name="BExB9AXUUDDTRDLVSC7REODDIYJ2" localSheetId="5" hidden="1">#REF!</definedName>
    <definedName name="BExB9AXUUDDTRDLVSC7REODDIYJ2" localSheetId="8" hidden="1">#REF!</definedName>
    <definedName name="BExB9AXUUDDTRDLVSC7REODDIYJ2" hidden="1">#REF!</definedName>
    <definedName name="BExB9DHI5I2TJ2LXYPM98EE81L27" hidden="1">'[2]Reco Sheet for Fcast'!$I$9:$J$9</definedName>
    <definedName name="BExB9Q2MZZHBGW8QQKVEYIMJBPIE" localSheetId="5" hidden="1">'[3]AMI P &amp; L'!#REF!</definedName>
    <definedName name="BExB9Q2MZZHBGW8QQKVEYIMJBPIE" localSheetId="8" hidden="1">'[3]AMI P &amp; L'!#REF!</definedName>
    <definedName name="BExB9Q2MZZHBGW8QQKVEYIMJBPIE" hidden="1">'[3]AMI P &amp; L'!#REF!</definedName>
    <definedName name="BExB9R4HYJ83UNLFWKDKDJ31E2DS" localSheetId="5" hidden="1">'[5]Capital orders'!#REF!</definedName>
    <definedName name="BExB9R4HYJ83UNLFWKDKDJ31E2DS" localSheetId="8" hidden="1">'[5]Capital orders'!#REF!</definedName>
    <definedName name="BExB9R4HYJ83UNLFWKDKDJ31E2DS" hidden="1">'[5]Capital orders'!#REF!</definedName>
    <definedName name="BExBA1GON0EZRJ20UYPILAPLNQWM" hidden="1">'[2]Reco Sheet for Fcast'!$I$7:$J$7</definedName>
    <definedName name="BExBA69ASGYRZW1G1DYIS9QRRTBN" hidden="1">'[2]Reco Sheet for Fcast'!$F$9:$G$9</definedName>
    <definedName name="BExBA6K42582A14WFFWQ3Q8QQWB6" hidden="1">'[2]Reco Sheet for Fcast'!$I$7:$J$7</definedName>
    <definedName name="BExBA8I5D4R8R2PYQ1K16TWGTOEP" hidden="1">'[2]Reco Sheet for Fcast'!$I$7:$J$7</definedName>
    <definedName name="BExBA93PE0DGUUTA7LLSIGBIXWE5" hidden="1">'[2]Reco Sheet for Fcast'!$I$7:$J$7</definedName>
    <definedName name="BExBAAGDKQLBSZJAFZFOCDTVS99P" localSheetId="5" hidden="1">'[3]AMI P &amp; L'!#REF!</definedName>
    <definedName name="BExBAAGDKQLBSZJAFZFOCDTVS99P" localSheetId="8" hidden="1">'[3]AMI P &amp; L'!#REF!</definedName>
    <definedName name="BExBAAGDKQLBSZJAFZFOCDTVS99P" hidden="1">'[3]AMI P &amp; L'!#REF!</definedName>
    <definedName name="BExBAI8X0FKDQJ6YZJQDTTG4ZCWY" hidden="1">'[2]Reco Sheet for Fcast'!$I$7:$J$7</definedName>
    <definedName name="BExBAKN7XIBAXCF9PCNVS038PCQO" hidden="1">'[2]Reco Sheet for Fcast'!$F$11:$G$11</definedName>
    <definedName name="BExBAKXZ7PBW3DDKKA5MWC1ZUC7O" hidden="1">'[2]Reco Sheet for Fcast'!$I$8:$J$8</definedName>
    <definedName name="BExBAO8NLXZXHO6KCIECSFCH3RR0" hidden="1">'[2]Reco Sheet for Fcast'!$I$9:$J$9</definedName>
    <definedName name="BExBAOOT1KBSIEISN1ADL4RMY879" hidden="1">'[2]Reco Sheet for Fcast'!$G$2</definedName>
    <definedName name="BExBAVKX8Q09370X1GCZWJ4E91YJ" hidden="1">'[2]Reco Sheet for Fcast'!$I$8:$J$8</definedName>
    <definedName name="BExBAX2X2ENJYO4QTR5VAIQ86L7B" hidden="1">'[2]Reco Sheet for Fcast'!$F$8:$G$8</definedName>
    <definedName name="BExBAZ13D3F1DVJQ6YJ8JGUYEYJE" hidden="1">'[2]Reco Sheet for Fcast'!$I$11:$J$11</definedName>
    <definedName name="BExBBUCJQRR74Q7GPWDEZXYK2KJL" hidden="1">'[2]Reco Sheet for Fcast'!$I$11:$J$11</definedName>
    <definedName name="BExBBV8XVMD9CKZY711T0BN7H3PM" hidden="1">'[2]Reco Sheet for Fcast'!$F$15</definedName>
    <definedName name="BExBC78HXWXHO3XAB6E8NVTBGLJS" hidden="1">'[2]Reco Sheet for Fcast'!$F$10:$G$10</definedName>
    <definedName name="BExBCKKJTIRKC1RZJRTK65HHLX4W" hidden="1">'[2]Reco Sheet for Fcast'!$I$9:$J$9</definedName>
    <definedName name="BExBCLMEPAN3XXX174TU8SS0627Q" localSheetId="5" hidden="1">'[3]AMI P &amp; L'!#REF!</definedName>
    <definedName name="BExBCLMEPAN3XXX174TU8SS0627Q" localSheetId="8" hidden="1">'[3]AMI P &amp; L'!#REF!</definedName>
    <definedName name="BExBCLMEPAN3XXX174TU8SS0627Q" hidden="1">'[3]AMI P &amp; L'!#REF!</definedName>
    <definedName name="BExBCRBEYR2KZ8FAQFZ2NHY13WIY" hidden="1">'[2]Reco Sheet for Fcast'!$F$15</definedName>
    <definedName name="BExBD4I559NXSV6J07Q343TKYMVJ" hidden="1">'[2]Reco Sheet for Fcast'!$G$2</definedName>
    <definedName name="BExBD77362J9OENRUETJ6CVQYGZ1" localSheetId="5" hidden="1">'[5]Capital orders'!#REF!</definedName>
    <definedName name="BExBD77362J9OENRUETJ6CVQYGZ1" localSheetId="8" hidden="1">'[5]Capital orders'!#REF!</definedName>
    <definedName name="BExBD77362J9OENRUETJ6CVQYGZ1" hidden="1">'[5]Capital orders'!#REF!</definedName>
    <definedName name="BExBDBZQLTX3OGFYGULQFK5WEZU5" hidden="1">'[2]Reco Sheet for Fcast'!$F$7:$G$7</definedName>
    <definedName name="BExBDJS9TUEU8Z84IV59E5V4T8K6" localSheetId="5" hidden="1">'[3]AMI P &amp; L'!#REF!</definedName>
    <definedName name="BExBDJS9TUEU8Z84IV59E5V4T8K6" localSheetId="8" hidden="1">'[3]AMI P &amp; L'!#REF!</definedName>
    <definedName name="BExBDJS9TUEU8Z84IV59E5V4T8K6" hidden="1">'[3]AMI P &amp; L'!#REF!</definedName>
    <definedName name="BExBDKOMSVH4XMH52CFJ3F028I9R" hidden="1">'[2]Reco Sheet for Fcast'!$G$2</definedName>
    <definedName name="BExBDSRXVZQ0W5WXQMP5XD00GRRL" hidden="1">'[2]Reco Sheet for Fcast'!$I$8:$J$8</definedName>
    <definedName name="BExBDT2QTPSTYED3RWGES5QGI7VV" localSheetId="5" hidden="1">#REF!</definedName>
    <definedName name="BExBDT2QTPSTYED3RWGES5QGI7VV" localSheetId="8" hidden="1">#REF!</definedName>
    <definedName name="BExBDT2QTPSTYED3RWGES5QGI7VV" hidden="1">#REF!</definedName>
    <definedName name="BExBDUVGK3E1J4JY9ZYTS7V14BLY" hidden="1">'[2]Reco Sheet for Fcast'!$G$2</definedName>
    <definedName name="BExBE162OSBKD30I7T1DKKPT3I9I" hidden="1">'[2]Reco Sheet for Fcast'!$I$10:$J$10</definedName>
    <definedName name="BExBEC9ATLQZF86W1M3APSM4HEOH" hidden="1">'[2]Reco Sheet for Fcast'!$I$6:$J$6</definedName>
    <definedName name="BExBEF3VXW3Y3SZ6RC9PX7QEB12Y" hidden="1">'[2]Reco Sheet for Fcast'!$F$15</definedName>
    <definedName name="BExBEJG7L9BDVH7L2B9YXRV84GFT" localSheetId="5" hidden="1">'[5]Capital orders'!#REF!</definedName>
    <definedName name="BExBEJG7L9BDVH7L2B9YXRV84GFT" localSheetId="8" hidden="1">'[5]Capital orders'!#REF!</definedName>
    <definedName name="BExBEJG7L9BDVH7L2B9YXRV84GFT" hidden="1">'[5]Capital orders'!#REF!</definedName>
    <definedName name="BExBEYFQJE9YK12A6JBMRFKEC7RN" hidden="1">'[2]Reco Sheet for Fcast'!$I$6:$J$6</definedName>
    <definedName name="BExBG1ED81J2O4A2S5F5Y3BPHMCR" hidden="1">'[2]Reco Sheet for Fcast'!$I$8:$J$8</definedName>
    <definedName name="BExCRLIHS7466WFJ3RPIUGGXYESZ" hidden="1">'[2]Reco Sheet for Fcast'!$I$9:$J$9</definedName>
    <definedName name="BExCRQWQFIEUV7HE228YUBUUJA9K" hidden="1">'[2]Reco Sheet for Fcast'!$F$15:$AI$18</definedName>
    <definedName name="BExCS1EDDUEAEWHVYXHIP9I1WCJH" hidden="1">'[2]Reco Sheet for Fcast'!$I$10:$J$10</definedName>
    <definedName name="BExCS4E9E7CKF2RTM6INK6MAILOV" localSheetId="5" hidden="1">#REF!</definedName>
    <definedName name="BExCS4E9E7CKF2RTM6INK6MAILOV" localSheetId="8" hidden="1">#REF!</definedName>
    <definedName name="BExCS4E9E7CKF2RTM6INK6MAILOV" hidden="1">#REF!</definedName>
    <definedName name="BExCS7ZPMHFJ4UJDAL8CQOLSZ13B" localSheetId="5" hidden="1">'[3]AMI P &amp; L'!#REF!</definedName>
    <definedName name="BExCS7ZPMHFJ4UJDAL8CQOLSZ13B" localSheetId="8" hidden="1">'[3]AMI P &amp; L'!#REF!</definedName>
    <definedName name="BExCS7ZPMHFJ4UJDAL8CQOLSZ13B" hidden="1">'[3]AMI P &amp; L'!#REF!</definedName>
    <definedName name="BExCS8W4NJUZH9S1CYB6XSDLEPBW" hidden="1">'[2]Reco Sheet for Fcast'!$I$2:$J$2</definedName>
    <definedName name="BExCSAE1M6G20R41J0Y24YNN0YC1" hidden="1">'[2]Reco Sheet for Fcast'!$I$6:$J$6</definedName>
    <definedName name="BExCSAOUZOYKHN7HV511TO8VDJ02" hidden="1">'[2]Reco Sheet for Fcast'!$I$8:$J$8</definedName>
    <definedName name="BExCSMOFTXSUEC1T46LR1UPYRCX5" hidden="1">'[2]Reco Sheet for Fcast'!$G$2</definedName>
    <definedName name="BExCSSDG3TM6TPKS19E9QYJEELZ6" localSheetId="5" hidden="1">'[3]AMI P &amp; L'!#REF!</definedName>
    <definedName name="BExCSSDG3TM6TPKS19E9QYJEELZ6" localSheetId="8" hidden="1">'[3]AMI P &amp; L'!#REF!</definedName>
    <definedName name="BExCSSDG3TM6TPKS19E9QYJEELZ6" hidden="1">'[3]AMI P &amp; L'!#REF!</definedName>
    <definedName name="BExCSZV7U67UWXL2HKJNM5W1E4OO" hidden="1">'[2]Reco Sheet for Fcast'!$I$7:$J$7</definedName>
    <definedName name="BExCT4NSDT61OCH04Y2QIFIOP75H" localSheetId="5" hidden="1">'[3]AMI P &amp; L'!#REF!</definedName>
    <definedName name="BExCT4NSDT61OCH04Y2QIFIOP75H" localSheetId="8" hidden="1">'[3]AMI P &amp; L'!#REF!</definedName>
    <definedName name="BExCT4NSDT61OCH04Y2QIFIOP75H" hidden="1">'[3]AMI P &amp; L'!#REF!</definedName>
    <definedName name="BExCTW8G3VCZ55S09HTUGXKB1P2M" hidden="1">'[2]Reco Sheet for Fcast'!$F$11:$G$11</definedName>
    <definedName name="BExCTYS2KX0QANOLT8LGZ9WV3S3T" hidden="1">'[2]Reco Sheet for Fcast'!$F$15</definedName>
    <definedName name="BExCTZZ9JNES4EDHW97NP0EGQALX" hidden="1">'[2]Reco Sheet for Fcast'!$G$2</definedName>
    <definedName name="BExCU0A1V6NMZQ9ASYJ8QIVQ5UR2" localSheetId="5" hidden="1">'[3]AMI P &amp; L'!#REF!</definedName>
    <definedName name="BExCU0A1V6NMZQ9ASYJ8QIVQ5UR2" localSheetId="8" hidden="1">'[3]AMI P &amp; L'!#REF!</definedName>
    <definedName name="BExCU0A1V6NMZQ9ASYJ8QIVQ5UR2" hidden="1">'[3]AMI P &amp; L'!#REF!</definedName>
    <definedName name="BExCU2834920JBHSPCRC4UF80OLL" hidden="1">'[2]Reco Sheet for Fcast'!$F$11:$G$11</definedName>
    <definedName name="BExCU8O54I3P3WRYWY1CRP3S78QY" hidden="1">'[2]Reco Sheet for Fcast'!$G$2</definedName>
    <definedName name="BExCUDRJO23YOKT8GPWOVQ4XEHF5" hidden="1">'[2]Reco Sheet for Fcast'!$F$6:$G$6</definedName>
    <definedName name="BExCUPAXFR16YMWL30ME3F3BSRDZ" hidden="1">'[2]Reco Sheet for Fcast'!$F$8:$G$8</definedName>
    <definedName name="BExCUR94DHCE47PUUWEMT5QZOYR2" hidden="1">'[2]Reco Sheet for Fcast'!$H$2:$I$2</definedName>
    <definedName name="BExCV634L7SVHGB0UDDTRRQ2Q72H" hidden="1">'[2]Reco Sheet for Fcast'!$I$7:$J$7</definedName>
    <definedName name="BExCVBXGSXT9FWJRG62PX9S1RK83" hidden="1">'[2]Reco Sheet for Fcast'!$I$8:$J$8</definedName>
    <definedName name="BExCVHBNLOHNFS0JAV3I1XGPNH9W" hidden="1">'[2]Reco Sheet for Fcast'!$F$15</definedName>
    <definedName name="BExCVI86R31A2IOZIEBY1FJLVILD" hidden="1">'[2]Reco Sheet for Fcast'!$I$10:$J$10</definedName>
    <definedName name="BExCVKGZXE0I9EIXKBZVSGSEY2RR" hidden="1">'[2]Reco Sheet for Fcast'!$F$9:$G$9</definedName>
    <definedName name="BExCVV44WY5807WGMTGKPW0GT256" hidden="1">'[2]Reco Sheet for Fcast'!$I$7:$J$7</definedName>
    <definedName name="BExCVVK8GI44DNT5MTM7AOS4U9N8" hidden="1">'[2]Reco Sheet for Fcast'!$I$7:$J$7</definedName>
    <definedName name="BExCVZ5PN4V6MRBZ04PZJW3GEF8S" localSheetId="5" hidden="1">'[3]AMI P &amp; L'!#REF!</definedName>
    <definedName name="BExCVZ5PN4V6MRBZ04PZJW3GEF8S" localSheetId="8" hidden="1">'[3]AMI P &amp; L'!#REF!</definedName>
    <definedName name="BExCVZ5PN4V6MRBZ04PZJW3GEF8S" hidden="1">'[3]AMI P &amp; L'!#REF!</definedName>
    <definedName name="BExCW13R0GWJYGXZBNCPAHQN4NR2" hidden="1">'[2]Reco Sheet for Fcast'!$I$10:$J$10</definedName>
    <definedName name="BExCW9Y5HWU4RJTNX74O6L24VGCK" hidden="1">'[2]Reco Sheet for Fcast'!$H$2:$I$2</definedName>
    <definedName name="BExCWMJAP755C7AV2QKTWYDPDSSV" hidden="1">'[2]Reco Sheet for Fcast'!$F$8:$G$8</definedName>
    <definedName name="BExCWPDPESGZS07QGBLSBWDNVJLZ" hidden="1">'[2]Reco Sheet for Fcast'!$F$7:$G$7</definedName>
    <definedName name="BExCWSDLJ7DJX3139FQJM3LND72J" hidden="1">'[2]Reco Sheet for Fcast'!$O$6:$P$10</definedName>
    <definedName name="BExCWTVKHIVCRHF8GC39KI58YM5K" hidden="1">'[2]Reco Sheet for Fcast'!$G$2</definedName>
    <definedName name="BExCX2KGRZBRVLZNM8SUSIE6A0RL" localSheetId="5" hidden="1">'[3]AMI P &amp; L'!#REF!</definedName>
    <definedName name="BExCX2KGRZBRVLZNM8SUSIE6A0RL" localSheetId="8" hidden="1">'[3]AMI P &amp; L'!#REF!</definedName>
    <definedName name="BExCX2KGRZBRVLZNM8SUSIE6A0RL" hidden="1">'[3]AMI P &amp; L'!#REF!</definedName>
    <definedName name="BExCX3X451T70LZ1VF95L7W4Y4TM" hidden="1">'[2]Reco Sheet for Fcast'!$F$10:$G$10</definedName>
    <definedName name="BExCX4NZ2N1OUGXM7EV0U7VULJMM" hidden="1">'[2]Reco Sheet for Fcast'!$F$7:$G$7</definedName>
    <definedName name="BExCXILMURGYMAH6N5LF5DV6K3GM" hidden="1">'[2]Reco Sheet for Fcast'!$I$9:$J$9</definedName>
    <definedName name="BExCXK3M8NPWOZZALA6L6RUCBB2J" localSheetId="5" hidden="1">#REF!</definedName>
    <definedName name="BExCXK3M8NPWOZZALA6L6RUCBB2J" localSheetId="8" hidden="1">#REF!</definedName>
    <definedName name="BExCXK3M8NPWOZZALA6L6RUCBB2J" hidden="1">#REF!</definedName>
    <definedName name="BExCXKZZ6U10NBCECNUV9U56FB6V" localSheetId="5" hidden="1">#REF!</definedName>
    <definedName name="BExCXKZZ6U10NBCECNUV9U56FB6V" localSheetId="8" hidden="1">#REF!</definedName>
    <definedName name="BExCXKZZ6U10NBCECNUV9U56FB6V" hidden="1">#REF!</definedName>
    <definedName name="BExCXQUFBMXQ1650735H48B1AZT3" hidden="1">'[2]Reco Sheet for Fcast'!$F$15</definedName>
    <definedName name="BExCY2DQO9VLA77Q7EG3T0XNXX4F" hidden="1">'[2]Reco Sheet for Fcast'!$F$11:$G$11</definedName>
    <definedName name="BExCY6VMJ68MX3C981R5Q0BX5791" hidden="1">'[2]Reco Sheet for Fcast'!$I$9:$J$9</definedName>
    <definedName name="BExCYAH2SAZCPW6XCB7V7PMMCAWO" hidden="1">'[2]Reco Sheet for Fcast'!$I$6:$J$6</definedName>
    <definedName name="BExCYFV9Z4OENTUNF9IWT6ELMRCL" hidden="1">'[2]Reco Sheet for Fcast'!$I$7:$J$7</definedName>
    <definedName name="BExCYPRC5HJE6N2XQTHCT6NXGP8N" hidden="1">'[2]Reco Sheet for Fcast'!$I$11:$J$11</definedName>
    <definedName name="BExCYUK0I3UEXZNFDW71G6Z6D8XR" localSheetId="5" hidden="1">'[3]AMI P &amp; L'!#REF!</definedName>
    <definedName name="BExCYUK0I3UEXZNFDW71G6Z6D8XR" localSheetId="8" hidden="1">'[3]AMI P &amp; L'!#REF!</definedName>
    <definedName name="BExCYUK0I3UEXZNFDW71G6Z6D8XR" hidden="1">'[3]AMI P &amp; L'!#REF!</definedName>
    <definedName name="BExCZ4QTDJA3L8AGID0HLSLRVP6A" localSheetId="5" hidden="1">'[5]Capital orders'!#REF!</definedName>
    <definedName name="BExCZ4QTDJA3L8AGID0HLSLRVP6A" localSheetId="8" hidden="1">'[5]Capital orders'!#REF!</definedName>
    <definedName name="BExCZ4QTDJA3L8AGID0HLSLRVP6A" hidden="1">'[5]Capital orders'!#REF!</definedName>
    <definedName name="BExCZFZCXMLY5DWESYJ9NGTJYQ8M" hidden="1">'[2]Reco Sheet for Fcast'!$I$11:$J$11</definedName>
    <definedName name="BExCZJ4P8WS0BDT31WDXI0ROE7D6" hidden="1">'[2]Reco Sheet for Fcast'!$F$6:$G$6</definedName>
    <definedName name="BExCZKH6NI0EE02L995IFVBD1J59" hidden="1">'[2]Reco Sheet for Fcast'!$I$8:$J$8</definedName>
    <definedName name="BExCZU7T2KCK97JI9FE1XITCRE8U" localSheetId="5" hidden="1">#REF!</definedName>
    <definedName name="BExCZU7T2KCK97JI9FE1XITCRE8U" localSheetId="8" hidden="1">#REF!</definedName>
    <definedName name="BExCZU7T2KCK97JI9FE1XITCRE8U" hidden="1">#REF!</definedName>
    <definedName name="BExCZUD9FEOJBKDJ51Z3JON9LKJ8" hidden="1">'[2]Reco Sheet for Fcast'!$G$2</definedName>
    <definedName name="BExD0CCO4AZHRMZ3PSLCEN7T63L2" hidden="1">'[4]Bud Mth'!$I$6:$J$6</definedName>
    <definedName name="BExD0HALIN0JR4JTPGDEVAEE5EX5" hidden="1">'[2]Reco Sheet for Fcast'!$I$8:$J$8</definedName>
    <definedName name="BExD0LCCDPG16YLY5WQSZF1XI5DA" hidden="1">'[2]Reco Sheet for Fcast'!$I$9:$J$9</definedName>
    <definedName name="BExD0RMWSB4TRECEHTH6NN4K9DFZ" hidden="1">'[2]Reco Sheet for Fcast'!$I$11:$J$11</definedName>
    <definedName name="BExD0U6KG10QGVDI1XSHK0J10A2V" hidden="1">'[2]Reco Sheet for Fcast'!$I$7:$J$7</definedName>
    <definedName name="BExD13RUIBGRXDL4QDZ305UKUR12" hidden="1">'[2]Reco Sheet for Fcast'!$I$9:$J$9</definedName>
    <definedName name="BExD14DETV5R4OOTMAXD5NAKWRO3" hidden="1">'[2]Reco Sheet for Fcast'!$H$2:$I$2</definedName>
    <definedName name="BExD1OAU9OXQAZA4D70HP72CU6GB" hidden="1">'[2]Reco Sheet for Fcast'!$I$7:$J$7</definedName>
    <definedName name="BExD1Y1JV61416YA1XRQHKWPZIE7" hidden="1">'[2]Reco Sheet for Fcast'!$F$6:$G$6</definedName>
    <definedName name="BExD21HKYZH6AN0830NG17ZRUS1T" hidden="1">'[2]Reco Sheet for Fcast'!$G$2:$H$2</definedName>
    <definedName name="BExD2CFHIRMBKN5KXE5QP4XXEWFS" localSheetId="5" hidden="1">'[3]AMI P &amp; L'!#REF!</definedName>
    <definedName name="BExD2CFHIRMBKN5KXE5QP4XXEWFS" localSheetId="8" hidden="1">'[3]AMI P &amp; L'!#REF!</definedName>
    <definedName name="BExD2CFHIRMBKN5KXE5QP4XXEWFS" hidden="1">'[3]AMI P &amp; L'!#REF!</definedName>
    <definedName name="BExD2DMHH1HWXQ9W0YYMDP8AAX8Q" hidden="1">'[2]Reco Sheet for Fcast'!$F$6:$G$6</definedName>
    <definedName name="BExD2HTPC7IWBAU6OSQ67MQA8BYZ" hidden="1">'[2]Reco Sheet for Fcast'!$F$10:$G$10</definedName>
    <definedName name="BExD363H2VGFIQUCE6LS4AC5J0ZT" hidden="1">'[2]Reco Sheet for Fcast'!$F$7:$G$7</definedName>
    <definedName name="BExD37QXHXNRAT3KZWRFA3MXHIF8" hidden="1">'[4]Bud Mth'!$F$6:$G$6</definedName>
    <definedName name="BExD3A588E939V61P1XEW0FI5Q0S" hidden="1">'[2]Reco Sheet for Fcast'!$I$10:$J$10</definedName>
    <definedName name="BExD3CJJDKVR9M18XI3WDZH80WL6" hidden="1">'[2]Reco Sheet for Fcast'!$I$11:$J$11</definedName>
    <definedName name="BExD3ESD9WYJIB3TRDPJ1CKXRAVL" hidden="1">'[2]Reco Sheet for Fcast'!$I$11:$J$11</definedName>
    <definedName name="BExD3F368X5S25MWSUNIV57RDB57" localSheetId="5" hidden="1">'[3]AMI P &amp; L'!#REF!</definedName>
    <definedName name="BExD3F368X5S25MWSUNIV57RDB57" localSheetId="8" hidden="1">'[3]AMI P &amp; L'!#REF!</definedName>
    <definedName name="BExD3F368X5S25MWSUNIV57RDB57" hidden="1">'[3]AMI P &amp; L'!#REF!</definedName>
    <definedName name="BExD3H6Q0X859YKIX6M8ZEYXI1G6" hidden="1">'[4]Bud Mth'!$F$15:$S$21</definedName>
    <definedName name="BExD3IJ5IT335SOSNV9L85WKAOSI" hidden="1">'[2]Reco Sheet for Fcast'!$F$11:$G$11</definedName>
    <definedName name="BExD3KBVUY57GMMQTOFEU6S6G1AY" hidden="1">'[2]Reco Sheet for Fcast'!$F$9:$G$9</definedName>
    <definedName name="BExD3NMR7AW2Z6V8SC79VQR37NA6" hidden="1">'[2]Reco Sheet for Fcast'!$F$8:$G$8</definedName>
    <definedName name="BExD3QXA2UQ2W4N7NYLUEOG40BZB" hidden="1">'[2]Reco Sheet for Fcast'!$F$10:$G$10</definedName>
    <definedName name="BExD3U2N041TEJ7GCN005UTPHNXY" hidden="1">'[2]Reco Sheet for Fcast'!$F$6:$G$6</definedName>
    <definedName name="BExD40O0CFTNJFOFMMM1KH0P7BUI" localSheetId="5" hidden="1">'[3]AMI P &amp; L'!#REF!</definedName>
    <definedName name="BExD40O0CFTNJFOFMMM1KH0P7BUI" localSheetId="8" hidden="1">'[3]AMI P &amp; L'!#REF!</definedName>
    <definedName name="BExD40O0CFTNJFOFMMM1KH0P7BUI" hidden="1">'[3]AMI P &amp; L'!#REF!</definedName>
    <definedName name="BExD4BR9HJ3MWWZ5KLVZWX9FJAUS" hidden="1">'[2]Reco Sheet for Fcast'!$F$11:$G$11</definedName>
    <definedName name="BExD4F1WTKT3H0N9MF4H1LX7MBSY" hidden="1">'[2]Reco Sheet for Fcast'!$I$8:$J$8</definedName>
    <definedName name="BExD4H5GQWXBS6LUL3TSP36DVO38" localSheetId="5" hidden="1">'[3]AMI P &amp; L'!#REF!</definedName>
    <definedName name="BExD4H5GQWXBS6LUL3TSP36DVO38" localSheetId="8" hidden="1">'[3]AMI P &amp; L'!#REF!</definedName>
    <definedName name="BExD4H5GQWXBS6LUL3TSP36DVO38" hidden="1">'[3]AMI P &amp; L'!#REF!</definedName>
    <definedName name="BExD4IHX75GVFK6I80F7IR7955K1" hidden="1">'[4]Bud Mth'!$F$15</definedName>
    <definedName name="BExD4JJSS3QDBLABCJCHD45SRNPI" localSheetId="5" hidden="1">'[3]AMI P &amp; L'!#REF!</definedName>
    <definedName name="BExD4JJSS3QDBLABCJCHD45SRNPI" localSheetId="8" hidden="1">'[3]AMI P &amp; L'!#REF!</definedName>
    <definedName name="BExD4JJSS3QDBLABCJCHD45SRNPI" hidden="1">'[3]AMI P &amp; L'!#REF!</definedName>
    <definedName name="BExD4R1I0MKF033I5LPUYIMTZ6E8" localSheetId="5" hidden="1">'[3]AMI P &amp; L'!#REF!</definedName>
    <definedName name="BExD4R1I0MKF033I5LPUYIMTZ6E8" localSheetId="8" hidden="1">'[3]AMI P &amp; L'!#REF!</definedName>
    <definedName name="BExD4R1I0MKF033I5LPUYIMTZ6E8" hidden="1">'[3]AMI P &amp; L'!#REF!</definedName>
    <definedName name="BExD50MT3M6XZLNUP9JL93EG6D9R" hidden="1">'[2]Reco Sheet for Fcast'!$I$11:$J$11</definedName>
    <definedName name="BExD5EV7KDSVF1CJT38M4IBPFLPY" hidden="1">'[2]Reco Sheet for Fcast'!$F$11:$G$11</definedName>
    <definedName name="BExD5FRK547OESJRYAW574DZEZ7J" hidden="1">'[2]Reco Sheet for Fcast'!$I$9:$J$9</definedName>
    <definedName name="BExD5I5X2YA2YNCTCDSMEL4CWF4N" hidden="1">'[2]Reco Sheet for Fcast'!$F$7:$G$7</definedName>
    <definedName name="BExD5QUSRFJWRQ1ZM50WYLCF74DF" hidden="1">'[2]Reco Sheet for Fcast'!$I$9:$J$9</definedName>
    <definedName name="BExD5SSUIF6AJQHBHK8PNMFBPRYB" hidden="1">'[2]Reco Sheet for Fcast'!$F$8:$G$8</definedName>
    <definedName name="BExD623C9LRX18BE0W2V6SZLQUXX" localSheetId="5" hidden="1">'[3]AMI P &amp; L'!#REF!</definedName>
    <definedName name="BExD623C9LRX18BE0W2V6SZLQUXX" localSheetId="8" hidden="1">'[3]AMI P &amp; L'!#REF!</definedName>
    <definedName name="BExD623C9LRX18BE0W2V6SZLQUXX" hidden="1">'[3]AMI P &amp; L'!#REF!</definedName>
    <definedName name="BExD6CQA7UMJBXV7AIFAIHUF2ICX" hidden="1">'[2]Reco Sheet for Fcast'!$F$9:$G$9</definedName>
    <definedName name="BExD6DS52K2CC3509UN77XBR0868" localSheetId="5" hidden="1">'[3]AMI P &amp; L'!#REF!</definedName>
    <definedName name="BExD6DS52K2CC3509UN77XBR0868" localSheetId="8" hidden="1">'[3]AMI P &amp; L'!#REF!</definedName>
    <definedName name="BExD6DS52K2CC3509UN77XBR0868" hidden="1">'[3]AMI P &amp; L'!#REF!</definedName>
    <definedName name="BExD6FKVK8WJWNYPVENR7Q8Q30PK" hidden="1">'[2]Reco Sheet for Fcast'!$F$9:$G$9</definedName>
    <definedName name="BExD6GMP0LK8WKVWMIT1NNH8CHLF" localSheetId="5" hidden="1">'[3]AMI P &amp; L'!#REF!</definedName>
    <definedName name="BExD6GMP0LK8WKVWMIT1NNH8CHLF" localSheetId="8" hidden="1">'[3]AMI P &amp; L'!#REF!</definedName>
    <definedName name="BExD6GMP0LK8WKVWMIT1NNH8CHLF" hidden="1">'[3]AMI P &amp; L'!#REF!</definedName>
    <definedName name="BExD6H2TE0WWAUIWVSSCLPZ6B88N" hidden="1">'[2]Reco Sheet for Fcast'!$I$11:$J$11</definedName>
    <definedName name="BExD6HTUMONFBQHM7Y5UW4DPHU7X" hidden="1">'[4]Bud Mth'!$F$7:$G$7</definedName>
    <definedName name="BExD71LTOE015TV5RSAHM8NT8GVW" hidden="1">'[2]Reco Sheet for Fcast'!$J$2:$K$2</definedName>
    <definedName name="BExD73USXVADC7EHGHVTQNCT06ZA" hidden="1">'[2]Reco Sheet for Fcast'!$I$7:$J$7</definedName>
    <definedName name="BExD7GAIGULTB3YHM1OS9RBQOTEC" localSheetId="5" hidden="1">'[3]AMI P &amp; L'!#REF!</definedName>
    <definedName name="BExD7GAIGULTB3YHM1OS9RBQOTEC" localSheetId="8" hidden="1">'[3]AMI P &amp; L'!#REF!</definedName>
    <definedName name="BExD7GAIGULTB3YHM1OS9RBQOTEC" hidden="1">'[3]AMI P &amp; L'!#REF!</definedName>
    <definedName name="BExD7IE1DHIS52UFDCTSKPJQNRD5" hidden="1">'[2]Reco Sheet for Fcast'!$I$9:$J$9</definedName>
    <definedName name="BExD7IUBGUWHYC9UNZ1IY5XFYKQN" hidden="1">'[2]Reco Sheet for Fcast'!$F$6:$G$6</definedName>
    <definedName name="BExD7JL7NW9EKGU5ITCE4VJZ2N5W" hidden="1">'[4]Bud Mth'!$F$9:$G$9</definedName>
    <definedName name="BExD7JQOJ35HGL8U2OCEI2P2JT7I" localSheetId="5" hidden="1">'[3]AMI P &amp; L'!#REF!</definedName>
    <definedName name="BExD7JQOJ35HGL8U2OCEI2P2JT7I" localSheetId="8" hidden="1">'[3]AMI P &amp; L'!#REF!</definedName>
    <definedName name="BExD7JQOJ35HGL8U2OCEI2P2JT7I" hidden="1">'[3]AMI P &amp; L'!#REF!</definedName>
    <definedName name="BExD7KSDKNDNH95NDT3S7GM3MUU2" hidden="1">'[2]Reco Sheet for Fcast'!$I$11:$J$11</definedName>
    <definedName name="BExD8H5O087KQVWIVPUUID5VMGMS" hidden="1">'[2]Reco Sheet for Fcast'!$G$2</definedName>
    <definedName name="BExD8OCLZMFN5K3VZYI4Q4ITVKUA" localSheetId="5" hidden="1">'[3]AMI P &amp; L'!#REF!</definedName>
    <definedName name="BExD8OCLZMFN5K3VZYI4Q4ITVKUA" localSheetId="8" hidden="1">'[3]AMI P &amp; L'!#REF!</definedName>
    <definedName name="BExD8OCLZMFN5K3VZYI4Q4ITVKUA" hidden="1">'[3]AMI P &amp; L'!#REF!</definedName>
    <definedName name="BExD93C1R6LC0631ECHVFYH0R0PD" hidden="1">'[2]Reco Sheet for Fcast'!$I$11:$J$11</definedName>
    <definedName name="BExD97TXIO0COVNN4OH3DEJ33YLM" hidden="1">'[2]Reco Sheet for Fcast'!$F$9:$G$9</definedName>
    <definedName name="BExD99RZ1RFIMK6O1ZHSPJ68X9Y5" hidden="1">'[2]Reco Sheet for Fcast'!$G$2</definedName>
    <definedName name="BExD9GO5JA4ADLQH22ZFJKY2FEAV" localSheetId="5" hidden="1">#REF!</definedName>
    <definedName name="BExD9GO5JA4ADLQH22ZFJKY2FEAV" localSheetId="8" hidden="1">#REF!</definedName>
    <definedName name="BExD9GO5JA4ADLQH22ZFJKY2FEAV" hidden="1">#REF!</definedName>
    <definedName name="BExD9L0ID3VSOU609GKWYTA5BFMA" hidden="1">'[2]Reco Sheet for Fcast'!$I$10:$J$10</definedName>
    <definedName name="BExD9M7SEMG0JK2FUTTZXWIEBTKB" hidden="1">'[2]Reco Sheet for Fcast'!$I$10:$J$10</definedName>
    <definedName name="BExD9MNYBYB1AICQL5165G472IE2" hidden="1">'[2]Reco Sheet for Fcast'!$K$2</definedName>
    <definedName name="BExD9PNSYT7GASEGUVL48MUQ02WO" hidden="1">'[2]Reco Sheet for Fcast'!$I$10:$J$10</definedName>
    <definedName name="BExD9TK2MIWFH5SKUYU9ZKF4NPHQ" hidden="1">'[2]Reco Sheet for Fcast'!$I$9:$J$9</definedName>
    <definedName name="BExDA6LD9061UULVKUUI4QP8SK13" hidden="1">'[2]Reco Sheet for Fcast'!$I$11:$J$11</definedName>
    <definedName name="BExDAGMVMNLQ6QXASB9R6D8DIT12" hidden="1">'[2]Reco Sheet for Fcast'!$F$6:$G$6</definedName>
    <definedName name="BExDAL4R440JG0CQM6QZM9CCATO7" hidden="1">'[4]Bud Mth'!$G$2:$H$2</definedName>
    <definedName name="BExDAYBHU9ADLXI8VRC7F608RVGM" hidden="1">'[2]Reco Sheet for Fcast'!$F$11:$G$11</definedName>
    <definedName name="BExDBDR1XR0FV0CYUCB2OJ7CJCZU" hidden="1">'[2]Reco Sheet for Fcast'!$F$6:$G$6</definedName>
    <definedName name="BExDBQXTJ9F9DE7FNTJCL0LMOJ21" localSheetId="5" hidden="1">'[3]AMI P &amp; L'!#REF!</definedName>
    <definedName name="BExDBQXTJ9F9DE7FNTJCL0LMOJ21" localSheetId="8" hidden="1">'[3]AMI P &amp; L'!#REF!</definedName>
    <definedName name="BExDBQXTJ9F9DE7FNTJCL0LMOJ21" hidden="1">'[3]AMI P &amp; L'!#REF!</definedName>
    <definedName name="BExDC7F818VN0S18ID7XRCRVYPJ4" hidden="1">'[2]Reco Sheet for Fcast'!$F$7:$G$7</definedName>
    <definedName name="BExDCL7K96PC9VZYB70ZW3QPVIJE" hidden="1">'[2]Reco Sheet for Fcast'!$I$6:$J$6</definedName>
    <definedName name="BExDCP3UZ3C2O4C1F7KMU0Z9U32N" hidden="1">'[2]Reco Sheet for Fcast'!$F$10:$G$10</definedName>
    <definedName name="BExENR8MCJOVBYLHQOJ4XC4TSDLT" localSheetId="5" hidden="1">'[5]Capital orders'!#REF!</definedName>
    <definedName name="BExENR8MCJOVBYLHQOJ4XC4TSDLT" localSheetId="8" hidden="1">'[5]Capital orders'!#REF!</definedName>
    <definedName name="BExENR8MCJOVBYLHQOJ4XC4TSDLT" hidden="1">'[5]Capital orders'!#REF!</definedName>
    <definedName name="BExEOBX3WECDMYCV9RLN49APTXMM" hidden="1">'[2]Reco Sheet for Fcast'!$I$7:$J$7</definedName>
    <definedName name="BExEPN9VIYI0FVL0HLZQXJFO6TT0" hidden="1">'[2]Reco Sheet for Fcast'!$H$2:$I$2</definedName>
    <definedName name="BExEPYT6VDSMR8MU2341Q5GM2Y9V" hidden="1">'[2]Reco Sheet for Fcast'!$K$2</definedName>
    <definedName name="BExEQ1YK2GGF3PCQ5YXT4E5L9FQG" localSheetId="5" hidden="1">#REF!</definedName>
    <definedName name="BExEQ1YK2GGF3PCQ5YXT4E5L9FQG" localSheetId="8" hidden="1">#REF!</definedName>
    <definedName name="BExEQ1YK2GGF3PCQ5YXT4E5L9FQG" hidden="1">#REF!</definedName>
    <definedName name="BExEQ2ENYLMY8K1796XBB31CJHNN" hidden="1">'[2]Reco Sheet for Fcast'!$F$11:$G$11</definedName>
    <definedName name="BExEQ2PFE4N40LEPGDPS90WDL6BN" hidden="1">'[2]Reco Sheet for Fcast'!$I$7:$J$7</definedName>
    <definedName name="BExEQ2PFURT24NQYGYVE8NKX1EGA" hidden="1">'[2]Reco Sheet for Fcast'!$H$2:$I$2</definedName>
    <definedName name="BExEQB8ZWXO6IIGOEPWTLOJGE2NR" localSheetId="5" hidden="1">'[3]AMI P &amp; L'!#REF!</definedName>
    <definedName name="BExEQB8ZWXO6IIGOEPWTLOJGE2NR" localSheetId="8" hidden="1">'[3]AMI P &amp; L'!#REF!</definedName>
    <definedName name="BExEQB8ZWXO6IIGOEPWTLOJGE2NR" hidden="1">'[3]AMI P &amp; L'!#REF!</definedName>
    <definedName name="BExEQBZX0EL6LIKPY01197ACK65H" hidden="1">'[2]Reco Sheet for Fcast'!$F$6:$G$6</definedName>
    <definedName name="BExEQDXZALJLD4OBF74IKZBR13SR" hidden="1">'[2]Reco Sheet for Fcast'!$F$10:$G$10</definedName>
    <definedName name="BExEQFLE2RPWGMWQAI4JMKUEFRPT" hidden="1">'[2]Reco Sheet for Fcast'!$I$9:$J$9</definedName>
    <definedName name="BExEQTZAP8R69U31W4LKGTKKGKQE" hidden="1">'[2]Reco Sheet for Fcast'!$F$10:$G$10</definedName>
    <definedName name="BExER2O72H1F9WV6S1J04C15PXX7" hidden="1">'[2]Reco Sheet for Fcast'!$F$11:$G$11</definedName>
    <definedName name="BExERRUIKIOATPZ9U4HQ0V52RJAU" hidden="1">'[2]Reco Sheet for Fcast'!$F$10:$G$10</definedName>
    <definedName name="BExERSANFNM1O7T65PC5MJ301YET" localSheetId="5" hidden="1">'[3]AMI P &amp; L'!#REF!</definedName>
    <definedName name="BExERSANFNM1O7T65PC5MJ301YET" localSheetId="8" hidden="1">'[3]AMI P &amp; L'!#REF!</definedName>
    <definedName name="BExERSANFNM1O7T65PC5MJ301YET" hidden="1">'[3]AMI P &amp; L'!#REF!</definedName>
    <definedName name="BExERWCEBKQRYWRQLYJ4UCMMKTHG" localSheetId="5" hidden="1">'[3]AMI P &amp; L'!#REF!</definedName>
    <definedName name="BExERWCEBKQRYWRQLYJ4UCMMKTHG" localSheetId="8" hidden="1">'[3]AMI P &amp; L'!#REF!</definedName>
    <definedName name="BExERWCEBKQRYWRQLYJ4UCMMKTHG" hidden="1">'[3]AMI P &amp; L'!#REF!</definedName>
    <definedName name="BExERX39X2B577E8G980B6146MR4" hidden="1">'[4]Bud Mth'!$F$10:$G$10</definedName>
    <definedName name="BExES44RHHDL3V7FLV6M20834WF1" hidden="1">'[2]Reco Sheet for Fcast'!$I$8:$J$8</definedName>
    <definedName name="BExES4A7VE2X3RYYTVRLKZD4I7WU" hidden="1">'[2]Reco Sheet for Fcast'!$G$2</definedName>
    <definedName name="BExESMKD95A649M0WRSG6CXXP326" hidden="1">'[2]Reco Sheet for Fcast'!$F$7:$G$7</definedName>
    <definedName name="BExESNWVY914X62GFBPJRODSAZ7B" localSheetId="5" hidden="1">'[3]AMI P &amp; L'!#REF!</definedName>
    <definedName name="BExESNWVY914X62GFBPJRODSAZ7B" localSheetId="8" hidden="1">'[3]AMI P &amp; L'!#REF!</definedName>
    <definedName name="BExESNWVY914X62GFBPJRODSAZ7B" hidden="1">'[3]AMI P &amp; L'!#REF!</definedName>
    <definedName name="BExESR27ZXJG5VMY4PR9D940VS7T" hidden="1">'[2]Reco Sheet for Fcast'!$I$9:$J$9</definedName>
    <definedName name="BExESU25LOS36OLUCBS6GANOVO9P" hidden="1">'[4]Bud Mth'!$I$8:$J$8</definedName>
    <definedName name="BExESZ03KXL8DQ2591HLR56ZML94" hidden="1">'[2]Reco Sheet for Fcast'!$I$9:$J$9</definedName>
    <definedName name="BExESZAW5N443NRTKIP59OEI1CR6" hidden="1">'[2]Reco Sheet for Fcast'!$I$6:$J$6</definedName>
    <definedName name="BExET3HXQ60A4O2OLKX8QNXRI6LQ" hidden="1">'[2]Reco Sheet for Fcast'!$F$9:$G$9</definedName>
    <definedName name="BExETA3B1FCIOA80H94K90FWXQKE" hidden="1">'[2]Reco Sheet for Fcast'!$I$8:$J$8</definedName>
    <definedName name="BExETAZOYT4CJIT8RRKC9F2HJG1D" hidden="1">'[2]Reco Sheet for Fcast'!$I$11:$J$11</definedName>
    <definedName name="BExETF6QD5A9GEINE1KZRRC2LXWM" hidden="1">'[2]Reco Sheet for Fcast'!$F$10:$G$10</definedName>
    <definedName name="BExETQ9XRXLUACN82805SPSPNKHI" hidden="1">'[2]Reco Sheet for Fcast'!$F$2</definedName>
    <definedName name="BExETR0YRMOR63E6DHLEHV9QVVON" hidden="1">'[2]Reco Sheet for Fcast'!$F$10:$G$10</definedName>
    <definedName name="BExETVTGY38YXYYF7N73OYN6FYY3" hidden="1">'[2]Reco Sheet for Fcast'!$I$7:$J$7</definedName>
    <definedName name="BExETYO0S2RGTHJQ60TB37B647GU" localSheetId="5" hidden="1">#REF!</definedName>
    <definedName name="BExETYO0S2RGTHJQ60TB37B647GU" localSheetId="8" hidden="1">#REF!</definedName>
    <definedName name="BExETYO0S2RGTHJQ60TB37B647GU" hidden="1">#REF!</definedName>
    <definedName name="BExEUNE4T242Y59C6MS28MXEUGCP" hidden="1">'[2]Reco Sheet for Fcast'!$F$6:$G$6</definedName>
    <definedName name="BExEV2TP7NA3ZR6RJGH5ER370OUM" hidden="1">'[2]Reco Sheet for Fcast'!$F$7:$G$7</definedName>
    <definedName name="BExEV69USLNYO2QRJRC0J92XUF00" hidden="1">'[2]Reco Sheet for Fcast'!$I$8:$J$8</definedName>
    <definedName name="BExEV6KNTQOCFD7GV726XQEVQ7R6" hidden="1">'[2]Reco Sheet for Fcast'!$F$7:$G$7</definedName>
    <definedName name="BExEV6VGM4POO9QT9KH3QA3VYCWM" hidden="1">'[2]Reco Sheet for Fcast'!$F$8:$G$8</definedName>
    <definedName name="BExEVET98G3FU6QBF9LHYWSAMV0O" hidden="1">'[2]Reco Sheet for Fcast'!$F$10:$G$10</definedName>
    <definedName name="BExEVNCUT0PDUYNJH7G6BSEWZOT2" hidden="1">'[2]Reco Sheet for Fcast'!$F$10:$G$10</definedName>
    <definedName name="BExEVPGF4V5J0WQRZKUM8F9TTKZJ" hidden="1">'[2]Reco Sheet for Fcast'!$F$8:$G$8</definedName>
    <definedName name="BExEVVLIEVWYRF2UUC1H0H5QU1CP" hidden="1">'[2]Reco Sheet for Fcast'!$F$10:$G$10</definedName>
    <definedName name="BExEVWCKO8T84GW9Z3X47915XKSH" hidden="1">'[2]Reco Sheet for Fcast'!$H$2:$I$2</definedName>
    <definedName name="BExEVZSJWMZ5L2ZE7AZC57CXKW6T" hidden="1">'[2]Reco Sheet for Fcast'!$F$8:$G$8</definedName>
    <definedName name="BExEW0JL1GFFCXMDGW54CI7Y8FZN" hidden="1">'[2]Reco Sheet for Fcast'!$I$8:$J$8</definedName>
    <definedName name="BExEW68M9WL8214QH9C7VCK7BN08" hidden="1">'[2]Reco Sheet for Fcast'!$I$6:$J$6</definedName>
    <definedName name="BExEW8HFKH6F47KIHYBDRUEFZ2ZZ" hidden="1">'[2]Reco Sheet for Fcast'!$F$7:$G$7</definedName>
    <definedName name="BExEWNBGQS1U2LW3W84T4LSJ9K00" hidden="1">'[2]Reco Sheet for Fcast'!$F$15</definedName>
    <definedName name="BExEWO7STL7HNZSTY8VQBPTX1WK6" hidden="1">'[2]Reco Sheet for Fcast'!$I$11:$J$11</definedName>
    <definedName name="BExEWQ0M1N3KMKTDJ73H10QSG4W1" hidden="1">'[2]Reco Sheet for Fcast'!$H$2:$I$2</definedName>
    <definedName name="BExEX85F3OSW8NSCYGYPS9372Z1Q" hidden="1">'[2]Reco Sheet for Fcast'!$H$2:$I$2</definedName>
    <definedName name="BExEX9HWY2G6928ZVVVQF77QCM2C" localSheetId="5" hidden="1">'[3]AMI P &amp; L'!#REF!</definedName>
    <definedName name="BExEX9HWY2G6928ZVVVQF77QCM2C" localSheetId="8" hidden="1">'[3]AMI P &amp; L'!#REF!</definedName>
    <definedName name="BExEX9HWY2G6928ZVVVQF77QCM2C" hidden="1">'[3]AMI P &amp; L'!#REF!</definedName>
    <definedName name="BExEXBQWAYKMVBRJRHB8PFCSYFVN" hidden="1">'[2]Reco Sheet for Fcast'!$I$10:$J$10</definedName>
    <definedName name="BExEXRBZ0DI9E2UFLLKYWGN66B61" localSheetId="5" hidden="1">'[3]AMI P &amp; L'!#REF!</definedName>
    <definedName name="BExEXRBZ0DI9E2UFLLKYWGN66B61" localSheetId="8" hidden="1">'[3]AMI P &amp; L'!#REF!</definedName>
    <definedName name="BExEXRBZ0DI9E2UFLLKYWGN66B61" hidden="1">'[3]AMI P &amp; L'!#REF!</definedName>
    <definedName name="BExEYLG9FL9V1JPPNZ3FUDNSEJ4V" hidden="1">'[2]Reco Sheet for Fcast'!$I$10:$J$10</definedName>
    <definedName name="BExEYMSPJ8NAM530KGLCIZKRIZQ2" localSheetId="5" hidden="1">#REF!</definedName>
    <definedName name="BExEYMSPJ8NAM530KGLCIZKRIZQ2" localSheetId="8" hidden="1">#REF!</definedName>
    <definedName name="BExEYMSPJ8NAM530KGLCIZKRIZQ2" hidden="1">#REF!</definedName>
    <definedName name="BExEYOW8C1B3OUUCIGEC7L8OOW1Z" hidden="1">'[2]Reco Sheet for Fcast'!$G$2:$H$2</definedName>
    <definedName name="BExEYUQJXZT6N5HJH8ACJF6SRWEE" hidden="1">'[2]Reco Sheet for Fcast'!$I$6:$J$6</definedName>
    <definedName name="BExEZ1S6VZCG01ZPLBSS9Z1SBOJ2" hidden="1">'[2]Reco Sheet for Fcast'!$I$10:$J$10</definedName>
    <definedName name="BExEZGBFNJR8DLPN0V11AU22L6WY" hidden="1">'[2]Reco Sheet for Fcast'!$I$9:$J$9</definedName>
    <definedName name="BExEZWNIZ06IIMDYQSV4BSTCR7UN" hidden="1">'[2]Reco Sheet for Fcast'!$F$11:$G$11</definedName>
    <definedName name="BExF02Y3V3QEPO2XLDSK47APK9XJ" hidden="1">'[2]Reco Sheet for Fcast'!$G$2</definedName>
    <definedName name="BExF09OS91RT7N7IW8JLMZ121ZP3" hidden="1">'[2]Reco Sheet for Fcast'!$I$7:$J$7</definedName>
    <definedName name="BExF0C8L8MPMMA1XQ6J8H8CEDPJ9" hidden="1">'[2]Reco Sheet for Fcast'!$F$6:$G$6</definedName>
    <definedName name="BExF0LOEHV42P2DV7QL8O7HOQ3N9" hidden="1">'[2]Reco Sheet for Fcast'!$F$11:$G$11</definedName>
    <definedName name="BExF0WRM9VO25RLSO03ZOCE8H7K5" hidden="1">'[2]Reco Sheet for Fcast'!$H$2:$I$2</definedName>
    <definedName name="BExF0ZRI7W4RSLIDLHTSM0AWXO3S" localSheetId="5" hidden="1">'[3]AMI P &amp; L'!#REF!</definedName>
    <definedName name="BExF0ZRI7W4RSLIDLHTSM0AWXO3S" localSheetId="8" hidden="1">'[3]AMI P &amp; L'!#REF!</definedName>
    <definedName name="BExF0ZRI7W4RSLIDLHTSM0AWXO3S" hidden="1">'[3]AMI P &amp; L'!#REF!</definedName>
    <definedName name="BExF19CT3MMZZ2T5EWMDNG3UOJ01" hidden="1">'[2]Reco Sheet for Fcast'!$I$9:$J$9</definedName>
    <definedName name="BExF1M38U6NX17YJA8YU359B5Z4M" hidden="1">'[2]Reco Sheet for Fcast'!$I$10:$J$10</definedName>
    <definedName name="BExF1MU4W3NPEY0OHRDWP5IANCBB" hidden="1">'[2]Reco Sheet for Fcast'!$I$10:$J$10</definedName>
    <definedName name="BExF1MZN8MWMOKOARHJ1QAF9HPGT" hidden="1">'[2]Reco Sheet for Fcast'!$F$8:$G$8</definedName>
    <definedName name="BExF1UHD1URZND0VTZ5BY2FRCCF7" localSheetId="5" hidden="1">#REF!</definedName>
    <definedName name="BExF1UHD1URZND0VTZ5BY2FRCCF7" localSheetId="8" hidden="1">#REF!</definedName>
    <definedName name="BExF1UHD1URZND0VTZ5BY2FRCCF7" hidden="1">#REF!</definedName>
    <definedName name="BExF1US4ZIQYSU5LBFYNRA9N0K2O" hidden="1">'[2]Reco Sheet for Fcast'!$I$9:$J$9</definedName>
    <definedName name="BExF2CWZN6E87RGTBMD4YQI2QT7R" hidden="1">'[2]Reco Sheet for Fcast'!$F$10:$G$10</definedName>
    <definedName name="BExF2DYO1WQ7GMXSTAQRDBW1NSFG" hidden="1">'[2]Reco Sheet for Fcast'!$F$9:$G$9</definedName>
    <definedName name="BExF2LWJ8M4NGGKOIOZBJ3TPKQMD" localSheetId="5" hidden="1">#REF!</definedName>
    <definedName name="BExF2LWJ8M4NGGKOIOZBJ3TPKQMD" localSheetId="8" hidden="1">#REF!</definedName>
    <definedName name="BExF2LWJ8M4NGGKOIOZBJ3TPKQMD" hidden="1">#REF!</definedName>
    <definedName name="BExF2MSWNUY9Z6BZJQZ538PPTION" hidden="1">'[2]Reco Sheet for Fcast'!$I$6:$J$6</definedName>
    <definedName name="BExF2QZYWHTYGUTTXR15CKCV3LS7" hidden="1">'[2]Reco Sheet for Fcast'!$F$11:$G$11</definedName>
    <definedName name="BExF2T8Y6TSJ74RMSZOA9CEH4OZ6" hidden="1">'[2]Reco Sheet for Fcast'!$I$2</definedName>
    <definedName name="BExF31N3YM4F37EOOY8M8VI1KXN8" hidden="1">'[2]Reco Sheet for Fcast'!$F$9:$G$9</definedName>
    <definedName name="BExF37C1YKBT79Z9SOJAG5MXQGTU" hidden="1">'[2]Reco Sheet for Fcast'!$F$15</definedName>
    <definedName name="BExF3A6HPA6DGYALZNHHJPMCUYZR" hidden="1">'[2]Reco Sheet for Fcast'!$F$8:$G$8</definedName>
    <definedName name="BExF3I9T44X7DV9HHV51DVDDPPZG" hidden="1">'[2]Reco Sheet for Fcast'!$K$2</definedName>
    <definedName name="BExF3JMFX5DILOIFUDIO1HZUK875" hidden="1">'[2]Reco Sheet for Fcast'!$H$2:$I$2</definedName>
    <definedName name="BExF3NTC4BGZEM6B87TCFX277QCS" localSheetId="5" hidden="1">'[3]AMI P &amp; L'!#REF!</definedName>
    <definedName name="BExF3NTC4BGZEM6B87TCFX277QCS" localSheetId="8" hidden="1">'[3]AMI P &amp; L'!#REF!</definedName>
    <definedName name="BExF3NTC4BGZEM6B87TCFX277QCS" hidden="1">'[3]AMI P &amp; L'!#REF!</definedName>
    <definedName name="BExF3Q7NI90WT31QHYSJDIG0LLLJ" hidden="1">'[2]Reco Sheet for Fcast'!$I$10:$J$10</definedName>
    <definedName name="BExF3QD55TIY1MSBSRK9TUJKBEWO" hidden="1">'[2]Reco Sheet for Fcast'!$H$2:$I$2</definedName>
    <definedName name="BExF3QD5AXW8T6FZ8O1C78NHR5C3" localSheetId="5" hidden="1">#REF!</definedName>
    <definedName name="BExF3QD5AXW8T6FZ8O1C78NHR5C3" localSheetId="8" hidden="1">#REF!</definedName>
    <definedName name="BExF3QD5AXW8T6FZ8O1C78NHR5C3" hidden="1">#REF!</definedName>
    <definedName name="BExF3QT8J6RIF1L3R700MBSKIOKW" hidden="1">'[2]Reco Sheet for Fcast'!$F$11:$G$11</definedName>
    <definedName name="BExF41WFMNZ2YQ1KBKOBZWROKVHO" localSheetId="5" hidden="1">#REF!</definedName>
    <definedName name="BExF41WFMNZ2YQ1KBKOBZWROKVHO" localSheetId="8" hidden="1">#REF!</definedName>
    <definedName name="BExF41WFMNZ2YQ1KBKOBZWROKVHO" hidden="1">#REF!</definedName>
    <definedName name="BExF42SSBVPMLK2UB3B7FPEIY9TU" localSheetId="5" hidden="1">'[3]AMI P &amp; L'!#REF!</definedName>
    <definedName name="BExF42SSBVPMLK2UB3B7FPEIY9TU" localSheetId="8" hidden="1">'[3]AMI P &amp; L'!#REF!</definedName>
    <definedName name="BExF42SSBVPMLK2UB3B7FPEIY9TU" hidden="1">'[3]AMI P &amp; L'!#REF!</definedName>
    <definedName name="BExF4HXSWB50BKYPWA0HTT8W56H6" hidden="1">'[2]Reco Sheet for Fcast'!$I$10:$J$10</definedName>
    <definedName name="BExF4KHF04IWW4LQ95FHQPFE4Y9K" hidden="1">'[2]Reco Sheet for Fcast'!$I$8:$J$8</definedName>
    <definedName name="BExF4MVQM5Y0QRDLDFSKWWTF709C" hidden="1">'[2]Reco Sheet for Fcast'!$I$8:$J$8</definedName>
    <definedName name="BExF4PVMZYV36E8HOYY06J81AMBI" localSheetId="5" hidden="1">'[3]AMI P &amp; L'!#REF!</definedName>
    <definedName name="BExF4PVMZYV36E8HOYY06J81AMBI" localSheetId="8" hidden="1">'[3]AMI P &amp; L'!#REF!</definedName>
    <definedName name="BExF4PVMZYV36E8HOYY06J81AMBI" hidden="1">'[3]AMI P &amp; L'!#REF!</definedName>
    <definedName name="BExF4SF9NEX1FZE9N8EXT89PM54D" hidden="1">'[2]Reco Sheet for Fcast'!$F$11:$G$11</definedName>
    <definedName name="BExF52GTGP8MHGII4KJ8TJGR8W8U" hidden="1">'[2]Reco Sheet for Fcast'!$H$2:$I$2</definedName>
    <definedName name="BExF57K7L3UC1I2FSAWURR4SN0UN" hidden="1">'[2]Reco Sheet for Fcast'!$I$10:$J$10</definedName>
    <definedName name="BExF5CCUNN10ODYNRYLTJ6DOSQA7" localSheetId="5" hidden="1">#REF!</definedName>
    <definedName name="BExF5CCUNN10ODYNRYLTJ6DOSQA7" localSheetId="8" hidden="1">#REF!</definedName>
    <definedName name="BExF5CCUNN10ODYNRYLTJ6DOSQA7" hidden="1">#REF!</definedName>
    <definedName name="BExF5HR2GFV7O8LKG9SJ4BY78LYA" hidden="1">'[2]Reco Sheet for Fcast'!$I$8:$J$8</definedName>
    <definedName name="BExF5ZFO2A29GHWR5ES64Z9OS16J" localSheetId="5" hidden="1">'[3]AMI P &amp; L'!#REF!</definedName>
    <definedName name="BExF5ZFO2A29GHWR5ES64Z9OS16J" localSheetId="8" hidden="1">'[3]AMI P &amp; L'!#REF!</definedName>
    <definedName name="BExF5ZFO2A29GHWR5ES64Z9OS16J" hidden="1">'[3]AMI P &amp; L'!#REF!</definedName>
    <definedName name="BExF63S045JO7H2ZJCBTBVH3SUIF" hidden="1">'[2]Reco Sheet for Fcast'!$I$11:$J$11</definedName>
    <definedName name="BExF642TEGTXCI9A61ZOONJCB0U1" hidden="1">'[2]Reco Sheet for Fcast'!$I$8:$J$8</definedName>
    <definedName name="BExF67O951CF8UJF3KBDNR0E83C1" localSheetId="5" hidden="1">'[3]AMI P &amp; L'!#REF!</definedName>
    <definedName name="BExF67O951CF8UJF3KBDNR0E83C1" localSheetId="8" hidden="1">'[3]AMI P &amp; L'!#REF!</definedName>
    <definedName name="BExF67O951CF8UJF3KBDNR0E83C1" hidden="1">'[3]AMI P &amp; L'!#REF!</definedName>
    <definedName name="BExF690Y20C503FDB3JYBPHX2VD1" localSheetId="5" hidden="1">#REF!</definedName>
    <definedName name="BExF690Y20C503FDB3JYBPHX2VD1" localSheetId="8" hidden="1">#REF!</definedName>
    <definedName name="BExF690Y20C503FDB3JYBPHX2VD1" hidden="1">#REF!</definedName>
    <definedName name="BExF6EV7I35NVMIJGYTB6E24YVPA" hidden="1">'[2]Reco Sheet for Fcast'!$K$2</definedName>
    <definedName name="BExF6FGUF393KTMBT40S5BYAFG00" hidden="1">'[2]Reco Sheet for Fcast'!$H$2:$I$2</definedName>
    <definedName name="BExF6GNYXWY8A0SY4PW1B6KJMMTM" localSheetId="5" hidden="1">'[3]AMI P &amp; L'!#REF!</definedName>
    <definedName name="BExF6GNYXWY8A0SY4PW1B6KJMMTM" localSheetId="8" hidden="1">'[3]AMI P &amp; L'!#REF!</definedName>
    <definedName name="BExF6GNYXWY8A0SY4PW1B6KJMMTM" hidden="1">'[3]AMI P &amp; L'!#REF!</definedName>
    <definedName name="BExF6IB8K74Z0AFT05GPOKKZW7C9" hidden="1">'[2]Reco Sheet for Fcast'!$I$9:$J$9</definedName>
    <definedName name="BExF6NUXJI11W2IAZNAM1QWC0459" hidden="1">'[2]Reco Sheet for Fcast'!$F$7:$G$7</definedName>
    <definedName name="BExF6RR76KNVIXGJOVFO8GDILKGZ" hidden="1">'[2]Reco Sheet for Fcast'!$F$15</definedName>
    <definedName name="BExF6ZE8D5CMPJPRWT6S4HM56LPF" hidden="1">'[2]Reco Sheet for Fcast'!$F$11:$G$11</definedName>
    <definedName name="BExF76FV8SF7AJK7B35AL7VTZF6D" hidden="1">'[2]Reco Sheet for Fcast'!$F$8:$G$8</definedName>
    <definedName name="BExF7EOIMC1OYL1N7835KGOI0FIZ" hidden="1">'[2]Reco Sheet for Fcast'!$I$10:$J$10</definedName>
    <definedName name="BExF7K88K7ASGV6RAOAGH52G04VR" localSheetId="5" hidden="1">'[3]AMI P &amp; L'!#REF!</definedName>
    <definedName name="BExF7K88K7ASGV6RAOAGH52G04VR" localSheetId="8" hidden="1">'[3]AMI P &amp; L'!#REF!</definedName>
    <definedName name="BExF7K88K7ASGV6RAOAGH52G04VR" hidden="1">'[3]AMI P &amp; L'!#REF!</definedName>
    <definedName name="BExF7N83YDEVXDEZQFACS9ZVES27" localSheetId="5" hidden="1">'[3]AMI P &amp; L'!#REF!</definedName>
    <definedName name="BExF7N83YDEVXDEZQFACS9ZVES27" localSheetId="8" hidden="1">'[3]AMI P &amp; L'!#REF!</definedName>
    <definedName name="BExF7N83YDEVXDEZQFACS9ZVES27" hidden="1">'[3]AMI P &amp; L'!#REF!</definedName>
    <definedName name="BExF7OVDRP3LHNAF2CX4V84CKKIR" hidden="1">'[2]Reco Sheet for Fcast'!$I$7:$J$7</definedName>
    <definedName name="BExF7QO41X2A2SL8UXDNP99GY7U9" hidden="1">'[2]Reco Sheet for Fcast'!$I$8:$J$8</definedName>
    <definedName name="BExF81GI8B8WBHXFTET68A9358BR" hidden="1">'[2]Reco Sheet for Fcast'!$F$10:$G$10</definedName>
    <definedName name="BExGL97US0Y3KXXASUTVR26XLT70" localSheetId="5" hidden="1">'[3]AMI P &amp; L'!#REF!</definedName>
    <definedName name="BExGL97US0Y3KXXASUTVR26XLT70" localSheetId="8" hidden="1">'[3]AMI P &amp; L'!#REF!</definedName>
    <definedName name="BExGL97US0Y3KXXASUTVR26XLT70" hidden="1">'[3]AMI P &amp; L'!#REF!</definedName>
    <definedName name="BExGLC7R4C33RO0PID97ZPPVCW4M" hidden="1">'[2]Reco Sheet for Fcast'!$F$11:$G$11</definedName>
    <definedName name="BExGLFIF7HCFSHNQHKEV6RY0WCO3" hidden="1">'[2]Reco Sheet for Fcast'!$F$8:$G$8</definedName>
    <definedName name="BExGLMPD5LHHQXURM0Y3L44P343X" hidden="1">'[2]Reco Sheet for Fcast'!$I$7:$J$7</definedName>
    <definedName name="BExGLTARRL0J772UD2TXEYAVPY6E" hidden="1">'[2]Reco Sheet for Fcast'!$F$6:$G$6</definedName>
    <definedName name="BExGLYE6RZTAAWHJBG2QFJPTDS2Q" hidden="1">'[2]Reco Sheet for Fcast'!$F$7:$G$7</definedName>
    <definedName name="BExGM4DZ65OAQP7MA4LN6QMYZOFF" hidden="1">'[2]Reco Sheet for Fcast'!$F$10:$G$10</definedName>
    <definedName name="BExGM7DV048A50I5ERW750F4VS9C" localSheetId="5" hidden="1">'[5]Capital orders'!#REF!</definedName>
    <definedName name="BExGM7DV048A50I5ERW750F4VS9C" localSheetId="8" hidden="1">'[5]Capital orders'!#REF!</definedName>
    <definedName name="BExGM7DV048A50I5ERW750F4VS9C" hidden="1">'[5]Capital orders'!#REF!</definedName>
    <definedName name="BExGMCXCWEC9XNUOEMZ61TMI6CUO" hidden="1">'[2]Reco Sheet for Fcast'!$G$2</definedName>
    <definedName name="BExGMJDGIH0MEPC2TUSFUCY2ROTB" localSheetId="5" hidden="1">'[3]AMI P &amp; L'!#REF!</definedName>
    <definedName name="BExGMJDGIH0MEPC2TUSFUCY2ROTB" localSheetId="8" hidden="1">'[3]AMI P &amp; L'!#REF!</definedName>
    <definedName name="BExGMJDGIH0MEPC2TUSFUCY2ROTB" hidden="1">'[3]AMI P &amp; L'!#REF!</definedName>
    <definedName name="BExGMKPW2HPKN0M0XKF3AZ8YP0D6" hidden="1">'[2]Reco Sheet for Fcast'!$I$10:$J$10</definedName>
    <definedName name="BExGMP2F175LGL6QVSJGP6GKYHHA" hidden="1">'[2]Reco Sheet for Fcast'!$I$8:$J$8</definedName>
    <definedName name="BExGMPIIP8GKML2VVA8OEFL43NCS" hidden="1">'[2]Reco Sheet for Fcast'!$F$6:$G$6</definedName>
    <definedName name="BExGMZ3SRIXLXMWBVOXXV3M4U4YL" hidden="1">'[2]Reco Sheet for Fcast'!$F$7:$G$7</definedName>
    <definedName name="BExGMZ3UBN48IXU1ZEFYECEMZ1IM" hidden="1">'[2]Reco Sheet for Fcast'!$F$6:$G$6</definedName>
    <definedName name="BExGN4I0QATXNZCLZJM1KH1OIJQH" hidden="1">'[2]Reco Sheet for Fcast'!$F$9:$G$9</definedName>
    <definedName name="BExGN9FZ2RWCMSY1YOBJKZMNIM9R" hidden="1">'[2]Reco Sheet for Fcast'!$G$2</definedName>
    <definedName name="BExGNDSIMTHOCXXG6QOGR6DA8SGG" localSheetId="5" hidden="1">'[3]AMI P &amp; L'!#REF!</definedName>
    <definedName name="BExGNDSIMTHOCXXG6QOGR6DA8SGG" localSheetId="8" hidden="1">'[3]AMI P &amp; L'!#REF!</definedName>
    <definedName name="BExGNDSIMTHOCXXG6QOGR6DA8SGG" hidden="1">'[3]AMI P &amp; L'!#REF!</definedName>
    <definedName name="BExGNN2YQ9BDAZXT2GLCSAPXKIM7" localSheetId="5" hidden="1">'[3]AMI P &amp; L'!#REF!</definedName>
    <definedName name="BExGNN2YQ9BDAZXT2GLCSAPXKIM7" localSheetId="8" hidden="1">'[3]AMI P &amp; L'!#REF!</definedName>
    <definedName name="BExGNN2YQ9BDAZXT2GLCSAPXKIM7" hidden="1">'[3]AMI P &amp; L'!#REF!</definedName>
    <definedName name="BExGNSS0CKRPKHO25R3TDBEL2NHX" hidden="1">'[2]Reco Sheet for Fcast'!$F$6:$G$6</definedName>
    <definedName name="BExGNYH0MO8NOVS85L15G0RWX4GW" hidden="1">'[2]Reco Sheet for Fcast'!$I$7:$J$7</definedName>
    <definedName name="BExGNZO44DEG8CGIDYSEGDUQ531R" localSheetId="5" hidden="1">'[3]AMI P &amp; L'!#REF!</definedName>
    <definedName name="BExGNZO44DEG8CGIDYSEGDUQ531R" localSheetId="8" hidden="1">'[3]AMI P &amp; L'!#REF!</definedName>
    <definedName name="BExGNZO44DEG8CGIDYSEGDUQ531R" hidden="1">'[3]AMI P &amp; L'!#REF!</definedName>
    <definedName name="BExGO2O0V6UYDY26AX8OSN72F77N" hidden="1">'[2]Reco Sheet for Fcast'!$F$11:$G$11</definedName>
    <definedName name="BExGO2YUBOVLYHY1QSIHRE1KLAFV" localSheetId="5" hidden="1">'[3]AMI P &amp; L'!#REF!</definedName>
    <definedName name="BExGO2YUBOVLYHY1QSIHRE1KLAFV" localSheetId="8" hidden="1">'[3]AMI P &amp; L'!#REF!</definedName>
    <definedName name="BExGO2YUBOVLYHY1QSIHRE1KLAFV" hidden="1">'[3]AMI P &amp; L'!#REF!</definedName>
    <definedName name="BExGO70E2O70LF46V8T26YFPL4V8" hidden="1">'[2]Reco Sheet for Fcast'!$F$9:$G$9</definedName>
    <definedName name="BExGOB25QJMQCQE76MRW9X58OIOO" hidden="1">'[2]Reco Sheet for Fcast'!$I$9:$J$9</definedName>
    <definedName name="BExGODAZKJ9EXMQZNQR5YDBSS525" localSheetId="5" hidden="1">'[3]AMI P &amp; L'!#REF!</definedName>
    <definedName name="BExGODAZKJ9EXMQZNQR5YDBSS525" localSheetId="8" hidden="1">'[3]AMI P &amp; L'!#REF!</definedName>
    <definedName name="BExGODAZKJ9EXMQZNQR5YDBSS525" hidden="1">'[3]AMI P &amp; L'!#REF!</definedName>
    <definedName name="BExGODR8ZSMUC11I56QHSZ686XV5" hidden="1">'[2]Reco Sheet for Fcast'!$F$8:$G$8</definedName>
    <definedName name="BExGOXJDHUDPDT8I8IVGVW9J0R5Q" hidden="1">'[2]Reco Sheet for Fcast'!$I$6:$J$6</definedName>
    <definedName name="BExGPHGT5KDOCMV2EFS4OVKTWBRD" hidden="1">'[2]Reco Sheet for Fcast'!$F$11:$G$11</definedName>
    <definedName name="BExGPID72Y4Y619LWASUQZKZHJNC" hidden="1">'[2]Reco Sheet for Fcast'!$F$15</definedName>
    <definedName name="BExGPPENQIANVGLVQJ77DK5JPRTB" hidden="1">'[2]Reco Sheet for Fcast'!$F$8:$G$8</definedName>
    <definedName name="BExGQ1ZU4967P72AHF4V1D0FOL5C" hidden="1">'[2]Reco Sheet for Fcast'!$I$7:$J$7</definedName>
    <definedName name="BExGQ36ZOMR9GV8T05M605MMOY3Y" localSheetId="5" hidden="1">'[3]AMI P &amp; L'!#REF!</definedName>
    <definedName name="BExGQ36ZOMR9GV8T05M605MMOY3Y" localSheetId="8" hidden="1">'[3]AMI P &amp; L'!#REF!</definedName>
    <definedName name="BExGQ36ZOMR9GV8T05M605MMOY3Y" hidden="1">'[3]AMI P &amp; L'!#REF!</definedName>
    <definedName name="BExGQ61DTJ0SBFMDFBAK3XZ9O0ZO" hidden="1">'[2]Reco Sheet for Fcast'!$I$8:$J$8</definedName>
    <definedName name="BExGQ6SG9XEOD0VMBAR22YPZWSTA" hidden="1">'[2]Reco Sheet for Fcast'!$F$6:$G$6</definedName>
    <definedName name="BExGQGJ1A7LNZUS8QSMOG8UNGLMK" hidden="1">'[2]Reco Sheet for Fcast'!$G$2</definedName>
    <definedName name="BExGQPO7ENFEQC0NC6MC9OZR2LHY" hidden="1">'[2]Reco Sheet for Fcast'!$I$8:$J$8</definedName>
    <definedName name="BExGQX0H4EZMXBJTKJJE4ICJWN5O" localSheetId="5" hidden="1">'[3]AMI P &amp; L'!#REF!</definedName>
    <definedName name="BExGQX0H4EZMXBJTKJJE4ICJWN5O" localSheetId="8" hidden="1">'[3]AMI P &amp; L'!#REF!</definedName>
    <definedName name="BExGQX0H4EZMXBJTKJJE4ICJWN5O" hidden="1">'[3]AMI P &amp; L'!#REF!</definedName>
    <definedName name="BExGR2ENVVMIJQENKY6QPV34HDYB" localSheetId="5" hidden="1">#REF!</definedName>
    <definedName name="BExGR2ENVVMIJQENKY6QPV34HDYB" localSheetId="8" hidden="1">#REF!</definedName>
    <definedName name="BExGR2ENVVMIJQENKY6QPV34HDYB" hidden="1">#REF!</definedName>
    <definedName name="BExGR4CW3WRIID17GGX4MI9ZDHFE" hidden="1">'[2]Reco Sheet for Fcast'!$K$2</definedName>
    <definedName name="BExGR65GJX27MU2OL6NI5PB8XVB4" hidden="1">'[2]Reco Sheet for Fcast'!$H$2:$I$2</definedName>
    <definedName name="BExGR6LQ97HETGS3CT96L4IK0JSH" hidden="1">'[2]Reco Sheet for Fcast'!$I$8:$J$8</definedName>
    <definedName name="BExGR902JCXO7ZLKL3VYXM9XRW3A" localSheetId="5" hidden="1">#REF!</definedName>
    <definedName name="BExGR902JCXO7ZLKL3VYXM9XRW3A" localSheetId="8" hidden="1">#REF!</definedName>
    <definedName name="BExGR902JCXO7ZLKL3VYXM9XRW3A" hidden="1">#REF!</definedName>
    <definedName name="BExGR9ATP2LVT7B9OCPSLJ11H9SX" hidden="1">'[2]Reco Sheet for Fcast'!$F$8:$G$8</definedName>
    <definedName name="BExGRA1VE5SDFH8FM4H8YLA70J65" localSheetId="5" hidden="1">#REF!</definedName>
    <definedName name="BExGRA1VE5SDFH8FM4H8YLA70J65" localSheetId="8" hidden="1">#REF!</definedName>
    <definedName name="BExGRA1VE5SDFH8FM4H8YLA70J65" hidden="1">#REF!</definedName>
    <definedName name="BExGREP2D0XVCEBGWU6RQ7KX23Q3" hidden="1">'[2]Reco Sheet for Fcast'!$F$8:$G$8</definedName>
    <definedName name="BExGRUKVVKDL8483WI70VN2QZDGD" hidden="1">'[2]Reco Sheet for Fcast'!$F$7:$G$7</definedName>
    <definedName name="BExGRVXD519NRV2E1ZYNYCW0PMW6" localSheetId="5" hidden="1">#REF!</definedName>
    <definedName name="BExGRVXD519NRV2E1ZYNYCW0PMW6" localSheetId="8" hidden="1">#REF!</definedName>
    <definedName name="BExGRVXD519NRV2E1ZYNYCW0PMW6" hidden="1">#REF!</definedName>
    <definedName name="BExGS2IWR5DUNJ1U9PAKIV8CMBNI" hidden="1">'[2]Reco Sheet for Fcast'!$H$2:$I$2</definedName>
    <definedName name="BExGS69P9FFTEOPDS0MWFKF45G47" hidden="1">'[2]Reco Sheet for Fcast'!$G$2</definedName>
    <definedName name="BExGS6F1JFHM5MUJ1RFO50WP6D05" hidden="1">'[2]Reco Sheet for Fcast'!$I$6:$J$6</definedName>
    <definedName name="BExGSA5YB5ZGE4NHDVCZ55TQAJTL" hidden="1">'[2]Reco Sheet for Fcast'!$I$10:$J$10</definedName>
    <definedName name="BExGSARJTLL2AE6NAMXZ7IGZI2M1" localSheetId="5" hidden="1">#REF!</definedName>
    <definedName name="BExGSARJTLL2AE6NAMXZ7IGZI2M1" localSheetId="8" hidden="1">#REF!</definedName>
    <definedName name="BExGSARJTLL2AE6NAMXZ7IGZI2M1" hidden="1">#REF!</definedName>
    <definedName name="BExGSCEUCQQVDEEKWJ677QTGUVTE" hidden="1">'[2]Reco Sheet for Fcast'!$I$6:$J$6</definedName>
    <definedName name="BExGSQY65LH1PCKKM5WHDW83F35O" localSheetId="5" hidden="1">'[3]AMI P &amp; L'!#REF!</definedName>
    <definedName name="BExGSQY65LH1PCKKM5WHDW83F35O" localSheetId="8" hidden="1">'[3]AMI P &amp; L'!#REF!</definedName>
    <definedName name="BExGSQY65LH1PCKKM5WHDW83F35O" hidden="1">'[3]AMI P &amp; L'!#REF!</definedName>
    <definedName name="BExGSYW1GKISF0PMUAK3XJK9PEW9" hidden="1">'[2]Reco Sheet for Fcast'!$F$11:$G$11</definedName>
    <definedName name="BExGT0DZJB6LSF6L693UUB9EY1VQ" localSheetId="5" hidden="1">'[3]AMI P &amp; L'!#REF!</definedName>
    <definedName name="BExGT0DZJB6LSF6L693UUB9EY1VQ" localSheetId="8" hidden="1">'[3]AMI P &amp; L'!#REF!</definedName>
    <definedName name="BExGT0DZJB6LSF6L693UUB9EY1VQ" hidden="1">'[3]AMI P &amp; L'!#REF!</definedName>
    <definedName name="BExGT0OSYJ4G1RU3EZR9QY6M3SCB" hidden="1">'[2]Reco Sheet for Fcast'!$J$2:$K$2</definedName>
    <definedName name="BExGTGVFIF8HOQXR54SK065A8M4K" hidden="1">'[2]Reco Sheet for Fcast'!$F$10:$G$10</definedName>
    <definedName name="BExGTIYX3OWPIINOGY1E4QQYSKHP" localSheetId="5" hidden="1">'[3]AMI P &amp; L'!#REF!</definedName>
    <definedName name="BExGTIYX3OWPIINOGY1E4QQYSKHP" localSheetId="8" hidden="1">'[3]AMI P &amp; L'!#REF!</definedName>
    <definedName name="BExGTIYX3OWPIINOGY1E4QQYSKHP" hidden="1">'[3]AMI P &amp; L'!#REF!</definedName>
    <definedName name="BExGTKGUN0KUU3C0RL2LK98D8MEK" hidden="1">'[2]Reco Sheet for Fcast'!$I$8:$J$8</definedName>
    <definedName name="BExGTQB6STG5OP8F4WFG4MJ1QG32" hidden="1">'[4]Bud Mth'!$F$8:$G$8</definedName>
    <definedName name="BExGTZ046J7VMUG4YPKFN2K8TWB7" hidden="1">'[2]Reco Sheet for Fcast'!$I$7:$J$7</definedName>
    <definedName name="BExGU2G9OPRZRIU9YGF6NX9FUW0J" hidden="1">'[2]Reco Sheet for Fcast'!$I$9:$J$9</definedName>
    <definedName name="BExGU6HTKLRZO8UOI3DTAM5RFDBA" hidden="1">'[2]Reco Sheet for Fcast'!$I$7:$J$7</definedName>
    <definedName name="BExGUDDZXFFQHAF4UZF8ZB1HO7H6" localSheetId="5" hidden="1">'[3]AMI P &amp; L'!#REF!</definedName>
    <definedName name="BExGUDDZXFFQHAF4UZF8ZB1HO7H6" localSheetId="8" hidden="1">'[3]AMI P &amp; L'!#REF!</definedName>
    <definedName name="BExGUDDZXFFQHAF4UZF8ZB1HO7H6" hidden="1">'[3]AMI P &amp; L'!#REF!</definedName>
    <definedName name="BExGUIBXBRHGM97ZX6GBA4ZDQ79C" hidden="1">'[2]Reco Sheet for Fcast'!$F$9:$G$9</definedName>
    <definedName name="BExGUM8D91UNPCOO4TKP9FGX85TF" localSheetId="5" hidden="1">'[3]AMI P &amp; L'!#REF!</definedName>
    <definedName name="BExGUM8D91UNPCOO4TKP9FGX85TF" localSheetId="8" hidden="1">'[3]AMI P &amp; L'!#REF!</definedName>
    <definedName name="BExGUM8D91UNPCOO4TKP9FGX85TF" hidden="1">'[3]AMI P &amp; L'!#REF!</definedName>
    <definedName name="BExGUQF9N9FKI7S0H30WUAEB5LPD" hidden="1">'[2]Reco Sheet for Fcast'!$K$2</definedName>
    <definedName name="BExGUR6BA03XPBK60SQUW197GJ5X" hidden="1">'[2]Reco Sheet for Fcast'!$I$7:$J$7</definedName>
    <definedName name="BExGUVIP60TA4B7X2PFGMBFUSKGX" hidden="1">'[2]Reco Sheet for Fcast'!$F$10:$G$10</definedName>
    <definedName name="BExGUVYZ49VJJQ6ZGHDI0J4Q6VUK" localSheetId="5" hidden="1">'[5]Capital orders'!#REF!</definedName>
    <definedName name="BExGUVYZ49VJJQ6ZGHDI0J4Q6VUK" localSheetId="8" hidden="1">'[5]Capital orders'!#REF!</definedName>
    <definedName name="BExGUVYZ49VJJQ6ZGHDI0J4Q6VUK" hidden="1">'[5]Capital orders'!#REF!</definedName>
    <definedName name="BExGUZKF06F209XL1IZWVJEQ82EE" hidden="1">'[2]Reco Sheet for Fcast'!$I$9:$J$9</definedName>
    <definedName name="BExGV2EVT380QHD4AP2RL9MR8L5L" hidden="1">'[2]Reco Sheet for Fcast'!$I$10:$J$10</definedName>
    <definedName name="BExGV4NVN9KBLA14SOD5M7JEE632" hidden="1">'[4]Bud Mth'!$I$9:$J$9</definedName>
    <definedName name="BExGVV6OOLDQ3TXZK51TTF3YX0WN" hidden="1">'[2]Reco Sheet for Fcast'!$F$10:$G$10</definedName>
    <definedName name="BExGW0KVS7U0C87XFZ78QW991IEV" hidden="1">'[2]Reco Sheet for Fcast'!$I$7:$J$7</definedName>
    <definedName name="BExGW2Z7AMPG6H9EXA9ML6EZVGGA" hidden="1">'[2]Reco Sheet for Fcast'!$F$15</definedName>
    <definedName name="BExGWABG5VT5XO1A196RK61AXA8C" hidden="1">'[2]Reco Sheet for Fcast'!$F$7:$G$7</definedName>
    <definedName name="BExGWEO0JDG84NYLEAV5NSOAGMJZ" localSheetId="5" hidden="1">'[3]AMI P &amp; L'!#REF!</definedName>
    <definedName name="BExGWEO0JDG84NYLEAV5NSOAGMJZ" localSheetId="8" hidden="1">'[3]AMI P &amp; L'!#REF!</definedName>
    <definedName name="BExGWEO0JDG84NYLEAV5NSOAGMJZ" hidden="1">'[3]AMI P &amp; L'!#REF!</definedName>
    <definedName name="BExGWLEOC70Z8QAJTPT2PDHTNM4L" hidden="1">'[2]Reco Sheet for Fcast'!$F$7:$G$7</definedName>
    <definedName name="BExGWNCXLCRTLBVMTXYJ5PHQI6SS" localSheetId="5" hidden="1">'[3]AMI P &amp; L'!#REF!</definedName>
    <definedName name="BExGWNCXLCRTLBVMTXYJ5PHQI6SS" localSheetId="8" hidden="1">'[3]AMI P &amp; L'!#REF!</definedName>
    <definedName name="BExGWNCXLCRTLBVMTXYJ5PHQI6SS" hidden="1">'[3]AMI P &amp; L'!#REF!</definedName>
    <definedName name="BExGX6U988MCFIGDA1282F92U9AA" hidden="1">'[2]Reco Sheet for Fcast'!$F$11:$G$11</definedName>
    <definedName name="BExGX7FTB1CKAT5HUW6H531FIY6I" localSheetId="5" hidden="1">'[3]AMI P &amp; L'!#REF!</definedName>
    <definedName name="BExGX7FTB1CKAT5HUW6H531FIY6I" localSheetId="8" hidden="1">'[3]AMI P &amp; L'!#REF!</definedName>
    <definedName name="BExGX7FTB1CKAT5HUW6H531FIY6I" hidden="1">'[3]AMI P &amp; L'!#REF!</definedName>
    <definedName name="BExGX9DVACJQIZ4GH6YAD2A7F70O" hidden="1">'[2]Reco Sheet for Fcast'!$I$9:$J$9</definedName>
    <definedName name="BExGXDVP2S2Y8Z8Q43I78RCIK3DD" hidden="1">'[2]Reco Sheet for Fcast'!$F$10:$G$10</definedName>
    <definedName name="BExGXJ9W5JU7TT9S0BKL5Y6VVB39" hidden="1">'[2]Reco Sheet for Fcast'!$I$6:$J$6</definedName>
    <definedName name="BExGXP9PLH9HGLX6X9E31SFWH8E0" hidden="1">'[2]Reco Sheet for Fcast'!$J$2:$K$2</definedName>
    <definedName name="BExGXWB73RJ4BASBQTQ8EY0EC1EB" hidden="1">'[2]Reco Sheet for Fcast'!$K$2</definedName>
    <definedName name="BExGXZ0ABB43C7SMRKZHWOSU9EQX" hidden="1">'[2]Reco Sheet for Fcast'!$F$8:$G$8</definedName>
    <definedName name="BExGY6SU3SYVCJ3AG2ITY59SAZ5A" hidden="1">'[2]Reco Sheet for Fcast'!$F$15:$G$16</definedName>
    <definedName name="BExGY6YA4P5KMY2VHT0DYK3YTFAX" hidden="1">'[2]Reco Sheet for Fcast'!$F$9:$G$9</definedName>
    <definedName name="BExGY8G88PVVRYHPHRPJZFSX6HSC" hidden="1">'[2]Reco Sheet for Fcast'!$F$8:$G$8</definedName>
    <definedName name="BExGYC718HTZ80PNKYPVIYGRJVF6" hidden="1">'[2]Reco Sheet for Fcast'!$I$7:$J$7</definedName>
    <definedName name="BExGYCNATXZY2FID93B17YWIPPRD" hidden="1">'[2]Reco Sheet for Fcast'!$G$2</definedName>
    <definedName name="BExGYGJJJ3BBCQAOA51WHP01HN73" hidden="1">'[2]Reco Sheet for Fcast'!$F$11:$G$11</definedName>
    <definedName name="BExGYJE09NMFU592QN78WBPFJH50" localSheetId="5" hidden="1">#REF!</definedName>
    <definedName name="BExGYJE09NMFU592QN78WBPFJH50" localSheetId="8" hidden="1">#REF!</definedName>
    <definedName name="BExGYJE09NMFU592QN78WBPFJH50" hidden="1">#REF!</definedName>
    <definedName name="BExGYOS6TV2C72PLRFU8RP1I58GY" hidden="1">'[2]Reco Sheet for Fcast'!$F$8:$G$8</definedName>
    <definedName name="BExGZJ78ZWZCVHZ3BKEKFJZ6MAEO" hidden="1">'[2]Reco Sheet for Fcast'!$I$11:$J$11</definedName>
    <definedName name="BExGZOLH2QV73J3M9IWDDPA62TP4" hidden="1">'[2]Reco Sheet for Fcast'!$I$9:$J$9</definedName>
    <definedName name="BExGZP1PWGFKVVVN4YDIS22DZPCR" hidden="1">'[2]Reco Sheet for Fcast'!$I$6:$J$6</definedName>
    <definedName name="BExH00L21GZX5YJJGVMOAWBERLP5" hidden="1">'[2]Reco Sheet for Fcast'!$I$9:$J$9</definedName>
    <definedName name="BExH02ZD6VAY1KQLAQYBBI6WWIZB" localSheetId="5" hidden="1">'[3]AMI P &amp; L'!#REF!</definedName>
    <definedName name="BExH02ZD6VAY1KQLAQYBBI6WWIZB" localSheetId="8" hidden="1">'[3]AMI P &amp; L'!#REF!</definedName>
    <definedName name="BExH02ZD6VAY1KQLAQYBBI6WWIZB" hidden="1">'[3]AMI P &amp; L'!#REF!</definedName>
    <definedName name="BExH08Z6LQCGGSGSAILMHX4X7JMD" hidden="1">'[2]Reco Sheet for Fcast'!$I$6:$J$6</definedName>
    <definedName name="BExH09VINWGY7QSDNGT9BDVKS3JQ" localSheetId="5" hidden="1">#REF!</definedName>
    <definedName name="BExH09VINWGY7QSDNGT9BDVKS3JQ" localSheetId="8" hidden="1">#REF!</definedName>
    <definedName name="BExH09VINWGY7QSDNGT9BDVKS3JQ" hidden="1">#REF!</definedName>
    <definedName name="BExH0KT9Z8HEVRRQRGQ8YHXRLIJA" hidden="1">'[2]Reco Sheet for Fcast'!$I$9:$J$9</definedName>
    <definedName name="BExH0M0FDN12YBOCKL3XL2Z7T7Y8" hidden="1">'[2]Reco Sheet for Fcast'!$F$10:$G$10</definedName>
    <definedName name="BExH0O9G06YPZ5TN9RYT326I1CP2" hidden="1">'[2]Reco Sheet for Fcast'!$F$7:$G$7</definedName>
    <definedName name="BExH0WNJAKTJRCKMTX8O4KNMIIJM" localSheetId="5" hidden="1">'[3]AMI P &amp; L'!#REF!</definedName>
    <definedName name="BExH0WNJAKTJRCKMTX8O4KNMIIJM" localSheetId="8" hidden="1">'[3]AMI P &amp; L'!#REF!</definedName>
    <definedName name="BExH0WNJAKTJRCKMTX8O4KNMIIJM" hidden="1">'[3]AMI P &amp; L'!#REF!</definedName>
    <definedName name="BExH12Y4WX542WI3ZEM15AK4UM9J" hidden="1">'[2]Reco Sheet for Fcast'!$F$7:$G$7</definedName>
    <definedName name="BExH1FDTQXR9QQ31WDB7OPXU7MPT" localSheetId="5" hidden="1">'[3]AMI P &amp; L'!#REF!</definedName>
    <definedName name="BExH1FDTQXR9QQ31WDB7OPXU7MPT" localSheetId="8" hidden="1">'[3]AMI P &amp; L'!#REF!</definedName>
    <definedName name="BExH1FDTQXR9QQ31WDB7OPXU7MPT" hidden="1">'[3]AMI P &amp; L'!#REF!</definedName>
    <definedName name="BExH1FOMEUIJNIDJAUY0ZQFBJSY9" hidden="1">'[2]Reco Sheet for Fcast'!$I$6:$J$6</definedName>
    <definedName name="BExH1IDQM8I99T9BKP4XNASNIKR8" localSheetId="5" hidden="1">#REF!</definedName>
    <definedName name="BExH1IDQM8I99T9BKP4XNASNIKR8" localSheetId="8" hidden="1">#REF!</definedName>
    <definedName name="BExH1IDQM8I99T9BKP4XNASNIKR8" hidden="1">#REF!</definedName>
    <definedName name="BExH1JFFHEBFX9BWJMNIA3N66R3Z" hidden="1">'[2]Reco Sheet for Fcast'!$F$10:$G$10</definedName>
    <definedName name="BExH1Z0GIUSVTF2H1G1I3PDGBNK2" hidden="1">'[2]Reco Sheet for Fcast'!$K$2</definedName>
    <definedName name="BExH225UTM6S9FW4MUDZS7F1PQSH" hidden="1">'[2]Reco Sheet for Fcast'!$I$7:$J$7</definedName>
    <definedName name="BExH23271RF7AYZ542KHQTH68GQ7" hidden="1">'[2]Reco Sheet for Fcast'!$F$10:$G$10</definedName>
    <definedName name="BExH2GJQR4JALNB314RY0LDI49VH" hidden="1">'[2]Reco Sheet for Fcast'!$I$7:$J$7</definedName>
    <definedName name="BExH2JZR49T7644JFVE7B3N7RZM9" hidden="1">'[2]Reco Sheet for Fcast'!$I$6:$J$6</definedName>
    <definedName name="BExH2WKXV8X5S2GSBBTWGI0NLNAH" hidden="1">'[2]Reco Sheet for Fcast'!$H$2:$I$2</definedName>
    <definedName name="BExH2XS1UFYFGU0S0EBXX90W2WE8" hidden="1">'[2]Reco Sheet for Fcast'!$I$9:$J$9</definedName>
    <definedName name="BExH2XS2TND9SB0GC295R4FP6K5Y" hidden="1">'[2]Reco Sheet for Fcast'!$I$2:$J$2</definedName>
    <definedName name="BExH2ZA0SZ4SSITL50NA8LZ3OEX6" localSheetId="5" hidden="1">'[3]AMI P &amp; L'!#REF!</definedName>
    <definedName name="BExH2ZA0SZ4SSITL50NA8LZ3OEX6" localSheetId="8" hidden="1">'[3]AMI P &amp; L'!#REF!</definedName>
    <definedName name="BExH2ZA0SZ4SSITL50NA8LZ3OEX6" hidden="1">'[3]AMI P &amp; L'!#REF!</definedName>
    <definedName name="BExH31Z3JNVJPESWKXHILGXZHP2M" hidden="1">'[2]Reco Sheet for Fcast'!$F$6:$G$6</definedName>
    <definedName name="BExH37TLURRTF1YO0TUV9JOJ0C78" localSheetId="5" hidden="1">#REF!</definedName>
    <definedName name="BExH37TLURRTF1YO0TUV9JOJ0C78" localSheetId="8" hidden="1">#REF!</definedName>
    <definedName name="BExH37TLURRTF1YO0TUV9JOJ0C78" hidden="1">#REF!</definedName>
    <definedName name="BExH3E9HZ3QJCDZW7WI7YACFQCHE" hidden="1">'[2]Reco Sheet for Fcast'!$F$9:$G$9</definedName>
    <definedName name="BExH3IRB6764RQ5HBYRLH6XCT29X" hidden="1">'[2]Reco Sheet for Fcast'!$I$10:$J$10</definedName>
    <definedName name="BExIG2U8V6RSB47SXLCQG3Q68YRO" hidden="1">'[2]Reco Sheet for Fcast'!$G$2</definedName>
    <definedName name="BExIG5JDFDNKGLHGNDY7U8KIF9NT" localSheetId="5" hidden="1">'[3]AMI P &amp; L'!#REF!</definedName>
    <definedName name="BExIG5JDFDNKGLHGNDY7U8KIF9NT" localSheetId="8" hidden="1">'[3]AMI P &amp; L'!#REF!</definedName>
    <definedName name="BExIG5JDFDNKGLHGNDY7U8KIF9NT" hidden="1">'[3]AMI P &amp; L'!#REF!</definedName>
    <definedName name="BExIGJBO8R13LV7CZ7C1YCP974NN" hidden="1">'[2]Reco Sheet for Fcast'!$F$10:$G$10</definedName>
    <definedName name="BExIGWT86FPOEYTI8GXCGU5Y3KGK" localSheetId="5" hidden="1">'[3]AMI P &amp; L'!#REF!</definedName>
    <definedName name="BExIGWT86FPOEYTI8GXCGU5Y3KGK" localSheetId="8" hidden="1">'[3]AMI P &amp; L'!#REF!</definedName>
    <definedName name="BExIGWT86FPOEYTI8GXCGU5Y3KGK" hidden="1">'[3]AMI P &amp; L'!#REF!</definedName>
    <definedName name="BExIHBHXA7E7VUTBVHXXXCH3A5CL" hidden="1">'[2]Reco Sheet for Fcast'!$I$9:$J$9</definedName>
    <definedName name="BExIHPQCQTGEW8QOJVIQ4VX0P6DX" hidden="1">'[2]Reco Sheet for Fcast'!$I$9:$J$9</definedName>
    <definedName name="BExII1KN91Q7DLW0UB7W2TJ5ACT9" hidden="1">'[2]Reco Sheet for Fcast'!$I$9:$J$9</definedName>
    <definedName name="BExII50LI8I0CDOOZEMIVHVA2V95" hidden="1">'[2]Reco Sheet for Fcast'!$I$11:$J$11</definedName>
    <definedName name="BExIIXMY38TQD12CVV4S57L3I809" hidden="1">'[2]Reco Sheet for Fcast'!$I$9:$J$9</definedName>
    <definedName name="BExIIY37NEVU2LGS1JE4VR9AN6W4" hidden="1">'[2]Reco Sheet for Fcast'!$I$11:$J$11</definedName>
    <definedName name="BExIIYJAGXR8TPZ1KCYM7EGJ79UW" hidden="1">'[2]Reco Sheet for Fcast'!$I$9:$J$9</definedName>
    <definedName name="BExIJ3160YCWGAVEU0208ZGXXG3P" hidden="1">'[2]Reco Sheet for Fcast'!$I$7:$J$7</definedName>
    <definedName name="BExIJFGZJ5ED9D6KAY4PGQYLELAX" localSheetId="5" hidden="1">'[3]AMI P &amp; L'!#REF!</definedName>
    <definedName name="BExIJFGZJ5ED9D6KAY4PGQYLELAX" localSheetId="8" hidden="1">'[3]AMI P &amp; L'!#REF!</definedName>
    <definedName name="BExIJFGZJ5ED9D6KAY4PGQYLELAX" hidden="1">'[3]AMI P &amp; L'!#REF!</definedName>
    <definedName name="BExIJM2EOJY1E8YQ1ZS3GHTIQQRM" localSheetId="5" hidden="1">'[5]Capital orders'!#REF!</definedName>
    <definedName name="BExIJM2EOJY1E8YQ1ZS3GHTIQQRM" localSheetId="8" hidden="1">'[5]Capital orders'!#REF!</definedName>
    <definedName name="BExIJM2EOJY1E8YQ1ZS3GHTIQQRM" hidden="1">'[5]Capital orders'!#REF!</definedName>
    <definedName name="BExIJQ3XPPSZ585U2ER0RSSC71PK" localSheetId="5" hidden="1">#REF!</definedName>
    <definedName name="BExIJQ3XPPSZ585U2ER0RSSC71PK" localSheetId="8" hidden="1">#REF!</definedName>
    <definedName name="BExIJQ3XPPSZ585U2ER0RSSC71PK" hidden="1">#REF!</definedName>
    <definedName name="BExIJQK80ZEKSTV62E59AYJYUNLI" hidden="1">'[2]Reco Sheet for Fcast'!$F$6:$G$6</definedName>
    <definedName name="BExIJRLX3M0YQLU1D5Y9V7HM5QNM" hidden="1">'[2]Reco Sheet for Fcast'!$I$8:$J$8</definedName>
    <definedName name="BExIJV22J0QA7286KNPMHO1ZUCB3" hidden="1">'[2]Reco Sheet for Fcast'!$I$9:$J$9</definedName>
    <definedName name="BExIJVI6OC7B6ZE9V4PAOYZXKNER" hidden="1">'[2]Reco Sheet for Fcast'!$F$9:$G$9</definedName>
    <definedName name="BExIJWK0NGTGQ4X7D5VIVXD14JHI" hidden="1">'[2]Reco Sheet for Fcast'!$I$11:$J$11</definedName>
    <definedName name="BExIJWPCIYINEJUTXU74VK7WG031" hidden="1">'[2]Reco Sheet for Fcast'!$F$11:$G$11</definedName>
    <definedName name="BExIK7CGQS2B8BVWBEP2KKWMVHK9" hidden="1">'[4]Bud Mth'!$J$2:$K$2</definedName>
    <definedName name="BExIKHTXPZR5A8OHB6HDP6QWDHAD" hidden="1">'[2]Reco Sheet for Fcast'!$I$6:$J$6</definedName>
    <definedName name="BExIKMMJOETSAXJYY1SIKM58LMA2" hidden="1">'[2]Reco Sheet for Fcast'!$G$2</definedName>
    <definedName name="BExIKN2SLYNFHS9SQHJSB0NE57OF" hidden="1">'[2]Reco Sheet for Fcast'!$I$6:$J$6</definedName>
    <definedName name="BExIKRF6AQ6VOO9KCIWSM6FY8M7D" hidden="1">'[2]Reco Sheet for Fcast'!$F$11:$G$11</definedName>
    <definedName name="BExIKTYZESFT3LC0ASFMFKSE0D1X" hidden="1">'[2]Reco Sheet for Fcast'!$G$2</definedName>
    <definedName name="BExIKXVA6M8K0PTRYAGXS666L335" hidden="1">'[2]Reco Sheet for Fcast'!$G$2</definedName>
    <definedName name="BExIL0PMZ2SXK9R6MLP43KBU1J2P" hidden="1">'[2]Reco Sheet for Fcast'!$I$11:$J$11</definedName>
    <definedName name="BExILAAXRTRAD18K74M6MGUEEPUM" hidden="1">'[2]Reco Sheet for Fcast'!$F$6:$G$6</definedName>
    <definedName name="BExILG5F338C0FFLMVOKMKF8X5ZP" localSheetId="5" hidden="1">'[3]AMI P &amp; L'!#REF!</definedName>
    <definedName name="BExILG5F338C0FFLMVOKMKF8X5ZP" localSheetId="8" hidden="1">'[3]AMI P &amp; L'!#REF!</definedName>
    <definedName name="BExILG5F338C0FFLMVOKMKF8X5ZP" hidden="1">'[3]AMI P &amp; L'!#REF!</definedName>
    <definedName name="BExILGQTQM0HOD0BJI90YO7GOIN3" hidden="1">'[2]Reco Sheet for Fcast'!$I$10:$J$10</definedName>
    <definedName name="BExILTHIEYYOIUWRZ5LLF1T70AJ7" hidden="1">'[2]Reco Sheet for Fcast'!$I$10:$J$10</definedName>
    <definedName name="BExIM9DBUB7ZGF4B20FVUO9QGOX2" hidden="1">'[2]Reco Sheet for Fcast'!$F$7:$G$7</definedName>
    <definedName name="BExIMGK9Z94TFPWWZFMD10HV0IF6" hidden="1">'[2]Reco Sheet for Fcast'!$I$11:$J$11</definedName>
    <definedName name="BExIMPEGKG18TELVC33T4OQTNBWC" hidden="1">'[2]Reco Sheet for Fcast'!$F$10:$G$10</definedName>
    <definedName name="BExIN4OR435DL1US13JQPOQK8GD5" hidden="1">'[2]Reco Sheet for Fcast'!$K$2</definedName>
    <definedName name="BExIN5ACO87Q5P34GNK1QC1WWACK" hidden="1">'[4]Bud Mth'!$F$6:$G$6</definedName>
    <definedName name="BExINI6A7H3KSFRFA6UBBDPKW37F" hidden="1">'[2]Reco Sheet for Fcast'!$F$10:$G$10</definedName>
    <definedName name="BExINIMK8XC3JOBT2EXYFHHH52H0" hidden="1">'[2]Reco Sheet for Fcast'!$I$11:$J$11</definedName>
    <definedName name="BExINLX401ZKEGWU168DS4JUM2J6" localSheetId="5" hidden="1">'[3]AMI P &amp; L'!#REF!</definedName>
    <definedName name="BExINLX401ZKEGWU168DS4JUM2J6" localSheetId="8" hidden="1">'[3]AMI P &amp; L'!#REF!</definedName>
    <definedName name="BExINLX401ZKEGWU168DS4JUM2J6" hidden="1">'[3]AMI P &amp; L'!#REF!</definedName>
    <definedName name="BExINMYYJO1FTV1CZF6O5XCFAMQX" localSheetId="5" hidden="1">'[3]AMI P &amp; L'!#REF!</definedName>
    <definedName name="BExINMYYJO1FTV1CZF6O5XCFAMQX" localSheetId="8" hidden="1">'[3]AMI P &amp; L'!#REF!</definedName>
    <definedName name="BExINMYYJO1FTV1CZF6O5XCFAMQX" hidden="1">'[3]AMI P &amp; L'!#REF!</definedName>
    <definedName name="BExINP2H4KI05FRFV5PKZFE00HKO" hidden="1">'[2]Reco Sheet for Fcast'!$I$6:$J$6</definedName>
    <definedName name="BExINZELVWYGU876QUUZCIMXPBQC" hidden="1">'[2]Reco Sheet for Fcast'!$I$8:$J$8</definedName>
    <definedName name="BExIOCQUQHKUU1KONGSDOLQTQEIC" hidden="1">'[2]Reco Sheet for Fcast'!$G$2</definedName>
    <definedName name="BExIOFL8Y5O61VLKTB4H20IJNWS1" hidden="1">'[2]Reco Sheet for Fcast'!$F$6:$G$6</definedName>
    <definedName name="BExIOKTZXH2A908F83ANDHGHNJ07" localSheetId="5" hidden="1">#REF!</definedName>
    <definedName name="BExIOKTZXH2A908F83ANDHGHNJ07" localSheetId="8" hidden="1">#REF!</definedName>
    <definedName name="BExIOKTZXH2A908F83ANDHGHNJ07" hidden="1">#REF!</definedName>
    <definedName name="BExIOMBXRW5NS4ZPYX9G5QREZ5J6" hidden="1">'[2]Reco Sheet for Fcast'!$F$11:$G$11</definedName>
    <definedName name="BExIORA3GK78T7C7SNBJJUONJ0LS" hidden="1">'[2]Reco Sheet for Fcast'!$F$15</definedName>
    <definedName name="BExIORFDXP4AVIEBLSTZ8ETSXMNM" hidden="1">'[2]Reco Sheet for Fcast'!$I$7:$J$7</definedName>
    <definedName name="BExIOTZ5EFZ2NASVQ05RH15HRSW6" hidden="1">'[2]Reco Sheet for Fcast'!$F$15</definedName>
    <definedName name="BExIP5TB0T9V3OKFX0GV0526AQ3D" localSheetId="5" hidden="1">#REF!</definedName>
    <definedName name="BExIP5TB0T9V3OKFX0GV0526AQ3D" localSheetId="8" hidden="1">#REF!</definedName>
    <definedName name="BExIP5TB0T9V3OKFX0GV0526AQ3D" hidden="1">#REF!</definedName>
    <definedName name="BExIP8YNN6UUE1GZ223SWH7DLGKO" hidden="1">'[2]Reco Sheet for Fcast'!$I$7:$J$7</definedName>
    <definedName name="BExIPAB4AOL592OJCC1CFAXTLF1A" hidden="1">'[2]Reco Sheet for Fcast'!$I$6:$J$6</definedName>
    <definedName name="BExIPB25DKX4S2ZCKQN7KWSC3JBF" hidden="1">'[2]Reco Sheet for Fcast'!$F$11:$G$11</definedName>
    <definedName name="BExIPDLT8JYAMGE5HTN4D1YHZF3V" localSheetId="5" hidden="1">'[3]AMI P &amp; L'!#REF!</definedName>
    <definedName name="BExIPDLT8JYAMGE5HTN4D1YHZF3V" localSheetId="8" hidden="1">'[3]AMI P &amp; L'!#REF!</definedName>
    <definedName name="BExIPDLT8JYAMGE5HTN4D1YHZF3V" hidden="1">'[3]AMI P &amp; L'!#REF!</definedName>
    <definedName name="BExIPG040Q08EWIWL6CAVR3GRI43" hidden="1">'[2]Reco Sheet for Fcast'!$I$7:$J$7</definedName>
    <definedName name="BExIPKNFUDPDKOSH5GHDVNA8D66S" hidden="1">'[2]Reco Sheet for Fcast'!$I$11:$J$11</definedName>
    <definedName name="BExIQ1VS9A2FHVD9TUHKG9K8EVVP" hidden="1">'[2]Reco Sheet for Fcast'!$F$11:$G$11</definedName>
    <definedName name="BExIQ3J19L30PSQ2CXNT6IHW0I7V" hidden="1">'[2]Reco Sheet for Fcast'!$I$9:$J$9</definedName>
    <definedName name="BExIQ3OJ7M04XCY276IO0LJA5XUK" hidden="1">'[2]Reco Sheet for Fcast'!$F$11:$G$11</definedName>
    <definedName name="BExIQ5S19ITB0NDRUN4XV7B905ED" hidden="1">'[2]Reco Sheet for Fcast'!$F$15</definedName>
    <definedName name="BExIQ9TMQT2EIXSVQW7GVSOAW2VJ" hidden="1">'[2]Reco Sheet for Fcast'!$I$8:$J$8</definedName>
    <definedName name="BExIQBMDE1L6J4H27K1FMSHQKDSE" hidden="1">'[2]Reco Sheet for Fcast'!$I$8:$J$8</definedName>
    <definedName name="BExIQE65LVXUOF3UZFO7SDHFJH22" hidden="1">'[2]Reco Sheet for Fcast'!$G$2</definedName>
    <definedName name="BExIQG9OO2KKBOWTMD1OXY36TEGA" hidden="1">'[2]Reco Sheet for Fcast'!$F$10:$G$10</definedName>
    <definedName name="BExIQMV2D77A07E403GAA7CYB8C2" hidden="1">'[2]Reco Sheet for Fcast'!$C$15:$D$23</definedName>
    <definedName name="BExIQX1XBB31HZTYEEVOBSE3C5A6" hidden="1">'[2]Reco Sheet for Fcast'!$I$10:$J$10</definedName>
    <definedName name="BExIR2ALYRP9FW99DK2084J7IIDC" hidden="1">'[2]Reco Sheet for Fcast'!$I$10:$J$10</definedName>
    <definedName name="BExIR8FQETPTQYW37DBVDWG3J4JW" hidden="1">'[2]Reco Sheet for Fcast'!$F$7:$G$7</definedName>
    <definedName name="BExIRBVWGULCWXZ0NA6HCLFX8VW6" hidden="1">'[4]Bud Mth'!$I$9:$J$9</definedName>
    <definedName name="BExIRRBGTY01OQOI3U5SW59RFDFI" hidden="1">'[2]Reco Sheet for Fcast'!$I$8:$J$8</definedName>
    <definedName name="BExIS4T0DRF57HYO7OGG72KBOFOI" hidden="1">'[2]Reco Sheet for Fcast'!$F$15:$G$34</definedName>
    <definedName name="BExIS77BJDDK18PGI9DSEYZPIL7P" hidden="1">'[2]Reco Sheet for Fcast'!$F$10:$G$10</definedName>
    <definedName name="BExIS8USL1T3Z97CZ30HJ98E2GXQ" hidden="1">'[2]Reco Sheet for Fcast'!$F$9:$G$9</definedName>
    <definedName name="BExISC5B700MZUBFTQ9K4IKTF7HR" hidden="1">'[2]Reco Sheet for Fcast'!$K$2</definedName>
    <definedName name="BExISDHXS49S1H56ENBPRF1NLD5C" hidden="1">'[2]Reco Sheet for Fcast'!$I$6:$J$6</definedName>
    <definedName name="BExISM1JLV54A21A164IURMPGUMU" hidden="1">'[2]Reco Sheet for Fcast'!$F$7:$G$7</definedName>
    <definedName name="BExISOL5FNHZHVLEZZZZ47YXZ5QS" localSheetId="5" hidden="1">#REF!</definedName>
    <definedName name="BExISOL5FNHZHVLEZZZZ47YXZ5QS" localSheetId="8" hidden="1">#REF!</definedName>
    <definedName name="BExISOL5FNHZHVLEZZZZ47YXZ5QS" hidden="1">#REF!</definedName>
    <definedName name="BExISRFKJYUZ4AKW44IJF7RF9Y90" hidden="1">'[2]Reco Sheet for Fcast'!$F$10:$G$10</definedName>
    <definedName name="BExIT1MK8TBAK3SNP36A8FKDQSOK" hidden="1">'[2]Reco Sheet for Fcast'!$F$11:$G$11</definedName>
    <definedName name="BExIT7RP2B89RX2C5P1P5H2DY1CI" localSheetId="5" hidden="1">#REF!</definedName>
    <definedName name="BExIT7RP2B89RX2C5P1P5H2DY1CI" localSheetId="8" hidden="1">#REF!</definedName>
    <definedName name="BExIT7RP2B89RX2C5P1P5H2DY1CI" hidden="1">#REF!</definedName>
    <definedName name="BExITBNYANV2S8KD56GOGCKW393R" hidden="1">'[2]Reco Sheet for Fcast'!$F$9:$G$9</definedName>
    <definedName name="BExIU6ZCS275CPHR7BIJ2SCIXCP7" localSheetId="5" hidden="1">#REF!</definedName>
    <definedName name="BExIU6ZCS275CPHR7BIJ2SCIXCP7" localSheetId="8" hidden="1">#REF!</definedName>
    <definedName name="BExIU6ZCS275CPHR7BIJ2SCIXCP7" hidden="1">#REF!</definedName>
    <definedName name="BExIUD4OJGH65NFNQ4VMCE3R4J1X" hidden="1">'[2]Reco Sheet for Fcast'!$F$7:$G$7</definedName>
    <definedName name="BExIUTB5OAAXYW0OFMP0PS40SPOB" hidden="1">'[2]Reco Sheet for Fcast'!$I$10:$J$10</definedName>
    <definedName name="BExIUUT2MHIOV6R3WHA0DPM1KBKY" localSheetId="5" hidden="1">'[3]AMI P &amp; L'!#REF!</definedName>
    <definedName name="BExIUUT2MHIOV6R3WHA0DPM1KBKY" localSheetId="8" hidden="1">'[3]AMI P &amp; L'!#REF!</definedName>
    <definedName name="BExIUUT2MHIOV6R3WHA0DPM1KBKY" hidden="1">'[3]AMI P &amp; L'!#REF!</definedName>
    <definedName name="BExIUYPDT1AM6MWGWQS646PIZIWC" hidden="1">'[2]Reco Sheet for Fcast'!$I$10:$J$10</definedName>
    <definedName name="BExIV0I2O9F8D1UK1SI8AEYR6U0A" hidden="1">'[2]Reco Sheet for Fcast'!$G$2</definedName>
    <definedName name="BExIV2LM38XPLRTWT0R44TMQ59E5" hidden="1">'[2]Reco Sheet for Fcast'!$F$15</definedName>
    <definedName name="BExIV3CMY91WXOF56UOYD0AUHJ3N" localSheetId="5" hidden="1">#REF!</definedName>
    <definedName name="BExIV3CMY91WXOF56UOYD0AUHJ3N" localSheetId="8" hidden="1">#REF!</definedName>
    <definedName name="BExIV3CMY91WXOF56UOYD0AUHJ3N" hidden="1">#REF!</definedName>
    <definedName name="BExIV3HY4S0YRV1F7XEMF2YHAR2I" hidden="1">'[2]Reco Sheet for Fcast'!$I$10:$J$10</definedName>
    <definedName name="BExIV6HUZFRIFLXW2SICKGTAH1PV" hidden="1">'[2]Reco Sheet for Fcast'!$I$11:$J$11</definedName>
    <definedName name="BExIVCXWL6H5LD9DHDIA4F5U9TQL" hidden="1">'[2]Reco Sheet for Fcast'!$F$15</definedName>
    <definedName name="BExIVMOIPSEWSIHIDDLOXESQ28A0" hidden="1">'[2]Reco Sheet for Fcast'!$F$11:$G$11</definedName>
    <definedName name="BExIVNVNJX9BYDLC88NG09YF5XQ6" hidden="1">'[2]Reco Sheet for Fcast'!$I$9:$J$9</definedName>
    <definedName name="BExIVOH8Z5N2NCDXBL9INQNLC76M" localSheetId="5" hidden="1">'[5]Capital orders'!#REF!</definedName>
    <definedName name="BExIVOH8Z5N2NCDXBL9INQNLC76M" localSheetId="8" hidden="1">'[5]Capital orders'!#REF!</definedName>
    <definedName name="BExIVOH8Z5N2NCDXBL9INQNLC76M" hidden="1">'[5]Capital orders'!#REF!</definedName>
    <definedName name="BExIVQVKLMGSRYT1LFZH0KUIA4OR" hidden="1">'[2]Reco Sheet for Fcast'!$I$11:$J$11</definedName>
    <definedName name="BExIVYTFI35KNR2XSA6N8OJYUTUR" localSheetId="5" hidden="1">'[3]AMI P &amp; L'!#REF!</definedName>
    <definedName name="BExIVYTFI35KNR2XSA6N8OJYUTUR" localSheetId="8" hidden="1">'[3]AMI P &amp; L'!#REF!</definedName>
    <definedName name="BExIVYTFI35KNR2XSA6N8OJYUTUR" hidden="1">'[3]AMI P &amp; L'!#REF!</definedName>
    <definedName name="BExIWB3SY3WRIVIOF988DNNODBOA" hidden="1">'[2]Reco Sheet for Fcast'!$G$2</definedName>
    <definedName name="BExIWB99CG0H52LRD6QWPN4L6DV2" hidden="1">'[2]Reco Sheet for Fcast'!$F$8:$G$8</definedName>
    <definedName name="BExIWG1W7XP9DFYYSZAIOSHM0QLQ" localSheetId="5" hidden="1">'[3]AMI P &amp; L'!#REF!</definedName>
    <definedName name="BExIWG1W7XP9DFYYSZAIOSHM0QLQ" localSheetId="8" hidden="1">'[3]AMI P &amp; L'!#REF!</definedName>
    <definedName name="BExIWG1W7XP9DFYYSZAIOSHM0QLQ" hidden="1">'[3]AMI P &amp; L'!#REF!</definedName>
    <definedName name="BExIWH3KUK94B7833DD4TB0Y6KP9" hidden="1">'[2]Reco Sheet for Fcast'!$F$6:$G$6</definedName>
    <definedName name="BExIWKE9MGIDWORBI43AWTUNYFAN" hidden="1">'[2]Reco Sheet for Fcast'!$K$2</definedName>
    <definedName name="BExIX34PM5DBTRHRQWP6PL6WIX88" hidden="1">'[2]Reco Sheet for Fcast'!$F$8:$G$8</definedName>
    <definedName name="BExIX5OAP9KSUE5SIZCW9P39Q4WE" hidden="1">'[2]Reco Sheet for Fcast'!$I$10:$J$10</definedName>
    <definedName name="BExIX69Y0CM4OW8NEPQXX4ORSAT2" hidden="1">'[2]Reco Sheet for Fcast'!$C$15:$D$23</definedName>
    <definedName name="BExIXGRJPVJMUDGSG7IHPXPNO69B" hidden="1">'[2]Reco Sheet for Fcast'!$G$2</definedName>
    <definedName name="BExIXM5R87ZL3FHALWZXYCPHGX3E" hidden="1">'[2]Reco Sheet for Fcast'!$F$7:$G$7</definedName>
    <definedName name="BExIXS036ZCKT2Z8XZKLZ8PFWQGL" hidden="1">'[2]Reco Sheet for Fcast'!$I$7:$J$7</definedName>
    <definedName name="BExIXY5CF9PFM0P40AZ4U51TMWV0" hidden="1">'[2]Reco Sheet for Fcast'!$F$9:$G$9</definedName>
    <definedName name="BExIYEXJBK8JDWIRSVV4RJSKZVV1" hidden="1">'[2]Reco Sheet for Fcast'!$I$8:$J$8</definedName>
    <definedName name="BExIYI2RH0K4225XO970K2IQ1E79" localSheetId="5" hidden="1">'[3]AMI P &amp; L'!#REF!</definedName>
    <definedName name="BExIYI2RH0K4225XO970K2IQ1E79" localSheetId="8" hidden="1">'[3]AMI P &amp; L'!#REF!</definedName>
    <definedName name="BExIYI2RH0K4225XO970K2IQ1E79" hidden="1">'[3]AMI P &amp; L'!#REF!</definedName>
    <definedName name="BExIYMPZ0KS2KOJFQAUQJ77L7701" hidden="1">'[2]Reco Sheet for Fcast'!$G$2</definedName>
    <definedName name="BExIYP9Q6FV9T0R9G3UDKLS4TTYX" hidden="1">'[2]Reco Sheet for Fcast'!$F$6:$G$6</definedName>
    <definedName name="BExIYZGLDQ1TN7BIIN4RLDP31GIM" hidden="1">'[2]Reco Sheet for Fcast'!$F$8:$G$8</definedName>
    <definedName name="BExIZ4K0EZJK6PW3L8SVKTJFSWW9" hidden="1">'[2]Reco Sheet for Fcast'!$F$15:$F$15</definedName>
    <definedName name="BExIZAECINL6JE573R3GB2W6M9LF" localSheetId="5" hidden="1">#REF!</definedName>
    <definedName name="BExIZAECINL6JE573R3GB2W6M9LF" localSheetId="8" hidden="1">#REF!</definedName>
    <definedName name="BExIZAECINL6JE573R3GB2W6M9LF" hidden="1">#REF!</definedName>
    <definedName name="BExIZAECOEZGBAO29QMV14E6XDIV" hidden="1">'[2]Reco Sheet for Fcast'!$G$2:$H$2</definedName>
    <definedName name="BExIZKVXYD5O2JBU81F2UFJZLLSI" hidden="1">'[2]Reco Sheet for Fcast'!$F$8:$G$8</definedName>
    <definedName name="BExIZPZDHC8HGER83WHCZAHOX7LK" hidden="1">'[2]Reco Sheet for Fcast'!$F$11:$G$11</definedName>
    <definedName name="BExIZS2X10QUS4CITNIUIELXAFAJ" localSheetId="5" hidden="1">#REF!</definedName>
    <definedName name="BExIZS2X10QUS4CITNIUIELXAFAJ" localSheetId="8" hidden="1">#REF!</definedName>
    <definedName name="BExIZS2X10QUS4CITNIUIELXAFAJ" hidden="1">#REF!</definedName>
    <definedName name="BExIZY2PUZ0OF9YKK1B13IW0VS6G" hidden="1">'[2]Reco Sheet for Fcast'!$F$15</definedName>
    <definedName name="BExJ08KBRR2XMWW3VZMPSQKXHZUH" localSheetId="5" hidden="1">'[3]AMI P &amp; L'!#REF!</definedName>
    <definedName name="BExJ08KBRR2XMWW3VZMPSQKXHZUH" localSheetId="8" hidden="1">'[3]AMI P &amp; L'!#REF!</definedName>
    <definedName name="BExJ08KBRR2XMWW3VZMPSQKXHZUH" hidden="1">'[3]AMI P &amp; L'!#REF!</definedName>
    <definedName name="BExJ0DYJWXGE7DA39PYL3WM05U9O" hidden="1">'[2]Reco Sheet for Fcast'!$F$15</definedName>
    <definedName name="BExJ0MY8SY5J5V50H3UKE78ODTVB" hidden="1">'[2]Reco Sheet for Fcast'!$I$8:$J$8</definedName>
    <definedName name="BExJ0SCG7GD0KHI9T46FKP68270U" localSheetId="5" hidden="1">'[5]Capital orders'!#REF!</definedName>
    <definedName name="BExJ0SCG7GD0KHI9T46FKP68270U" localSheetId="8" hidden="1">'[5]Capital orders'!#REF!</definedName>
    <definedName name="BExJ0SCG7GD0KHI9T46FKP68270U" hidden="1">'[5]Capital orders'!#REF!</definedName>
    <definedName name="BExJ0YC98G37ML4N8FLP8D95EFRF" hidden="1">'[2]Reco Sheet for Fcast'!$G$2</definedName>
    <definedName name="BExKCDYKAEV45AFXHVHZZ62E5BM3" hidden="1">'[2]Reco Sheet for Fcast'!$G$2</definedName>
    <definedName name="BExKDKO0W4AGQO1V7K6Q4VM750FT" hidden="1">'[2]Reco Sheet for Fcast'!$F$11:$G$11</definedName>
    <definedName name="BExKDLF10G7W77J87QWH3ZGLUCLW" hidden="1">'[2]Reco Sheet for Fcast'!$I$10:$J$10</definedName>
    <definedName name="BExKDYWMP2XKZPZZ3JN74IZA31I4" localSheetId="5" hidden="1">#REF!</definedName>
    <definedName name="BExKDYWMP2XKZPZZ3JN74IZA31I4" localSheetId="8" hidden="1">#REF!</definedName>
    <definedName name="BExKDYWMP2XKZPZZ3JN74IZA31I4" hidden="1">#REF!</definedName>
    <definedName name="BExKEFE0I3MT6ZLC4T1L9465HKTN" hidden="1">'[2]Reco Sheet for Fcast'!$F$8:$G$8</definedName>
    <definedName name="BExKEK6O5BVJP4VY02FY7JNAZ6BT" hidden="1">'[2]Reco Sheet for Fcast'!$I$6:$J$6</definedName>
    <definedName name="BExKEKXK6E6QX339ELPXDIRZSJE0" hidden="1">'[2]Reco Sheet for Fcast'!$I$7:$J$7</definedName>
    <definedName name="BExKEOOIBMP7N8033EY2CJYCBX6H" hidden="1">'[2]Reco Sheet for Fcast'!$F$10:$G$10</definedName>
    <definedName name="BExKEW0RR5LA3VC46A2BEOOMQE56" hidden="1">'[2]Reco Sheet for Fcast'!$F$8:$G$8</definedName>
    <definedName name="BExKFA3VI1CZK21SM0N3LZWT9LA1" hidden="1">'[2]Reco Sheet for Fcast'!$F$11:$G$11</definedName>
    <definedName name="BExKFINBFV5J2NFRCL4YUO3YF0ZE" hidden="1">'[2]Reco Sheet for Fcast'!$F$11:$G$11</definedName>
    <definedName name="BExKFISRBFACTAMJSALEYMY66F6X" hidden="1">'[2]Reco Sheet for Fcast'!$F$8:$G$8</definedName>
    <definedName name="BExKFOSK5DJ151C4E8544UWMYTOC" hidden="1">'[2]Reco Sheet for Fcast'!$I$7:$J$7</definedName>
    <definedName name="BExKFYJC4EVEV54F82K6VKP7Q3OU" hidden="1">'[2]Reco Sheet for Fcast'!$I$6:$J$6</definedName>
    <definedName name="BExKG4IYHBKQQ8J8FN10GB2IKO33" hidden="1">'[2]Reco Sheet for Fcast'!$I$8:$J$8</definedName>
    <definedName name="BExKGF0L44S78D33WMQ1A75TRKB9" hidden="1">'[2]Reco Sheet for Fcast'!$I$10:$J$10</definedName>
    <definedName name="BExKGFRN31B3G20LMQ4LRF879J68" hidden="1">'[2]Reco Sheet for Fcast'!$I$8:$J$8</definedName>
    <definedName name="BExKGJD3U3ADZILP20U3EURP0UQP" hidden="1">'[2]Reco Sheet for Fcast'!$I$9:$J$9</definedName>
    <definedName name="BExKGNK5YGKP0YHHTAAOV17Z9EIM" hidden="1">'[2]Reco Sheet for Fcast'!$F$10:$G$10</definedName>
    <definedName name="BExKGTJTGZ5J6MUJ1UXP14KX6XN1" localSheetId="5" hidden="1">#REF!</definedName>
    <definedName name="BExKGTJTGZ5J6MUJ1UXP14KX6XN1" localSheetId="8" hidden="1">#REF!</definedName>
    <definedName name="BExKGTJTGZ5J6MUJ1UXP14KX6XN1" hidden="1">#REF!</definedName>
    <definedName name="BExKGV77YH9YXIQTRKK2331QGYKF" hidden="1">'[2]Reco Sheet for Fcast'!$F$8:$G$8</definedName>
    <definedName name="BExKGXLJQX4WJ1YCKHSMCPSSKX21" localSheetId="5" hidden="1">#REF!</definedName>
    <definedName name="BExKGXLJQX4WJ1YCKHSMCPSSKX21" localSheetId="8" hidden="1">#REF!</definedName>
    <definedName name="BExKGXLJQX4WJ1YCKHSMCPSSKX21" hidden="1">#REF!</definedName>
    <definedName name="BExKH3FTZ5VGTB86W9M4AB39R0G8" hidden="1">'[2]Reco Sheet for Fcast'!$F$6:$G$6</definedName>
    <definedName name="BExKH3FV5U5O6XZM7STS3NZKQFGJ" hidden="1">'[2]Reco Sheet for Fcast'!$H$2:$I$2</definedName>
    <definedName name="BExKH8JEZRE8MEZ9VRCNMJT15RST" hidden="1">'[4]Bud Mth'!$E$1</definedName>
    <definedName name="BExKHAMUH8NR3HRV0V6FHJE3ROLN" hidden="1">'[2]Reco Sheet for Fcast'!$I$8:$J$8</definedName>
    <definedName name="BExKHCFKOWFHO2WW0N7Y5XDXEWAO" hidden="1">'[2]Reco Sheet for Fcast'!$I$11:$J$11</definedName>
    <definedName name="BExKHDMPODAJPZY7M2BN39326C43" localSheetId="5" hidden="1">#REF!</definedName>
    <definedName name="BExKHDMPODAJPZY7M2BN39326C43" localSheetId="8" hidden="1">#REF!</definedName>
    <definedName name="BExKHDMPODAJPZY7M2BN39326C43" hidden="1">#REF!</definedName>
    <definedName name="BExKHIVLONZ46HLMR50DEXKEUNEP" hidden="1">'[2]Reco Sheet for Fcast'!$F$7:$G$7</definedName>
    <definedName name="BExKHPM9XA0ADDK7TUR0N38EXWEP" hidden="1">'[2]Reco Sheet for Fcast'!$F$10:$G$10</definedName>
    <definedName name="BExKHWNRIZ5D7KKG5MQK7WNAIKUJ" localSheetId="5" hidden="1">#REF!</definedName>
    <definedName name="BExKHWNRIZ5D7KKG5MQK7WNAIKUJ" localSheetId="8" hidden="1">#REF!</definedName>
    <definedName name="BExKHWNRIZ5D7KKG5MQK7WNAIKUJ" hidden="1">#REF!</definedName>
    <definedName name="BExKI4076KXCDE5KXL79KT36OKLO" localSheetId="5" hidden="1">'[3]AMI P &amp; L'!#REF!</definedName>
    <definedName name="BExKI4076KXCDE5KXL79KT36OKLO" localSheetId="8" hidden="1">'[3]AMI P &amp; L'!#REF!</definedName>
    <definedName name="BExKI4076KXCDE5KXL79KT36OKLO" hidden="1">'[3]AMI P &amp; L'!#REF!</definedName>
    <definedName name="BExKI7LO70WYISR7Q0Y1ZDWO9M3B" hidden="1">'[2]Reco Sheet for Fcast'!$I$8:$J$8</definedName>
    <definedName name="BExKI8STNKBGV3XDC4DWP9DUI95F" hidden="1">'[4]Bud Mth'!$I$11:$J$11</definedName>
    <definedName name="BExKIGQV6TXIZG039HBOJU62WP2U" hidden="1">'[2]Reco Sheet for Fcast'!$I$11:$J$11</definedName>
    <definedName name="BExKILE008SF3KTAN8WML3XKI1NZ" hidden="1">'[2]Reco Sheet for Fcast'!$K$2</definedName>
    <definedName name="BExKILE0KASW8HUYMPSCDCLPF7G9" localSheetId="5" hidden="1">'[5]Capital orders'!#REF!</definedName>
    <definedName name="BExKILE0KASW8HUYMPSCDCLPF7G9" localSheetId="8" hidden="1">'[5]Capital orders'!#REF!</definedName>
    <definedName name="BExKILE0KASW8HUYMPSCDCLPF7G9" hidden="1">'[5]Capital orders'!#REF!</definedName>
    <definedName name="BExKINSBB6RS7I489QHMCOMU4Z2X" hidden="1">'[2]Reco Sheet for Fcast'!$F$15</definedName>
    <definedName name="BExKIU87ZKSOC2DYZWFK6SAK9I8E" hidden="1">'[2]Reco Sheet for Fcast'!$F$6:$G$6</definedName>
    <definedName name="BExKJ449HLYX2DJ9UF0H9GTPSQ73" hidden="1">'[2]Reco Sheet for Fcast'!$I$8:$J$8</definedName>
    <definedName name="BExKJ80JCKTCTLIXPIWZCK93PF9N" localSheetId="5" hidden="1">'[5]Capital orders'!#REF!</definedName>
    <definedName name="BExKJ80JCKTCTLIXPIWZCK93PF9N" localSheetId="8" hidden="1">'[5]Capital orders'!#REF!</definedName>
    <definedName name="BExKJ80JCKTCTLIXPIWZCK93PF9N" hidden="1">'[5]Capital orders'!#REF!</definedName>
    <definedName name="BExKJC7MJKEAMFD3Y9Q6TXP4MP3L" hidden="1">'[2]Reco Sheet for Fcast'!$I$9:$J$9</definedName>
    <definedName name="BExKJELX2RUC8UEC56IZPYYZXHA7" hidden="1">'[2]Reco Sheet for Fcast'!$F$8:$G$8</definedName>
    <definedName name="BExKJINMXS61G2TZEXCJAWVV4F57" hidden="1">'[2]Reco Sheet for Fcast'!$F$6:$G$6</definedName>
    <definedName name="BExKJK5ME8KB7HA0180L7OUZDDGV" hidden="1">'[2]Reco Sheet for Fcast'!$F$11:$G$11</definedName>
    <definedName name="BExKJN5IF0VMDILJ5K8ZENF2QYV1" hidden="1">'[2]Reco Sheet for Fcast'!$H$2:$I$2</definedName>
    <definedName name="BExKJUSJPFUIK20FTVAFJWR2OUYX" hidden="1">'[2]Reco Sheet for Fcast'!$I$11:$J$11</definedName>
    <definedName name="BExKK6136BZL98KXU16PG6QG8APU" localSheetId="5" hidden="1">'[5]Capital orders'!#REF!</definedName>
    <definedName name="BExKK6136BZL98KXU16PG6QG8APU" localSheetId="8" hidden="1">'[5]Capital orders'!#REF!</definedName>
    <definedName name="BExKK6136BZL98KXU16PG6QG8APU" hidden="1">'[5]Capital orders'!#REF!</definedName>
    <definedName name="BExKK8VP5RS3D0UXZVKA37C4SYBP" hidden="1">'[2]Reco Sheet for Fcast'!$F$11:$G$11</definedName>
    <definedName name="BExKKIM9NPF6B3SPMPIQB27HQME4" hidden="1">'[2]Reco Sheet for Fcast'!$F$11:$G$11</definedName>
    <definedName name="BExKKIX1BCBQ4R3K41QD8NTV0OV0" hidden="1">'[2]Reco Sheet for Fcast'!$I$8:$J$8</definedName>
    <definedName name="BExKKQ3ZWADYV03YHMXDOAMU90EB" localSheetId="5" hidden="1">'[3]AMI P &amp; L'!#REF!</definedName>
    <definedName name="BExKKQ3ZWADYV03YHMXDOAMU90EB" localSheetId="8" hidden="1">'[3]AMI P &amp; L'!#REF!</definedName>
    <definedName name="BExKKQ3ZWADYV03YHMXDOAMU90EB" hidden="1">'[3]AMI P &amp; L'!#REF!</definedName>
    <definedName name="BExKKUGD2HMJWQEYZ8H3X1BMXFS9" hidden="1">'[2]Reco Sheet for Fcast'!$F$9:$G$9</definedName>
    <definedName name="BExKKX05KCZZZPKOR1NE5A8RGVT4" hidden="1">'[2]Reco Sheet for Fcast'!$I$11:$J$11</definedName>
    <definedName name="BExKL3AQ1IV1NVX782PTFKU7U16A" localSheetId="5" hidden="1">#REF!</definedName>
    <definedName name="BExKL3AQ1IV1NVX782PTFKU7U16A" localSheetId="8" hidden="1">#REF!</definedName>
    <definedName name="BExKL3AQ1IV1NVX782PTFKU7U16A" hidden="1">#REF!</definedName>
    <definedName name="BExKLD6S9L66QYREYHBE5J44OK7X" hidden="1">'[2]Reco Sheet for Fcast'!$I$6:$J$6</definedName>
    <definedName name="BExKLEZK32L28GYJWVO63BZ5E1JD" hidden="1">'[2]Reco Sheet for Fcast'!$F$9:$G$9</definedName>
    <definedName name="BExKLLKVVHT06LA55JB2FC871DC5" hidden="1">'[2]Reco Sheet for Fcast'!$I$8:$J$8</definedName>
    <definedName name="BExKMHSPAJPHUEZXSHTFJNWYFCQR" hidden="1">'[2]Reco Sheet for Fcast'!$L$6:$M$10</definedName>
    <definedName name="BExKMWBX4EH3EYJ07UFEM08NB40Z" hidden="1">'[2]Reco Sheet for Fcast'!$F$10:$G$10</definedName>
    <definedName name="BExKMX8A5ZOYAIX1JNJ198214P08" hidden="1">'[2]Reco Sheet for Fcast'!$I$6:$J$6</definedName>
    <definedName name="BExKNBGV2IR3S7M0BX4810KZB4V3" hidden="1">'[2]Reco Sheet for Fcast'!$H$2:$I$2</definedName>
    <definedName name="BExKNCTBZTSY3MO42VU5PLV6YUHZ" hidden="1">'[2]Reco Sheet for Fcast'!$F$10:$G$10</definedName>
    <definedName name="BExKNGV2YY749C42AQ2T9QNIE5C3" hidden="1">'[2]Reco Sheet for Fcast'!$F$7:$G$7</definedName>
    <definedName name="BExKNTG8WOYHOW9I6K6WBGXTRX0X" localSheetId="5" hidden="1">#REF!</definedName>
    <definedName name="BExKNTG8WOYHOW9I6K6WBGXTRX0X" localSheetId="8" hidden="1">#REF!</definedName>
    <definedName name="BExKNTG8WOYHOW9I6K6WBGXTRX0X" hidden="1">#REF!</definedName>
    <definedName name="BExKNV8UOHVWEHDJWI2WMJ9X6QHZ" hidden="1">'[2]Reco Sheet for Fcast'!$I$9:$J$9</definedName>
    <definedName name="BExKNZLD7UATC1MYRNJD8H2NH4KU" hidden="1">'[2]Reco Sheet for Fcast'!$F$15</definedName>
    <definedName name="BExKNZQUKQQG2Y97R74G4O4BJP1L" hidden="1">'[2]Reco Sheet for Fcast'!$F$10:$G$10</definedName>
    <definedName name="BExKO06X0EAD3ABEG1E8PWLDWHBA" hidden="1">'[2]Reco Sheet for Fcast'!$I$9:$J$9</definedName>
    <definedName name="BExKO2AHHSGNI1AZOIOW21KPXKPE" hidden="1">'[2]Reco Sheet for Fcast'!$F$11:$G$11</definedName>
    <definedName name="BExKO2FXWJWC5IZLDN8JHYILQJ2N" hidden="1">'[2]Reco Sheet for Fcast'!$I$11:$J$11</definedName>
    <definedName name="BExKO438WZ8FKOU00NURGFMOYXWN" hidden="1">'[2]Reco Sheet for Fcast'!$I$6:$J$6</definedName>
    <definedName name="BExKODIZGWW2EQD0FEYW6WK6XLCM" hidden="1">'[2]Reco Sheet for Fcast'!$I$6:$J$6</definedName>
    <definedName name="BExKOPO2HPWVQGAKW8LOZMPIDEFG" hidden="1">'[2]Reco Sheet for Fcast'!$F$9:$G$9</definedName>
    <definedName name="BExKPBJJN98NVSALRMK9B8P0823D" localSheetId="5" hidden="1">#REF!</definedName>
    <definedName name="BExKPBJJN98NVSALRMK9B8P0823D" localSheetId="8" hidden="1">#REF!</definedName>
    <definedName name="BExKPBJJN98NVSALRMK9B8P0823D" hidden="1">#REF!</definedName>
    <definedName name="BExKPEZP0QTKOTLIMMIFSVTHQEEK" hidden="1">'[2]Reco Sheet for Fcast'!$F$8:$G$8</definedName>
    <definedName name="BExKPLQJX0HJ8OTXBXH9IC9J2V0W" localSheetId="5" hidden="1">'[3]AMI P &amp; L'!#REF!</definedName>
    <definedName name="BExKPLQJX0HJ8OTXBXH9IC9J2V0W" localSheetId="8" hidden="1">'[3]AMI P &amp; L'!#REF!</definedName>
    <definedName name="BExKPLQJX0HJ8OTXBXH9IC9J2V0W" hidden="1">'[3]AMI P &amp; L'!#REF!</definedName>
    <definedName name="BExKPN8C7GN36ZJZHLOB74LU6KT0" hidden="1">'[2]Reco Sheet for Fcast'!$F$7:$G$7</definedName>
    <definedName name="BExKPOA7KQEO5H53FUG2NPXVNY9Z" hidden="1">'[4]Bud Mth'!$L$6:$M$11</definedName>
    <definedName name="BExKPX9VZ1J5021Q98K60HMPJU58" hidden="1">'[2]Reco Sheet for Fcast'!$G$2</definedName>
    <definedName name="BExKQJGAAWNM3NT19E9I0CQDBTU0" localSheetId="5" hidden="1">'[3]AMI P &amp; L'!#REF!</definedName>
    <definedName name="BExKQJGAAWNM3NT19E9I0CQDBTU0" localSheetId="8" hidden="1">'[3]AMI P &amp; L'!#REF!</definedName>
    <definedName name="BExKQJGAAWNM3NT19E9I0CQDBTU0" hidden="1">'[3]AMI P &amp; L'!#REF!</definedName>
    <definedName name="BExKQM5GJ1ZN5REKFE7YVBQ0KXWF" hidden="1">'[2]Reco Sheet for Fcast'!$F$8:$G$8</definedName>
    <definedName name="BExKQPLDXXZOE89AAUX3S6BSJMIK" localSheetId="5" hidden="1">#REF!</definedName>
    <definedName name="BExKQPLDXXZOE89AAUX3S6BSJMIK" localSheetId="8" hidden="1">#REF!</definedName>
    <definedName name="BExKQPLDXXZOE89AAUX3S6BSJMIK" hidden="1">#REF!</definedName>
    <definedName name="BExKQQ71278061G7ZFYGPWOMOMY2" hidden="1">'[2]Reco Sheet for Fcast'!$F$7:$G$7</definedName>
    <definedName name="BExKQTXRG3ECU8NT47UR7643LO5G" hidden="1">'[2]Reco Sheet for Fcast'!$F$7:$G$7</definedName>
    <definedName name="BExKQVL7HPOIZ4FHANDFMVOJLEPR" hidden="1">'[2]Reco Sheet for Fcast'!$F$10:$G$10</definedName>
    <definedName name="BExKR8RZSEHW184G0Z56B4EGNU72" hidden="1">'[2]Reco Sheet for Fcast'!$F$15:$G$26</definedName>
    <definedName name="BExKRCO7LYZM5H2ESGUGVF5TQICB" localSheetId="5" hidden="1">#REF!</definedName>
    <definedName name="BExKRCO7LYZM5H2ESGUGVF5TQICB" localSheetId="8" hidden="1">#REF!</definedName>
    <definedName name="BExKRCO7LYZM5H2ESGUGVF5TQICB" hidden="1">#REF!</definedName>
    <definedName name="BExKRKRIT575GO53KC15JKG2VLFG" hidden="1">'[4]Bud Mth'!$I$11:$J$11</definedName>
    <definedName name="BExKRVUSQ6PA7ZYQSTEQL3X7PB9P" hidden="1">'[2]Reco Sheet for Fcast'!$I$6:$J$6</definedName>
    <definedName name="BExKRY3KZ7F7RB2KH8HXSQ85IEQO" hidden="1">'[2]Reco Sheet for Fcast'!$I$9:$J$9</definedName>
    <definedName name="BExKSA37DZTCK6H13HPIKR0ZFVL8" hidden="1">'[2]Reco Sheet for Fcast'!$F$10:$G$10</definedName>
    <definedName name="BExKSFMOMSZYDE0WNC94F40S6636" hidden="1">'[2]Reco Sheet for Fcast'!$F$10:$G$10</definedName>
    <definedName name="BExKSHQ9K79S8KYUWIV5M5LAHHF1" hidden="1">'[2]Reco Sheet for Fcast'!$I$9:$J$9</definedName>
    <definedName name="BExKSJTWG9L3FCX8FLK4EMUJMF27" hidden="1">'[2]Reco Sheet for Fcast'!$F$7:$G$7</definedName>
    <definedName name="BExKSU0MKNAVZYYPKCYTZDWQX4R8" hidden="1">'[2]Reco Sheet for Fcast'!$F$15:$G$34</definedName>
    <definedName name="BExKSX60G1MUS689FXIGYP2F7C62" hidden="1">'[2]Reco Sheet for Fcast'!$I$10:$J$10</definedName>
    <definedName name="BExKT2UZ7Y2VWF5NQE18SJRLD2RN" hidden="1">'[2]Reco Sheet for Fcast'!$I$9:$J$9</definedName>
    <definedName name="BExKT3GJFNGAM09H5F615E36A38C" hidden="1">'[2]Reco Sheet for Fcast'!$I$11:$J$11</definedName>
    <definedName name="BExKTANIAETULCMHDF2ZODPC0VO9" localSheetId="5" hidden="1">'[5]Capital orders'!#REF!</definedName>
    <definedName name="BExKTANIAETULCMHDF2ZODPC0VO9" localSheetId="8" hidden="1">'[5]Capital orders'!#REF!</definedName>
    <definedName name="BExKTANIAETULCMHDF2ZODPC0VO9" hidden="1">'[5]Capital orders'!#REF!</definedName>
    <definedName name="BExKTQZGN8GI3XGSEXMPCCA3S19H" hidden="1">'[2]Reco Sheet for Fcast'!$F$9:$G$9</definedName>
    <definedName name="BExKTUKYYU0F6TUW1RXV24LRAZFE" hidden="1">'[2]Reco Sheet for Fcast'!$I$11:$J$11</definedName>
    <definedName name="BExKTZIWB189ZS2J613U4KZO1QG6" localSheetId="5" hidden="1">'[5]Capital orders'!#REF!</definedName>
    <definedName name="BExKTZIWB189ZS2J613U4KZO1QG6" localSheetId="8" hidden="1">'[5]Capital orders'!#REF!</definedName>
    <definedName name="BExKTZIWB189ZS2J613U4KZO1QG6" hidden="1">'[5]Capital orders'!#REF!</definedName>
    <definedName name="BExKU3FBLHQBIUTN6XEZW5GC9OG1" hidden="1">'[2]Reco Sheet for Fcast'!$F$7:$G$7</definedName>
    <definedName name="BExKU6PVEJJWP8VRA5YJY2K0HNEG" localSheetId="5" hidden="1">#REF!</definedName>
    <definedName name="BExKU6PVEJJWP8VRA5YJY2K0HNEG" localSheetId="8" hidden="1">#REF!</definedName>
    <definedName name="BExKU6PVEJJWP8VRA5YJY2K0HNEG" hidden="1">#REF!</definedName>
    <definedName name="BExKU82I99FEUIZLODXJDOJC96CQ" hidden="1">'[2]Reco Sheet for Fcast'!$F$10:$G$10</definedName>
    <definedName name="BExKUD0FMBF362EUFCQISBRY7WZ0" localSheetId="5" hidden="1">'[5]Capital orders'!#REF!</definedName>
    <definedName name="BExKUD0FMBF362EUFCQISBRY7WZ0" localSheetId="8" hidden="1">'[5]Capital orders'!#REF!</definedName>
    <definedName name="BExKUD0FMBF362EUFCQISBRY7WZ0" hidden="1">'[5]Capital orders'!#REF!</definedName>
    <definedName name="BExKUDM0DFSCM3D91SH0XLXJSL18" hidden="1">'[2]Reco Sheet for Fcast'!$G$2</definedName>
    <definedName name="BExKULEKJLA77AUQPDUHSM94Y76Z" hidden="1">'[2]Reco Sheet for Fcast'!$I$9:$J$9</definedName>
    <definedName name="BExKV08R85MKI3MAX9E2HERNQUNL" hidden="1">'[2]Reco Sheet for Fcast'!$H$2:$I$2</definedName>
    <definedName name="BExKV4AAUNNJL5JWD7PX6BFKVS6O" hidden="1">'[2]Reco Sheet for Fcast'!$F$8:$G$8</definedName>
    <definedName name="BExKVDVK6HN74GQPTXICP9BFC8CF" hidden="1">'[2]Reco Sheet for Fcast'!$I$10:$J$10</definedName>
    <definedName name="BExKVFDI6VT9LE5D9GFPZX51AC4I" hidden="1">'[2]Reco Sheet for Fcast'!$I$8:$J$8</definedName>
    <definedName name="BExKVFZ3ZZGIC1QI8XN6BYFWN0ZY" localSheetId="5" hidden="1">'[3]AMI P &amp; L'!#REF!</definedName>
    <definedName name="BExKVFZ3ZZGIC1QI8XN6BYFWN0ZY" localSheetId="8" hidden="1">'[3]AMI P &amp; L'!#REF!</definedName>
    <definedName name="BExKVFZ3ZZGIC1QI8XN6BYFWN0ZY" hidden="1">'[3]AMI P &amp; L'!#REF!</definedName>
    <definedName name="BExKVG4KGO28KPGTAFL1R8TTZ10N" hidden="1">'[2]Reco Sheet for Fcast'!$H$2:$I$2</definedName>
    <definedName name="BExKVZR7CUPJCB2M8WO0J2ESDEUX" hidden="1">'[4]Bud Mth'!$F$7:$G$7</definedName>
    <definedName name="BExKW0CSH7DA02YSNV64PSEIXB2P" hidden="1">'[2]Reco Sheet for Fcast'!$I$11:$J$11</definedName>
    <definedName name="BExKWG8MR20O13C3YSUIHBD2BWQ2" localSheetId="5" hidden="1">#REF!</definedName>
    <definedName name="BExKWG8MR20O13C3YSUIHBD2BWQ2" localSheetId="8" hidden="1">#REF!</definedName>
    <definedName name="BExKWG8MR20O13C3YSUIHBD2BWQ2" hidden="1">#REF!</definedName>
    <definedName name="BExM9NUG3Q31X01AI9ZJCZIX25CS" hidden="1">'[2]Reco Sheet for Fcast'!$F$10:$G$10</definedName>
    <definedName name="BExM9OG182RP30MY23PG49LVPZ1C" localSheetId="5" hidden="1">'[3]AMI P &amp; L'!#REF!</definedName>
    <definedName name="BExM9OG182RP30MY23PG49LVPZ1C" localSheetId="8" hidden="1">'[3]AMI P &amp; L'!#REF!</definedName>
    <definedName name="BExM9OG182RP30MY23PG49LVPZ1C" hidden="1">'[3]AMI P &amp; L'!#REF!</definedName>
    <definedName name="BExMA64MW1S18NH8DCKPCCEI5KCB" hidden="1">'[2]Reco Sheet for Fcast'!$F$9:$G$9</definedName>
    <definedName name="BExMALEWFUEM8Y686IT03ECURUBR" localSheetId="5" hidden="1">'[3]AMI P &amp; L'!#REF!</definedName>
    <definedName name="BExMALEWFUEM8Y686IT03ECURUBR" localSheetId="8" hidden="1">'[3]AMI P &amp; L'!#REF!</definedName>
    <definedName name="BExMALEWFUEM8Y686IT03ECURUBR" hidden="1">'[3]AMI P &amp; L'!#REF!</definedName>
    <definedName name="BExMAXJS82ZJ8RS22VLE0V0LDUII" hidden="1">'[2]Reco Sheet for Fcast'!$I$10:$J$10</definedName>
    <definedName name="BExMB4QRS0R3MTB4CMUHFZ84LNZQ" hidden="1">'[2]Reco Sheet for Fcast'!$F$15</definedName>
    <definedName name="BExMBC35WKQY5CWQJLV4D05O6971" hidden="1">'[2]Reco Sheet for Fcast'!$I$2</definedName>
    <definedName name="BExMBFTZV4Q1A5KG25C1N9PHQNSW" hidden="1">'[2]Reco Sheet for Fcast'!$F$15</definedName>
    <definedName name="BExMBK6ISK3U7KHZKUJXIDKGF6VW" hidden="1">'[2]Reco Sheet for Fcast'!$G$2</definedName>
    <definedName name="BExMBTBHSHFUHXZPKH8T1T26W5AQ" hidden="1">'[2]Reco Sheet for Fcast'!$C$15:$D$23</definedName>
    <definedName name="BExMBYPQDG9AYDQ5E8IECVFREPO6" localSheetId="5" hidden="1">'[3]AMI P &amp; L'!#REF!</definedName>
    <definedName name="BExMBYPQDG9AYDQ5E8IECVFREPO6" localSheetId="8" hidden="1">'[3]AMI P &amp; L'!#REF!</definedName>
    <definedName name="BExMBYPQDG9AYDQ5E8IECVFREPO6" hidden="1">'[3]AMI P &amp; L'!#REF!</definedName>
    <definedName name="BExMC7K41G5WMXC4OKZPL523IN5C" hidden="1">'[2]Reco Sheet for Fcast'!$I$10:$J$10</definedName>
    <definedName name="BExMC8AZUTX8LG89K2JJR7ZG62XX" hidden="1">'[2]Reco Sheet for Fcast'!$F$7:$G$7</definedName>
    <definedName name="BExMCA96YR10V72G2R0SCIKPZLIZ" localSheetId="5" hidden="1">'[3]AMI P &amp; L'!#REF!</definedName>
    <definedName name="BExMCA96YR10V72G2R0SCIKPZLIZ" localSheetId="8" hidden="1">'[3]AMI P &amp; L'!#REF!</definedName>
    <definedName name="BExMCA96YR10V72G2R0SCIKPZLIZ" hidden="1">'[3]AMI P &amp; L'!#REF!</definedName>
    <definedName name="BExMCB5JU5I2VQDUBS4O42BTEVKI" hidden="1">'[2]Reco Sheet for Fcast'!$H$2:$I$2</definedName>
    <definedName name="BExMCFSQFSEMPY5IXDIRKZDASDBR" localSheetId="5" hidden="1">'[3]AMI P &amp; L'!#REF!</definedName>
    <definedName name="BExMCFSQFSEMPY5IXDIRKZDASDBR" localSheetId="8" hidden="1">'[3]AMI P &amp; L'!#REF!</definedName>
    <definedName name="BExMCFSQFSEMPY5IXDIRKZDASDBR" hidden="1">'[3]AMI P &amp; L'!#REF!</definedName>
    <definedName name="BExMCI726Y7CQ98CFILJNB189OL7" localSheetId="5" hidden="1">#REF!</definedName>
    <definedName name="BExMCI726Y7CQ98CFILJNB189OL7" localSheetId="8" hidden="1">#REF!</definedName>
    <definedName name="BExMCI726Y7CQ98CFILJNB189OL7" hidden="1">#REF!</definedName>
    <definedName name="BExMCMZOEYWVOOJ98TBHTTCS7XB8" hidden="1">'[2]Reco Sheet for Fcast'!$F$7:$G$7</definedName>
    <definedName name="BExMCS8EF2W3FS9QADNKREYSI8P0" hidden="1">'[2]Reco Sheet for Fcast'!$I$8:$J$8</definedName>
    <definedName name="BExMCUS7GSOM96J0HJ7EH0FFM2AC" hidden="1">'[2]Reco Sheet for Fcast'!$F$6:$G$6</definedName>
    <definedName name="BExMCYTT6TVDWMJXO1NZANRTVNAN" hidden="1">'[2]Reco Sheet for Fcast'!$I$10:$J$10</definedName>
    <definedName name="BExMD3GYN2LDARCNPWPZAMRBJJI7" localSheetId="5" hidden="1">'[5]Capital orders'!#REF!</definedName>
    <definedName name="BExMD3GYN2LDARCNPWPZAMRBJJI7" localSheetId="8" hidden="1">'[5]Capital orders'!#REF!</definedName>
    <definedName name="BExMD3GYN2LDARCNPWPZAMRBJJI7" hidden="1">'[5]Capital orders'!#REF!</definedName>
    <definedName name="BExMD5F6IAV108XYJLXUO9HD0IT6" hidden="1">'[2]Reco Sheet for Fcast'!$F$10:$G$10</definedName>
    <definedName name="BExMDANV66W9T3XAXID40XFJ0J93" hidden="1">'[2]Reco Sheet for Fcast'!$F$6:$G$6</definedName>
    <definedName name="BExMDB9N9PYO86JHHFQP7ONO2P9B" localSheetId="5" hidden="1">#REF!</definedName>
    <definedName name="BExMDB9N9PYO86JHHFQP7ONO2P9B" localSheetId="8" hidden="1">#REF!</definedName>
    <definedName name="BExMDB9N9PYO86JHHFQP7ONO2P9B" hidden="1">#REF!</definedName>
    <definedName name="BExMDFWS9BJGE5SKB9YDJZR8AV48" hidden="1">'[2]Reco Sheet for Fcast'!$E$1</definedName>
    <definedName name="BExMDGD1KQP7NNR78X2ZX4FCBQ1S" localSheetId="5" hidden="1">'[3]AMI P &amp; L'!#REF!</definedName>
    <definedName name="BExMDGD1KQP7NNR78X2ZX4FCBQ1S" localSheetId="8" hidden="1">'[3]AMI P &amp; L'!#REF!</definedName>
    <definedName name="BExMDGD1KQP7NNR78X2ZX4FCBQ1S" hidden="1">'[3]AMI P &amp; L'!#REF!</definedName>
    <definedName name="BExMDIRDK0DI8P86HB7WPH8QWLSQ" hidden="1">'[2]Reco Sheet for Fcast'!$I$11:$J$11</definedName>
    <definedName name="BExMDJT3GXQN5F3BE6X3BGLJRVP6" localSheetId="5" hidden="1">#REF!</definedName>
    <definedName name="BExMDJT3GXQN5F3BE6X3BGLJRVP6" localSheetId="8" hidden="1">#REF!</definedName>
    <definedName name="BExMDJT3GXQN5F3BE6X3BGLJRVP6" hidden="1">#REF!</definedName>
    <definedName name="BExMDPI2FVMORSWDDCVAJ85WYAYO" hidden="1">'[2]Reco Sheet for Fcast'!$I$11:$J$11</definedName>
    <definedName name="BExMDUWB7VWHFFR266QXO46BNV2S" hidden="1">'[2]Reco Sheet for Fcast'!$F$11:$G$11</definedName>
    <definedName name="BExME2U47N8LZG0BPJ49ANY5QVV2" hidden="1">'[2]Reco Sheet for Fcast'!$F$15</definedName>
    <definedName name="BExME7165EDUSONBWV5AZ51HSY4H" localSheetId="5" hidden="1">#REF!</definedName>
    <definedName name="BExME7165EDUSONBWV5AZ51HSY4H" localSheetId="8" hidden="1">#REF!</definedName>
    <definedName name="BExME7165EDUSONBWV5AZ51HSY4H" hidden="1">#REF!</definedName>
    <definedName name="BExME88DH5DUKMUFI9FNVECXFD2E" hidden="1">'[2]Reco Sheet for Fcast'!$F$15:$G$16</definedName>
    <definedName name="BExME9A7MOGAK7YTTQYXP5DL6VYA" hidden="1">'[2]Reco Sheet for Fcast'!$F$9:$G$9</definedName>
    <definedName name="BExMEOV9YFRY5C3GDLU60GIX10BY" hidden="1">'[2]Reco Sheet for Fcast'!$I$7:$J$7</definedName>
    <definedName name="BExMEY09ESM4H2YGKEQQRYUD114R" hidden="1">'[2]Reco Sheet for Fcast'!$F$8:$G$8</definedName>
    <definedName name="BExMF4G4IUPQY1Y5GEY5N3E04CL6" hidden="1">'[2]Reco Sheet for Fcast'!$G$2</definedName>
    <definedName name="BExMF9UIGYMOAQK0ELUWP0S0HZZY" hidden="1">'[2]Reco Sheet for Fcast'!$F$9:$G$9</definedName>
    <definedName name="BExMFDLBSWFMRDYJ2DZETI3EXKN2" hidden="1">'[2]Reco Sheet for Fcast'!$F$11:$G$11</definedName>
    <definedName name="BExMFJFS7Y0MW1N26ORGBGS696R0" localSheetId="5" hidden="1">#REF!</definedName>
    <definedName name="BExMFJFS7Y0MW1N26ORGBGS696R0" localSheetId="8" hidden="1">#REF!</definedName>
    <definedName name="BExMFJFS7Y0MW1N26ORGBGS696R0" hidden="1">#REF!</definedName>
    <definedName name="BExMFLDTMRTCHKA37LQW67BG8D5C" hidden="1">'[2]Reco Sheet for Fcast'!$F$7:$G$7</definedName>
    <definedName name="BExMH0XGUY9O1W5KGWNFPGQRE7FI" hidden="1">'[2]Reco Sheet for Fcast'!$E$1</definedName>
    <definedName name="BExMH3H9TW5TJCNU5Z1EWXP3BAEP" hidden="1">'[2]Reco Sheet for Fcast'!$I$8:$J$8</definedName>
    <definedName name="BExMHFBDKU7SL1XYKYR6CGEO8CEL" localSheetId="5" hidden="1">#REF!</definedName>
    <definedName name="BExMHFBDKU7SL1XYKYR6CGEO8CEL" localSheetId="8" hidden="1">#REF!</definedName>
    <definedName name="BExMHFBDKU7SL1XYKYR6CGEO8CEL" hidden="1">#REF!</definedName>
    <definedName name="BExMHOWPB34KPZ76M2KIX2C9R2VB" localSheetId="5" hidden="1">'[3]AMI P &amp; L'!#REF!</definedName>
    <definedName name="BExMHOWPB34KPZ76M2KIX2C9R2VB" localSheetId="8" hidden="1">'[3]AMI P &amp; L'!#REF!</definedName>
    <definedName name="BExMHOWPB34KPZ76M2KIX2C9R2VB" hidden="1">'[3]AMI P &amp; L'!#REF!</definedName>
    <definedName name="BExMHSSYC6KVHA3QDTSYPN92TWMI" hidden="1">'[2]Reco Sheet for Fcast'!$F$6:$G$6</definedName>
    <definedName name="BExMI3AJ9477KDL4T9DHET4LJJTW" localSheetId="5" hidden="1">'[3]AMI P &amp; L'!#REF!</definedName>
    <definedName name="BExMI3AJ9477KDL4T9DHET4LJJTW" localSheetId="8" hidden="1">'[3]AMI P &amp; L'!#REF!</definedName>
    <definedName name="BExMI3AJ9477KDL4T9DHET4LJJTW" hidden="1">'[3]AMI P &amp; L'!#REF!</definedName>
    <definedName name="BExMI6QQ20XHD0NWJUN741B37182" hidden="1">'[2]Reco Sheet for Fcast'!$F$9:$G$9</definedName>
    <definedName name="BExMI8JB94SBD9EMNJEK7Y2T6GYU" hidden="1">'[2]Reco Sheet for Fcast'!$I$10:$J$10</definedName>
    <definedName name="BExMI8OS85YTW3KYVE4YD0R7Z6UV" hidden="1">'[2]Reco Sheet for Fcast'!$G$2</definedName>
    <definedName name="BExMIBOOZU40JS3F89OMPSRCE9MM" localSheetId="5" hidden="1">'[3]AMI P &amp; L'!#REF!</definedName>
    <definedName name="BExMIBOOZU40JS3F89OMPSRCE9MM" localSheetId="8" hidden="1">'[3]AMI P &amp; L'!#REF!</definedName>
    <definedName name="BExMIBOOZU40JS3F89OMPSRCE9MM" hidden="1">'[3]AMI P &amp; L'!#REF!</definedName>
    <definedName name="BExMIETWI175OVTQ66FIIUOEG2VO" localSheetId="5" hidden="1">#REF!</definedName>
    <definedName name="BExMIETWI175OVTQ66FIIUOEG2VO" localSheetId="8" hidden="1">#REF!</definedName>
    <definedName name="BExMIETWI175OVTQ66FIIUOEG2VO" hidden="1">#REF!</definedName>
    <definedName name="BExMIIQ5MBWSIHTFWAQADXMZC22Q" hidden="1">'[2]Reco Sheet for Fcast'!$I$10:$J$10</definedName>
    <definedName name="BExMIL4I2GE866I25CR5JBLJWJ6A" hidden="1">'[2]Reco Sheet for Fcast'!$G$2</definedName>
    <definedName name="BExMIRKIPF27SNO82SPFSB3T5U17" hidden="1">'[2]Reco Sheet for Fcast'!$G$2</definedName>
    <definedName name="BExMIV0KC8555D5E42ZGWG15Y0MO" localSheetId="5" hidden="1">'[3]AMI P &amp; L'!#REF!</definedName>
    <definedName name="BExMIV0KC8555D5E42ZGWG15Y0MO" localSheetId="8" hidden="1">'[3]AMI P &amp; L'!#REF!</definedName>
    <definedName name="BExMIV0KC8555D5E42ZGWG15Y0MO" hidden="1">'[3]AMI P &amp; L'!#REF!</definedName>
    <definedName name="BExMIZT6AN7E6YMW2S87CTCN2UXH" hidden="1">'[2]Reco Sheet for Fcast'!$F$10:$G$10</definedName>
    <definedName name="BExMJNC8ZFB9DRFOJ961ZAJ8U3A8" hidden="1">'[2]Reco Sheet for Fcast'!$G$2</definedName>
    <definedName name="BExMJTBV8A3D31W2IQHP9RDFPPHQ" hidden="1">'[2]Reco Sheet for Fcast'!$F$8:$G$8</definedName>
    <definedName name="BExMK2RTXN4QJWEUNX002XK8VQP8" hidden="1">'[2]Reco Sheet for Fcast'!$F$8:$G$8</definedName>
    <definedName name="BExMKBGQDUZ8AWXYHA3QVMSDVZ3D" hidden="1">'[2]Reco Sheet for Fcast'!$I$10:$J$10</definedName>
    <definedName name="BExMKBM1467553LDFZRRKVSHN374" hidden="1">'[2]Reco Sheet for Fcast'!$F$11:$G$11</definedName>
    <definedName name="BExMKGK5FJUC0AU8MABRGDC5ZM70" hidden="1">'[2]Reco Sheet for Fcast'!$F$11:$G$11</definedName>
    <definedName name="BExMKTW7R5SOV4PHAFGHU3W73DYE" hidden="1">'[2]Reco Sheet for Fcast'!$J$2:$K$2</definedName>
    <definedName name="BExMKU7051J2W1RQXGZGE62NBRUZ" hidden="1">'[2]Reco Sheet for Fcast'!$F$11:$G$11</definedName>
    <definedName name="BExMKUN3WPECJR2XRID2R7GZRGNX" localSheetId="5" hidden="1">'[3]AMI P &amp; L'!#REF!</definedName>
    <definedName name="BExMKUN3WPECJR2XRID2R7GZRGNX" localSheetId="8" hidden="1">'[3]AMI P &amp; L'!#REF!</definedName>
    <definedName name="BExMKUN3WPECJR2XRID2R7GZRGNX" hidden="1">'[3]AMI P &amp; L'!#REF!</definedName>
    <definedName name="BExMKZ535P011X4TNV16GCOH4H21" localSheetId="5" hidden="1">'[3]AMI P &amp; L'!#REF!</definedName>
    <definedName name="BExMKZ535P011X4TNV16GCOH4H21" localSheetId="8" hidden="1">'[3]AMI P &amp; L'!#REF!</definedName>
    <definedName name="BExMKZ535P011X4TNV16GCOH4H21" hidden="1">'[3]AMI P &amp; L'!#REF!</definedName>
    <definedName name="BExML3XQNDIMX55ZCHHXKUV3D6E6" hidden="1">'[2]Reco Sheet for Fcast'!$I$11:$J$11</definedName>
    <definedName name="BExML5QGSWHLI18BGY4CGOTD3UWH" hidden="1">'[2]Reco Sheet for Fcast'!$I$11:$J$11</definedName>
    <definedName name="BExMLKF1HGC9W2MK37E42OJJP44E" localSheetId="5" hidden="1">'[5]Capital orders'!#REF!</definedName>
    <definedName name="BExMLKF1HGC9W2MK37E42OJJP44E" localSheetId="8" hidden="1">'[5]Capital orders'!#REF!</definedName>
    <definedName name="BExMLKF1HGC9W2MK37E42OJJP44E" hidden="1">'[5]Capital orders'!#REF!</definedName>
    <definedName name="BExMLO5Z61RE85X8HHX2G4IU3AZW" hidden="1">'[2]Reco Sheet for Fcast'!$I$7:$J$7</definedName>
    <definedName name="BExMLVI7UORSHM9FMO8S2EI0TMTS" localSheetId="5" hidden="1">'[3]AMI P &amp; L'!#REF!</definedName>
    <definedName name="BExMLVI7UORSHM9FMO8S2EI0TMTS" localSheetId="8" hidden="1">'[3]AMI P &amp; L'!#REF!</definedName>
    <definedName name="BExMLVI7UORSHM9FMO8S2EI0TMTS" hidden="1">'[3]AMI P &amp; L'!#REF!</definedName>
    <definedName name="BExMM5UCOT2HSSN0ZIPZW55GSOVO" localSheetId="5" hidden="1">'[3]AMI P &amp; L'!#REF!</definedName>
    <definedName name="BExMM5UCOT2HSSN0ZIPZW55GSOVO" localSheetId="8" hidden="1">'[3]AMI P &amp; L'!#REF!</definedName>
    <definedName name="BExMM5UCOT2HSSN0ZIPZW55GSOVO" hidden="1">'[3]AMI P &amp; L'!#REF!</definedName>
    <definedName name="BExMM8ZRS5RQ8H1H55RVPVTDL5NL" hidden="1">'[2]Reco Sheet for Fcast'!$F$7:$G$7</definedName>
    <definedName name="BExMMH8EAZB09XXQ5X4LR0P4NHG9" hidden="1">'[2]Reco Sheet for Fcast'!$I$11:$J$11</definedName>
    <definedName name="BExMMIQH5BABNZVCIQ7TBCQ10AY5" hidden="1">'[2]Reco Sheet for Fcast'!$F$6:$G$6</definedName>
    <definedName name="BExMMNIZ2T7M22WECMUQXEF4NJ71" localSheetId="5" hidden="1">'[3]AMI P &amp; L'!#REF!</definedName>
    <definedName name="BExMMNIZ2T7M22WECMUQXEF4NJ71" localSheetId="8" hidden="1">'[3]AMI P &amp; L'!#REF!</definedName>
    <definedName name="BExMMNIZ2T7M22WECMUQXEF4NJ71" hidden="1">'[3]AMI P &amp; L'!#REF!</definedName>
    <definedName name="BExMMPMIOU7BURTV0L1K6ACW9X73" hidden="1">'[2]Reco Sheet for Fcast'!$G$2</definedName>
    <definedName name="BExMMQ835AJDHS4B419SS645P67Q" hidden="1">'[2]Reco Sheet for Fcast'!$F$7:$G$7</definedName>
    <definedName name="BExMMQIUVPCOBISTEJJYNCCLUCPY" hidden="1">'[2]Reco Sheet for Fcast'!$G$2:$H$2</definedName>
    <definedName name="BExMMTIXETA5VAKBSOFDD5SRU887" hidden="1">'[2]Reco Sheet for Fcast'!$F$11:$G$11</definedName>
    <definedName name="BExMMV0P6P5YS3C35G0JYYHI7992" hidden="1">'[2]Reco Sheet for Fcast'!$K$2</definedName>
    <definedName name="BExMNJLFWZBRN9PZF1IO9CYWV1B2" hidden="1">'[2]Reco Sheet for Fcast'!$F$9:$G$9</definedName>
    <definedName name="BExMNKCJ0FA57YEUUAJE43U1QN5P" hidden="1">'[2]Reco Sheet for Fcast'!$F$6:$G$6</definedName>
    <definedName name="BExMNKN5D1WEF2OOJVP6LZ6DLU3Y" hidden="1">'[2]Reco Sheet for Fcast'!$I$6:$J$6</definedName>
    <definedName name="BExMNQMYHO8P4UBDPYK2S8W4EQCA" localSheetId="5" hidden="1">#REF!</definedName>
    <definedName name="BExMNQMYHO8P4UBDPYK2S8W4EQCA" localSheetId="8" hidden="1">#REF!</definedName>
    <definedName name="BExMNQMYHO8P4UBDPYK2S8W4EQCA" hidden="1">#REF!</definedName>
    <definedName name="BExMNQXWSJGR1IZ33DHEA6H4C8X4" hidden="1">'[2]Reco Sheet for Fcast'!$I$10:$J$10</definedName>
    <definedName name="BExMNR38HMPLWAJRQ9MMS3ZAZ9IU" hidden="1">'[2]Reco Sheet for Fcast'!$F$9:$G$9</definedName>
    <definedName name="BExMNRDZULKJMVY2VKIIRM2M5A1M" hidden="1">'[2]Reco Sheet for Fcast'!$I$7:$J$7</definedName>
    <definedName name="BExMO9IOWKTWHO8LQJJQI5P3INWY" hidden="1">'[2]Reco Sheet for Fcast'!$F$6:$G$6</definedName>
    <definedName name="BExMOI29DOEK5R1A5QZPUDKF7N6T" hidden="1">'[2]Reco Sheet for Fcast'!$F$11:$G$11</definedName>
    <definedName name="BExMOUHYJ7S5Q4B9QB0G3KR526U3" localSheetId="5" hidden="1">#REF!</definedName>
    <definedName name="BExMOUHYJ7S5Q4B9QB0G3KR526U3" localSheetId="8" hidden="1">#REF!</definedName>
    <definedName name="BExMOUHYJ7S5Q4B9QB0G3KR526U3" hidden="1">#REF!</definedName>
    <definedName name="BExMPAJ5AJAXGKGK3F6H3ODS6RF4" hidden="1">'[2]Reco Sheet for Fcast'!$F$7:$G$7</definedName>
    <definedName name="BExMPD2X55FFBVJ6CBUKNPROIOEU" hidden="1">'[2]Reco Sheet for Fcast'!$F$7:$G$7</definedName>
    <definedName name="BExMPGZ848E38FUH1JBQN97DGWAT" hidden="1">'[2]Reco Sheet for Fcast'!$I$10:$J$10</definedName>
    <definedName name="BExMPMTICOSMQENOFKQ18K0ZT4S8" hidden="1">'[2]Reco Sheet for Fcast'!$I$10:$J$10</definedName>
    <definedName name="BExMPMZ07II0R4KGWQQ7PGS3RZS4" hidden="1">'[2]Reco Sheet for Fcast'!$F$9:$G$9</definedName>
    <definedName name="BExMPOBH04JMDO6Z8DMSEJZM4ANN" hidden="1">'[2]Reco Sheet for Fcast'!$F$15</definedName>
    <definedName name="BExMPSD77XQ3HA6A4FZOJK8G2JP3" localSheetId="5" hidden="1">'[3]AMI P &amp; L'!#REF!</definedName>
    <definedName name="BExMPSD77XQ3HA6A4FZOJK8G2JP3" localSheetId="8" hidden="1">'[3]AMI P &amp; L'!#REF!</definedName>
    <definedName name="BExMPSD77XQ3HA6A4FZOJK8G2JP3" hidden="1">'[3]AMI P &amp; L'!#REF!</definedName>
    <definedName name="BExMQ4I3Q7F0BMPHSFMFW9TZ87UD" hidden="1">'[2]Reco Sheet for Fcast'!$F$9:$G$9</definedName>
    <definedName name="BExMQ4SWDWI4N16AZ0T5CJ6HH8WC" hidden="1">'[2]Reco Sheet for Fcast'!$H$2:$I$2</definedName>
    <definedName name="BExMQ71WHW50GVX45JU951AGPLFQ" localSheetId="5" hidden="1">'[3]AMI P &amp; L'!#REF!</definedName>
    <definedName name="BExMQ71WHW50GVX45JU951AGPLFQ" localSheetId="8" hidden="1">'[3]AMI P &amp; L'!#REF!</definedName>
    <definedName name="BExMQ71WHW50GVX45JU951AGPLFQ" hidden="1">'[3]AMI P &amp; L'!#REF!</definedName>
    <definedName name="BExMQFLC51WC0ZQ3ISX3C0WWY8ON" localSheetId="5" hidden="1">#REF!</definedName>
    <definedName name="BExMQFLC51WC0ZQ3ISX3C0WWY8ON" localSheetId="8" hidden="1">#REF!</definedName>
    <definedName name="BExMQFLC51WC0ZQ3ISX3C0WWY8ON" hidden="1">#REF!</definedName>
    <definedName name="BExMQGXSLPT4A6N47LE6FBVHWBOF" hidden="1">'[2]Reco Sheet for Fcast'!$F$6:$G$6</definedName>
    <definedName name="BExMQSBR7PL4KLB1Q4961QO45Y4G" hidden="1">'[2]Reco Sheet for Fcast'!$F$10:$G$10</definedName>
    <definedName name="BExMR1MA4I1X77714ZEPUVC8W398" hidden="1">'[2]Reco Sheet for Fcast'!$F$9:$G$9</definedName>
    <definedName name="BExMR8YQHA7N77HGHY4Y6R30I3XT" hidden="1">'[2]Reco Sheet for Fcast'!$F$10:$G$10</definedName>
    <definedName name="BExMRENOIARWRYOIVPDIEBVNRDO7" hidden="1">'[2]Reco Sheet for Fcast'!$G$2</definedName>
    <definedName name="BExMRJGBMBQR02EUGWJB4OYWVQPC" hidden="1">'[2]Reco Sheet for Fcast'!$F$15:$AI$18</definedName>
    <definedName name="BExMRRJNUMGRSDD5GGKKGEIZ6FTS" hidden="1">'[2]Reco Sheet for Fcast'!$I$10:$J$10</definedName>
    <definedName name="BExMRU3ACIU0RD2BNWO55LH5U2BR" hidden="1">'[2]Reco Sheet for Fcast'!$F$15</definedName>
    <definedName name="BExMRYVXZYRCNM005S74K8KVJXSW" hidden="1">'[4]Bud Mth'!$F$8:$G$8</definedName>
    <definedName name="BExMSQRCC40AP8BDUPL2I2DNC210" hidden="1">'[2]Reco Sheet for Fcast'!$I$6:$J$6</definedName>
    <definedName name="BExMTLXHZ9H4QYDQ0VMHUXWSVD3Q" hidden="1">'[2]Reco Sheet for Fcast'!$F$10:$G$10</definedName>
    <definedName name="BExO4J9LR712G00TVA82VNTG8O7H" hidden="1">'[2]Reco Sheet for Fcast'!$F$10:$G$10</definedName>
    <definedName name="BExO55G2KVZ7MIJ30N827CLH0I2A" hidden="1">'[2]Reco Sheet for Fcast'!$F$8:$G$8</definedName>
    <definedName name="BExO5A8PZD9EUHC5CMPU6N3SQ15L" hidden="1">'[2]Reco Sheet for Fcast'!$I$7:$J$7</definedName>
    <definedName name="BExO5XMAHL7CY3X0B1OPKZ28DCJ5" hidden="1">'[2]Reco Sheet for Fcast'!$G$2</definedName>
    <definedName name="BExO66LZJKY4PTQVREELI6POS4AY" hidden="1">'[2]Reco Sheet for Fcast'!$H$2:$I$2</definedName>
    <definedName name="BExO6A7G3T6F15S63S1OQ24SFQJH" localSheetId="5" hidden="1">'[5]Capital orders'!#REF!</definedName>
    <definedName name="BExO6A7G3T6F15S63S1OQ24SFQJH" localSheetId="8" hidden="1">'[5]Capital orders'!#REF!</definedName>
    <definedName name="BExO6A7G3T6F15S63S1OQ24SFQJH" hidden="1">'[5]Capital orders'!#REF!</definedName>
    <definedName name="BExO6LLHCYTF7CIVHKAO0NMET14Q" hidden="1">'[2]Reco Sheet for Fcast'!$I$6:$J$6</definedName>
    <definedName name="BExO764GVLC6R6LREFVX7QYWT3RE" localSheetId="5" hidden="1">'[5]Capital orders'!#REF!</definedName>
    <definedName name="BExO764GVLC6R6LREFVX7QYWT3RE" localSheetId="8" hidden="1">'[5]Capital orders'!#REF!</definedName>
    <definedName name="BExO764GVLC6R6LREFVX7QYWT3RE" hidden="1">'[5]Capital orders'!#REF!</definedName>
    <definedName name="BExO7OUQS3XTUQ2LDKGQ8AAQ3OJJ" hidden="1">'[2]Reco Sheet for Fcast'!$F$6:$G$6</definedName>
    <definedName name="BExO85HMYXZJ7SONWBKKIAXMCI3C" hidden="1">'[2]Reco Sheet for Fcast'!$F$10:$G$10</definedName>
    <definedName name="BExO863922O4PBGQMUNEQKGN3K96" hidden="1">'[2]Reco Sheet for Fcast'!$F$7:$G$7</definedName>
    <definedName name="BExO89ZCBQDFNQMXBL81B6NYT5U3" localSheetId="5" hidden="1">#REF!</definedName>
    <definedName name="BExO89ZCBQDFNQMXBL81B6NYT5U3" localSheetId="8" hidden="1">#REF!</definedName>
    <definedName name="BExO89ZCBQDFNQMXBL81B6NYT5U3" hidden="1">#REF!</definedName>
    <definedName name="BExO89ZIOXN0HOKHY24F7HDZ87UT" hidden="1">'[2]Reco Sheet for Fcast'!$F$11:$G$11</definedName>
    <definedName name="BExO8A4S3VKZ6N6VX4CXOWCPKHWC" localSheetId="5" hidden="1">#REF!</definedName>
    <definedName name="BExO8A4S3VKZ6N6VX4CXOWCPKHWC" localSheetId="8" hidden="1">#REF!</definedName>
    <definedName name="BExO8A4S3VKZ6N6VX4CXOWCPKHWC" hidden="1">#REF!</definedName>
    <definedName name="BExO8CDTBCABLEUD6PE2UM2EZ6C4" hidden="1">'[2]Reco Sheet for Fcast'!$I$6:$J$6</definedName>
    <definedName name="BExO8UTAGQWDBQZEEF4HUNMLQCVU" hidden="1">'[2]Reco Sheet for Fcast'!$H$2:$I$2</definedName>
    <definedName name="BExO937E20IHMGQOZMECL3VZC7OX" hidden="1">'[2]Reco Sheet for Fcast'!$F$15</definedName>
    <definedName name="BExO94UTJKQQ7TJTTJRTSR70YVJC" hidden="1">'[2]Reco Sheet for Fcast'!$F$9:$G$9</definedName>
    <definedName name="BExO9I1E64ENA8Z42JI2J81DKZ8T" localSheetId="5" hidden="1">#REF!</definedName>
    <definedName name="BExO9I1E64ENA8Z42JI2J81DKZ8T" localSheetId="8" hidden="1">#REF!</definedName>
    <definedName name="BExO9I1E64ENA8Z42JI2J81DKZ8T" hidden="1">#REF!</definedName>
    <definedName name="BExO9J3A438976RXIUX5U9SU5T55" hidden="1">'[2]Reco Sheet for Fcast'!$K$2</definedName>
    <definedName name="BExO9RS5RXFJ1911HL3CCK6M74EP" hidden="1">'[2]Reco Sheet for Fcast'!$I$8:$J$8</definedName>
    <definedName name="BExO9SDRI1M6KMHXSG3AE5L0F2U3" hidden="1">'[2]Reco Sheet for Fcast'!$F$15</definedName>
    <definedName name="BExO9V2U2YXAY904GYYGU6TD8Y7M" hidden="1">'[2]Reco Sheet for Fcast'!$F$7:$G$7</definedName>
    <definedName name="BExOA3M8QPKLDQSMPYFUCAQJNK70" hidden="1">'[2]Reco Sheet for Fcast'!$F$7:$G$7</definedName>
    <definedName name="BExOAFR4YY8GPWAZ4GI5AYC2OHJ4" localSheetId="5" hidden="1">#REF!</definedName>
    <definedName name="BExOAFR4YY8GPWAZ4GI5AYC2OHJ4" localSheetId="8" hidden="1">#REF!</definedName>
    <definedName name="BExOAFR4YY8GPWAZ4GI5AYC2OHJ4" hidden="1">#REF!</definedName>
    <definedName name="BExOAQ3GKCT7YZW1EMVU3EILSZL2" hidden="1">'[2]Reco Sheet for Fcast'!$F$9:$G$9</definedName>
    <definedName name="BExOB9KT2THGV4SPLDVFTFXS4B14" hidden="1">'[2]Reco Sheet for Fcast'!$F$8:$G$8</definedName>
    <definedName name="BExOBARY8ORR3FTR16NG5BCOPOIX" localSheetId="5" hidden="1">#REF!</definedName>
    <definedName name="BExOBARY8ORR3FTR16NG5BCOPOIX" localSheetId="8" hidden="1">#REF!</definedName>
    <definedName name="BExOBARY8ORR3FTR16NG5BCOPOIX" hidden="1">#REF!</definedName>
    <definedName name="BExOBEZ0IE2WBEYY3D3CMRI72N1K" hidden="1">'[2]Reco Sheet for Fcast'!$F$15</definedName>
    <definedName name="BExOBIPU8760ITY0C8N27XZ3KWEF" hidden="1">'[2]Reco Sheet for Fcast'!$G$2</definedName>
    <definedName name="BExOBM0I5L0MZ1G4H9MGMD87SBMZ" hidden="1">'[2]Reco Sheet for Fcast'!$F$7:$G$7</definedName>
    <definedName name="BExOBOUXMP88KJY2BX2JLUJH5N0K" hidden="1">'[2]Reco Sheet for Fcast'!$F$6:$G$6</definedName>
    <definedName name="BExOBP0FKQ4SVR59FB48UNLKCOR6" localSheetId="5" hidden="1">'[3]AMI P &amp; L'!#REF!</definedName>
    <definedName name="BExOBP0FKQ4SVR59FB48UNLKCOR6" localSheetId="8" hidden="1">'[3]AMI P &amp; L'!#REF!</definedName>
    <definedName name="BExOBP0FKQ4SVR59FB48UNLKCOR6" hidden="1">'[3]AMI P &amp; L'!#REF!</definedName>
    <definedName name="BExOBYAVUCQ0IGM0Y6A75QHP0Q1A" hidden="1">'[2]Reco Sheet for Fcast'!$F$9:$G$9</definedName>
    <definedName name="BExOC1G3P4Z633NKFJLRITBBHVCY" localSheetId="5" hidden="1">#REF!</definedName>
    <definedName name="BExOC1G3P4Z633NKFJLRITBBHVCY" localSheetId="8" hidden="1">#REF!</definedName>
    <definedName name="BExOC1G3P4Z633NKFJLRITBBHVCY" hidden="1">#REF!</definedName>
    <definedName name="BExOC3UEHB1CZNINSQHZANWJYKR8" hidden="1">'[2]Reco Sheet for Fcast'!$I$9:$J$9</definedName>
    <definedName name="BExOCBSF3XGO9YJ23LX2H78VOUR7" hidden="1">'[2]Reco Sheet for Fcast'!$G$2</definedName>
    <definedName name="BExOCKXFMOW6WPFEVX1I7R7FNDSS" hidden="1">'[2]Reco Sheet for Fcast'!$I$9:$J$9</definedName>
    <definedName name="BExOCYEXOB95DH5NOB0M5NOYX398" hidden="1">'[2]Reco Sheet for Fcast'!$F$6:$G$6</definedName>
    <definedName name="BExOD4ERMDMFD8X1016N4EXOUR0S" hidden="1">'[2]Reco Sheet for Fcast'!$F$8:$G$8</definedName>
    <definedName name="BExOD55RS7BQUHRQ6H3USVGKR0P7" hidden="1">'[2]Reco Sheet for Fcast'!$H$2:$I$2</definedName>
    <definedName name="BExODEWDDEABM4ZY3XREJIBZ8IVP" hidden="1">'[2]Reco Sheet for Fcast'!$G$2</definedName>
    <definedName name="BExODZFEIWV26E8RFU7XQYX1J458" hidden="1">'[2]Reco Sheet for Fcast'!$F$11:$G$11</definedName>
    <definedName name="BExOEBKG55EROA2VL360A06LKASE" hidden="1">'[2]Reco Sheet for Fcast'!$F$11:$G$11</definedName>
    <definedName name="BExOERG5LWXYYEN1DY1H2FWRJS9T" hidden="1">'[2]Reco Sheet for Fcast'!$I$6:$J$6</definedName>
    <definedName name="BExOERR3JZBGPM0JUHNGZKIHF51J" localSheetId="5" hidden="1">#REF!</definedName>
    <definedName name="BExOERR3JZBGPM0JUHNGZKIHF51J" localSheetId="8" hidden="1">#REF!</definedName>
    <definedName name="BExOERR3JZBGPM0JUHNGZKIHF51J" hidden="1">#REF!</definedName>
    <definedName name="BExOEV1S6JJVO5PP4BZ20SNGZR7D" hidden="1">'[2]Reco Sheet for Fcast'!$I$7:$J$7</definedName>
    <definedName name="BExOF8J5ENHOI8E3NE2IDX8Q1PAA" localSheetId="5" hidden="1">'[5]Capital orders'!#REF!</definedName>
    <definedName name="BExOF8J5ENHOI8E3NE2IDX8Q1PAA" localSheetId="8" hidden="1">'[5]Capital orders'!#REF!</definedName>
    <definedName name="BExOF8J5ENHOI8E3NE2IDX8Q1PAA" hidden="1">'[5]Capital orders'!#REF!</definedName>
    <definedName name="BExOFEDNCYI2TPTMQ8SJN3AW4YMF" hidden="1">'[2]Reco Sheet for Fcast'!$F$9:$G$9</definedName>
    <definedName name="BExOFVLXVD6RVHSQO8KZOOACSV24" localSheetId="5" hidden="1">'[3]AMI P &amp; L'!#REF!</definedName>
    <definedName name="BExOFVLXVD6RVHSQO8KZOOACSV24" localSheetId="8" hidden="1">'[3]AMI P &amp; L'!#REF!</definedName>
    <definedName name="BExOFVLXVD6RVHSQO8KZOOACSV24" hidden="1">'[3]AMI P &amp; L'!#REF!</definedName>
    <definedName name="BExOFVWR29JOZ66F7LOP8BWQPXPI" localSheetId="5" hidden="1">#REF!</definedName>
    <definedName name="BExOFVWR29JOZ66F7LOP8BWQPXPI" localSheetId="8" hidden="1">#REF!</definedName>
    <definedName name="BExOFVWR29JOZ66F7LOP8BWQPXPI" hidden="1">#REF!</definedName>
    <definedName name="BExOG2SW3XOGP9VAPQ3THV3VWV12" hidden="1">'[2]Reco Sheet for Fcast'!$F$8:$G$8</definedName>
    <definedName name="BExOG45J81K4OPA40KW5VQU54KY3" hidden="1">'[2]Reco Sheet for Fcast'!$F$7:$G$7</definedName>
    <definedName name="BExOGFE2SCL8HHT4DFAXKLUTJZOG" hidden="1">'[2]Reco Sheet for Fcast'!$F$11:$G$11</definedName>
    <definedName name="BExOGR2VS4QGVJ34NR8UE7CLMPQ0" localSheetId="5" hidden="1">#REF!</definedName>
    <definedName name="BExOGR2VS4QGVJ34NR8UE7CLMPQ0" localSheetId="8" hidden="1">#REF!</definedName>
    <definedName name="BExOGR2VS4QGVJ34NR8UE7CLMPQ0" hidden="1">#REF!</definedName>
    <definedName name="BExOGT6D0LJ3C22RDW8COECKB1J5" hidden="1">'[2]Reco Sheet for Fcast'!$F$9:$G$9</definedName>
    <definedName name="BExOGTMI1HT31M1RGWVRAVHAK7DE" hidden="1">'[2]Reco Sheet for Fcast'!$F$7:$G$7</definedName>
    <definedName name="BExOGXO9JE5XSE9GC3I6O21UEKAO" hidden="1">'[2]Reco Sheet for Fcast'!$H$2:$I$2</definedName>
    <definedName name="BExOH9ICZ13C1LAW8OTYTR9S7ZP3" hidden="1">'[2]Reco Sheet for Fcast'!$F$9:$G$9</definedName>
    <definedName name="BExOHL75H3OT4WAKKPUXIVXWFVDS" hidden="1">'[2]Reco Sheet for Fcast'!$F$15</definedName>
    <definedName name="BExOHLHXXJL6363CC082M9M5VVXQ" hidden="1">'[2]Reco Sheet for Fcast'!$F$15:$J$123</definedName>
    <definedName name="BExOHNAO5UDXSO73BK2ARHWKS90Y" hidden="1">'[2]Reco Sheet for Fcast'!$F$6:$G$6</definedName>
    <definedName name="BExOHR1G1I9A9CI1HG94EWBLWNM2" hidden="1">'[2]Reco Sheet for Fcast'!$I$6:$J$6</definedName>
    <definedName name="BExOHTQPP8LQ98L6PYUI6QW08YID" hidden="1">'[2]Reco Sheet for Fcast'!$F$11:$G$11</definedName>
    <definedName name="BExOHX6Q6NJI793PGX59O5EKTP4G" hidden="1">'[2]Reco Sheet for Fcast'!$I$7:$J$7</definedName>
    <definedName name="BExOHY8LCO3ZHOEH1ZTL0MQTYQOL" localSheetId="5" hidden="1">'[5]Capital orders'!#REF!</definedName>
    <definedName name="BExOHY8LCO3ZHOEH1ZTL0MQTYQOL" localSheetId="8" hidden="1">'[5]Capital orders'!#REF!</definedName>
    <definedName name="BExOHY8LCO3ZHOEH1ZTL0MQTYQOL" hidden="1">'[5]Capital orders'!#REF!</definedName>
    <definedName name="BExOI5VMTHH7Y8MQQ1N635CHYI0P" hidden="1">'[2]Reco Sheet for Fcast'!$F$9:$G$9</definedName>
    <definedName name="BExOIEVCP4Y6VDS23AK84MCYYHRT" hidden="1">'[2]Reco Sheet for Fcast'!$F$7:$G$7</definedName>
    <definedName name="BExOIHPQIXR0NDR5WD01BZKPKEO3" hidden="1">'[2]Reco Sheet for Fcast'!$F$7:$G$7</definedName>
    <definedName name="BExOIM7L0Z3LSII9P7ZTV4KJ8RMA" hidden="1">'[2]Reco Sheet for Fcast'!$G$2</definedName>
    <definedName name="BExOIWJVMJ6MG6JC4SPD1L00OHU1" hidden="1">'[2]Reco Sheet for Fcast'!$F$10:$G$10</definedName>
    <definedName name="BExOIYCN8Z4JK3OOG86KYUCV0ME8" hidden="1">'[2]Reco Sheet for Fcast'!$I$9:$J$9</definedName>
    <definedName name="BExOJ3AKZ9BCBZT3KD8WMSLK6MN2" hidden="1">'[2]Reco Sheet for Fcast'!$F$8:$G$8</definedName>
    <definedName name="BExOJ7XQK71I4YZDD29AKOOWZ47E" hidden="1">'[2]Reco Sheet for Fcast'!$H$2:$I$2</definedName>
    <definedName name="BExOJM0W6XGSW5MXPTTX0GNF6SFT" hidden="1">'[2]Reco Sheet for Fcast'!$I$6:$J$6</definedName>
    <definedName name="BExOJXEUJJ9SYRJXKYYV2NCCDT2R" localSheetId="5" hidden="1">'[3]AMI P &amp; L'!#REF!</definedName>
    <definedName name="BExOJXEUJJ9SYRJXKYYV2NCCDT2R" localSheetId="8" hidden="1">'[3]AMI P &amp; L'!#REF!</definedName>
    <definedName name="BExOJXEUJJ9SYRJXKYYV2NCCDT2R" hidden="1">'[3]AMI P &amp; L'!#REF!</definedName>
    <definedName name="BExOK0EQYM9JUMAGWOUN7QDH7VMZ" localSheetId="5" hidden="1">'[3]AMI P &amp; L'!#REF!</definedName>
    <definedName name="BExOK0EQYM9JUMAGWOUN7QDH7VMZ" localSheetId="8" hidden="1">'[3]AMI P &amp; L'!#REF!</definedName>
    <definedName name="BExOK0EQYM9JUMAGWOUN7QDH7VMZ" hidden="1">'[3]AMI P &amp; L'!#REF!</definedName>
    <definedName name="BExOK10DPUX7E7X0CT199QVBODEW" localSheetId="5" hidden="1">#REF!</definedName>
    <definedName name="BExOK10DPUX7E7X0CT199QVBODEW" localSheetId="8" hidden="1">#REF!</definedName>
    <definedName name="BExOK10DPUX7E7X0CT199QVBODEW" hidden="1">#REF!</definedName>
    <definedName name="BExOK4WM9O7QNG6O57FOASI5QSN1" hidden="1">'[2]Reco Sheet for Fcast'!$F$8:$G$8</definedName>
    <definedName name="BExOK8SVNS9DXWU2QWBNB1YVNR7L" localSheetId="5" hidden="1">#REF!</definedName>
    <definedName name="BExOK8SVNS9DXWU2QWBNB1YVNR7L" localSheetId="8" hidden="1">#REF!</definedName>
    <definedName name="BExOK8SVNS9DXWU2QWBNB1YVNR7L" hidden="1">#REF!</definedName>
    <definedName name="BExOKTXMJP351VXKH8VT6SXUNIMF" hidden="1">'[2]Reco Sheet for Fcast'!$F$7:$G$7</definedName>
    <definedName name="BExOKU8GMLOCNVORDE329819XN67" hidden="1">'[2]Reco Sheet for Fcast'!$I$10:$J$10</definedName>
    <definedName name="BExOL0Z3Z7IAMHPB91EO2MF49U57" hidden="1">'[2]Reco Sheet for Fcast'!$F$8:$G$8</definedName>
    <definedName name="BExOL7KH12VAR0LG741SIOJTLWFD" hidden="1">'[2]Reco Sheet for Fcast'!$F$9:$G$9</definedName>
    <definedName name="BExOLICXFHJLILCJVFMJE5MGGWKR" localSheetId="5" hidden="1">'[3]AMI P &amp; L'!#REF!</definedName>
    <definedName name="BExOLICXFHJLILCJVFMJE5MGGWKR" localSheetId="8" hidden="1">'[3]AMI P &amp; L'!#REF!</definedName>
    <definedName name="BExOLICXFHJLILCJVFMJE5MGGWKR" hidden="1">'[3]AMI P &amp; L'!#REF!</definedName>
    <definedName name="BExOLMUQP54SNJ4377CSQ2W2VRVE" localSheetId="5" hidden="1">#REF!</definedName>
    <definedName name="BExOLMUQP54SNJ4377CSQ2W2VRVE" localSheetId="8" hidden="1">#REF!</definedName>
    <definedName name="BExOLMUQP54SNJ4377CSQ2W2VRVE" hidden="1">#REF!</definedName>
    <definedName name="BExOLOI0WJS3QC12I3ISL0D9AWOF" hidden="1">'[2]Reco Sheet for Fcast'!$I$10:$J$10</definedName>
    <definedName name="BExOLYZNG5RBD0BTS1OEZJNU92Q5" hidden="1">'[2]Reco Sheet for Fcast'!$F$9:$G$9</definedName>
    <definedName name="BExOM3HIJ3UZPOKJI68KPBJAHPDC" hidden="1">'[2]Reco Sheet for Fcast'!$F$7:$G$7</definedName>
    <definedName name="BExOMKPURE33YQ3K1JG9NVQD4W49" hidden="1">'[2]Reco Sheet for Fcast'!$I$8:$J$8</definedName>
    <definedName name="BExOMP7NGCLUNFK50QD2LPKRG078" hidden="1">'[2]Reco Sheet for Fcast'!$I$8:$J$8</definedName>
    <definedName name="BExOMU0A6XMY48SZRYL4WQZD13BI" localSheetId="5" hidden="1">'[3]AMI P &amp; L'!#REF!</definedName>
    <definedName name="BExOMU0A6XMY48SZRYL4WQZD13BI" localSheetId="8" hidden="1">'[3]AMI P &amp; L'!#REF!</definedName>
    <definedName name="BExOMU0A6XMY48SZRYL4WQZD13BI" hidden="1">'[3]AMI P &amp; L'!#REF!</definedName>
    <definedName name="BExOMVT0HSNC59DJP4CLISASGHKL" hidden="1">'[2]Reco Sheet for Fcast'!$I$7:$J$7</definedName>
    <definedName name="BExON0AX35F2SI0UCVMGWGVIUNI3" hidden="1">'[2]Reco Sheet for Fcast'!$I$11:$J$11</definedName>
    <definedName name="BExON41U4296DV3DPG6I5EF3OEYF" hidden="1">'[2]Reco Sheet for Fcast'!$F$9:$G$9</definedName>
    <definedName name="BExONB3A7CO4YD8RB41PHC93BQ9M" hidden="1">'[2]Reco Sheet for Fcast'!$F$15:$J$123</definedName>
    <definedName name="BExONFQH6UUXF8V0GI4BRIST9RFO" hidden="1">'[2]Reco Sheet for Fcast'!$F$6:$G$6</definedName>
    <definedName name="BExONH34JHZ9VP2WPUBTIVZOCPM6" hidden="1">'[4]Bud Mth'!$I$6:$J$6</definedName>
    <definedName name="BExONHU65LML12UB9EWV7FQBQBNE" localSheetId="5" hidden="1">'[5]Capital orders'!#REF!</definedName>
    <definedName name="BExONHU65LML12UB9EWV7FQBQBNE" localSheetId="8" hidden="1">'[5]Capital orders'!#REF!</definedName>
    <definedName name="BExONHU65LML12UB9EWV7FQBQBNE" hidden="1">'[5]Capital orders'!#REF!</definedName>
    <definedName name="BExONIL31DZWU7IFVN3VV0XTXJA1" hidden="1">'[2]Reco Sheet for Fcast'!$F$11:$G$11</definedName>
    <definedName name="BExONJ1BU17R0F5A2UP1UGJBOGKS" hidden="1">'[2]Reco Sheet for Fcast'!$F$9:$G$9</definedName>
    <definedName name="BExONNZ9VMHVX3J6NLNJY7KZA61O" hidden="1">'[2]Reco Sheet for Fcast'!$I$6:$J$6</definedName>
    <definedName name="BExONRQ1BAA4F3TXP2MYQ4YCZ09S" hidden="1">'[2]Reco Sheet for Fcast'!$I$7:$J$7</definedName>
    <definedName name="BExOO1WWIZSGB0YTGKESB45TSVMZ" hidden="1">'[2]Reco Sheet for Fcast'!$F$11:$G$11</definedName>
    <definedName name="BExOO4B8FPAFYPHCTYTX37P1TQM5" hidden="1">'[2]Reco Sheet for Fcast'!$I$11:$J$11</definedName>
    <definedName name="BExOOIULUDOJRMYABWV5CCL906X6" hidden="1">'[2]Reco Sheet for Fcast'!$I$9:$J$9</definedName>
    <definedName name="BExOOTN0KTXJCL7E476XBN1CJ553" hidden="1">'[2]Reco Sheet for Fcast'!$G$2</definedName>
    <definedName name="BExOOUOOR1038J07BOYJJU106NFS" hidden="1">'[2]Reco Sheet for Fcast'!$L$6:$M$10</definedName>
    <definedName name="BExOOUZHJUFHENA2ET6S02TMZRNP" localSheetId="5" hidden="1">#REF!</definedName>
    <definedName name="BExOOUZHJUFHENA2ET6S02TMZRNP" localSheetId="8" hidden="1">#REF!</definedName>
    <definedName name="BExOOUZHJUFHENA2ET6S02TMZRNP" hidden="1">#REF!</definedName>
    <definedName name="BExOP9DEBV5W5P4Q25J3XCJBP5S9" hidden="1">'[2]Reco Sheet for Fcast'!$I$11:$J$11</definedName>
    <definedName name="BExOPFNYRBL0BFM23LZBJTADNOE4" hidden="1">'[2]Reco Sheet for Fcast'!$F$15</definedName>
    <definedName name="BExOPINVFSIZMCVT9YGT2AODVCX3" hidden="1">'[2]Reco Sheet for Fcast'!$F$6:$G$6</definedName>
    <definedName name="BExOQ1JN4SAC44RTMZIGHSW023WA" hidden="1">'[2]Reco Sheet for Fcast'!$I$6:$J$6</definedName>
    <definedName name="BExOQ256YMF115DJL3KBPNKABJ90" hidden="1">'[2]Reco Sheet for Fcast'!$F$6:$G$6</definedName>
    <definedName name="BExOQ31LFF5V955K4N7NSFG61GNX" hidden="1">'[4]Bud Mth'!$I$7:$J$7</definedName>
    <definedName name="BExQ19DEUOLC11IW32E2AMVZLFF1" hidden="1">'[2]Reco Sheet for Fcast'!$H$2:$I$2</definedName>
    <definedName name="BExQ1SJXKHE45NHA4Y912ZWK0BVS" localSheetId="5" hidden="1">#REF!</definedName>
    <definedName name="BExQ1SJXKHE45NHA4Y912ZWK0BVS" localSheetId="8" hidden="1">#REF!</definedName>
    <definedName name="BExQ1SJXKHE45NHA4Y912ZWK0BVS" hidden="1">#REF!</definedName>
    <definedName name="BExQ1V922YTT0W39UMN4F4HNC5AS" localSheetId="5" hidden="1">'[5]Capital orders'!#REF!</definedName>
    <definedName name="BExQ1V922YTT0W39UMN4F4HNC5AS" localSheetId="8" hidden="1">'[5]Capital orders'!#REF!</definedName>
    <definedName name="BExQ1V922YTT0W39UMN4F4HNC5AS" hidden="1">'[5]Capital orders'!#REF!</definedName>
    <definedName name="BExQ1WG83K960T15H8A2VLMPXVU0" hidden="1">'[4]Bud Mth'!$G$2:$H$2</definedName>
    <definedName name="BExQ29C73XR33S3668YYSYZAIHTG" hidden="1">'[2]Reco Sheet for Fcast'!$I$11:$J$11</definedName>
    <definedName name="BExQ2FS228IUDUP2023RA1D4AO4C" hidden="1">'[2]Reco Sheet for Fcast'!$F$11:$G$11</definedName>
    <definedName name="BExQ2L0XYWLY9VPZWXYYFRIRQRJ1" hidden="1">'[2]Reco Sheet for Fcast'!$F$7:$G$7</definedName>
    <definedName name="BExQ2M841F5Z1BQYR8DG5FKK0LIU" localSheetId="5" hidden="1">'[3]AMI P &amp; L'!#REF!</definedName>
    <definedName name="BExQ2M841F5Z1BQYR8DG5FKK0LIU" localSheetId="8" hidden="1">'[3]AMI P &amp; L'!#REF!</definedName>
    <definedName name="BExQ2M841F5Z1BQYR8DG5FKK0LIU" hidden="1">'[3]AMI P &amp; L'!#REF!</definedName>
    <definedName name="BExQ300G8I8TK45A0MVHV15422EU" localSheetId="5" hidden="1">'[3]AMI P &amp; L'!#REF!</definedName>
    <definedName name="BExQ300G8I8TK45A0MVHV15422EU" localSheetId="8" hidden="1">'[3]AMI P &amp; L'!#REF!</definedName>
    <definedName name="BExQ300G8I8TK45A0MVHV15422EU" hidden="1">'[3]AMI P &amp; L'!#REF!</definedName>
    <definedName name="BExQ38JVNZHQEVM20T8PEG1GP01R" localSheetId="5" hidden="1">#REF!</definedName>
    <definedName name="BExQ38JVNZHQEVM20T8PEG1GP01R" localSheetId="8" hidden="1">#REF!</definedName>
    <definedName name="BExQ38JVNZHQEVM20T8PEG1GP01R" hidden="1">#REF!</definedName>
    <definedName name="BExQ39R28MXSG2SEV956F0KZ20AN" localSheetId="5" hidden="1">'[3]AMI P &amp; L'!#REF!</definedName>
    <definedName name="BExQ39R28MXSG2SEV956F0KZ20AN" localSheetId="8" hidden="1">'[3]AMI P &amp; L'!#REF!</definedName>
    <definedName name="BExQ39R28MXSG2SEV956F0KZ20AN" hidden="1">'[3]AMI P &amp; L'!#REF!</definedName>
    <definedName name="BExQ3D1P3M5Z3HLMEZ17E0BLEE4U" localSheetId="5" hidden="1">'[3]AMI P &amp; L'!#REF!</definedName>
    <definedName name="BExQ3D1P3M5Z3HLMEZ17E0BLEE4U" localSheetId="8" hidden="1">'[3]AMI P &amp; L'!#REF!</definedName>
    <definedName name="BExQ3D1P3M5Z3HLMEZ17E0BLEE4U" hidden="1">'[3]AMI P &amp; L'!#REF!</definedName>
    <definedName name="BExQ3O4W7QF8BOXTUT4IOGF6YKUD" hidden="1">'[2]Reco Sheet for Fcast'!$G$2</definedName>
    <definedName name="BExQ3PXOWSN8561ZR8IEY8ZASI3B" hidden="1">'[2]Reco Sheet for Fcast'!$I$8:$J$8</definedName>
    <definedName name="BExQ3TZF04IPY0B0UG9CQQ5736UA" hidden="1">'[2]Reco Sheet for Fcast'!$F$8:$G$8</definedName>
    <definedName name="BExQ42IU9MNDYLODP41DL6YTZMAR" localSheetId="5" hidden="1">'[3]AMI P &amp; L'!#REF!</definedName>
    <definedName name="BExQ42IU9MNDYLODP41DL6YTZMAR" localSheetId="8" hidden="1">'[3]AMI P &amp; L'!#REF!</definedName>
    <definedName name="BExQ42IU9MNDYLODP41DL6YTZMAR" hidden="1">'[3]AMI P &amp; L'!#REF!</definedName>
    <definedName name="BExQ452HF7N1HYPXJXQ8WD6SOWUV" hidden="1">'[2]Reco Sheet for Fcast'!$I$6:$J$6</definedName>
    <definedName name="BExQ4BTBSHPHVEDRCXC2ROW8PLFC" hidden="1">'[2]Reco Sheet for Fcast'!$F$6:$G$6</definedName>
    <definedName name="BExQ4DGKF54SRKQUTUT4B1CZSS62" hidden="1">'[2]Reco Sheet for Fcast'!$I$7:$J$7</definedName>
    <definedName name="BExQ4M04XQFHM953TPL217CAK4ZP" hidden="1">'[2]Reco Sheet for Fcast'!$F$7:$G$7</definedName>
    <definedName name="BExQ4T74LQ5PYTV1MUQUW75A4BDY" hidden="1">'[2]Reco Sheet for Fcast'!$I$11:$J$11</definedName>
    <definedName name="BExQ4XJHD7EJCNH7S1MJDZJ2MNWG" hidden="1">'[2]Reco Sheet for Fcast'!$I$10:$J$10</definedName>
    <definedName name="BExQ5039ZCEWBUJHU682G4S89J03" hidden="1">'[2]Reco Sheet for Fcast'!$F$6:$G$6</definedName>
    <definedName name="BExQ56Z9W6YHZHRXOFFI8EFA7CDI" hidden="1">'[2]Reco Sheet for Fcast'!$H$2:$I$2</definedName>
    <definedName name="BExQ5ITIC66SDM614FOSP325TOY5" localSheetId="5" hidden="1">#REF!</definedName>
    <definedName name="BExQ5ITIC66SDM614FOSP325TOY5" localSheetId="8" hidden="1">#REF!</definedName>
    <definedName name="BExQ5ITIC66SDM614FOSP325TOY5" hidden="1">#REF!</definedName>
    <definedName name="BExQ5KX3Z668H1KUCKZ9J24HUQ1F" hidden="1">'[2]Reco Sheet for Fcast'!$F$7:$G$7</definedName>
    <definedName name="BExQ5SPLEYLGXSVLD9HO5BKQXKIP" localSheetId="5" hidden="1">#REF!</definedName>
    <definedName name="BExQ5SPLEYLGXSVLD9HO5BKQXKIP" localSheetId="8" hidden="1">#REF!</definedName>
    <definedName name="BExQ5SPLEYLGXSVLD9HO5BKQXKIP" hidden="1">#REF!</definedName>
    <definedName name="BExQ5SPMSOCJYLAY20NB5A6O32RE" hidden="1">'[2]Reco Sheet for Fcast'!$F$15</definedName>
    <definedName name="BExQ5UICMGTMK790KTLK49MAGXRC" hidden="1">'[2]Reco Sheet for Fcast'!$F$6:$G$6</definedName>
    <definedName name="BExQ5YUUK9FD0QGTY4WD0W90O7OL" hidden="1">'[2]Reco Sheet for Fcast'!$F$8:$G$8</definedName>
    <definedName name="BExQ63793YQ9BH7JLCNRIATIGTRG" localSheetId="5" hidden="1">'[3]AMI P &amp; L'!#REF!</definedName>
    <definedName name="BExQ63793YQ9BH7JLCNRIATIGTRG" localSheetId="8" hidden="1">'[3]AMI P &amp; L'!#REF!</definedName>
    <definedName name="BExQ63793YQ9BH7JLCNRIATIGTRG" hidden="1">'[3]AMI P &amp; L'!#REF!</definedName>
    <definedName name="BExQ6CN1EF2UPZ57ZYMGK8TUJQSS" hidden="1">'[2]Reco Sheet for Fcast'!$I$9:$J$9</definedName>
    <definedName name="BExQ6M2YXJ8AMRJF3QGHC40ADAHZ" hidden="1">'[2]Reco Sheet for Fcast'!$I$6:$J$6</definedName>
    <definedName name="BExQ6M8B0X44N9TV56ATUVHGDI00" hidden="1">'[2]Reco Sheet for Fcast'!$F$15:$J$123</definedName>
    <definedName name="BExQ6POH065GV0I74XXVD0VUPBJW" hidden="1">'[2]Reco Sheet for Fcast'!$F$10:$G$10</definedName>
    <definedName name="BExQ6WV9KPSMXPPLGZ3KK4WNYTHU" hidden="1">'[2]Reco Sheet for Fcast'!$G$2</definedName>
    <definedName name="BExQ6XRSPHARKJTKTB0NOV3SBZIW" hidden="1">'[2]Reco Sheet for Fcast'!$I$9:$J$9</definedName>
    <definedName name="BExQ783XTMM2A9I3UKCFWJH1PP2N" hidden="1">'[2]Reco Sheet for Fcast'!$F$11:$G$11</definedName>
    <definedName name="BExQ79LX01ZPQB8EGD1ZHR2VK2H3" hidden="1">'[2]Reco Sheet for Fcast'!$I$10:$J$10</definedName>
    <definedName name="BExQ7ANJWDL69ZUG3AW5S2HJL4GL" localSheetId="5" hidden="1">#REF!</definedName>
    <definedName name="BExQ7ANJWDL69ZUG3AW5S2HJL4GL" localSheetId="8" hidden="1">#REF!</definedName>
    <definedName name="BExQ7ANJWDL69ZUG3AW5S2HJL4GL" hidden="1">#REF!</definedName>
    <definedName name="BExQ7B3V9MGDK2OIJ61XXFBFLJFZ" hidden="1">'[2]Reco Sheet for Fcast'!$F$7:$G$7</definedName>
    <definedName name="BExQ7CB046NVPF9ZXDGA7OXOLSLX" hidden="1">'[2]Reco Sheet for Fcast'!$F$6:$G$6</definedName>
    <definedName name="BExQ7IWDCGGOO1HTJ97YGO1CK3R9" hidden="1">'[2]Reco Sheet for Fcast'!$I$7:$J$7</definedName>
    <definedName name="BExQ7JNFIEGS2HKNBALH3Q2N5G7Z" hidden="1">'[2]Reco Sheet for Fcast'!$I$8:$J$8</definedName>
    <definedName name="BExQ7MY3U2Z1IZ71U5LJUD00VVB4" localSheetId="5" hidden="1">'[3]AMI P &amp; L'!#REF!</definedName>
    <definedName name="BExQ7MY3U2Z1IZ71U5LJUD00VVB4" localSheetId="8" hidden="1">'[3]AMI P &amp; L'!#REF!</definedName>
    <definedName name="BExQ7MY3U2Z1IZ71U5LJUD00VVB4" hidden="1">'[3]AMI P &amp; L'!#REF!</definedName>
    <definedName name="BExQ7XL2Q1GVUFL1F9KK0K0EXMWG" localSheetId="5" hidden="1">'[3]AMI P &amp; L'!#REF!</definedName>
    <definedName name="BExQ7XL2Q1GVUFL1F9KK0K0EXMWG" localSheetId="8" hidden="1">'[3]AMI P &amp; L'!#REF!</definedName>
    <definedName name="BExQ7XL2Q1GVUFL1F9KK0K0EXMWG" hidden="1">'[3]AMI P &amp; L'!#REF!</definedName>
    <definedName name="BExQ8469L3ZRZ3KYZPYMSJIDL7Y5" hidden="1">'[2]Reco Sheet for Fcast'!$I$6:$J$6</definedName>
    <definedName name="BExQ84MJB94HL3BWRN50M4NCB6Z0" hidden="1">'[2]Reco Sheet for Fcast'!$F$15</definedName>
    <definedName name="BExQ8583ZE00NW7T9OF11OT9IA14" hidden="1">'[2]Reco Sheet for Fcast'!$F$15</definedName>
    <definedName name="BExQ89PYX7QKH887T258CNA7DPDG" localSheetId="5" hidden="1">'[5]Capital orders'!#REF!</definedName>
    <definedName name="BExQ89PYX7QKH887T258CNA7DPDG" localSheetId="8" hidden="1">'[5]Capital orders'!#REF!</definedName>
    <definedName name="BExQ89PYX7QKH887T258CNA7DPDG" hidden="1">'[5]Capital orders'!#REF!</definedName>
    <definedName name="BExQ8A0RPE3IMIFIZLUE7KD2N21W" localSheetId="5" hidden="1">'[3]AMI P &amp; L'!#REF!</definedName>
    <definedName name="BExQ8A0RPE3IMIFIZLUE7KD2N21W" localSheetId="8" hidden="1">'[3]AMI P &amp; L'!#REF!</definedName>
    <definedName name="BExQ8A0RPE3IMIFIZLUE7KD2N21W" hidden="1">'[3]AMI P &amp; L'!#REF!</definedName>
    <definedName name="BExQ8ABK6H1ADV2R2OYT8NFFYG2N" hidden="1">'[2]Reco Sheet for Fcast'!$H$2:$I$2</definedName>
    <definedName name="BExQ8B2GTATY2SYZWYQKTTDGONE4" localSheetId="5" hidden="1">#REF!</definedName>
    <definedName name="BExQ8B2GTATY2SYZWYQKTTDGONE4" localSheetId="8" hidden="1">#REF!</definedName>
    <definedName name="BExQ8B2GTATY2SYZWYQKTTDGONE4" hidden="1">#REF!</definedName>
    <definedName name="BExQ8DM90XJ6GCJIK9LC5O82I2TJ" hidden="1">'[2]Reco Sheet for Fcast'!$F$15</definedName>
    <definedName name="BExQ8G0K46ZORA0QVQTDI7Z8LXGF" hidden="1">'[2]Reco Sheet for Fcast'!$I$7:$J$7</definedName>
    <definedName name="BExQ8O3WEU8HNTTGKTW5T0QSKCLP" localSheetId="5" hidden="1">'[3]AMI P &amp; L'!#REF!</definedName>
    <definedName name="BExQ8O3WEU8HNTTGKTW5T0QSKCLP" localSheetId="8" hidden="1">'[3]AMI P &amp; L'!#REF!</definedName>
    <definedName name="BExQ8O3WEU8HNTTGKTW5T0QSKCLP" hidden="1">'[3]AMI P &amp; L'!#REF!</definedName>
    <definedName name="BExQ8ZCEDBOBJA3D9LDP5TU2WYGR" hidden="1">'[2]Reco Sheet for Fcast'!$H$2:$I$2</definedName>
    <definedName name="BExQ94LAW6MAQBWY25WTBFV5PPZJ" hidden="1">'[2]Reco Sheet for Fcast'!$H$2:$I$2</definedName>
    <definedName name="BExQ97QIPOSSRK978N8P234Y1XA4" hidden="1">'[2]Reco Sheet for Fcast'!$G$2</definedName>
    <definedName name="BExQ9E6FBAXTHGF3RXANFIA77GXP" hidden="1">'[2]Reco Sheet for Fcast'!$G$2</definedName>
    <definedName name="BExQ9KX9734KIAK7IMRLHCPYDHO2" hidden="1">'[2]Reco Sheet for Fcast'!$F$10:$G$10</definedName>
    <definedName name="BExQ9L81FF4I7816VTPFBDWVU4CW" hidden="1">'[2]Reco Sheet for Fcast'!$I$9:$J$9</definedName>
    <definedName name="BExQ9M4E2ACZOWWWP1JJIQO8AHUM" localSheetId="5" hidden="1">'[3]AMI P &amp; L'!#REF!</definedName>
    <definedName name="BExQ9M4E2ACZOWWWP1JJIQO8AHUM" localSheetId="8" hidden="1">'[3]AMI P &amp; L'!#REF!</definedName>
    <definedName name="BExQ9M4E2ACZOWWWP1JJIQO8AHUM" hidden="1">'[3]AMI P &amp; L'!#REF!</definedName>
    <definedName name="BExQ9UTANMJCK7LJ4OQMD6F2Q01L" hidden="1">'[2]Reco Sheet for Fcast'!$H$2:$I$2</definedName>
    <definedName name="BExQ9ZLYHWABXAA9NJDW8ZS0UQ9P" localSheetId="5" hidden="1">'[3]AMI P &amp; L'!#REF!</definedName>
    <definedName name="BExQ9ZLYHWABXAA9NJDW8ZS0UQ9P" localSheetId="8" hidden="1">'[3]AMI P &amp; L'!#REF!</definedName>
    <definedName name="BExQ9ZLYHWABXAA9NJDW8ZS0UQ9P" hidden="1">'[3]AMI P &amp; L'!#REF!</definedName>
    <definedName name="BExQA324HSCK40ENJUT9CS9EC71B" localSheetId="5" hidden="1">'[3]AMI P &amp; L'!#REF!</definedName>
    <definedName name="BExQA324HSCK40ENJUT9CS9EC71B" localSheetId="8" hidden="1">'[3]AMI P &amp; L'!#REF!</definedName>
    <definedName name="BExQA324HSCK40ENJUT9CS9EC71B" hidden="1">'[3]AMI P &amp; L'!#REF!</definedName>
    <definedName name="BExQA55GY0STSNBWQCWN8E31ZXCS" hidden="1">'[2]Reco Sheet for Fcast'!$I$6:$J$6</definedName>
    <definedName name="BExQA9HZIN9XEMHEEVHT99UU9Z82" hidden="1">'[2]Reco Sheet for Fcast'!$I$10:$J$10</definedName>
    <definedName name="BExQAELFYH92K8CJL155181UDORO" hidden="1">'[2]Reco Sheet for Fcast'!$H$2:$I$2</definedName>
    <definedName name="BExQAG8PP8R5NJKNQD1U4QOSD6X5" hidden="1">'[2]Reco Sheet for Fcast'!$F$15</definedName>
    <definedName name="BExQBC0EAV6PKQT8I8C3GLEZDMZL" localSheetId="5" hidden="1">#REF!</definedName>
    <definedName name="BExQBC0EAV6PKQT8I8C3GLEZDMZL" localSheetId="8" hidden="1">#REF!</definedName>
    <definedName name="BExQBC0EAV6PKQT8I8C3GLEZDMZL" hidden="1">#REF!</definedName>
    <definedName name="BExQBDICMZTSA1X73TMHNO4JSFLN" hidden="1">'[2]Reco Sheet for Fcast'!$K$2</definedName>
    <definedName name="BExQBEER6CRCRPSSL61S0OMH57ZA" hidden="1">'[2]Reco Sheet for Fcast'!$F$11:$G$11</definedName>
    <definedName name="BExQBIGGY5TXI2FJVVZSLZ0LTZYH" hidden="1">'[2]Reco Sheet for Fcast'!$I$10:$J$10</definedName>
    <definedName name="BExQBM1RUSIQ85LLMM2159BYDPIP" hidden="1">'[2]Reco Sheet for Fcast'!$I$7:$J$7</definedName>
    <definedName name="BExQBPSOZ47V81YAEURP0NQJNTJH" hidden="1">'[2]Reco Sheet for Fcast'!$F$9:$G$9</definedName>
    <definedName name="BExQC5TWT21CGBKD0IHAXTIN2QB8" hidden="1">'[2]Reco Sheet for Fcast'!$I$8:$J$8</definedName>
    <definedName name="BExQC94JL9F5GW4S8DQCAF4WB2DA" hidden="1">'[2]Reco Sheet for Fcast'!$F$10:$G$10</definedName>
    <definedName name="BExQCKTD8AT0824LGWREXM1B5D1X" hidden="1">'[2]Reco Sheet for Fcast'!$I$7:$J$7</definedName>
    <definedName name="BExQCP0EE3PKTDKVOL04IOBUGZ6F" hidden="1">'[2]Reco Sheet for Fcast'!$I$11:$J$11</definedName>
    <definedName name="BExQD3ZVGTFSCD9MSWY8NN45FLM3" localSheetId="5" hidden="1">#REF!</definedName>
    <definedName name="BExQD3ZVGTFSCD9MSWY8NN45FLM3" localSheetId="8" hidden="1">#REF!</definedName>
    <definedName name="BExQD3ZVGTFSCD9MSWY8NN45FLM3" hidden="1">#REF!</definedName>
    <definedName name="BExQD571YWOXKR2SX85K5MKQ0AO2" hidden="1">'[2]Reco Sheet for Fcast'!$F$7:$G$7</definedName>
    <definedName name="BExQD7AKUWKH58PNJCJZNN1COR9E" localSheetId="5" hidden="1">#REF!</definedName>
    <definedName name="BExQD7AKUWKH58PNJCJZNN1COR9E" localSheetId="8" hidden="1">#REF!</definedName>
    <definedName name="BExQD7AKUWKH58PNJCJZNN1COR9E" hidden="1">#REF!</definedName>
    <definedName name="BExQDB6VCHN8PNX8EA6JNIEQ2JC2" hidden="1">'[2]Reco Sheet for Fcast'!$G$2</definedName>
    <definedName name="BExQDE1B6U2Q9B73KBENABP71YM1" localSheetId="5" hidden="1">'[3]AMI P &amp; L'!#REF!</definedName>
    <definedName name="BExQDE1B6U2Q9B73KBENABP71YM1" localSheetId="8" hidden="1">'[3]AMI P &amp; L'!#REF!</definedName>
    <definedName name="BExQDE1B6U2Q9B73KBENABP71YM1" hidden="1">'[3]AMI P &amp; L'!#REF!</definedName>
    <definedName name="BExQDGQCN7ZW41QDUHOBJUGQAX40" hidden="1">'[2]Reco Sheet for Fcast'!$I$8:$J$8</definedName>
    <definedName name="BExQE32AI2WOKFCB98XJZ6D7SAOF" localSheetId="5" hidden="1">'[5]Capital orders'!#REF!</definedName>
    <definedName name="BExQE32AI2WOKFCB98XJZ6D7SAOF" localSheetId="8" hidden="1">'[5]Capital orders'!#REF!</definedName>
    <definedName name="BExQE32AI2WOKFCB98XJZ6D7SAOF" hidden="1">'[5]Capital orders'!#REF!</definedName>
    <definedName name="BExQEK54SZATP11ZZ75GH6P9GFQ3" localSheetId="5" hidden="1">'[5]Capital orders'!#REF!</definedName>
    <definedName name="BExQEK54SZATP11ZZ75GH6P9GFQ3" localSheetId="8" hidden="1">'[5]Capital orders'!#REF!</definedName>
    <definedName name="BExQEK54SZATP11ZZ75GH6P9GFQ3" hidden="1">'[5]Capital orders'!#REF!</definedName>
    <definedName name="BExQEMUA4HEFM4OVO8M8MA8PIAW1" localSheetId="5" hidden="1">'[3]AMI P &amp; L'!#REF!</definedName>
    <definedName name="BExQEMUA4HEFM4OVO8M8MA8PIAW1" localSheetId="8" hidden="1">'[3]AMI P &amp; L'!#REF!</definedName>
    <definedName name="BExQEMUA4HEFM4OVO8M8MA8PIAW1" hidden="1">'[3]AMI P &amp; L'!#REF!</definedName>
    <definedName name="BExQEQ4XZQFIKUXNU9H7WE7AMZ1U" hidden="1">'[2]Reco Sheet for Fcast'!$I$6:$J$6</definedName>
    <definedName name="BExQF1OEB07CRAP6ALNNMJNJ3P2D" hidden="1">'[2]Reco Sheet for Fcast'!$F$8:$G$8</definedName>
    <definedName name="BExQF54F62R5B3N9BG47XYK8T6XS" localSheetId="5" hidden="1">#REF!</definedName>
    <definedName name="BExQF54F62R5B3N9BG47XYK8T6XS" localSheetId="8" hidden="1">#REF!</definedName>
    <definedName name="BExQF54F62R5B3N9BG47XYK8T6XS" hidden="1">#REF!</definedName>
    <definedName name="BExQF9X2AQPFJZTCHTU5PTTR0JAH" hidden="1">'[2]Reco Sheet for Fcast'!$F$10:$G$10</definedName>
    <definedName name="BExQFC0M9KKFMQKPLPEO2RQDB7MM" hidden="1">'[2]Reco Sheet for Fcast'!$I$10:$J$10</definedName>
    <definedName name="BExQFEEV7627R8TYZCM28C6V6WHE" hidden="1">'[2]Reco Sheet for Fcast'!$F$15</definedName>
    <definedName name="BExQFEK8NUD04X2OBRA275ADPSDL" localSheetId="5" hidden="1">'[3]AMI P &amp; L'!#REF!</definedName>
    <definedName name="BExQFEK8NUD04X2OBRA275ADPSDL" localSheetId="8" hidden="1">'[3]AMI P &amp; L'!#REF!</definedName>
    <definedName name="BExQFEK8NUD04X2OBRA275ADPSDL" hidden="1">'[3]AMI P &amp; L'!#REF!</definedName>
    <definedName name="BExQFGYIWDR4W0YF7XR6E4EWWJ02" hidden="1">'[2]Reco Sheet for Fcast'!$I$6:$J$6</definedName>
    <definedName name="BExQFOGG5ULYNV6XAFVJ1T69RAUZ" hidden="1">'[4]Bud Mth'!$I$10:$J$10</definedName>
    <definedName name="BExQFPNFKA36IAPS22LAUMBDI4KE" hidden="1">'[2]Reco Sheet for Fcast'!$I$10:$J$10</definedName>
    <definedName name="BExQFPSWEMA8WBUZ4WK20LR13VSU" hidden="1">'[2]Reco Sheet for Fcast'!$K$2</definedName>
    <definedName name="BExQFSYARQ5AIUI2V7O1EDCDM882" localSheetId="5" hidden="1">'[3]AMI P &amp; L'!#REF!</definedName>
    <definedName name="BExQFSYARQ5AIUI2V7O1EDCDM882" localSheetId="8" hidden="1">'[3]AMI P &amp; L'!#REF!</definedName>
    <definedName name="BExQFSYARQ5AIUI2V7O1EDCDM882" hidden="1">'[3]AMI P &amp; L'!#REF!</definedName>
    <definedName name="BExQFVSPOSCCPF1TLJPIWYWYB8A9" hidden="1">'[2]Reco Sheet for Fcast'!$F$10:$G$10</definedName>
    <definedName name="BExQFWJQXNQAW6LUMOEDS6KMJMYL" hidden="1">'[2]Reco Sheet for Fcast'!$F$7:$G$7</definedName>
    <definedName name="BExQG8TYRD2G42UA5ZPCRLNKUDMX" hidden="1">'[2]Reco Sheet for Fcast'!$F$7:$G$7</definedName>
    <definedName name="BExQGO48J9MPCDQ96RBB9UN9AIGT" hidden="1">'[2]Reco Sheet for Fcast'!$F$9:$G$9</definedName>
    <definedName name="BExQGSBB6MJWDW7AYWA0MSFTXKRR" hidden="1">'[2]Reco Sheet for Fcast'!$I$8:$J$8</definedName>
    <definedName name="BExQGZ7H6ND6DRMZMKKTMXLFYHJC" localSheetId="5" hidden="1">#REF!</definedName>
    <definedName name="BExQGZ7H6ND6DRMZMKKTMXLFYHJC" localSheetId="8" hidden="1">#REF!</definedName>
    <definedName name="BExQGZ7H6ND6DRMZMKKTMXLFYHJC" hidden="1">#REF!</definedName>
    <definedName name="BExQH0UURAJ13AVO5UI04HSRGVYW" hidden="1">'[2]Reco Sheet for Fcast'!$F$6:$G$6</definedName>
    <definedName name="BExQH6ZZY0NR8SE48PSI9D0CU1TC" hidden="1">'[2]Reco Sheet for Fcast'!$I$10:$J$10</definedName>
    <definedName name="BExQH9P2MCXAJOVEO4GFQT6MNW22" hidden="1">'[2]Reco Sheet for Fcast'!$F$15</definedName>
    <definedName name="BExQHC3DXXZX5BWEIV17DNSO0EB6" localSheetId="5" hidden="1">'[3]AMI P &amp; L'!#REF!</definedName>
    <definedName name="BExQHC3DXXZX5BWEIV17DNSO0EB6" localSheetId="8" hidden="1">'[3]AMI P &amp; L'!#REF!</definedName>
    <definedName name="BExQHC3DXXZX5BWEIV17DNSO0EB6" hidden="1">'[3]AMI P &amp; L'!#REF!</definedName>
    <definedName name="BExQHCZSBYUY8OKKJXFYWKBBM6AH" hidden="1">'[2]Reco Sheet for Fcast'!$I$11:$J$11</definedName>
    <definedName name="BExQHPKXZ1K33V2F90NZIQRZYIAW" hidden="1">'[2]Reco Sheet for Fcast'!$I$11:$J$11</definedName>
    <definedName name="BExQHVF9KD06AG2RXUQJ9X4PVGX4" hidden="1">'[2]Reco Sheet for Fcast'!$I$7:$J$7</definedName>
    <definedName name="BExQHZBHVN2L4HC7ACTR73T5OCV0" hidden="1">'[2]Reco Sheet for Fcast'!$G$2</definedName>
    <definedName name="BExQI85V9TNLDJT5LTRZS10Y26SG" hidden="1">'[2]Reco Sheet for Fcast'!$G$2</definedName>
    <definedName name="BExQIAPKHVEV8CU1L3TTHJW67FJ5" hidden="1">'[2]Reco Sheet for Fcast'!$F$6:$G$6</definedName>
    <definedName name="BExQIBB4I3Z6AUU0HYV1DHRS13M4" hidden="1">'[2]Reco Sheet for Fcast'!$I$9:$J$9</definedName>
    <definedName name="BExQIBWPAXU7HJZLKGJZY3EB7MIS" hidden="1">'[2]Reco Sheet for Fcast'!$I$11:$J$11</definedName>
    <definedName name="BExQIM3J1Y2DOI3BDUM8WV3BMSIN" hidden="1">'[2]Reco Sheet for Fcast'!$F$9:$G$9</definedName>
    <definedName name="BExQIS8O6R36CI01XRY9ISM99TW9" hidden="1">'[2]Reco Sheet for Fcast'!$F$15</definedName>
    <definedName name="BExQIVJB9MJ25NDUHTCVMSODJY2C" hidden="1">'[2]Reco Sheet for Fcast'!$F$11:$G$11</definedName>
    <definedName name="BExQJBF7LAX128WR7VTMJC88ZLPG" hidden="1">'[2]Reco Sheet for Fcast'!$I$10:$J$10</definedName>
    <definedName name="BExQJEVCKX6KZHNCLYXY7D0MX5KN" hidden="1">'[2]Reco Sheet for Fcast'!$G$2</definedName>
    <definedName name="BExQJIBC34O4SDXEWBX0XXJ9F93B" localSheetId="5" hidden="1">#REF!</definedName>
    <definedName name="BExQJIBC34O4SDXEWBX0XXJ9F93B" localSheetId="8" hidden="1">#REF!</definedName>
    <definedName name="BExQJIBC34O4SDXEWBX0XXJ9F93B" hidden="1">#REF!</definedName>
    <definedName name="BExQJJYSDX8B0J1QGF2HL071KKA3" hidden="1">'[2]Reco Sheet for Fcast'!$F$7:$G$7</definedName>
    <definedName name="BExQJL0FR3OWBYI6TVYE6R6KPU28" localSheetId="5" hidden="1">#REF!</definedName>
    <definedName name="BExQJL0FR3OWBYI6TVYE6R6KPU28" localSheetId="8" hidden="1">#REF!</definedName>
    <definedName name="BExQJL0FR3OWBYI6TVYE6R6KPU28" hidden="1">#REF!</definedName>
    <definedName name="BExQK1HV6SQQ7CP8H8IUKI9TYXTD" hidden="1">'[2]Reco Sheet for Fcast'!$I$7:$J$7</definedName>
    <definedName name="BExQK3LE5CSBW1E4H4KHW548FL2R" hidden="1">'[2]Reco Sheet for Fcast'!$I$7:$J$7</definedName>
    <definedName name="BExQKG6LD6PLNDGNGO9DJXY865BR" hidden="1">'[2]Reco Sheet for Fcast'!$I$10:$J$10</definedName>
    <definedName name="BExQLE1TOW3A287TQB0AVWENT8O1" hidden="1">'[2]Reco Sheet for Fcast'!$I$6:$J$6</definedName>
    <definedName name="BExRYOYB4A3E5F6MTROY69LR0PMG" hidden="1">'[2]Reco Sheet for Fcast'!$F$7:$G$7</definedName>
    <definedName name="BExRYZLA9EW71H4SXQR525S72LLP" hidden="1">'[2]Reco Sheet for Fcast'!$I$9:$J$9</definedName>
    <definedName name="BExRZ66M8G9FQ0VFP077QSZBSOA5" hidden="1">'[2]Reco Sheet for Fcast'!$F$6:$G$6</definedName>
    <definedName name="BExRZ8FMQQL46I8AQWU17LRNZD5T" hidden="1">'[2]Reco Sheet for Fcast'!$I$6:$J$6</definedName>
    <definedName name="BExRZIRRIXRUMZ5GOO95S7460BMP" hidden="1">'[2]Reco Sheet for Fcast'!$K$2</definedName>
    <definedName name="BExRZK9RAHMM0ZLTNSK7A4LDC42D" hidden="1">'[2]Reco Sheet for Fcast'!$I$7:$J$7</definedName>
    <definedName name="BExRZOGSR69INI6GAEPHDWSNK5Q4" hidden="1">'[2]Reco Sheet for Fcast'!$F$6:$G$6</definedName>
    <definedName name="BExRZR0LVVK3899VBSAJ65GT2E3B" localSheetId="5" hidden="1">#REF!</definedName>
    <definedName name="BExRZR0LVVK3899VBSAJ65GT2E3B" localSheetId="8" hidden="1">#REF!</definedName>
    <definedName name="BExRZR0LVVK3899VBSAJ65GT2E3B" hidden="1">#REF!</definedName>
    <definedName name="BExS0ASQBKRTPDWFK0KUDFOS9LE5" hidden="1">'[2]Reco Sheet for Fcast'!$F$8:$G$8</definedName>
    <definedName name="BExS0GHQUF6YT0RU3TKDEO8CSJYB" hidden="1">'[2]Reco Sheet for Fcast'!$K$2</definedName>
    <definedName name="BExS0JSDQ1GV78JIPV6TBXM2DTJL" hidden="1">'[4]Bud Mth'!$F$11:$G$11</definedName>
    <definedName name="BExS0K8IHC45I78DMZBOJ1P13KQA" hidden="1">'[2]Reco Sheet for Fcast'!$F$7:$G$7</definedName>
    <definedName name="BExS15IJV0WW662NXQUVT3FGP4ST" hidden="1">'[2]Reco Sheet for Fcast'!$F$7:$G$7</definedName>
    <definedName name="BExS194110MR25BYJI3CJ2EGZ8XT" hidden="1">'[2]Reco Sheet for Fcast'!$F$9:$G$9</definedName>
    <definedName name="BExS1BNVGNSGD4EP90QL8WXYWZ66" hidden="1">'[2]Reco Sheet for Fcast'!$F$2:$G$2</definedName>
    <definedName name="BExS1UE39N6NCND7MAARSBWXS6HU" hidden="1">'[2]Reco Sheet for Fcast'!$G$2</definedName>
    <definedName name="BExS1VL8PBT2LUQ4ZEAPPFJ4XW2N" hidden="1">'[4]Bud Mth'!$F$7:$G$7</definedName>
    <definedName name="BExS226HTWL5WVC76MP5A1IBI8WD" hidden="1">'[2]Reco Sheet for Fcast'!$F$6:$G$6</definedName>
    <definedName name="BExS26OI2QNNAH2WMDD95Z400048" hidden="1">'[2]Reco Sheet for Fcast'!$F$10:$G$10</definedName>
    <definedName name="BExS2BH5B8XAQLRCALR1KDKIS6AP" hidden="1">'[4]Bud Mth'!$F$10:$G$10</definedName>
    <definedName name="BExS2DF6B4ZUF3VZLI4G6LJ3BF38" hidden="1">'[2]Reco Sheet for Fcast'!$F$8:$G$8</definedName>
    <definedName name="BExS2QB5FS5LYTFYO4BROTWG3OV5" hidden="1">'[2]Reco Sheet for Fcast'!$H$2:$I$2</definedName>
    <definedName name="BExS2TLU1HONYV6S3ZD9T12D7CIG" hidden="1">'[2]Reco Sheet for Fcast'!$F$10:$G$10</definedName>
    <definedName name="BExS318UV9I2FXPQQWUKKX00QLPJ" hidden="1">'[2]Reco Sheet for Fcast'!$J$2:$K$2</definedName>
    <definedName name="BExS3LBS0SMTHALVM4NRI1BAV1NP" hidden="1">'[2]Reco Sheet for Fcast'!$F$8:$G$8</definedName>
    <definedName name="BExS3MTQ75VBXDGEBURP6YT8RROE" hidden="1">'[2]Reco Sheet for Fcast'!$I$10:$J$10</definedName>
    <definedName name="BExS3OMGYO0DFN5186UFKEXZ2RX3" hidden="1">'[2]Reco Sheet for Fcast'!$I$11:$J$11</definedName>
    <definedName name="BExS3SDERJ27OER67TIGOVZU13A2" hidden="1">'[2]Reco Sheet for Fcast'!$F$7:$G$7</definedName>
    <definedName name="BExS46R5WDNU5KL04FKY5LHJUCB8" hidden="1">'[2]Reco Sheet for Fcast'!$I$6:$J$6</definedName>
    <definedName name="BExS4ASWKM93XA275AXHYP8AG6SU" hidden="1">'[2]Reco Sheet for Fcast'!$I$10:$J$10</definedName>
    <definedName name="BExS4DSSYMU66HS480YWZC1VZML6" localSheetId="5" hidden="1">'[5]Capital orders'!#REF!</definedName>
    <definedName name="BExS4DSSYMU66HS480YWZC1VZML6" localSheetId="8" hidden="1">'[5]Capital orders'!#REF!</definedName>
    <definedName name="BExS4DSSYMU66HS480YWZC1VZML6" hidden="1">'[5]Capital orders'!#REF!</definedName>
    <definedName name="BExS4JN3Y6SVBKILQK0R9HS45Y52" hidden="1">'[2]Reco Sheet for Fcast'!$F$8:$G$8</definedName>
    <definedName name="BExS4LQMUTP91FH4M5NM9Y7L6XN6" localSheetId="5" hidden="1">#REF!</definedName>
    <definedName name="BExS4LQMUTP91FH4M5NM9Y7L6XN6" localSheetId="8" hidden="1">#REF!</definedName>
    <definedName name="BExS4LQMUTP91FH4M5NM9Y7L6XN6" hidden="1">#REF!</definedName>
    <definedName name="BExS4P6S41O6Z6BED77U3GD9PNH1" hidden="1">'[2]Reco Sheet for Fcast'!$I$8:$J$8</definedName>
    <definedName name="BExS51H0N51UT0FZOPZRCF1GU063" hidden="1">'[2]Reco Sheet for Fcast'!$I$9:$J$9</definedName>
    <definedName name="BExS54X72TJFC41FJK72MLRR2OO7" hidden="1">'[2]Reco Sheet for Fcast'!$I$11:$J$11</definedName>
    <definedName name="BExS59F0PA1V2ZC7S5TN6IT41SXP" hidden="1">'[2]Reco Sheet for Fcast'!$F$11:$G$11</definedName>
    <definedName name="BExS5L3TGB8JVW9ROYWTKYTUPW27" hidden="1">'[2]Reco Sheet for Fcast'!$F$7:$G$7</definedName>
    <definedName name="BExS5TCGLYOBBY10G49VWHGM40DJ" localSheetId="5" hidden="1">#REF!</definedName>
    <definedName name="BExS5TCGLYOBBY10G49VWHGM40DJ" localSheetId="8" hidden="1">#REF!</definedName>
    <definedName name="BExS5TCGLYOBBY10G49VWHGM40DJ" hidden="1">#REF!</definedName>
    <definedName name="BExS6GKQ96EHVLYWNJDWXZXUZW90" hidden="1">'[2]Reco Sheet for Fcast'!$F$8:$G$8</definedName>
    <definedName name="BExS6ITKSZFRR01YD5B0F676SYN7" localSheetId="5" hidden="1">'[3]AMI P &amp; L'!#REF!</definedName>
    <definedName name="BExS6ITKSZFRR01YD5B0F676SYN7" localSheetId="8" hidden="1">'[3]AMI P &amp; L'!#REF!</definedName>
    <definedName name="BExS6ITKSZFRR01YD5B0F676SYN7" hidden="1">'[3]AMI P &amp; L'!#REF!</definedName>
    <definedName name="BExS6N0LI574IAC89EFW6CLTCQ33" hidden="1">'[2]Reco Sheet for Fcast'!$I$10:$J$10</definedName>
    <definedName name="BExS6WRDBF3ST86ZOBBUL3GTCR11" hidden="1">'[2]Reco Sheet for Fcast'!$I$8:$J$8</definedName>
    <definedName name="BExS6XNRKR0C3MTA0LV5B60UB908" hidden="1">'[2]Reco Sheet for Fcast'!$F$6:$G$6</definedName>
    <definedName name="BExS7CSJZR2R51S2LFXJ1OO82L9R" hidden="1">'[4]Bud Mth'!$L$6:$M$11</definedName>
    <definedName name="BExS7TKQYLRZGM93UY3ZJZJBQNFJ" hidden="1">'[2]Reco Sheet for Fcast'!$I$6:$J$6</definedName>
    <definedName name="BExS7Y2LNGVHSIBKC7C3R6X4LDR6" hidden="1">'[2]Reco Sheet for Fcast'!$I$11:$J$11</definedName>
    <definedName name="BExS81TE0EY44Y3W2M4Z4MGNP5OM" localSheetId="5" hidden="1">'[3]AMI P &amp; L'!#REF!</definedName>
    <definedName name="BExS81TE0EY44Y3W2M4Z4MGNP5OM" localSheetId="8" hidden="1">'[3]AMI P &amp; L'!#REF!</definedName>
    <definedName name="BExS81TE0EY44Y3W2M4Z4MGNP5OM" hidden="1">'[3]AMI P &amp; L'!#REF!</definedName>
    <definedName name="BExS81YPDZDVJJVS15HV2HDXAC3Y" hidden="1">'[2]Reco Sheet for Fcast'!$I$10:$J$10</definedName>
    <definedName name="BExS82PRVNUTEKQZS56YT2DVF6C2" hidden="1">'[2]Reco Sheet for Fcast'!$I$6:$J$6</definedName>
    <definedName name="BExS8BPG5A0GR5AO1U951NDGGR0L" hidden="1">'[2]Reco Sheet for Fcast'!$F$9:$G$9</definedName>
    <definedName name="BExS8FR1778VV7DHWQTG4B927FMB" localSheetId="5" hidden="1">#REF!</definedName>
    <definedName name="BExS8FR1778VV7DHWQTG4B927FMB" localSheetId="8" hidden="1">#REF!</definedName>
    <definedName name="BExS8FR1778VV7DHWQTG4B927FMB" hidden="1">#REF!</definedName>
    <definedName name="BExS8GSUS17UY50TEM2AWF36BR9Z" hidden="1">'[2]Reco Sheet for Fcast'!$F$7:$G$7</definedName>
    <definedName name="BExS8HJRBVG0XI6PWA9KTMJZMQXK" hidden="1">'[2]Reco Sheet for Fcast'!$F$7:$G$7</definedName>
    <definedName name="BExS8R51C8RM2FS6V6IRTYO9GA4A" hidden="1">'[2]Reco Sheet for Fcast'!$F$15</definedName>
    <definedName name="BExS8WDX408F60MH1X9B9UZ2H4R7" hidden="1">'[2]Reco Sheet for Fcast'!$I$9:$J$9</definedName>
    <definedName name="BExS8Z2W2QEC3MH0BZIYLDFQNUIP" hidden="1">'[2]Reco Sheet for Fcast'!$F$11:$G$11</definedName>
    <definedName name="BExS92DKGRFFCIA9C0IXDOLO57EP" hidden="1">'[2]Reco Sheet for Fcast'!$I$9:$J$9</definedName>
    <definedName name="BExS96Q4LPS2XW49NMVPAVI6Y2PQ" localSheetId="5" hidden="1">'[5]Capital orders'!#REF!</definedName>
    <definedName name="BExS96Q4LPS2XW49NMVPAVI6Y2PQ" localSheetId="8" hidden="1">'[5]Capital orders'!#REF!</definedName>
    <definedName name="BExS96Q4LPS2XW49NMVPAVI6Y2PQ" hidden="1">'[5]Capital orders'!#REF!</definedName>
    <definedName name="BExS98OB4321YCHLCQ022PXKTT2W" hidden="1">'[2]Reco Sheet for Fcast'!$I$10:$J$10</definedName>
    <definedName name="BExS9C9N8GFISC6HUERJ0EI06GB2" hidden="1">'[2]Reco Sheet for Fcast'!$I$6:$J$6</definedName>
    <definedName name="BExS9DX13CACP3J8JDREK30JB1SQ" hidden="1">'[2]Reco Sheet for Fcast'!$F$9:$G$9</definedName>
    <definedName name="BExS9FPRS2KRRCS33SE6WFNF5GYL" hidden="1">'[2]Reco Sheet for Fcast'!$F$9:$G$9</definedName>
    <definedName name="BExS9WI0A6PSEB8N9GPXF2Z7MWHM" hidden="1">'[2]Reco Sheet for Fcast'!$I$7:$J$7</definedName>
    <definedName name="BExSA5HP306TN9XJS0TU619DLRR7" hidden="1">'[2]Reco Sheet for Fcast'!$H$2:$I$2</definedName>
    <definedName name="BExSAAVWQOOIA6B3JHQVGP08HFEM" hidden="1">'[2]Reco Sheet for Fcast'!$I$8:$J$8</definedName>
    <definedName name="BExSAFJ3IICU2M7QPVE4ARYMXZKX" hidden="1">'[2]Reco Sheet for Fcast'!$F$7:$G$7</definedName>
    <definedName name="BExSAH6ID8OHX379UXVNGFO8J6KQ" hidden="1">'[2]Reco Sheet for Fcast'!$F$8:$G$8</definedName>
    <definedName name="BExSAQBHIXGQRNIRGCJMBXUPCZQA" hidden="1">'[2]Reco Sheet for Fcast'!$I$8:$J$8</definedName>
    <definedName name="BExSAUTCT4P7JP57NOR9MTX33QJZ" hidden="1">'[2]Reco Sheet for Fcast'!$F$10:$G$10</definedName>
    <definedName name="BExSAY9CA9TFXQ9M9FBJRGJO9T9E" localSheetId="5" hidden="1">'[3]AMI P &amp; L'!#REF!</definedName>
    <definedName name="BExSAY9CA9TFXQ9M9FBJRGJO9T9E" localSheetId="8" hidden="1">'[3]AMI P &amp; L'!#REF!</definedName>
    <definedName name="BExSAY9CA9TFXQ9M9FBJRGJO9T9E" hidden="1">'[3]AMI P &amp; L'!#REF!</definedName>
    <definedName name="BExSB4JYKQ3MINI7RAYK5M8BLJDC" hidden="1">'[2]Reco Sheet for Fcast'!$I$10:$J$10</definedName>
    <definedName name="BExSB85FV73BJGCHMB5WBRYZT69Z" localSheetId="5" hidden="1">'[5]Capital orders'!#REF!</definedName>
    <definedName name="BExSB85FV73BJGCHMB5WBRYZT69Z" localSheetId="8" hidden="1">'[5]Capital orders'!#REF!</definedName>
    <definedName name="BExSB85FV73BJGCHMB5WBRYZT69Z" hidden="1">'[5]Capital orders'!#REF!</definedName>
    <definedName name="BExSBD8TZE1B5CZK6VNCCA977BCZ" localSheetId="5" hidden="1">#REF!</definedName>
    <definedName name="BExSBD8TZE1B5CZK6VNCCA977BCZ" localSheetId="8" hidden="1">#REF!</definedName>
    <definedName name="BExSBD8TZE1B5CZK6VNCCA977BCZ" hidden="1">#REF!</definedName>
    <definedName name="BExSBMOS41ZRLWYLOU29V6Y7YORR" localSheetId="5" hidden="1">'[3]AMI P &amp; L'!#REF!</definedName>
    <definedName name="BExSBMOS41ZRLWYLOU29V6Y7YORR" localSheetId="8" hidden="1">'[3]AMI P &amp; L'!#REF!</definedName>
    <definedName name="BExSBMOS41ZRLWYLOU29V6Y7YORR" hidden="1">'[3]AMI P &amp; L'!#REF!</definedName>
    <definedName name="BExSBRBXXQMBU1TYDW1BXTEVEPRU" hidden="1">'[2]Reco Sheet for Fcast'!$F$8:$G$8</definedName>
    <definedName name="BExSC54998WTZ21DSL0R8UN0Y9JH" hidden="1">'[2]Reco Sheet for Fcast'!$F$8:$G$8</definedName>
    <definedName name="BExSC60N7WR9PJSNC9B7ORCX9NGY" hidden="1">'[2]Reco Sheet for Fcast'!$I$7:$J$7</definedName>
    <definedName name="BExSCE99EZTILTTCE4NJJF96OYYM" hidden="1">'[2]Reco Sheet for Fcast'!$G$2</definedName>
    <definedName name="BExSCHUQZ2HFEWS54X67DIS8OSXZ" hidden="1">'[2]Reco Sheet for Fcast'!$F$6:$G$6</definedName>
    <definedName name="BExSCOG41SKKG4GYU76WRWW1CTE6" hidden="1">'[2]Reco Sheet for Fcast'!$F$11:$G$11</definedName>
    <definedName name="BExSCVC9P86YVFMRKKUVRV29MZXZ" hidden="1">'[2]Reco Sheet for Fcast'!$G$2</definedName>
    <definedName name="BExSD233CH4MU9ZMGNRF97ZV7KWU" hidden="1">'[2]Reco Sheet for Fcast'!$F$8:$G$8</definedName>
    <definedName name="BExSD2U0F3BN6IN9N4R2DTTJG15H" hidden="1">'[2]Reco Sheet for Fcast'!$I$6:$J$6</definedName>
    <definedName name="BExSD6A6NY15YSMFH51ST6XJY429" hidden="1">'[2]Reco Sheet for Fcast'!$K$2</definedName>
    <definedName name="BExSD9VH6PF6RQ135VOEE08YXPAW" hidden="1">'[2]Reco Sheet for Fcast'!$F$11:$G$11</definedName>
    <definedName name="BExSDP5Y04WWMX2WWRITWOX8R5I9" hidden="1">'[2]Reco Sheet for Fcast'!$F$6:$G$6</definedName>
    <definedName name="BExSDSGM203BJTNS9MKCBX453HMD" hidden="1">'[2]Reco Sheet for Fcast'!$F$8:$G$8</definedName>
    <definedName name="BExSDT20XUFXTDM37M148AXAP7HN" hidden="1">'[2]Reco Sheet for Fcast'!$I$11:$J$11</definedName>
    <definedName name="BExSEEHK1VLWD7JBV9SVVVIKQZ3I" hidden="1">'[2]Reco Sheet for Fcast'!$F$8:$G$8</definedName>
    <definedName name="BExSEJKZLX37P3V33TRTFJ30BFRK" hidden="1">'[2]Reco Sheet for Fcast'!$F$9:$G$9</definedName>
    <definedName name="BExSEP9UVOAI6TMXKNK587PQ3328" hidden="1">'[2]Reco Sheet for Fcast'!$I$10:$J$10</definedName>
    <definedName name="BExSF07QFLZCO4P6K6QF05XG7PH1" hidden="1">'[2]Reco Sheet for Fcast'!$F$11:$G$11</definedName>
    <definedName name="BExSFJ8ZAGQ63A4MVMZRQWLVRGQ5" hidden="1">'[2]Reco Sheet for Fcast'!$F$8:$G$8</definedName>
    <definedName name="BExSFKQRST2S9KXWWLCXYLKSF4G1" hidden="1">'[2]Reco Sheet for Fcast'!$F$8:$G$8</definedName>
    <definedName name="BExSFYDRRTAZVPXRWUF5PDQ97WFF" hidden="1">'[2]Reco Sheet for Fcast'!$G$2</definedName>
    <definedName name="BExSFZVPFTXA3F0IJ2NGH1GXX9R7" hidden="1">'[2]Reco Sheet for Fcast'!$I$9:$J$9</definedName>
    <definedName name="BExSG60TZAT2SKO046IKGMD8SGUE" localSheetId="5" hidden="1">#REF!</definedName>
    <definedName name="BExSG60TZAT2SKO046IKGMD8SGUE" localSheetId="8" hidden="1">#REF!</definedName>
    <definedName name="BExSG60TZAT2SKO046IKGMD8SGUE" hidden="1">#REF!</definedName>
    <definedName name="BExSG90Q4ZUU2IPGDYOM169NJV9S" hidden="1">'[2]Reco Sheet for Fcast'!$I$9:$J$9</definedName>
    <definedName name="BExSG9X3DU845PNXYJGGLBQY2UHG" localSheetId="5" hidden="1">'[3]AMI P &amp; L'!#REF!</definedName>
    <definedName name="BExSG9X3DU845PNXYJGGLBQY2UHG" localSheetId="8" hidden="1">'[3]AMI P &amp; L'!#REF!</definedName>
    <definedName name="BExSG9X3DU845PNXYJGGLBQY2UHG" hidden="1">'[3]AMI P &amp; L'!#REF!</definedName>
    <definedName name="BExSGE45J27MDUUNXW7Z8Q33UAON" hidden="1">'[2]Reco Sheet for Fcast'!$F$9:$G$9</definedName>
    <definedName name="BExSGE9LY91Q0URHB4YAMX0UAMYI" hidden="1">'[2]Reco Sheet for Fcast'!$I$6:$J$6</definedName>
    <definedName name="BExSGEPPAC5VNZNBFZ6X4J18CUCB" hidden="1">'[4]Bud Mth'!$F$15</definedName>
    <definedName name="BExSGIB6UEU4H2UHIK30B61ELOCC" hidden="1">'[4]Bud Mth'!$I$7:$J$7</definedName>
    <definedName name="BExSGLB2URTLBCKBB4Y885W925F2" hidden="1">'[2]Reco Sheet for Fcast'!$H$2:$I$2</definedName>
    <definedName name="BExSGM25R69NWJV48BYBJO2J24VT" hidden="1">'[4]Bud Mth'!$I$8:$J$8</definedName>
    <definedName name="BExSGOAYG73SFWOPAQV80P710GID" localSheetId="5" hidden="1">'[3]AMI P &amp; L'!#REF!</definedName>
    <definedName name="BExSGOAYG73SFWOPAQV80P710GID" localSheetId="8" hidden="1">'[3]AMI P &amp; L'!#REF!</definedName>
    <definedName name="BExSGOAYG73SFWOPAQV80P710GID" hidden="1">'[3]AMI P &amp; L'!#REF!</definedName>
    <definedName name="BExSGOWJHRW7FWKLO2EHUOOGHNAF" hidden="1">'[2]Reco Sheet for Fcast'!$G$2</definedName>
    <definedName name="BExSGOWJTAP41ZV5Q23H7MI9C76W" hidden="1">'[2]Reco Sheet for Fcast'!$F$8:$G$8</definedName>
    <definedName name="BExSGR5JQVX2HQ0PKCGZNSSUM1RV" hidden="1">'[2]Reco Sheet for Fcast'!$F$8:$G$8</definedName>
    <definedName name="BExSGVHX69GJZHD99DKE4RZ042B1" hidden="1">'[2]Reco Sheet for Fcast'!$F$8:$G$8</definedName>
    <definedName name="BExSGZJO4J4ZO04E2N2ECVYS9DEZ" hidden="1">'[2]Reco Sheet for Fcast'!$I$11:$J$11</definedName>
    <definedName name="BExSHAHFHS7MMNJR8JPVABRGBVIT" hidden="1">'[2]Reco Sheet for Fcast'!$I$9:$J$9</definedName>
    <definedName name="BExSHGH88QZWW4RNAX4YKAZ5JEBL" hidden="1">'[2]Reco Sheet for Fcast'!$H$2:$I$2</definedName>
    <definedName name="BExSHOKK1OO3CX9Z28C58E5J1D9W" hidden="1">'[2]Reco Sheet for Fcast'!$F$7:$G$7</definedName>
    <definedName name="BExSHQD8KYLTQGDXIRKCHQQ7MKIH" hidden="1">'[2]Reco Sheet for Fcast'!$I$11:$J$11</definedName>
    <definedName name="BExSHVGPIAHXI97UBLI9G4I4M29F" hidden="1">'[2]Reco Sheet for Fcast'!$I$7:$J$7</definedName>
    <definedName name="BExSI0K2YL3HTCQAD8A7TR4QCUR6" hidden="1">'[2]Reco Sheet for Fcast'!$F$15:$J$123</definedName>
    <definedName name="BExSIFUDNRWXWIWNGCCFOOD8WIAZ" hidden="1">'[2]Reco Sheet for Fcast'!$F$10:$G$10</definedName>
    <definedName name="BExTTZNS2PBCR93C9IUW49UZ4I6T" localSheetId="5" hidden="1">'[3]AMI P &amp; L'!#REF!</definedName>
    <definedName name="BExTTZNS2PBCR93C9IUW49UZ4I6T" localSheetId="8" hidden="1">'[3]AMI P &amp; L'!#REF!</definedName>
    <definedName name="BExTTZNS2PBCR93C9IUW49UZ4I6T" hidden="1">'[3]AMI P &amp; L'!#REF!</definedName>
    <definedName name="BExTU2YFQ25JQ6MEMRHHN66VLTPJ" hidden="1">'[2]Reco Sheet for Fcast'!$F$9:$G$9</definedName>
    <definedName name="BExTU75IOII1V5O0C9X2VAYYVJUG" hidden="1">'[2]Reco Sheet for Fcast'!$F$15</definedName>
    <definedName name="BExTUA5F7V4LUIIAM17J3A8XF3JE" hidden="1">'[2]Reco Sheet for Fcast'!$F$8:$G$8</definedName>
    <definedName name="BExTUJ53ANGZ3H1KDK4CR4Q0OD6P" hidden="1">'[2]Reco Sheet for Fcast'!$F$11:$G$11</definedName>
    <definedName name="BExTUKXSZBM7C57G6NGLWGU4WOHY" hidden="1">'[2]Reco Sheet for Fcast'!$I$6:$J$6</definedName>
    <definedName name="BExTUSQCFFYZCDNHWHADBC2E1ZP1" hidden="1">'[2]Reco Sheet for Fcast'!$I$7:$J$7</definedName>
    <definedName name="BExTUVFGOJEYS28JURA5KHQFDU5J" hidden="1">'[2]Reco Sheet for Fcast'!$F$7:$G$7</definedName>
    <definedName name="BExTUW10U40QCYGHM5NJ3YR1O5SP" hidden="1">'[2]Reco Sheet for Fcast'!$F$9:$G$9</definedName>
    <definedName name="BExTUWXFQHINU66YG82BI20ATMB5" hidden="1">'[2]Reco Sheet for Fcast'!$F$15:$G$26</definedName>
    <definedName name="BExTUY9WNSJ91GV8CP0SKJTEIV82" localSheetId="5" hidden="1">'[3]AMI P &amp; L'!#REF!</definedName>
    <definedName name="BExTUY9WNSJ91GV8CP0SKJTEIV82" localSheetId="8" hidden="1">'[3]AMI P &amp; L'!#REF!</definedName>
    <definedName name="BExTUY9WNSJ91GV8CP0SKJTEIV82" hidden="1">'[3]AMI P &amp; L'!#REF!</definedName>
    <definedName name="BExTV67VIM8PV6KO253M4DUBJQLC" hidden="1">'[2]Reco Sheet for Fcast'!$F$15</definedName>
    <definedName name="BExTVELZCF2YA5L6F23BYZZR6WHF" localSheetId="5" hidden="1">'[3]AMI P &amp; L'!#REF!</definedName>
    <definedName name="BExTVELZCF2YA5L6F23BYZZR6WHF" localSheetId="8" hidden="1">'[3]AMI P &amp; L'!#REF!</definedName>
    <definedName name="BExTVELZCF2YA5L6F23BYZZR6WHF" hidden="1">'[3]AMI P &amp; L'!#REF!</definedName>
    <definedName name="BExTVGPIQZ99YFXUC8OONUX5BD42" hidden="1">'[2]Reco Sheet for Fcast'!$F$11:$G$11</definedName>
    <definedName name="BExTVS8U0EZLJRZ2MIUYGE8U301G" localSheetId="5" hidden="1">#REF!</definedName>
    <definedName name="BExTVS8U0EZLJRZ2MIUYGE8U301G" localSheetId="8" hidden="1">#REF!</definedName>
    <definedName name="BExTVS8U0EZLJRZ2MIUYGE8U301G" hidden="1">#REF!</definedName>
    <definedName name="BExTVZQLP9VFLEYQ9280W13X7E8K" hidden="1">'[2]Reco Sheet for Fcast'!$I$7:$J$7</definedName>
    <definedName name="BExTW5QDSCAJ7RXS743LW6RL5SJK" hidden="1">'[4]Bud Mth'!$L$6:$M$11</definedName>
    <definedName name="BExTWB4LA1PODQOH4LDTHQKBN16K" hidden="1">'[2]Reco Sheet for Fcast'!$F$15</definedName>
    <definedName name="BExTWI0Q8AWXUA3ZN7I5V3QK2KM1" hidden="1">'[2]Reco Sheet for Fcast'!$I$11:$J$11</definedName>
    <definedName name="BExTWJTIA3WUW1PUWXAOP9O8NKLZ" hidden="1">'[2]Reco Sheet for Fcast'!$F$6:$G$6</definedName>
    <definedName name="BExTWW95OX07FNA01WF5MSSSFQLX" hidden="1">'[2]Reco Sheet for Fcast'!$F$7:$G$7</definedName>
    <definedName name="BExTX11TGMK4J1I8SCX5QV40L2NX" localSheetId="5" hidden="1">#REF!</definedName>
    <definedName name="BExTX11TGMK4J1I8SCX5QV40L2NX" localSheetId="8" hidden="1">#REF!</definedName>
    <definedName name="BExTX11TGMK4J1I8SCX5QV40L2NX" hidden="1">#REF!</definedName>
    <definedName name="BExTX1NDJMYRERGKCYTBGJXXUSGU" localSheetId="5" hidden="1">#REF!</definedName>
    <definedName name="BExTX1NDJMYRERGKCYTBGJXXUSGU" localSheetId="8" hidden="1">#REF!</definedName>
    <definedName name="BExTX1NDJMYRERGKCYTBGJXXUSGU" hidden="1">#REF!</definedName>
    <definedName name="BExTX476KI0RNB71XI5TYMANSGBG" hidden="1">'[2]Reco Sheet for Fcast'!$F$10:$G$10</definedName>
    <definedName name="BExTX8UBV7014XRKCDCLI03YH4RN" localSheetId="5" hidden="1">'[5]Capital orders'!#REF!</definedName>
    <definedName name="BExTX8UBV7014XRKCDCLI03YH4RN" localSheetId="8" hidden="1">'[5]Capital orders'!#REF!</definedName>
    <definedName name="BExTX8UBV7014XRKCDCLI03YH4RN" hidden="1">'[5]Capital orders'!#REF!</definedName>
    <definedName name="BExTXJ6HBAIXMMWKZTJNFDYVZCAY" localSheetId="5" hidden="1">'[3]AMI P &amp; L'!#REF!</definedName>
    <definedName name="BExTXJ6HBAIXMMWKZTJNFDYVZCAY" localSheetId="8" hidden="1">'[3]AMI P &amp; L'!#REF!</definedName>
    <definedName name="BExTXJ6HBAIXMMWKZTJNFDYVZCAY" hidden="1">'[3]AMI P &amp; L'!#REF!</definedName>
    <definedName name="BExTXT812NQT8GAEGH738U29BI0D" localSheetId="5" hidden="1">'[3]AMI P &amp; L'!#REF!</definedName>
    <definedName name="BExTXT812NQT8GAEGH738U29BI0D" localSheetId="8" hidden="1">'[3]AMI P &amp; L'!#REF!</definedName>
    <definedName name="BExTXT812NQT8GAEGH738U29BI0D" hidden="1">'[3]AMI P &amp; L'!#REF!</definedName>
    <definedName name="BExTXWIP2TFPTQ76NHFOB72NICRZ" hidden="1">'[2]Reco Sheet for Fcast'!$H$2:$I$2</definedName>
    <definedName name="BExTY5T62H651VC86QM4X7E28JVA" localSheetId="5" hidden="1">'[3]AMI P &amp; L'!#REF!</definedName>
    <definedName name="BExTY5T62H651VC86QM4X7E28JVA" localSheetId="8" hidden="1">'[3]AMI P &amp; L'!#REF!</definedName>
    <definedName name="BExTY5T62H651VC86QM4X7E28JVA" hidden="1">'[3]AMI P &amp; L'!#REF!</definedName>
    <definedName name="BExTYKCEFJ83LZM95M1V7CSFQVEA" hidden="1">'[2]Reco Sheet for Fcast'!$G$2</definedName>
    <definedName name="BExTYNHRQ0T9YWN16KKDWXQ3D73B" hidden="1">'[2]Reco Sheet for Fcast'!$F$9:$G$9</definedName>
    <definedName name="BExTYPLA9N640MFRJJQPKXT7P88M" hidden="1">'[2]Reco Sheet for Fcast'!$I$10:$J$10</definedName>
    <definedName name="BExTZ7F71SNTOX4LLZCK5R9VUMIJ" hidden="1">'[2]Reco Sheet for Fcast'!$F$8:$G$8</definedName>
    <definedName name="BExTZ8X5G9S3PA4FPSNK7T69W7QT" hidden="1">'[2]Reco Sheet for Fcast'!$F$15</definedName>
    <definedName name="BExTZ97Y0RMR8V5BI9F2H4MFB77O" hidden="1">'[2]Reco Sheet for Fcast'!$F$8:$G$8</definedName>
    <definedName name="BExTZK5PMCAXJL4DUIGL6H9Y8U4C" hidden="1">'[2]Reco Sheet for Fcast'!$G$2</definedName>
    <definedName name="BExTZKB6L5SXV5UN71YVTCBEIGWY" hidden="1">'[2]Reco Sheet for Fcast'!$F$11:$G$11</definedName>
    <definedName name="BExTZLICVKK4NBJFEGL270GJ2VQO" hidden="1">'[2]Reco Sheet for Fcast'!$F$11:$G$11</definedName>
    <definedName name="BExTZO2596CBZKPI7YNA1QQNPAIJ" localSheetId="5" hidden="1">'[3]AMI P &amp; L'!#REF!</definedName>
    <definedName name="BExTZO2596CBZKPI7YNA1QQNPAIJ" localSheetId="8" hidden="1">'[3]AMI P &amp; L'!#REF!</definedName>
    <definedName name="BExTZO2596CBZKPI7YNA1QQNPAIJ" hidden="1">'[3]AMI P &amp; L'!#REF!</definedName>
    <definedName name="BExTZRI5JZ4A251Y611W94RCOSWH" localSheetId="5" hidden="1">#REF!</definedName>
    <definedName name="BExTZRI5JZ4A251Y611W94RCOSWH" localSheetId="8" hidden="1">#REF!</definedName>
    <definedName name="BExTZRI5JZ4A251Y611W94RCOSWH" hidden="1">#REF!</definedName>
    <definedName name="BExTZY8TDV4U7FQL7O10G6VKWKPJ" hidden="1">'[2]Reco Sheet for Fcast'!$F$10:$G$10</definedName>
    <definedName name="BExU02QNT4LT7H9JPUC4FXTLVGZT" localSheetId="5" hidden="1">'[3]AMI P &amp; L'!#REF!</definedName>
    <definedName name="BExU02QNT4LT7H9JPUC4FXTLVGZT" localSheetId="8" hidden="1">'[3]AMI P &amp; L'!#REF!</definedName>
    <definedName name="BExU02QNT4LT7H9JPUC4FXTLVGZT" hidden="1">'[3]AMI P &amp; L'!#REF!</definedName>
    <definedName name="BExU0BFJJQO1HJZKI14QGOQ6JROO" hidden="1">'[2]Reco Sheet for Fcast'!$I$9:$J$9</definedName>
    <definedName name="BExU0FH5WTGW8MRFUFMDDSMJ6YQ5" hidden="1">'[2]Reco Sheet for Fcast'!$F$10:$G$10</definedName>
    <definedName name="BExU0GDOIL9U33QGU9ZU3YX3V1I4" hidden="1">'[2]Reco Sheet for Fcast'!$F$10:$G$10</definedName>
    <definedName name="BExU0GTRJDB0T7KEE27AHPJ1VG21" localSheetId="5" hidden="1">#REF!</definedName>
    <definedName name="BExU0GTRJDB0T7KEE27AHPJ1VG21" localSheetId="8" hidden="1">#REF!</definedName>
    <definedName name="BExU0GTRJDB0T7KEE27AHPJ1VG21" hidden="1">#REF!</definedName>
    <definedName name="BExU0HKTO8WJDQDWRTUK5TETM3HS" hidden="1">'[2]Reco Sheet for Fcast'!$F$15</definedName>
    <definedName name="BExU0MO3IK2BK6Z03N91DRPAM4ZL" localSheetId="5" hidden="1">'[5]Capital orders'!#REF!</definedName>
    <definedName name="BExU0MO3IK2BK6Z03N91DRPAM4ZL" localSheetId="8" hidden="1">'[5]Capital orders'!#REF!</definedName>
    <definedName name="BExU0MO3IK2BK6Z03N91DRPAM4ZL" hidden="1">'[5]Capital orders'!#REF!</definedName>
    <definedName name="BExU0MTJQPE041ZN7H8UKGV6MZT7" hidden="1">'[2]Reco Sheet for Fcast'!$F$10:$G$10</definedName>
    <definedName name="BExU0XWRUGFUSOVL9IX14W0517FO" localSheetId="5" hidden="1">'[5]Capital orders'!#REF!</definedName>
    <definedName name="BExU0XWRUGFUSOVL9IX14W0517FO" localSheetId="8" hidden="1">'[5]Capital orders'!#REF!</definedName>
    <definedName name="BExU0XWRUGFUSOVL9IX14W0517FO" hidden="1">'[5]Capital orders'!#REF!</definedName>
    <definedName name="BExU0ZUUFYHLUK4M4E8GLGIBBNT0" hidden="1">'[2]Reco Sheet for Fcast'!$F$10:$G$10</definedName>
    <definedName name="BExU147D6RPG6ZVTSXRKFSVRHSBG" hidden="1">'[2]Reco Sheet for Fcast'!$F$11:$G$11</definedName>
    <definedName name="BExU16R10W1SOAPNG4CDJ01T7JRE" hidden="1">'[2]Reco Sheet for Fcast'!$I$6:$J$6</definedName>
    <definedName name="BExU17CKOR3GNIHDNVLH9L1IOJS9" hidden="1">'[2]Reco Sheet for Fcast'!$F$10:$G$10</definedName>
    <definedName name="BExU1CQSGHIYEUTB4X944L0P5KO6" hidden="1">'[2]Reco Sheet for Fcast'!$I$8:$J$8</definedName>
    <definedName name="BExU1GXUTLRPJN4MRINLAPHSZQFG" hidden="1">'[2]Reco Sheet for Fcast'!$F$15</definedName>
    <definedName name="BExU1IL9AOHFO85BZB6S60DK3N8H" localSheetId="5" hidden="1">'[3]AMI P &amp; L'!#REF!</definedName>
    <definedName name="BExU1IL9AOHFO85BZB6S60DK3N8H" localSheetId="8" hidden="1">'[3]AMI P &amp; L'!#REF!</definedName>
    <definedName name="BExU1IL9AOHFO85BZB6S60DK3N8H" hidden="1">'[3]AMI P &amp; L'!#REF!</definedName>
    <definedName name="BExU1NOPS09CLFZL1O31RAF9BQNQ" localSheetId="5" hidden="1">'[3]AMI P &amp; L'!#REF!</definedName>
    <definedName name="BExU1NOPS09CLFZL1O31RAF9BQNQ" localSheetId="8" hidden="1">'[3]AMI P &amp; L'!#REF!</definedName>
    <definedName name="BExU1NOPS09CLFZL1O31RAF9BQNQ" hidden="1">'[3]AMI P &amp; L'!#REF!</definedName>
    <definedName name="BExU1PH9MOEX1JZVZ3D5M9DXB191" hidden="1">'[2]Reco Sheet for Fcast'!$H$2:$I$2</definedName>
    <definedName name="BExU1QZEEKJA35IMEOLOJ3ODX0ZA" hidden="1">'[2]Reco Sheet for Fcast'!$F$9:$G$9</definedName>
    <definedName name="BExU1VRURIWWVJ95O40WA23LMTJD" localSheetId="5" hidden="1">'[3]AMI P &amp; L'!#REF!</definedName>
    <definedName name="BExU1VRURIWWVJ95O40WA23LMTJD" localSheetId="8" hidden="1">'[3]AMI P &amp; L'!#REF!</definedName>
    <definedName name="BExU1VRURIWWVJ95O40WA23LMTJD" hidden="1">'[3]AMI P &amp; L'!#REF!</definedName>
    <definedName name="BExU2M5CK6XK55UIHDVYRXJJJRI4" hidden="1">'[2]Reco Sheet for Fcast'!$F$15</definedName>
    <definedName name="BExU2TXVT25ZTOFQAF6CM53Z1RLF" hidden="1">'[2]Reco Sheet for Fcast'!$K$2</definedName>
    <definedName name="BExU2XZLYIU19G7358W5T9E87AFR" hidden="1">'[2]Reco Sheet for Fcast'!$I$7:$J$7</definedName>
    <definedName name="BExU31FMG5EZ3RLMEW3HTVQ1N7XG" localSheetId="5" hidden="1">#REF!</definedName>
    <definedName name="BExU31FMG5EZ3RLMEW3HTVQ1N7XG" localSheetId="8" hidden="1">#REF!</definedName>
    <definedName name="BExU31FMG5EZ3RLMEW3HTVQ1N7XG" hidden="1">#REF!</definedName>
    <definedName name="BExU3B66MCKJFSKT3HL8B5EJGVX0" hidden="1">'[2]Reco Sheet for Fcast'!$G$2</definedName>
    <definedName name="BExU3RYEDSJFAKYWNZXCULXMIK83" hidden="1">'[4]Bud Mth'!$F$11:$G$11</definedName>
    <definedName name="BExU3UNI9NR1RNZR07NSLSZMDOQQ" hidden="1">'[2]Reco Sheet for Fcast'!$I$6:$J$6</definedName>
    <definedName name="BExU401R18N6XKZKL7CNFOZQCM14" hidden="1">'[2]Reco Sheet for Fcast'!$F$10:$G$10</definedName>
    <definedName name="BExU42QVGY7TK39W1BIN6CDRG2OE" hidden="1">'[2]Reco Sheet for Fcast'!$I$10:$J$10</definedName>
    <definedName name="BExU47OZMS6TCWMEHHF0UCSFLLPI" hidden="1">'[2]Reco Sheet for Fcast'!$F$10:$G$10</definedName>
    <definedName name="BExU4D36E8TXN0M8KSNGEAFYP4DQ" hidden="1">'[2]Reco Sheet for Fcast'!$F$11:$G$11</definedName>
    <definedName name="BExU4G31RRVLJ3AC6E1FNEFMXM3O" hidden="1">'[2]Reco Sheet for Fcast'!$I$7:$J$7</definedName>
    <definedName name="BExU4GDVLPUEWBA4MRYRTQAUNO7B" localSheetId="5" hidden="1">'[3]AMI P &amp; L'!#REF!</definedName>
    <definedName name="BExU4GDVLPUEWBA4MRYRTQAUNO7B" localSheetId="8" hidden="1">'[3]AMI P &amp; L'!#REF!</definedName>
    <definedName name="BExU4GDVLPUEWBA4MRYRTQAUNO7B" hidden="1">'[3]AMI P &amp; L'!#REF!</definedName>
    <definedName name="BExU4I148DA7PRCCISLWQ6ABXFK6" hidden="1">'[2]Reco Sheet for Fcast'!$F$2:$G$2</definedName>
    <definedName name="BExU4L101H2KQHVKCKQ4PBAWZV6K" hidden="1">'[2]Reco Sheet for Fcast'!$G$2</definedName>
    <definedName name="BExU4NA00RRRBGRT6TOB0MXZRCRZ" hidden="1">'[2]Reco Sheet for Fcast'!$I$8:$J$8</definedName>
    <definedName name="BExU529I6YHVOG83TJHWSILIQU1S" hidden="1">'[2]Reco Sheet for Fcast'!$F$6:$G$6</definedName>
    <definedName name="BExU57YCIKPRD8QWL6EU0YR3NG3J" hidden="1">'[2]Reco Sheet for Fcast'!$G$2</definedName>
    <definedName name="BExU59WK17RXBRY6DNZSMRYEZFUD" hidden="1">'[2]Reco Sheet for Fcast'!$F$6:$G$6</definedName>
    <definedName name="BExU5DSTBWXLN6E59B757KRWRI6E" hidden="1">'[2]Reco Sheet for Fcast'!$H$2:$I$2</definedName>
    <definedName name="BExU5TDWM8NNDHYPQ7OQODTQ368A" hidden="1">'[2]Reco Sheet for Fcast'!$I$9:$J$9</definedName>
    <definedName name="BExU5X4OX1V1XHS6WSSORVQPP6Z3" hidden="1">'[2]Reco Sheet for Fcast'!$I$8:$J$8</definedName>
    <definedName name="BExU5XVPARTFMRYHNUTBKDIL4UJN" hidden="1">'[2]Reco Sheet for Fcast'!$F$9:$G$9</definedName>
    <definedName name="BExU66KMFBAP8JCVG9VM1RD1TNFF" hidden="1">'[2]Reco Sheet for Fcast'!$F$8:$G$8</definedName>
    <definedName name="BExU68IOM3CB3TACNAE9565TW7SH" hidden="1">'[2]Reco Sheet for Fcast'!$H$2:$I$2</definedName>
    <definedName name="BExU6AM82KN21E82HMWVP3LWP9IL" hidden="1">'[2]Reco Sheet for Fcast'!$I$8:$J$8</definedName>
    <definedName name="BExU6FEU1MRHU98R9YOJC5OKUJ6L" hidden="1">'[2]Reco Sheet for Fcast'!$I$11:$J$11</definedName>
    <definedName name="BExU6KIAJ663Y8W8QMU4HCF183DF" hidden="1">'[2]Reco Sheet for Fcast'!$F$7:$G$7</definedName>
    <definedName name="BExU6KT19B4PG6SHXFBGBPLM66KT" hidden="1">'[2]Reco Sheet for Fcast'!$G$2</definedName>
    <definedName name="BExU6PAVKIOAIMQ9XQIHHF1SUAGO" hidden="1">'[2]Reco Sheet for Fcast'!$F$6:$G$6</definedName>
    <definedName name="BExU6WXXC7SSQDMHSLUN5C2V4IYX" hidden="1">'[2]Reco Sheet for Fcast'!$I$7:$J$7</definedName>
    <definedName name="BExU73387E74XE8A9UKZLZNJYY65" hidden="1">'[2]Reco Sheet for Fcast'!$I$7:$J$7</definedName>
    <definedName name="BExU76ZHCJM8I7VSICCMSTC33O6U" hidden="1">'[2]Reco Sheet for Fcast'!$I$9:$J$9</definedName>
    <definedName name="BExU7BBTUF8BQ42DSGM94X5TG5GF" hidden="1">'[2]Reco Sheet for Fcast'!$I$10:$J$10</definedName>
    <definedName name="BExU7ES0XCYMF26C2IBWVI4GIYRC" localSheetId="5" hidden="1">#REF!</definedName>
    <definedName name="BExU7ES0XCYMF26C2IBWVI4GIYRC" localSheetId="8" hidden="1">#REF!</definedName>
    <definedName name="BExU7ES0XCYMF26C2IBWVI4GIYRC" hidden="1">#REF!</definedName>
    <definedName name="BExU7HH4EAHFQHT4AXKGWAWZP3I0" hidden="1">'[2]Reco Sheet for Fcast'!$I$8:$J$8</definedName>
    <definedName name="BExU7MF1ZVPDHOSMCAXOSYICHZ4I" hidden="1">'[2]Reco Sheet for Fcast'!$F$11:$G$11</definedName>
    <definedName name="BExU7O2BJ6D5YCKEL6FD2EFCWYRX" hidden="1">'[2]Reco Sheet for Fcast'!$I$7:$J$7</definedName>
    <definedName name="BExU7Q0JS9YIUKUPNSSAIDK2KJAV" hidden="1">'[2]Reco Sheet for Fcast'!$F$10:$G$10</definedName>
    <definedName name="BExU80I6AE5OU7P7F5V7HWIZBJ4P" localSheetId="5" hidden="1">'[3]AMI P &amp; L'!#REF!</definedName>
    <definedName name="BExU80I6AE5OU7P7F5V7HWIZBJ4P" localSheetId="8" hidden="1">'[3]AMI P &amp; L'!#REF!</definedName>
    <definedName name="BExU80I6AE5OU7P7F5V7HWIZBJ4P" hidden="1">'[3]AMI P &amp; L'!#REF!</definedName>
    <definedName name="BExU86NB26MCPYIISZ36HADONGT2" hidden="1">'[2]Reco Sheet for Fcast'!$H$2:$I$2</definedName>
    <definedName name="BExU885EZZNSZV3GP298UJ8LB7OL" hidden="1">'[2]Reco Sheet for Fcast'!$F$9:$G$9</definedName>
    <definedName name="BExU8FSAUP9TUZ1NO9WXK80QPHWV" hidden="1">'[2]Reco Sheet for Fcast'!$H$2:$I$2</definedName>
    <definedName name="BExU8KFLAN778MBN93NYZB0FV30G" hidden="1">'[2]Reco Sheet for Fcast'!$I$6:$J$6</definedName>
    <definedName name="BExU8UX9JX3XLB47YZ8GFXE0V7R2" hidden="1">'[2]Reco Sheet for Fcast'!$I$11:$J$11</definedName>
    <definedName name="BExU96M1J7P9DZQ3S9H0C12KGYTW" hidden="1">'[2]Reco Sheet for Fcast'!$F$11:$G$11</definedName>
    <definedName name="BExU9F05OR1GZ3057R6UL3WPEIYI" hidden="1">'[2]Reco Sheet for Fcast'!$I$10:$J$10</definedName>
    <definedName name="BExU9GCSO5YILIKG6VAHN13DL75K" hidden="1">'[2]Reco Sheet for Fcast'!$F$15</definedName>
    <definedName name="BExU9KJOZLO15N11MJVN782NFGJ0" hidden="1">'[2]Reco Sheet for Fcast'!$G$2</definedName>
    <definedName name="BExU9LG29XU2K1GNKRO4438JYQZE" hidden="1">'[2]Reco Sheet for Fcast'!$F$10:$G$10</definedName>
    <definedName name="BExU9RW36I5Z6JIXUIUB3PJH86LT" hidden="1">'[2]Reco Sheet for Fcast'!$I$11:$J$11</definedName>
    <definedName name="BExUA28AO7OWDG3H23Q0CL4B7BHW" hidden="1">'[2]Reco Sheet for Fcast'!$I$10:$J$10</definedName>
    <definedName name="BExUA5O923FFNEBY8BPO1TU3QGBM" hidden="1">'[2]Reco Sheet for Fcast'!$F$8:$G$8</definedName>
    <definedName name="BExUA6Q4K25VH452AQ3ZIRBCMS61" hidden="1">'[2]Reco Sheet for Fcast'!$I$11:$J$11</definedName>
    <definedName name="BExUAD618VJT7Y268F09VY8TCB6I" hidden="1">'[2]Reco Sheet for Fcast'!$F$11:$G$11</definedName>
    <definedName name="BExUAFV4JMBSM2SKBQL9NHL0NIBS" hidden="1">'[2]Reco Sheet for Fcast'!$I$8:$J$8</definedName>
    <definedName name="BExUAMWQODKBXMRH1QCMJLJBF8M7" hidden="1">'[2]Reco Sheet for Fcast'!$I$8:$J$8</definedName>
    <definedName name="BExUAX8WS5OPVLCDXRGKTU2QMTFO" hidden="1">'[2]Reco Sheet for Fcast'!$F$11:$G$11</definedName>
    <definedName name="BExUB08T2BYPVAJVBMXLIDWLL1OE" localSheetId="5" hidden="1">#REF!</definedName>
    <definedName name="BExUB08T2BYPVAJVBMXLIDWLL1OE" localSheetId="8" hidden="1">#REF!</definedName>
    <definedName name="BExUB08T2BYPVAJVBMXLIDWLL1OE" hidden="1">#REF!</definedName>
    <definedName name="BExUB33EK29TFQ0BN3SU5AAHUXYI" hidden="1">'[4]Bud Mth'!$I$9:$J$9</definedName>
    <definedName name="BExUB8HLEXSBVPZ5AXNQEK96F1N4" hidden="1">'[2]Reco Sheet for Fcast'!$I$8:$J$8</definedName>
    <definedName name="BExUBCDVZIEA7YT0LPSMHL5ZSERQ" hidden="1">'[2]Reco Sheet for Fcast'!$F$11:$G$11</definedName>
    <definedName name="BExUBKXBUCN760QYU7Q8GESBWOQH" hidden="1">'[2]Reco Sheet for Fcast'!$I$9:$J$9</definedName>
    <definedName name="BExUBL83ED0P076RN9RJ8P1MZ299" hidden="1">'[2]Reco Sheet for Fcast'!$H$2:$I$2</definedName>
    <definedName name="BExUBWBBDMQYIMES51STJPTYF2KB" localSheetId="5" hidden="1">'[5]Capital orders'!#REF!</definedName>
    <definedName name="BExUBWBBDMQYIMES51STJPTYF2KB" localSheetId="8" hidden="1">'[5]Capital orders'!#REF!</definedName>
    <definedName name="BExUBWBBDMQYIMES51STJPTYF2KB" hidden="1">'[5]Capital orders'!#REF!</definedName>
    <definedName name="BExUC623BDYEODBN0N4DO6PJQ7NU" localSheetId="5" hidden="1">'[3]AMI P &amp; L'!#REF!</definedName>
    <definedName name="BExUC623BDYEODBN0N4DO6PJQ7NU" localSheetId="8" hidden="1">'[3]AMI P &amp; L'!#REF!</definedName>
    <definedName name="BExUC623BDYEODBN0N4DO6PJQ7NU" hidden="1">'[3]AMI P &amp; L'!#REF!</definedName>
    <definedName name="BExUC8G72O2YXWX0KZM5IEBC5NYF" hidden="1">'[4]Bud Mth'!$C$15:$D$29</definedName>
    <definedName name="BExUC8WH8TCKBB5313JGYYQ1WFLT" hidden="1">'[2]Reco Sheet for Fcast'!$I$11:$J$11</definedName>
    <definedName name="BExUCFCDK6SPH86I6STXX8X3WMC4" hidden="1">'[2]Reco Sheet for Fcast'!$F$11:$G$11</definedName>
    <definedName name="BExUCLC6AQ5KR6LXSAXV4QQ8ASVG" hidden="1">'[2]Reco Sheet for Fcast'!$I$9:$J$9</definedName>
    <definedName name="BExUD4IOJ12X3PJG5WXNNGDRCKAP" hidden="1">'[2]Reco Sheet for Fcast'!$G$2</definedName>
    <definedName name="BExUD9WX9BWK72UWVSLYZJLAY5VY" hidden="1">'[2]Reco Sheet for Fcast'!$I$6:$J$6</definedName>
    <definedName name="BExUDEV0CYVO7Y5IQQBEJ6FUY9S6" localSheetId="5" hidden="1">'[3]AMI P &amp; L'!#REF!</definedName>
    <definedName name="BExUDEV0CYVO7Y5IQQBEJ6FUY9S6" localSheetId="8" hidden="1">'[3]AMI P &amp; L'!#REF!</definedName>
    <definedName name="BExUDEV0CYVO7Y5IQQBEJ6FUY9S6" hidden="1">'[3]AMI P &amp; L'!#REF!</definedName>
    <definedName name="BExUDJ7DYJ87DXRZ8X55DX7WPECP" hidden="1">'[4]Bud Mth'!$F$11:$G$11</definedName>
    <definedName name="BExUDWOXQGIZW0EAIIYLQUPXF8YV" hidden="1">'[2]Reco Sheet for Fcast'!$H$2:$I$2</definedName>
    <definedName name="BExUDXAIC17W1FUU8Z10XUAVB7CS" hidden="1">'[2]Reco Sheet for Fcast'!$I$6:$J$6</definedName>
    <definedName name="BExUE5OMY7OAJQ9WR8C8HG311ORP" hidden="1">'[2]Reco Sheet for Fcast'!$F$6:$G$6</definedName>
    <definedName name="BExUEFKOQWXXGRNLAOJV2BJ66UB8" hidden="1">'[2]Reco Sheet for Fcast'!$K$2</definedName>
    <definedName name="BExUEJGX3OQQP5KFRJSRCZ70EI9V" localSheetId="5" hidden="1">'[3]AMI P &amp; L'!#REF!</definedName>
    <definedName name="BExUEJGX3OQQP5KFRJSRCZ70EI9V" localSheetId="8" hidden="1">'[3]AMI P &amp; L'!#REF!</definedName>
    <definedName name="BExUEJGX3OQQP5KFRJSRCZ70EI9V" hidden="1">'[3]AMI P &amp; L'!#REF!</definedName>
    <definedName name="BExUEYR71COFS2X8PDNU21IPMQEU" hidden="1">'[2]Reco Sheet for Fcast'!$F$8:$G$8</definedName>
    <definedName name="BExVPRLJ9I6RX45EDVFSQGCPJSOK" hidden="1">'[2]Reco Sheet for Fcast'!$I$10:$J$10</definedName>
    <definedName name="BExVRSFF20PCW4U8ETRBU8GKPJ09" localSheetId="5" hidden="1">'[5]Capital orders'!#REF!</definedName>
    <definedName name="BExVRSFF20PCW4U8ETRBU8GKPJ09" localSheetId="8" hidden="1">'[5]Capital orders'!#REF!</definedName>
    <definedName name="BExVRSFF20PCW4U8ETRBU8GKPJ09" hidden="1">'[5]Capital orders'!#REF!</definedName>
    <definedName name="BExVSK5E1T5C3Z7L1TS7KHBIC1EB" hidden="1">'[4]Bud Mth'!$F$8:$G$8</definedName>
    <definedName name="BExVSL787C8E4HFQZ2NVLT35I2XV" hidden="1">'[2]Reco Sheet for Fcast'!$I$10:$J$10</definedName>
    <definedName name="BExVSTFTVV14SFGHQUOJL5SQ5TX9" hidden="1">'[2]Reco Sheet for Fcast'!$G$2</definedName>
    <definedName name="BExVT3MPE8LQ5JFN3HQIFKSQ80U4" hidden="1">'[2]Reco Sheet for Fcast'!$F$8:$G$8</definedName>
    <definedName name="BExVT7TRK3NZHPME2TFBXOF1WBR9" hidden="1">'[2]Reco Sheet for Fcast'!$I$9:$J$9</definedName>
    <definedName name="BExVT9H0R0T7WGQAAC0HABMG54YM" hidden="1">'[2]Reco Sheet for Fcast'!$K$2</definedName>
    <definedName name="BExVTCMDDEDGLUIMUU6BSFHEWTOP" localSheetId="5" hidden="1">'[3]AMI P &amp; L'!#REF!</definedName>
    <definedName name="BExVTCMDDEDGLUIMUU6BSFHEWTOP" localSheetId="8" hidden="1">'[3]AMI P &amp; L'!#REF!</definedName>
    <definedName name="BExVTCMDDEDGLUIMUU6BSFHEWTOP" hidden="1">'[3]AMI P &amp; L'!#REF!</definedName>
    <definedName name="BExVTCMDQMLKRA2NQR72XU6Y54IK" hidden="1">'[2]Reco Sheet for Fcast'!$H$2:$I$2</definedName>
    <definedName name="BExVTCRV8FQ5U9OYWWL44N6KFNHU" hidden="1">'[2]Reco Sheet for Fcast'!$I$11:$J$11</definedName>
    <definedName name="BExVTNESHPVG0A0KZ7BRX26MS0PF" hidden="1">'[2]Reco Sheet for Fcast'!$I$7:$J$7</definedName>
    <definedName name="BExVTTJVTNRSBHBTUZ78WG2JM5MK" hidden="1">'[2]Reco Sheet for Fcast'!$I$6:$J$6</definedName>
    <definedName name="BExVTXLMYR87BC04D1ERALPUFVPG" hidden="1">'[2]Reco Sheet for Fcast'!$F$15</definedName>
    <definedName name="BExVUL9V3H8ZF6Y72LQBBN639YAA" hidden="1">'[2]Reco Sheet for Fcast'!$F$8:$G$8</definedName>
    <definedName name="BExVV4WOJHBCFS30YPAH56TF8XV7" localSheetId="5" hidden="1">#REF!</definedName>
    <definedName name="BExVV4WOJHBCFS30YPAH56TF8XV7" localSheetId="8" hidden="1">#REF!</definedName>
    <definedName name="BExVV4WOJHBCFS30YPAH56TF8XV7" hidden="1">#REF!</definedName>
    <definedName name="BExVV5T14N2HZIK7HQ4P2KG09U0J" hidden="1">'[2]Reco Sheet for Fcast'!$I$10:$J$10</definedName>
    <definedName name="BExVV7R410VYLADLX9LNG63ID6H1" hidden="1">'[2]Reco Sheet for Fcast'!$I$10:$J$10</definedName>
    <definedName name="BExVVCEED4JEKF59OV0G3T4XFMFO" hidden="1">'[2]Reco Sheet for Fcast'!$F$15</definedName>
    <definedName name="BExVVJAKR0OH8T15R52V6Z4K8OAI" localSheetId="5" hidden="1">'[5]Capital orders'!#REF!</definedName>
    <definedName name="BExVVJAKR0OH8T15R52V6Z4K8OAI" localSheetId="8" hidden="1">'[5]Capital orders'!#REF!</definedName>
    <definedName name="BExVVJAKR0OH8T15R52V6Z4K8OAI" hidden="1">'[5]Capital orders'!#REF!</definedName>
    <definedName name="BExVVPFO2J7FMSRPD36909HN4BZJ" localSheetId="5" hidden="1">'[3]AMI P &amp; L'!#REF!</definedName>
    <definedName name="BExVVPFO2J7FMSRPD36909HN4BZJ" localSheetId="8" hidden="1">'[3]AMI P &amp; L'!#REF!</definedName>
    <definedName name="BExVVPFO2J7FMSRPD36909HN4BZJ" hidden="1">'[3]AMI P &amp; L'!#REF!</definedName>
    <definedName name="BExVVQ19AQ3VCARJOC38SF7OYE9Y" hidden="1">'[2]Reco Sheet for Fcast'!$I$11:$J$11</definedName>
    <definedName name="BExVVQ19TAECID45CS4HXT1RD3AQ" localSheetId="5" hidden="1">'[3]AMI P &amp; L'!#REF!</definedName>
    <definedName name="BExVVQ19TAECID45CS4HXT1RD3AQ" localSheetId="8" hidden="1">'[3]AMI P &amp; L'!#REF!</definedName>
    <definedName name="BExVVQ19TAECID45CS4HXT1RD3AQ" hidden="1">'[3]AMI P &amp; L'!#REF!</definedName>
    <definedName name="BExVW3YV5XGIVJ97UUPDJGJ2P15B" hidden="1">'[2]Reco Sheet for Fcast'!$I$8:$J$8</definedName>
    <definedName name="BExVW5X571GEYR5SCU1Z2DHKWM79" hidden="1">'[2]Reco Sheet for Fcast'!$H$2:$I$2</definedName>
    <definedName name="BExVW6YTKA098AF57M4PHNQ54XMH" hidden="1">'[2]Reco Sheet for Fcast'!$F$8:$G$8</definedName>
    <definedName name="BExVWH5O60DAWDALWYLP29FXHNYB" localSheetId="5" hidden="1">#REF!</definedName>
    <definedName name="BExVWH5O60DAWDALWYLP29FXHNYB" localSheetId="8" hidden="1">#REF!</definedName>
    <definedName name="BExVWH5O60DAWDALWYLP29FXHNYB" hidden="1">#REF!</definedName>
    <definedName name="BExVWINKCH0V0NUWH363SMXAZE62" hidden="1">'[2]Reco Sheet for Fcast'!$F$6:$G$6</definedName>
    <definedName name="BExVWSZWDVO3AP2D6EDY5H1QYOXC" hidden="1">'[4]Bud Mth'!$F$6:$G$6</definedName>
    <definedName name="BExVWYU8EK669NP172GEIGCTVPPA" hidden="1">'[2]Reco Sheet for Fcast'!$I$8:$J$8</definedName>
    <definedName name="BExVX2VZNPKLDHY7OGN2A2H5HC14" localSheetId="5" hidden="1">#REF!</definedName>
    <definedName name="BExVX2VZNPKLDHY7OGN2A2H5HC14" localSheetId="8" hidden="1">#REF!</definedName>
    <definedName name="BExVX2VZNPKLDHY7OGN2A2H5HC14" hidden="1">#REF!</definedName>
    <definedName name="BExVX3XN2DRJKL8EDBIG58RYQ36R" hidden="1">'[2]Reco Sheet for Fcast'!$I$6:$J$6</definedName>
    <definedName name="BExVXDZ63PUART77BBR5SI63TPC6" hidden="1">'[2]Reco Sheet for Fcast'!$I$11:$J$11</definedName>
    <definedName name="BExVXHKI6LFYMGWISMPACMO247HL" hidden="1">'[2]Reco Sheet for Fcast'!$F$9:$G$9</definedName>
    <definedName name="BExVXLX2BZ5EF2X6R41BTKRJR1NM" localSheetId="5" hidden="1">'[3]AMI P &amp; L'!#REF!</definedName>
    <definedName name="BExVXLX2BZ5EF2X6R41BTKRJR1NM" localSheetId="8" hidden="1">'[3]AMI P &amp; L'!#REF!</definedName>
    <definedName name="BExVXLX2BZ5EF2X6R41BTKRJR1NM" hidden="1">'[3]AMI P &amp; L'!#REF!</definedName>
    <definedName name="BExVY11V7U1SAY4QKYE0PBSPD7LW" hidden="1">'[2]Reco Sheet for Fcast'!$F$7:$G$7</definedName>
    <definedName name="BExVY1SV37DL5YU59HS4IG3VBCP4" localSheetId="5" hidden="1">'[3]AMI P &amp; L'!#REF!</definedName>
    <definedName name="BExVY1SV37DL5YU59HS4IG3VBCP4" localSheetId="8" hidden="1">'[3]AMI P &amp; L'!#REF!</definedName>
    <definedName name="BExVY1SV37DL5YU59HS4IG3VBCP4" hidden="1">'[3]AMI P &amp; L'!#REF!</definedName>
    <definedName name="BExVY3WFGJKSQA08UF9NCMST928Y" hidden="1">'[2]Reco Sheet for Fcast'!$F$7:$G$7</definedName>
    <definedName name="BExVY954UOEVQEIC5OFO4NEWVKAQ" hidden="1">'[2]Reco Sheet for Fcast'!$F$11:$G$11</definedName>
    <definedName name="BExVYH8GALJI83YRQSC210IEPVCS" hidden="1">'[2]Reco Sheet for Fcast'!$F$8:$G$8</definedName>
    <definedName name="BExVYHDYIV5397LC02V4FEP8VD6W" hidden="1">'[2]Reco Sheet for Fcast'!$I$10:$J$10</definedName>
    <definedName name="BExVYOVIZDA18YIQ0A30Q052PCAK" hidden="1">'[2]Reco Sheet for Fcast'!$H$2:$I$2</definedName>
    <definedName name="BExVYQIXPEM6J4JVP78BRHIC05PV" hidden="1">'[2]Reco Sheet for Fcast'!$F$8:$G$8</definedName>
    <definedName name="BExVYVGWN7SONLVDH9WJ2F1JS264" hidden="1">'[2]Reco Sheet for Fcast'!$I$7:$J$7</definedName>
    <definedName name="BExVZ9EO732IK6MNMG17Y1EFTJQC" hidden="1">'[2]Reco Sheet for Fcast'!$F$8:$G$8</definedName>
    <definedName name="BExVZB1Y5J4UL2LKK0363EU7GIJ1" hidden="1">'[2]Reco Sheet for Fcast'!$F$7:$G$7</definedName>
    <definedName name="BExVZJQVO5LQ0BJH5JEN5NOBIAF6" localSheetId="5" hidden="1">'[3]AMI P &amp; L'!#REF!</definedName>
    <definedName name="BExVZJQVO5LQ0BJH5JEN5NOBIAF6" localSheetId="8" hidden="1">'[3]AMI P &amp; L'!#REF!</definedName>
    <definedName name="BExVZJQVO5LQ0BJH5JEN5NOBIAF6" hidden="1">'[3]AMI P &amp; L'!#REF!</definedName>
    <definedName name="BExVZNXWS91RD7NXV5NE2R3C8WW7" hidden="1">'[2]Reco Sheet for Fcast'!$I$8:$J$8</definedName>
    <definedName name="BExVZYQCU2I82W5UAYV4GQJ2JL8U" hidden="1">'[2]Reco Sheet for Fcast'!$J$2:$K$2</definedName>
    <definedName name="BExW02MMAYD9RIPXIGRXIWU01SWU" localSheetId="5" hidden="1">'[5]Capital orders'!#REF!</definedName>
    <definedName name="BExW02MMAYD9RIPXIGRXIWU01SWU" localSheetId="8" hidden="1">'[5]Capital orders'!#REF!</definedName>
    <definedName name="BExW02MMAYD9RIPXIGRXIWU01SWU" hidden="1">'[5]Capital orders'!#REF!</definedName>
    <definedName name="BExW0386REQRCQCVT9BCX80UPTRY" hidden="1">'[2]Reco Sheet for Fcast'!$K$2</definedName>
    <definedName name="BExW0CIOA9SK0V6OKKWTZOS8F5C5" hidden="1">'[4]Bud Mth'!$I$6:$J$6</definedName>
    <definedName name="BExW0FYP4WXY71CYUG40SUBG9UWU" hidden="1">'[2]Reco Sheet for Fcast'!$H$2:$I$2</definedName>
    <definedName name="BExW0RI61B4VV0ARXTFVBAWRA1C5" hidden="1">'[2]Reco Sheet for Fcast'!$F$9:$G$9</definedName>
    <definedName name="BExW1BVUYQTKMOR56MW7RVRX4L1L" hidden="1">'[2]Reco Sheet for Fcast'!$F$15</definedName>
    <definedName name="BExW1F1220628FOMTW5UAATHRJHK" hidden="1">'[2]Reco Sheet for Fcast'!$F$8:$G$8</definedName>
    <definedName name="BExW1RX03DZ35EAWTOIKB7PS5VV7" localSheetId="5" hidden="1">#REF!</definedName>
    <definedName name="BExW1RX03DZ35EAWTOIKB7PS5VV7" localSheetId="8" hidden="1">#REF!</definedName>
    <definedName name="BExW1RX03DZ35EAWTOIKB7PS5VV7" hidden="1">#REF!</definedName>
    <definedName name="BExW1TKA0Z9OP2DTG50GZR5EG8C7" hidden="1">'[2]Reco Sheet for Fcast'!$K$2</definedName>
    <definedName name="BExW1U0JLKQ094DW5MMOI8UHO09V" hidden="1">'[2]Reco Sheet for Fcast'!$I$8:$J$8</definedName>
    <definedName name="BExW283NP9D366XFPXLGSCI5UB0L" hidden="1">'[2]Reco Sheet for Fcast'!$F$6:$G$6</definedName>
    <definedName name="BExW2H3C8WJSBW5FGTFKVDVJC4CL" hidden="1">'[2]Reco Sheet for Fcast'!$I$7:$J$7</definedName>
    <definedName name="BExW2MSCKPGF5K3I7TL4KF5ISUOL" hidden="1">'[2]Reco Sheet for Fcast'!$F$15</definedName>
    <definedName name="BExW2NJ8EILHC8GHK3EOST8J05U0" hidden="1">'[2]Reco Sheet for Fcast'!$I$8:$J$8</definedName>
    <definedName name="BExW2SMO90FU9W8DVVES6Q4E6BZR" hidden="1">'[2]Reco Sheet for Fcast'!$F$6:$G$6</definedName>
    <definedName name="BExW2ZITSE40OUTU5LH01FV5JEA3" localSheetId="5" hidden="1">'[3]AMI P &amp; L'!#REF!</definedName>
    <definedName name="BExW2ZITSE40OUTU5LH01FV5JEA3" localSheetId="8" hidden="1">'[3]AMI P &amp; L'!#REF!</definedName>
    <definedName name="BExW2ZITSE40OUTU5LH01FV5JEA3" hidden="1">'[3]AMI P &amp; L'!#REF!</definedName>
    <definedName name="BExW36V9N91OHCUMGWJQL3I5P4JK" hidden="1">'[2]Reco Sheet for Fcast'!$F$15</definedName>
    <definedName name="BExW3E7HW3NMLQEPIHSOP33UGJEC" hidden="1">'[4]Bud Mth'!$E$1</definedName>
    <definedName name="BExW3EIBA1J9Q9NA9VCGZGRS8WV7" hidden="1">'[2]Reco Sheet for Fcast'!$F$9:$G$9</definedName>
    <definedName name="BExW3FEO8FI8N6AGQKYEG4SQVJWB" hidden="1">'[2]Reco Sheet for Fcast'!$K$2</definedName>
    <definedName name="BExW3GB28STOMJUSZEIA7YKYNS4Y" hidden="1">'[2]Reco Sheet for Fcast'!$H$2:$I$2</definedName>
    <definedName name="BExW3T1K638HT5E0Y8MMK108P5JT" hidden="1">'[2]Reco Sheet for Fcast'!$F$6:$G$6</definedName>
    <definedName name="BExW4217ZHL9VO39POSTJOD090WU" hidden="1">'[2]Reco Sheet for Fcast'!$F$6:$G$6</definedName>
    <definedName name="BExW4GPW71EBF8XPS2QGVQHBCDX3" hidden="1">'[2]Reco Sheet for Fcast'!$H$2:$I$2</definedName>
    <definedName name="BExW4JKC5837JBPCOJV337ZVYYY3" hidden="1">'[2]Reco Sheet for Fcast'!$G$2</definedName>
    <definedName name="BExW4QR9FV9MP5K610THBSM51RYO" hidden="1">'[2]Reco Sheet for Fcast'!$H$2:$I$2</definedName>
    <definedName name="BExW4Z029R9E19ZENN3WEA3VDAD1" hidden="1">'[2]Reco Sheet for Fcast'!$G$2</definedName>
    <definedName name="BExW4ZLNV6FJGQP2WOU4NKG3GNYO" localSheetId="5" hidden="1">#REF!</definedName>
    <definedName name="BExW4ZLNV6FJGQP2WOU4NKG3GNYO" localSheetId="8" hidden="1">#REF!</definedName>
    <definedName name="BExW4ZLNV6FJGQP2WOU4NKG3GNYO" hidden="1">#REF!</definedName>
    <definedName name="BExW5AZNT6IAZGNF2C879ODHY1B8" hidden="1">'[2]Reco Sheet for Fcast'!$F$11:$G$11</definedName>
    <definedName name="BExW5FMU99PBR9I4QY9LWERMXPCD" hidden="1">'[4]Bud Mth'!$J$2:$K$2</definedName>
    <definedName name="BExW5WPU27WD4NWZOT0ZEJIDLX5J" hidden="1">'[2]Reco Sheet for Fcast'!$I$6:$J$6</definedName>
    <definedName name="BExW660AV1TUV2XNUPD65RZR3QOO" hidden="1">'[2]Reco Sheet for Fcast'!$F$9:$G$9</definedName>
    <definedName name="BExW66LVVZK656PQY1257QMHP2AY" localSheetId="5" hidden="1">'[3]AMI P &amp; L'!#REF!</definedName>
    <definedName name="BExW66LVVZK656PQY1257QMHP2AY" localSheetId="8" hidden="1">'[3]AMI P &amp; L'!#REF!</definedName>
    <definedName name="BExW66LVVZK656PQY1257QMHP2AY" hidden="1">'[3]AMI P &amp; L'!#REF!</definedName>
    <definedName name="BExW6AY8KWN3C31NX1MZHXBFTSK7" localSheetId="5" hidden="1">#REF!</definedName>
    <definedName name="BExW6AY8KWN3C31NX1MZHXBFTSK7" localSheetId="8" hidden="1">#REF!</definedName>
    <definedName name="BExW6AY8KWN3C31NX1MZHXBFTSK7" hidden="1">#REF!</definedName>
    <definedName name="BExW6EJPHAP1TWT380AZLXNHR22P" hidden="1">'[2]Reco Sheet for Fcast'!$I$7:$J$7</definedName>
    <definedName name="BExW6G1PJ38H10DVLL8WPQ736OEB" hidden="1">'[2]Reco Sheet for Fcast'!$I$6:$J$6</definedName>
    <definedName name="BExW75OA5AS517IHUYDHRJXDDOWS" hidden="1">'[2]Reco Sheet for Fcast'!$J$2:$K$2</definedName>
    <definedName name="BExW794A74Z5F2K8LVQLD6VSKXUE" hidden="1">'[2]Reco Sheet for Fcast'!$F$8:$G$8</definedName>
    <definedName name="BExW7H7MHCUHD1MA5VUKYPO21U2I" localSheetId="5" hidden="1">#REF!</definedName>
    <definedName name="BExW7H7MHCUHD1MA5VUKYPO21U2I" localSheetId="8" hidden="1">#REF!</definedName>
    <definedName name="BExW7H7MHCUHD1MA5VUKYPO21U2I" hidden="1">#REF!</definedName>
    <definedName name="BExW7O3S5FIOKIM535S9J7PKA52A" localSheetId="5" hidden="1">#REF!</definedName>
    <definedName name="BExW7O3S5FIOKIM535S9J7PKA52A" localSheetId="8" hidden="1">#REF!</definedName>
    <definedName name="BExW7O3S5FIOKIM535S9J7PKA52A" hidden="1">#REF!</definedName>
    <definedName name="BExW7RUK8CJ81J4KZCOOP63WMXTX" hidden="1">'[2]Reco Sheet for Fcast'!$I$9:$J$9</definedName>
    <definedName name="BExW886OBR91JIW5EKLII4CQO6E4" hidden="1">'[2]Reco Sheet for Fcast'!$F$8:$G$8</definedName>
    <definedName name="BExW8AFIEPGHQDY6PZGJPQ7YFTB1" localSheetId="5" hidden="1">#REF!</definedName>
    <definedName name="BExW8AFIEPGHQDY6PZGJPQ7YFTB1" localSheetId="8" hidden="1">#REF!</definedName>
    <definedName name="BExW8AFIEPGHQDY6PZGJPQ7YFTB1" hidden="1">#REF!</definedName>
    <definedName name="BExW8K0SSIPSKBVP06IJ71600HJZ" hidden="1">'[2]Reco Sheet for Fcast'!$H$2:$I$2</definedName>
    <definedName name="BExW8T0GVY3ZYO4ACSBLHS8SH895" hidden="1">'[2]Reco Sheet for Fcast'!$F$15</definedName>
    <definedName name="BExW8YEP73JMMU9HZ08PM4WHJQZ4" hidden="1">'[2]Reco Sheet for Fcast'!$I$8:$J$8</definedName>
    <definedName name="BExW937AT53OZQRHNWQZ5BVH24IE" hidden="1">'[2]Reco Sheet for Fcast'!$I$11:$J$11</definedName>
    <definedName name="BExW95LN5N0LYFFVP7GJEGDVDLF0" hidden="1">'[2]Reco Sheet for Fcast'!$G$2</definedName>
    <definedName name="BExW967733Q8RAJOHR2GJ3HO8JIW" hidden="1">'[2]Reco Sheet for Fcast'!$I$6:$J$6</definedName>
    <definedName name="BExW9POK1KIOI0ALS5MZIKTDIYMA" hidden="1">'[2]Reco Sheet for Fcast'!$I$10:$J$10</definedName>
    <definedName name="BExXLDE6PN4ESWT3LXJNQCY94NE4" localSheetId="5" hidden="1">'[3]AMI P &amp; L'!#REF!</definedName>
    <definedName name="BExXLDE6PN4ESWT3LXJNQCY94NE4" localSheetId="8" hidden="1">'[3]AMI P &amp; L'!#REF!</definedName>
    <definedName name="BExXLDE6PN4ESWT3LXJNQCY94NE4" hidden="1">'[3]AMI P &amp; L'!#REF!</definedName>
    <definedName name="BExXLQVPK2H3IF0NDDA5CT612EUK" hidden="1">'[2]Reco Sheet for Fcast'!$I$6:$J$6</definedName>
    <definedName name="BExXLR6IO70TYTACKQH9M5PGV24J" hidden="1">'[2]Reco Sheet for Fcast'!$F$11:$G$11</definedName>
    <definedName name="BExXM065WOLYRYHGHOJE0OOFXA4M" localSheetId="5" hidden="1">'[3]AMI P &amp; L'!#REF!</definedName>
    <definedName name="BExXM065WOLYRYHGHOJE0OOFXA4M" localSheetId="8" hidden="1">'[3]AMI P &amp; L'!#REF!</definedName>
    <definedName name="BExXM065WOLYRYHGHOJE0OOFXA4M" hidden="1">'[3]AMI P &amp; L'!#REF!</definedName>
    <definedName name="BExXM3GUNXVDM82KUR17NNUMQCNI" hidden="1">'[2]Reco Sheet for Fcast'!$F$7:$G$7</definedName>
    <definedName name="BExXMA28M8SH7MKIGETSDA72WUIZ" hidden="1">'[2]Reco Sheet for Fcast'!$I$9:$J$9</definedName>
    <definedName name="BExXMJYBFUWD4HN6WTKX2CX41JCA" hidden="1">'[2]Reco Sheet for Fcast'!$I$10:$J$10</definedName>
    <definedName name="BExXMOLHIAHDLFSA31PUB36SC3I9" hidden="1">'[2]Reco Sheet for Fcast'!$G$2</definedName>
    <definedName name="BExXMT8T5Z3M2JBQN65X2LKH0YQI" hidden="1">'[2]Reco Sheet for Fcast'!$I$7:$J$7</definedName>
    <definedName name="BExXN1XNO7H60M9X1E7EVWFJDM5N" hidden="1">'[2]Reco Sheet for Fcast'!$I$7:$J$7</definedName>
    <definedName name="BExXN22ZOTIW49GPLWFYKVM90FNZ" hidden="1">'[2]Reco Sheet for Fcast'!$F$6:$G$6</definedName>
    <definedName name="BExXN6QAP8UJQVN4R4BQKPP4QK35" hidden="1">'[2]Reco Sheet for Fcast'!$F$7:$G$7</definedName>
    <definedName name="BExXNBOA39T2X6Y5Y5GZ5DDNA1AX" hidden="1">'[2]Reco Sheet for Fcast'!$F$8:$G$8</definedName>
    <definedName name="BExXND6872VJ3M2PGT056WQMWBHD" hidden="1">'[2]Reco Sheet for Fcast'!$G$2</definedName>
    <definedName name="BExXNF4F0489IITD5JLD8XFY5JNZ" localSheetId="5" hidden="1">#REF!</definedName>
    <definedName name="BExXNF4F0489IITD5JLD8XFY5JNZ" localSheetId="8" hidden="1">#REF!</definedName>
    <definedName name="BExXNF4F0489IITD5JLD8XFY5JNZ" hidden="1">#REF!</definedName>
    <definedName name="BExXNPM24UN2PGVL9D1TUBFRIKR4" hidden="1">'[2]Reco Sheet for Fcast'!$F$7:$G$7</definedName>
    <definedName name="BExXNWYB165VO9MHARCL5WLCHWS0" localSheetId="5" hidden="1">'[3]AMI P &amp; L'!#REF!</definedName>
    <definedName name="BExXNWYB165VO9MHARCL5WLCHWS0" localSheetId="8" hidden="1">'[3]AMI P &amp; L'!#REF!</definedName>
    <definedName name="BExXNWYB165VO9MHARCL5WLCHWS0" hidden="1">'[3]AMI P &amp; L'!#REF!</definedName>
    <definedName name="BExXO278QHQN8JDK5425EJ615ECC" hidden="1">'[2]Reco Sheet for Fcast'!$F$7:$G$7</definedName>
    <definedName name="BExXO8N5ROLIUVFKV9AVT4EASFRY" localSheetId="5" hidden="1">'[5]Capital orders'!#REF!</definedName>
    <definedName name="BExXO8N5ROLIUVFKV9AVT4EASFRY" localSheetId="8" hidden="1">'[5]Capital orders'!#REF!</definedName>
    <definedName name="BExXO8N5ROLIUVFKV9AVT4EASFRY" hidden="1">'[5]Capital orders'!#REF!</definedName>
    <definedName name="BExXOBHOP0WGFHI2Y9AO4L440UVQ" hidden="1">'[2]Reco Sheet for Fcast'!$F$11:$G$11</definedName>
    <definedName name="BExXOHSAD2NSHOLLMZ2JWA4I3I1R" hidden="1">'[2]Reco Sheet for Fcast'!$I$7:$J$7</definedName>
    <definedName name="BExXOKH8LRQ9BNMQSYR3RTWXFPLJ" localSheetId="5" hidden="1">'[5]Capital orders'!#REF!</definedName>
    <definedName name="BExXOKH8LRQ9BNMQSYR3RTWXFPLJ" localSheetId="8" hidden="1">'[5]Capital orders'!#REF!</definedName>
    <definedName name="BExXOKH8LRQ9BNMQSYR3RTWXFPLJ" hidden="1">'[5]Capital orders'!#REF!</definedName>
    <definedName name="BExXP80B5FGA00JCM7UXKPI3PB7Y" hidden="1">'[2]Reco Sheet for Fcast'!$I$9:$J$9</definedName>
    <definedName name="BExXP85M4WXYVN1UVHUTOEKEG5XS" hidden="1">'[2]Reco Sheet for Fcast'!$F$8:$G$8</definedName>
    <definedName name="BExXPELOTHOAG0OWILLAH94OZV5J" hidden="1">'[2]Reco Sheet for Fcast'!$H$2:$I$2</definedName>
    <definedName name="BExXPLXY0H93MFKJ5WQCZHXQYOUA" localSheetId="5" hidden="1">#REF!</definedName>
    <definedName name="BExXPLXY0H93MFKJ5WQCZHXQYOUA" localSheetId="8" hidden="1">#REF!</definedName>
    <definedName name="BExXPLXY0H93MFKJ5WQCZHXQYOUA" hidden="1">#REF!</definedName>
    <definedName name="BExXPS31W1VD2NMIE4E37LHVDF0L" hidden="1">'[2]Reco Sheet for Fcast'!$F$8:$G$8</definedName>
    <definedName name="BExXPZKYEMVF5JOC14HYOOYQK6JK" hidden="1">'[2]Reco Sheet for Fcast'!$G$2</definedName>
    <definedName name="BExXQ89PA10X79WBWOEP1AJX1OQM" hidden="1">'[2]Reco Sheet for Fcast'!$F$11:$G$11</definedName>
    <definedName name="BExXQCGQGGYSI0LTRVR73MUO50AW" hidden="1">'[2]Reco Sheet for Fcast'!$I$6:$J$6</definedName>
    <definedName name="BExXQEEXFHDQ8DSRAJSB5ET6J004" hidden="1">'[2]Reco Sheet for Fcast'!$F$6:$G$6</definedName>
    <definedName name="BExXQH41O5HZAH8BO6HCFY8YC3TU" localSheetId="5" hidden="1">'[3]AMI P &amp; L'!#REF!</definedName>
    <definedName name="BExXQH41O5HZAH8BO6HCFY8YC3TU" localSheetId="8" hidden="1">'[3]AMI P &amp; L'!#REF!</definedName>
    <definedName name="BExXQH41O5HZAH8BO6HCFY8YC3TU" hidden="1">'[3]AMI P &amp; L'!#REF!</definedName>
    <definedName name="BExXQJIEF5R3QQ6D8HO3NGPU0IQC" hidden="1">'[2]Reco Sheet for Fcast'!$G$2</definedName>
    <definedName name="BExXQR0550UX7PZCHV6RMVWU8PH7" hidden="1">'[4]Bud Mth'!$E$1</definedName>
    <definedName name="BExXQU00K9ER4I1WM7T9J0W1E7ZC" hidden="1">'[2]Reco Sheet for Fcast'!$I$10:$J$10</definedName>
    <definedName name="BExXQU00KOR7XLM8B13DGJ1MIQDY" hidden="1">'[2]Reco Sheet for Fcast'!$F$10:$G$10</definedName>
    <definedName name="BExXQXG18PS8HGBOS03OSTQ0KEYC" hidden="1">'[2]Reco Sheet for Fcast'!$G$2</definedName>
    <definedName name="BExXQXQT4OAFQT5B0YB3USDJOJOB" hidden="1">'[2]Reco Sheet for Fcast'!$I$9:$J$9</definedName>
    <definedName name="BExXR3FSEXAHSXEQNJORWFCPX86N" hidden="1">'[2]Reco Sheet for Fcast'!$I$6:$J$6</definedName>
    <definedName name="BExXR3W3FKYQBLR299HO9RZ70C43" hidden="1">'[2]Reco Sheet for Fcast'!$F$6:$G$6</definedName>
    <definedName name="BExXR46U23CRRBV6IZT982MAEQKI" hidden="1">'[2]Reco Sheet for Fcast'!$I$7:$J$7</definedName>
    <definedName name="BExXR8OKAVX7O70V5IYG2PRKXSTI" hidden="1">'[2]Reco Sheet for Fcast'!$I$7:$J$7</definedName>
    <definedName name="BExXRA6N6XCLQM6XDV724ZIH6G93" hidden="1">'[2]Reco Sheet for Fcast'!$F$10:$G$10</definedName>
    <definedName name="BExXRABZ1CNKCG6K1MR6OUFHF7J9" hidden="1">'[2]Reco Sheet for Fcast'!$F$10:$G$10</definedName>
    <definedName name="BExXRBOFETC0OTJ6WY3VPMFH03VB" hidden="1">'[2]Reco Sheet for Fcast'!$I$8:$J$8</definedName>
    <definedName name="BExXRD13K1S9Y3JGR7CXSONT7RJZ" localSheetId="5" hidden="1">'[3]AMI P &amp; L'!#REF!</definedName>
    <definedName name="BExXRD13K1S9Y3JGR7CXSONT7RJZ" localSheetId="8" hidden="1">'[3]AMI P &amp; L'!#REF!</definedName>
    <definedName name="BExXRD13K1S9Y3JGR7CXSONT7RJZ" hidden="1">'[3]AMI P &amp; L'!#REF!</definedName>
    <definedName name="BExXRIFB4QQ87QIGA9AG0NXP577K" hidden="1">'[2]Reco Sheet for Fcast'!$F$10:$G$10</definedName>
    <definedName name="BExXRIQ2JF2CVTRDQX2D9SPH7FTN" hidden="1">'[2]Reco Sheet for Fcast'!$I$11:$J$11</definedName>
    <definedName name="BExXRLKJ6CS4AJYAEHD0WH96AEBA" localSheetId="5" hidden="1">#REF!</definedName>
    <definedName name="BExXRLKJ6CS4AJYAEHD0WH96AEBA" localSheetId="8" hidden="1">#REF!</definedName>
    <definedName name="BExXRLKJ6CS4AJYAEHD0WH96AEBA" hidden="1">#REF!</definedName>
    <definedName name="BExXRO4A6VUH1F4XV8N1BRJ4896W" localSheetId="5" hidden="1">'[3]AMI P &amp; L'!#REF!</definedName>
    <definedName name="BExXRO4A6VUH1F4XV8N1BRJ4896W" localSheetId="8" hidden="1">'[3]AMI P &amp; L'!#REF!</definedName>
    <definedName name="BExXRO4A6VUH1F4XV8N1BRJ4896W" hidden="1">'[3]AMI P &amp; L'!#REF!</definedName>
    <definedName name="BExXRO9N1SNJZGKD90P4K7FU1J0P" hidden="1">'[2]Reco Sheet for Fcast'!$F$15</definedName>
    <definedName name="BExXRV5QP3Z0KAQ1EQT9JYT2FV0L" hidden="1">'[2]Reco Sheet for Fcast'!$F$10:$G$10</definedName>
    <definedName name="BExXRZ20LZZCW8LVGDK0XETOTSAI" hidden="1">'[2]Reco Sheet for Fcast'!$F$15</definedName>
    <definedName name="BExXS63O4OMWMNXXAODZQFSDG33N" hidden="1">'[2]Reco Sheet for Fcast'!$F$6:$G$6</definedName>
    <definedName name="BExXS702KUBW3EFNSAYMW64C95M3" localSheetId="5" hidden="1">'[5]Capital orders'!#REF!</definedName>
    <definedName name="BExXS702KUBW3EFNSAYMW64C95M3" localSheetId="8" hidden="1">'[5]Capital orders'!#REF!</definedName>
    <definedName name="BExXS702KUBW3EFNSAYMW64C95M3" hidden="1">'[5]Capital orders'!#REF!</definedName>
    <definedName name="BExXSBSP1TOY051HSPEPM0AEIO2M" hidden="1">'[2]Reco Sheet for Fcast'!$F$6:$G$6</definedName>
    <definedName name="BExXSC8RFK5D68FJD2HI4K66SA6I" hidden="1">'[2]Reco Sheet for Fcast'!$F$10:$G$10</definedName>
    <definedName name="BExXSNHC88W4UMXEOIOOATJAIKZO" hidden="1">'[2]Reco Sheet for Fcast'!$I$8:$J$8</definedName>
    <definedName name="BExXSTBS08WIA9TLALV3UQ2Z3MRG" hidden="1">'[2]Reco Sheet for Fcast'!$I$7:$J$7</definedName>
    <definedName name="BExXSVQ2WOJJ73YEO8Q2FK60V4G8" hidden="1">'[2]Reco Sheet for Fcast'!$I$8:$J$8</definedName>
    <definedName name="BExXTA9CMTC19FSCX4UIQBV2C7R9" localSheetId="5" hidden="1">'[5]Capital orders'!#REF!</definedName>
    <definedName name="BExXTA9CMTC19FSCX4UIQBV2C7R9" localSheetId="8" hidden="1">'[5]Capital orders'!#REF!</definedName>
    <definedName name="BExXTA9CMTC19FSCX4UIQBV2C7R9" hidden="1">'[5]Capital orders'!#REF!</definedName>
    <definedName name="BExXTHLRNL82GN7KZY3TOLO508N7" hidden="1">'[2]Reco Sheet for Fcast'!$F$8:$G$8</definedName>
    <definedName name="BExXTIY89DH3YOJMAQ0Q8WTGODVQ" localSheetId="5" hidden="1">#REF!</definedName>
    <definedName name="BExXTIY89DH3YOJMAQ0Q8WTGODVQ" localSheetId="8" hidden="1">#REF!</definedName>
    <definedName name="BExXTIY89DH3YOJMAQ0Q8WTGODVQ" hidden="1">#REF!</definedName>
    <definedName name="BExXTL72MKEQSQH9L2OTFLU8DM2B" hidden="1">'[2]Reco Sheet for Fcast'!$F$8:$G$8</definedName>
    <definedName name="BExXTM3M4RTCRSX7VGAXGQNPP668" hidden="1">'[2]Reco Sheet for Fcast'!$F$7:$G$7</definedName>
    <definedName name="BExXTOCF78J7WY6FOVBRY1N2RBBR" hidden="1">'[2]Reco Sheet for Fcast'!$H$2:$I$2</definedName>
    <definedName name="BExXTP3GYO6Z9RTKKT10XA0UTV3T" hidden="1">'[2]Reco Sheet for Fcast'!$I$8:$J$8</definedName>
    <definedName name="BExXTZKZ4CG92ZQLIRKEXXH9BFIR" hidden="1">'[2]Reco Sheet for Fcast'!$F$7:$G$7</definedName>
    <definedName name="BExXU4J2BM2964GD5UZHM752Q4NS" hidden="1">'[2]Reco Sheet for Fcast'!$F$9:$G$9</definedName>
    <definedName name="BExXU4ZC2TLLQLLN5Z55LSE6D0AG" hidden="1">'[2]Reco Sheet for Fcast'!$O$6:$P$10</definedName>
    <definedName name="BExXU6XDTT7RM93KILIDEYPA9XKF" hidden="1">'[2]Reco Sheet for Fcast'!$I$6:$J$6</definedName>
    <definedName name="BExXU8VLZA7WLPZ3RAQZGNERUD26" localSheetId="5" hidden="1">'[3]AMI P &amp; L'!#REF!</definedName>
    <definedName name="BExXU8VLZA7WLPZ3RAQZGNERUD26" localSheetId="8" hidden="1">'[3]AMI P &amp; L'!#REF!</definedName>
    <definedName name="BExXU8VLZA7WLPZ3RAQZGNERUD26" hidden="1">'[3]AMI P &amp; L'!#REF!</definedName>
    <definedName name="BExXUB9RSLSCNN5ETLXY72DAPZZM" hidden="1">'[2]Reco Sheet for Fcast'!$I$10:$J$10</definedName>
    <definedName name="BExXUEV8QPATH32AX9XYWBHUVOO8" localSheetId="5" hidden="1">#REF!</definedName>
    <definedName name="BExXUEV8QPATH32AX9XYWBHUVOO8" localSheetId="8" hidden="1">#REF!</definedName>
    <definedName name="BExXUEV8QPATH32AX9XYWBHUVOO8" hidden="1">#REF!</definedName>
    <definedName name="BExXUFRM82XQIN2T8KGLDQL1IBQW" hidden="1">'[2]Reco Sheet for Fcast'!$G$2</definedName>
    <definedName name="BExXUFX23FE72H6IM4JSHIQV4VNK" localSheetId="5" hidden="1">#REF!</definedName>
    <definedName name="BExXUFX23FE72H6IM4JSHIQV4VNK" localSheetId="8" hidden="1">#REF!</definedName>
    <definedName name="BExXUFX23FE72H6IM4JSHIQV4VNK" hidden="1">#REF!</definedName>
    <definedName name="BExXUM27VX063JGHF9FYOOLNOP4V" localSheetId="5" hidden="1">#REF!</definedName>
    <definedName name="BExXUM27VX063JGHF9FYOOLNOP4V" localSheetId="8" hidden="1">#REF!</definedName>
    <definedName name="BExXUM27VX063JGHF9FYOOLNOP4V" hidden="1">#REF!</definedName>
    <definedName name="BExXUQEQBF6FI240ZGIF9YXZSRAU" hidden="1">'[2]Reco Sheet for Fcast'!$F$10:$G$10</definedName>
    <definedName name="BExXUYND6EJO7CJ5KRICV4O1JNWK" hidden="1">'[2]Reco Sheet for Fcast'!$F$9:$G$9</definedName>
    <definedName name="BExXV3LG12X440HUOAJXFCK9NX6J" localSheetId="5" hidden="1">#REF!</definedName>
    <definedName name="BExXV3LG12X440HUOAJXFCK9NX6J" localSheetId="8" hidden="1">#REF!</definedName>
    <definedName name="BExXV3LG12X440HUOAJXFCK9NX6J" hidden="1">#REF!</definedName>
    <definedName name="BExXV6FWG4H3S2QEUJZYIXILNGJ7" hidden="1">'[2]Reco Sheet for Fcast'!$F$8:$G$8</definedName>
    <definedName name="BExXVK87BMMO6LHKV0CFDNIQVIBS" hidden="1">'[2]Reco Sheet for Fcast'!$I$11:$J$11</definedName>
    <definedName name="BExXVKZ9WXPGL6IVY6T61IDD771I" hidden="1">'[2]Reco Sheet for Fcast'!$F$8:$G$8</definedName>
    <definedName name="BExXVLVNRJK2QSK3UMZRFRADS2G4" localSheetId="5" hidden="1">'[3]AMI P &amp; L'!#REF!</definedName>
    <definedName name="BExXVLVNRJK2QSK3UMZRFRADS2G4" localSheetId="8" hidden="1">'[3]AMI P &amp; L'!#REF!</definedName>
    <definedName name="BExXVLVNRJK2QSK3UMZRFRADS2G4" hidden="1">'[3]AMI P &amp; L'!#REF!</definedName>
    <definedName name="BExXW27MMXHXUXX78SDTBE1JYTHT" hidden="1">'[2]Reco Sheet for Fcast'!$I$7:$J$7</definedName>
    <definedName name="BExXW2YIM2MYBSHRIX0RP9D4PRMN" hidden="1">'[2]Reco Sheet for Fcast'!$I$6:$J$6</definedName>
    <definedName name="BExXWBNE4KTFSXKVSRF6WX039WPB" hidden="1">'[2]Reco Sheet for Fcast'!$F$9:$G$9</definedName>
    <definedName name="BExXWFP5AYE7EHYTJWBZSQ8PQ0YX" hidden="1">'[2]Reco Sheet for Fcast'!$I$9:$J$9</definedName>
    <definedName name="BExXWLJG5TBEL46BL8CA7MCLGTUZ" localSheetId="5" hidden="1">#REF!</definedName>
    <definedName name="BExXWLJG5TBEL46BL8CA7MCLGTUZ" localSheetId="8" hidden="1">#REF!</definedName>
    <definedName name="BExXWLJG5TBEL46BL8CA7MCLGTUZ" hidden="1">#REF!</definedName>
    <definedName name="BExXWVFIBQT8OY1O41FRFPFGXQHK" hidden="1">'[2]Reco Sheet for Fcast'!$K$2</definedName>
    <definedName name="BExXWWXHBZHA9J3N8K47F84X0M0L" hidden="1">'[2]Reco Sheet for Fcast'!$I$10:$J$10</definedName>
    <definedName name="BExXXBM521DL8R4ZX7NZ3DBCUOR5" localSheetId="5" hidden="1">'[3]AMI P &amp; L'!#REF!</definedName>
    <definedName name="BExXXBM521DL8R4ZX7NZ3DBCUOR5" localSheetId="8" hidden="1">'[3]AMI P &amp; L'!#REF!</definedName>
    <definedName name="BExXXBM521DL8R4ZX7NZ3DBCUOR5" hidden="1">'[3]AMI P &amp; L'!#REF!</definedName>
    <definedName name="BExXXC7OZI33XZ03NRMEP7VRLQK4" hidden="1">'[2]Reco Sheet for Fcast'!$I$7:$J$7</definedName>
    <definedName name="BExXXH5N3NKBQ7BCJPJTBF8CYM2Q" hidden="1">'[2]Reco Sheet for Fcast'!$I$6:$J$6</definedName>
    <definedName name="BExXXKWLM4D541BH6O8GOJMHFHMW" hidden="1">'[2]Reco Sheet for Fcast'!$I$9:$J$9</definedName>
    <definedName name="BExXXPPA1Q87XPI97X0OXCPBPDON" hidden="1">'[2]Reco Sheet for Fcast'!$I$11:$J$11</definedName>
    <definedName name="BExXXVUDA98IZTQ6MANKU4MTTDVR" hidden="1">'[2]Reco Sheet for Fcast'!$I$10:$J$10</definedName>
    <definedName name="BExXXZQNZY6IZI45DJXJK0MQZWA7" localSheetId="5" hidden="1">'[3]AMI P &amp; L'!#REF!</definedName>
    <definedName name="BExXXZQNZY6IZI45DJXJK0MQZWA7" localSheetId="8" hidden="1">'[3]AMI P &amp; L'!#REF!</definedName>
    <definedName name="BExXXZQNZY6IZI45DJXJK0MQZWA7" hidden="1">'[3]AMI P &amp; L'!#REF!</definedName>
    <definedName name="BExXY5QFG6QP94SFT3935OBM8Y4K" hidden="1">'[2]Reco Sheet for Fcast'!$I$7:$J$7</definedName>
    <definedName name="BExXY7TYEBFXRYUYIFHTN65RJ8EW" localSheetId="5" hidden="1">'[3]AMI P &amp; L'!#REF!</definedName>
    <definedName name="BExXY7TYEBFXRYUYIFHTN65RJ8EW" localSheetId="8" hidden="1">'[3]AMI P &amp; L'!#REF!</definedName>
    <definedName name="BExXY7TYEBFXRYUYIFHTN65RJ8EW" hidden="1">'[3]AMI P &amp; L'!#REF!</definedName>
    <definedName name="BExXYCBSIHFUY3BDHNBY5TMPFMGL" localSheetId="5" hidden="1">#REF!</definedName>
    <definedName name="BExXYCBSIHFUY3BDHNBY5TMPFMGL" localSheetId="8" hidden="1">#REF!</definedName>
    <definedName name="BExXYCBSIHFUY3BDHNBY5TMPFMGL" hidden="1">#REF!</definedName>
    <definedName name="BExXYLBHANUXC5FCTDDTGOVD3GQS" hidden="1">'[2]Reco Sheet for Fcast'!$I$8:$J$8</definedName>
    <definedName name="BExXYMNYAYH3WA2ZCFAYKZID9ZCI" hidden="1">'[2]Reco Sheet for Fcast'!$I$9:$J$9</definedName>
    <definedName name="BExXYYT12SVN2VDMLVNV4P3ISD8T" hidden="1">'[2]Reco Sheet for Fcast'!$I$7:$J$7</definedName>
    <definedName name="BExXZ3LNUGA4E1LWS1MPLGG3LXKD" localSheetId="5" hidden="1">#REF!</definedName>
    <definedName name="BExXZ3LNUGA4E1LWS1MPLGG3LXKD" localSheetId="8" hidden="1">#REF!</definedName>
    <definedName name="BExXZ3LNUGA4E1LWS1MPLGG3LXKD" hidden="1">#REF!</definedName>
    <definedName name="BExXZFVV4YB42AZ3H1I40YG3JAPU" hidden="1">'[2]Reco Sheet for Fcast'!$I$11:$J$11</definedName>
    <definedName name="BExXZHJ9T2JELF12CHHGD54J1B0C" hidden="1">'[2]Reco Sheet for Fcast'!$F$7:$G$7</definedName>
    <definedName name="BExXZMBX5F1N53KQHPU92S4B5ZZ4" hidden="1">'[2]Reco Sheet for Fcast'!$E$1</definedName>
    <definedName name="BExXZNJ2X1TK2LRK5ZY3MX49H5T7" hidden="1">'[2]Reco Sheet for Fcast'!$J$2:$K$2</definedName>
    <definedName name="BExXZOVPCEP495TQSON6PSRQ8XCY" localSheetId="5" hidden="1">'[3]AMI P &amp; L'!#REF!</definedName>
    <definedName name="BExXZOVPCEP495TQSON6PSRQ8XCY" localSheetId="8" hidden="1">'[3]AMI P &amp; L'!#REF!</definedName>
    <definedName name="BExXZOVPCEP495TQSON6PSRQ8XCY" hidden="1">'[3]AMI P &amp; L'!#REF!</definedName>
    <definedName name="BExXZS0XCQNYYY1DP75R3PCXFSRH" localSheetId="5" hidden="1">#REF!</definedName>
    <definedName name="BExXZS0XCQNYYY1DP75R3PCXFSRH" localSheetId="8" hidden="1">#REF!</definedName>
    <definedName name="BExXZS0XCQNYYY1DP75R3PCXFSRH" hidden="1">#REF!</definedName>
    <definedName name="BExXZXKH7NBARQQAZM69Z57IH1MM" hidden="1">'[2]Reco Sheet for Fcast'!$F$6:$G$6</definedName>
    <definedName name="BExY06EUGA7EW4VVDQKIUQW4P39O" localSheetId="5" hidden="1">#REF!</definedName>
    <definedName name="BExY06EUGA7EW4VVDQKIUQW4P39O" localSheetId="8" hidden="1">#REF!</definedName>
    <definedName name="BExY06EUGA7EW4VVDQKIUQW4P39O" hidden="1">#REF!</definedName>
    <definedName name="BExY07WSDH5QEVM7BJXJK2ZRAI1O" localSheetId="5" hidden="1">'[3]AMI P &amp; L'!#REF!</definedName>
    <definedName name="BExY07WSDH5QEVM7BJXJK2ZRAI1O" localSheetId="8" hidden="1">'[3]AMI P &amp; L'!#REF!</definedName>
    <definedName name="BExY07WSDH5QEVM7BJXJK2ZRAI1O" hidden="1">'[3]AMI P &amp; L'!#REF!</definedName>
    <definedName name="BExY0BI99V6MXLHXBCSPUL0OPF3M" localSheetId="5" hidden="1">#REF!</definedName>
    <definedName name="BExY0BI99V6MXLHXBCSPUL0OPF3M" localSheetId="8" hidden="1">#REF!</definedName>
    <definedName name="BExY0BI99V6MXLHXBCSPUL0OPF3M" hidden="1">#REF!</definedName>
    <definedName name="BExY0C3UBVC4M59JIRXVQ8OWAJC1" hidden="1">'[2]Reco Sheet for Fcast'!$I$7:$J$7</definedName>
    <definedName name="BExY0OE8GFHMLLTEAFIOQTOPEVPB" hidden="1">'[2]Reco Sheet for Fcast'!$F$8:$G$8</definedName>
    <definedName name="BExY0OJHW85S0VKBA8T4HTYPYBOS" hidden="1">'[2]Reco Sheet for Fcast'!$I$10:$J$10</definedName>
    <definedName name="BExY0T1E034D7XAXNC6F7540LLIE" hidden="1">'[2]Reco Sheet for Fcast'!$F$15</definedName>
    <definedName name="BExY0V4VNPA7ZZUMJNNU0ZHE1KOH" localSheetId="5" hidden="1">#REF!</definedName>
    <definedName name="BExY0V4VNPA7ZZUMJNNU0ZHE1KOH" localSheetId="8" hidden="1">#REF!</definedName>
    <definedName name="BExY0V4VNPA7ZZUMJNNU0ZHE1KOH" hidden="1">#REF!</definedName>
    <definedName name="BExY0XTZLHN49J2JH94BYTKBJLT3" hidden="1">'[2]Reco Sheet for Fcast'!$F$10:$G$10</definedName>
    <definedName name="BExY11FH9TXHERUYGG8FE50U7H7J" hidden="1">'[2]Reco Sheet for Fcast'!$F$10:$G$10</definedName>
    <definedName name="BExY16IWJ7CI1QGWVNBVHPYS9JPN" localSheetId="5" hidden="1">#REF!</definedName>
    <definedName name="BExY16IWJ7CI1QGWVNBVHPYS9JPN" localSheetId="8" hidden="1">#REF!</definedName>
    <definedName name="BExY16IWJ7CI1QGWVNBVHPYS9JPN" hidden="1">#REF!</definedName>
    <definedName name="BExY180UKNW5NIAWD6ZUYTFEH8QS" hidden="1">'[2]Reco Sheet for Fcast'!$F$15</definedName>
    <definedName name="BExY1DPTV4LSY9MEOUGXF8X052NA" hidden="1">'[2]Reco Sheet for Fcast'!$F$7:$G$7</definedName>
    <definedName name="BExY1GK9ELBEKDD7O6HR6DUO8YGO" hidden="1">'[2]Reco Sheet for Fcast'!$I$11:$J$11</definedName>
    <definedName name="BExY1HBBZWCVKT5KEBLCKMKR9LKK" hidden="1">'[2]Reco Sheet for Fcast'!$F$9:$G$9</definedName>
    <definedName name="BExY1NWOXXFV9GGZ3PX444LZ8TVX" hidden="1">'[2]Reco Sheet for Fcast'!$F$10:$G$10</definedName>
    <definedName name="BExY1UCL0RND63LLSM9X5SFRG117" hidden="1">'[2]Reco Sheet for Fcast'!$H$2:$I$2</definedName>
    <definedName name="BExY1WAT3937L08HLHIRQHMP2A3H" hidden="1">'[2]Reco Sheet for Fcast'!$I$10:$J$10</definedName>
    <definedName name="BExY1YEBOSLMID7LURP8QB46AI91" hidden="1">'[2]Reco Sheet for Fcast'!$I$10:$J$10</definedName>
    <definedName name="BExY2FS4LFX9OHOTQT7SJ2PXAC25" hidden="1">'[2]Reco Sheet for Fcast'!$I$10:$J$10</definedName>
    <definedName name="BExY2GDPCZPVU0IQ6IJIB1YQQRQ6" hidden="1">'[2]Reco Sheet for Fcast'!$F$6:$G$6</definedName>
    <definedName name="BExY2GTSZ3VA9TXLY7KW1LIAKJ61" hidden="1">'[2]Reco Sheet for Fcast'!$F$6:$G$6</definedName>
    <definedName name="BExY2IXBR1SGYZH08T7QHKEFS8HA" hidden="1">'[2]Reco Sheet for Fcast'!$F$15</definedName>
    <definedName name="BExY2Q4B5FUDA5VU4VRUHX327QN0" hidden="1">'[2]Reco Sheet for Fcast'!$F$9:$G$9</definedName>
    <definedName name="BExY3HOSK7YI364K15OX70AVR6F1" localSheetId="5" hidden="1">'[3]AMI P &amp; L'!#REF!</definedName>
    <definedName name="BExY3HOSK7YI364K15OX70AVR6F1" localSheetId="8" hidden="1">'[3]AMI P &amp; L'!#REF!</definedName>
    <definedName name="BExY3HOSK7YI364K15OX70AVR6F1" hidden="1">'[3]AMI P &amp; L'!#REF!</definedName>
    <definedName name="BExY3T89AUR83SOAZZ3OMDEJDQ39" hidden="1">'[2]Reco Sheet for Fcast'!$F$10:$G$10</definedName>
    <definedName name="BExY45O3XSWT6MQU6R33GI3YUAUM" localSheetId="5" hidden="1">#REF!</definedName>
    <definedName name="BExY45O3XSWT6MQU6R33GI3YUAUM" localSheetId="8" hidden="1">#REF!</definedName>
    <definedName name="BExY45O3XSWT6MQU6R33GI3YUAUM" hidden="1">#REF!</definedName>
    <definedName name="BExY4ET3RLNWSSJL6DIXQZOTATID" hidden="1">'[4]Bud Mth'!$G$2:$H$2</definedName>
    <definedName name="BExY4MG771JQ84EMIVB6HQGGHZY7" hidden="1">'[2]Reco Sheet for Fcast'!$H$2:$I$2</definedName>
    <definedName name="BExY4PWCSFB8P3J3TBQB2MD67263" hidden="1">'[2]Reco Sheet for Fcast'!$I$8:$J$8</definedName>
    <definedName name="BExY4RZW3KK11JLYBA4DWZ92M6LQ" hidden="1">'[2]Reco Sheet for Fcast'!$I$11:$J$11</definedName>
    <definedName name="BExY4XOVTTNVZ577RLIEC7NZQFIX" hidden="1">'[2]Reco Sheet for Fcast'!$F$7:$G$7</definedName>
    <definedName name="BExY50JAF5CG01GTHAUS7I4ZLUDC" hidden="1">'[2]Reco Sheet for Fcast'!$I$8:$J$8</definedName>
    <definedName name="BExY53J7EXFEOFTRNAHLK7IH3ACB" hidden="1">'[2]Reco Sheet for Fcast'!$F$8:$G$8</definedName>
    <definedName name="BExY5515SJTJS3VM80M3YYR0WF37" hidden="1">'[2]Reco Sheet for Fcast'!$F$15:$G$16</definedName>
    <definedName name="BExY5515WE39FQ3EG5QHG67V9C0O" hidden="1">'[2]Reco Sheet for Fcast'!$F$11:$G$11</definedName>
    <definedName name="BExY5986WNAD8NFCPXC9TVLBU4FG" hidden="1">'[2]Reco Sheet for Fcast'!$K$2</definedName>
    <definedName name="BExY5DF9MS25IFNWGJ1YAS5MDN8R" hidden="1">'[2]Reco Sheet for Fcast'!$K$2</definedName>
    <definedName name="BExY5ERVGL3UM2MGT8LJ0XPKTZEK" hidden="1">'[2]Reco Sheet for Fcast'!$I$7:$J$7</definedName>
    <definedName name="BExY5EX6NJFK8W754ZVZDN5DS04K" hidden="1">'[2]Reco Sheet for Fcast'!$I$6:$J$6</definedName>
    <definedName name="BExY5S3XD1NJT109CV54IFOHVLQ6" hidden="1">'[2]Reco Sheet for Fcast'!$F$9:$G$9</definedName>
    <definedName name="BExY5V3UFTA5NUDN1GI8BVHFL1ZK" localSheetId="5" hidden="1">'[5]Capital orders'!#REF!</definedName>
    <definedName name="BExY5V3UFTA5NUDN1GI8BVHFL1ZK" localSheetId="8" hidden="1">'[5]Capital orders'!#REF!</definedName>
    <definedName name="BExY5V3UFTA5NUDN1GI8BVHFL1ZK" hidden="1">'[5]Capital orders'!#REF!</definedName>
    <definedName name="BExY6KVS1MMZ2R34PGEFR2BMTU9W" hidden="1">'[2]Reco Sheet for Fcast'!$I$11:$J$11</definedName>
    <definedName name="BExY6Q9YY7LW745GP7CYOGGSPHGE" hidden="1">'[2]Reco Sheet for Fcast'!$F$6:$G$6</definedName>
    <definedName name="BExZIA3C8LKJTEH3MKQ57KJH5TA2" hidden="1">'[2]Reco Sheet for Fcast'!$I$11:$J$11</definedName>
    <definedName name="BExZIIHH3QNQE3GFMHEE4UMHY6WQ" hidden="1">'[2]Reco Sheet for Fcast'!$F$6:$G$6</definedName>
    <definedName name="BExZIYO22G5UXOB42GDLYGVRJ6U7" hidden="1">'[2]Reco Sheet for Fcast'!$F$11:$G$11</definedName>
    <definedName name="BExZJ7CYXTDLM412P6E5FAC4YB5M" hidden="1">'[2]Reco Sheet for Fcast'!$F$15:$AI$18</definedName>
    <definedName name="BExZJ7I9T8XU4MZRKJ1VVU76V2LZ" hidden="1">'[2]Reco Sheet for Fcast'!$F$15</definedName>
    <definedName name="BExZJMY170JCUU1RWASNZ1HJPRTA" hidden="1">'[2]Reco Sheet for Fcast'!$F$8:$G$8</definedName>
    <definedName name="BExZJOQR77H0P4SUKVYACDCFBBXO" hidden="1">'[2]Reco Sheet for Fcast'!$I$6:$J$6</definedName>
    <definedName name="BExZJS6RG34ODDY9HMZ0O34MEMSB" hidden="1">'[2]Reco Sheet for Fcast'!$I$8:$J$8</definedName>
    <definedName name="BExZJWDUEYTV7TBR6HSM97T24VTT" localSheetId="5" hidden="1">#REF!</definedName>
    <definedName name="BExZJWDUEYTV7TBR6HSM97T24VTT" localSheetId="8" hidden="1">#REF!</definedName>
    <definedName name="BExZJWDUEYTV7TBR6HSM97T24VTT" hidden="1">#REF!</definedName>
    <definedName name="BExZK34NR4BAD7HJAP7SQ926UQP3" hidden="1">'[2]Reco Sheet for Fcast'!$F$11:$G$11</definedName>
    <definedName name="BExZK3FGPHH5H771U7D5XY7XBS6E" localSheetId="5" hidden="1">'[3]AMI P &amp; L'!#REF!</definedName>
    <definedName name="BExZK3FGPHH5H771U7D5XY7XBS6E" localSheetId="8" hidden="1">'[3]AMI P &amp; L'!#REF!</definedName>
    <definedName name="BExZK3FGPHH5H771U7D5XY7XBS6E" hidden="1">'[3]AMI P &amp; L'!#REF!</definedName>
    <definedName name="BExZKHYORG3O8C772XPFHM1N8T80" localSheetId="5" hidden="1">'[3]AMI P &amp; L'!#REF!</definedName>
    <definedName name="BExZKHYORG3O8C772XPFHM1N8T80" localSheetId="8" hidden="1">'[3]AMI P &amp; L'!#REF!</definedName>
    <definedName name="BExZKHYORG3O8C772XPFHM1N8T80" hidden="1">'[3]AMI P &amp; L'!#REF!</definedName>
    <definedName name="BExZKJRF2IRR57DG9CLC7MSHWNNN" hidden="1">'[2]Reco Sheet for Fcast'!$F$8:$G$8</definedName>
    <definedName name="BExZKV5GYXO0X760SBD9TWTIQHGI" hidden="1">'[2]Reco Sheet for Fcast'!$F$10:$G$10</definedName>
    <definedName name="BExZL6E4YVXRUN7ZGF2BIGIXFR8K" localSheetId="5" hidden="1">'[3]AMI P &amp; L'!#REF!</definedName>
    <definedName name="BExZL6E4YVXRUN7ZGF2BIGIXFR8K" localSheetId="8" hidden="1">'[3]AMI P &amp; L'!#REF!</definedName>
    <definedName name="BExZL6E4YVXRUN7ZGF2BIGIXFR8K" hidden="1">'[3]AMI P &amp; L'!#REF!</definedName>
    <definedName name="BExZLGVLMKTPFXG42QYT0PO81G7F" hidden="1">'[2]Reco Sheet for Fcast'!$F$9:$G$9</definedName>
    <definedName name="BExZLKMK7LRK14S09WLMH7MXSQXM" hidden="1">'[2]Reco Sheet for Fcast'!$F$7:$G$7</definedName>
    <definedName name="BExZM7JVLG0W8EG5RBU915U3SKBY" hidden="1">'[2]Reco Sheet for Fcast'!$F$7:$G$7</definedName>
    <definedName name="BExZM85FOVUFF110XMQ9O2ODSJUK" hidden="1">'[2]Reco Sheet for Fcast'!$I$7:$J$7</definedName>
    <definedName name="BExZMF1MMTZ1TA14PZ8ASSU2CBSP" hidden="1">'[2]Reco Sheet for Fcast'!$I$8:$J$8</definedName>
    <definedName name="BExZMKL5YQZD7F0FUCSVFGLPFK52" hidden="1">'[2]Reco Sheet for Fcast'!$F$9:$G$9</definedName>
    <definedName name="BExZMOC3VNZALJM71X2T6FV91GTB" hidden="1">'[2]Reco Sheet for Fcast'!$I$8:$J$8</definedName>
    <definedName name="BExZMXH39OB0I43XEL3K11U3G9PM" hidden="1">'[2]Reco Sheet for Fcast'!$I$6:$J$6</definedName>
    <definedName name="BExZMZQ3RBKDHT5GLFNLS52OSJA0" hidden="1">'[2]Reco Sheet for Fcast'!$F$11:$G$11</definedName>
    <definedName name="BExZN2F7Y2J2L2LN5WZRG949MS4A" hidden="1">'[2]Reco Sheet for Fcast'!$F$6:$G$6</definedName>
    <definedName name="BExZN847WUWKRYTZWG9TCQZJS3OL" hidden="1">'[2]Reco Sheet for Fcast'!$I$6:$J$6</definedName>
    <definedName name="BExZNH3VISFF4NQI11BZDP5IQ7VG" hidden="1">'[2]Reco Sheet for Fcast'!$F$6:$G$6</definedName>
    <definedName name="BExZNJYCFYVMAOI62GB2BABK1ELE" hidden="1">'[2]Reco Sheet for Fcast'!$I$8:$J$8</definedName>
    <definedName name="BExZNMCNFLS6EUF357U7TXQ4U84V" localSheetId="5" hidden="1">'[5]Capital orders'!#REF!</definedName>
    <definedName name="BExZNMCNFLS6EUF357U7TXQ4U84V" localSheetId="8" hidden="1">'[5]Capital orders'!#REF!</definedName>
    <definedName name="BExZNMCNFLS6EUF357U7TXQ4U84V" hidden="1">'[5]Capital orders'!#REF!</definedName>
    <definedName name="BExZNV707LIU6Z5H6QI6H67LHTI1" hidden="1">'[2]Reco Sheet for Fcast'!$F$9:$G$9</definedName>
    <definedName name="BExZNVCBKB930QQ9QW7KSGOZ0V1M" hidden="1">'[2]Reco Sheet for Fcast'!$I$9:$J$9</definedName>
    <definedName name="BExZNW8QJ18X0RSGFDWAE9ZSDX39" hidden="1">'[2]Reco Sheet for Fcast'!$H$2:$I$2</definedName>
    <definedName name="BExZNZDWRS6Q40L8OCWFEIVI0A1O" hidden="1">'[2]Reco Sheet for Fcast'!$I$6:$J$6</definedName>
    <definedName name="BExZO8TVZX68PZ4ENQ8QOILK16OS" localSheetId="5" hidden="1">#REF!</definedName>
    <definedName name="BExZO8TVZX68PZ4ENQ8QOILK16OS" localSheetId="8" hidden="1">#REF!</definedName>
    <definedName name="BExZO8TVZX68PZ4ENQ8QOILK16OS" hidden="1">#REF!</definedName>
    <definedName name="BExZOAH4GDULQO35ZGF099VIFGNC" localSheetId="5" hidden="1">#REF!</definedName>
    <definedName name="BExZOAH4GDULQO35ZGF099VIFGNC" localSheetId="8" hidden="1">#REF!</definedName>
    <definedName name="BExZOAH4GDULQO35ZGF099VIFGNC" hidden="1">#REF!</definedName>
    <definedName name="BExZOBO9NYLGVJQ31LVQ9XS2ZT4N" hidden="1">'[2]Reco Sheet for Fcast'!$I$10:$J$10</definedName>
    <definedName name="BExZOETNB1CJ3Y2RKLI1ZK0S8Z6H" hidden="1">'[2]Reco Sheet for Fcast'!$I$10:$J$10</definedName>
    <definedName name="BExZOREMVSK4E5VSWM838KHUB8AI" hidden="1">'[2]Reco Sheet for Fcast'!$I$6:$J$6</definedName>
    <definedName name="BExZOVR745T5P1KS9NV2PXZPZVRG" hidden="1">'[2]Reco Sheet for Fcast'!$I$11:$J$11</definedName>
    <definedName name="BExZOZSWGLSY2XYVRIS6VSNJDSGD" hidden="1">'[2]Reco Sheet for Fcast'!$I$8:$J$8</definedName>
    <definedName name="BExZP7AIJKLM6C6CSUIIFAHFBNX2" hidden="1">'[2]Reco Sheet for Fcast'!$G$2</definedName>
    <definedName name="BExZPIU08CG16AZ72BD0PB5ISUQE" localSheetId="5" hidden="1">'[5]Capital orders'!#REF!</definedName>
    <definedName name="BExZPIU08CG16AZ72BD0PB5ISUQE" localSheetId="8" hidden="1">'[5]Capital orders'!#REF!</definedName>
    <definedName name="BExZPIU08CG16AZ72BD0PB5ISUQE" hidden="1">'[5]Capital orders'!#REF!</definedName>
    <definedName name="BExZPQ0XY507N8FJMVPKCTK8HC9H" hidden="1">'[2]Reco Sheet for Fcast'!$K$2</definedName>
    <definedName name="BExZQ37OVBR25U32CO2YYVPZOMR5" hidden="1">'[2]Reco Sheet for Fcast'!$K$2</definedName>
    <definedName name="BExZQ3NT7H06VO0AR48WHZULZB93" hidden="1">'[2]Reco Sheet for Fcast'!$I$8:$J$8</definedName>
    <definedName name="BExZQ7PJU07SEJMDX18U9YVDC2GU" hidden="1">'[2]Reco Sheet for Fcast'!$F$6:$G$6</definedName>
    <definedName name="BExZQBLMR2P2GZNI8IW6QBSS5ZV9" localSheetId="5" hidden="1">'[5]Capital orders'!#REF!</definedName>
    <definedName name="BExZQBLMR2P2GZNI8IW6QBSS5ZV9" localSheetId="8" hidden="1">'[5]Capital orders'!#REF!</definedName>
    <definedName name="BExZQBLMR2P2GZNI8IW6QBSS5ZV9" hidden="1">'[5]Capital orders'!#REF!</definedName>
    <definedName name="BExZQIHTGHK7OOI2Y2PN3JYBY82I" localSheetId="5" hidden="1">'[3]AMI P &amp; L'!#REF!</definedName>
    <definedName name="BExZQIHTGHK7OOI2Y2PN3JYBY82I" localSheetId="8" hidden="1">'[3]AMI P &amp; L'!#REF!</definedName>
    <definedName name="BExZQIHTGHK7OOI2Y2PN3JYBY82I" hidden="1">'[3]AMI P &amp; L'!#REF!</definedName>
    <definedName name="BExZQJJMGU5MHQOILGXGJPAQI5XI" localSheetId="5" hidden="1">'[3]AMI P &amp; L'!#REF!</definedName>
    <definedName name="BExZQJJMGU5MHQOILGXGJPAQI5XI" localSheetId="8" hidden="1">'[3]AMI P &amp; L'!#REF!</definedName>
    <definedName name="BExZQJJMGU5MHQOILGXGJPAQI5XI" hidden="1">'[3]AMI P &amp; L'!#REF!</definedName>
    <definedName name="BExZQP3CUHU0IRXBVRJLP1KYRDVE" localSheetId="5" hidden="1">#REF!</definedName>
    <definedName name="BExZQP3CUHU0IRXBVRJLP1KYRDVE" localSheetId="8" hidden="1">#REF!</definedName>
    <definedName name="BExZQP3CUHU0IRXBVRJLP1KYRDVE" hidden="1">#REF!</definedName>
    <definedName name="BExZQRHGZ7WP7RQ2CX0H6W1CIP9U" localSheetId="5" hidden="1">#REF!</definedName>
    <definedName name="BExZQRHGZ7WP7RQ2CX0H6W1CIP9U" localSheetId="8" hidden="1">#REF!</definedName>
    <definedName name="BExZQRHGZ7WP7RQ2CX0H6W1CIP9U" hidden="1">#REF!</definedName>
    <definedName name="BExZQWFMANQLA8Z37ZECN1VLXVSB" localSheetId="5" hidden="1">#REF!</definedName>
    <definedName name="BExZQWFMANQLA8Z37ZECN1VLXVSB" localSheetId="8" hidden="1">#REF!</definedName>
    <definedName name="BExZQWFMANQLA8Z37ZECN1VLXVSB" hidden="1">#REF!</definedName>
    <definedName name="BExZQXBYEBN28QUH1KOVW6KKA5UM" hidden="1">'[2]Reco Sheet for Fcast'!$F$15</definedName>
    <definedName name="BExZQZKT146WEN8FTVZ7Y5TSB8L5" localSheetId="5" hidden="1">'[3]AMI P &amp; L'!#REF!</definedName>
    <definedName name="BExZQZKT146WEN8FTVZ7Y5TSB8L5" localSheetId="8" hidden="1">'[3]AMI P &amp; L'!#REF!</definedName>
    <definedName name="BExZQZKT146WEN8FTVZ7Y5TSB8L5" hidden="1">'[3]AMI P &amp; L'!#REF!</definedName>
    <definedName name="BExZR485AKBH93YZ08CMUC3WROED" hidden="1">'[2]Reco Sheet for Fcast'!$I$10:$J$10</definedName>
    <definedName name="BExZR7TL98P2PPUVGIZYR5873DWW" hidden="1">'[2]Reco Sheet for Fcast'!$F$9:$G$9</definedName>
    <definedName name="BExZRGD1603X5ACFALUUDKCD7X48" hidden="1">'[2]Reco Sheet for Fcast'!$I$9:$J$9</definedName>
    <definedName name="BExZRP1X6UVLN1UOLHH5VF4STP1O" localSheetId="5" hidden="1">'[3]AMI P &amp; L'!#REF!</definedName>
    <definedName name="BExZRP1X6UVLN1UOLHH5VF4STP1O" localSheetId="8" hidden="1">'[3]AMI P &amp; L'!#REF!</definedName>
    <definedName name="BExZRP1X6UVLN1UOLHH5VF4STP1O" hidden="1">'[3]AMI P &amp; L'!#REF!</definedName>
    <definedName name="BExZRQ930U6OCYNV00CH5I0Q4LPE" hidden="1">'[2]Reco Sheet for Fcast'!$I$8:$J$8</definedName>
    <definedName name="BExZRW8W514W8OZ72YBONYJ64GXF" localSheetId="5" hidden="1">'[3]AMI P &amp; L'!#REF!</definedName>
    <definedName name="BExZRW8W514W8OZ72YBONYJ64GXF" localSheetId="8" hidden="1">'[3]AMI P &amp; L'!#REF!</definedName>
    <definedName name="BExZRW8W514W8OZ72YBONYJ64GXF" hidden="1">'[3]AMI P &amp; L'!#REF!</definedName>
    <definedName name="BExZRWJP2BUVFJPO8U8ATQEP0LZU" hidden="1">'[2]Reco Sheet for Fcast'!$F$15</definedName>
    <definedName name="BExZRZUBL5A1WH7YZJXBZG8HPWC7" localSheetId="5" hidden="1">#REF!</definedName>
    <definedName name="BExZRZUBL5A1WH7YZJXBZG8HPWC7" localSheetId="8" hidden="1">#REF!</definedName>
    <definedName name="BExZRZUBL5A1WH7YZJXBZG8HPWC7" hidden="1">#REF!</definedName>
    <definedName name="BExZSI9USDLZAN8LI8M4YYQL24GZ" hidden="1">'[2]Reco Sheet for Fcast'!$F$7:$G$7</definedName>
    <definedName name="BExZSS0LA2JY4ZLJ1Z5YCMLJJZCH" hidden="1">'[2]Reco Sheet for Fcast'!$F$11:$G$11</definedName>
    <definedName name="BExZT394ULBLT8EUHBM7KV741HQI" localSheetId="5" hidden="1">#REF!</definedName>
    <definedName name="BExZT394ULBLT8EUHBM7KV741HQI" localSheetId="8" hidden="1">#REF!</definedName>
    <definedName name="BExZT394ULBLT8EUHBM7KV741HQI" hidden="1">#REF!</definedName>
    <definedName name="BExZTAQV2QVSZY5Y3VCCWUBSBW9P" localSheetId="5" hidden="1">'[3]AMI P &amp; L'!#REF!</definedName>
    <definedName name="BExZTAQV2QVSZY5Y3VCCWUBSBW9P" localSheetId="8" hidden="1">'[3]AMI P &amp; L'!#REF!</definedName>
    <definedName name="BExZTAQV2QVSZY5Y3VCCWUBSBW9P" hidden="1">'[3]AMI P &amp; L'!#REF!</definedName>
    <definedName name="BExZTHSI2FX56PWRSNX9H5EWTZFO" hidden="1">'[2]Reco Sheet for Fcast'!$F$6:$G$6</definedName>
    <definedName name="BExZTJL3HVBFY139H6CJHEQCT1EL" hidden="1">'[2]Reco Sheet for Fcast'!$F$9:$G$9</definedName>
    <definedName name="BExZTLOL8OPABZI453E0KVNA1GJS" hidden="1">'[2]Reco Sheet for Fcast'!$F$11:$G$11</definedName>
    <definedName name="BExZTT6J3X0TOX0ZY6YPLUVMCW9X" localSheetId="5" hidden="1">'[3]AMI P &amp; L'!#REF!</definedName>
    <definedName name="BExZTT6J3X0TOX0ZY6YPLUVMCW9X" localSheetId="8" hidden="1">'[3]AMI P &amp; L'!#REF!</definedName>
    <definedName name="BExZTT6J3X0TOX0ZY6YPLUVMCW9X" hidden="1">'[3]AMI P &amp; L'!#REF!</definedName>
    <definedName name="BExZTW6ECBRA0BBITWBQ8R93RMCL" hidden="1">'[2]Reco Sheet for Fcast'!$G$2</definedName>
    <definedName name="BExZU2BHYAOKSCBM3C5014ZF6IXS" hidden="1">'[2]Reco Sheet for Fcast'!$H$2:$I$2</definedName>
    <definedName name="BExZU2RMJTXOCS0ROPMYPE6WTD87" hidden="1">'[2]Reco Sheet for Fcast'!$F$7:$G$7</definedName>
    <definedName name="BExZUF7G8FENTJKH9R1XUWXM6CWD" hidden="1">'[2]Reco Sheet for Fcast'!$I$9:$J$9</definedName>
    <definedName name="BExZUHWEEZO4WXP5DG5P4U6A70KN" localSheetId="5" hidden="1">#REF!</definedName>
    <definedName name="BExZUHWEEZO4WXP5DG5P4U6A70KN" localSheetId="8" hidden="1">#REF!</definedName>
    <definedName name="BExZUHWEEZO4WXP5DG5P4U6A70KN" hidden="1">#REF!</definedName>
    <definedName name="BExZUNARUJBIZ08VCAV3GEVBIR3D" hidden="1">'[2]Reco Sheet for Fcast'!$I$8:$J$8</definedName>
    <definedName name="BExZUSZT5496UMBP4LFSLTR1GVEW" hidden="1">'[2]Reco Sheet for Fcast'!$I$9:$J$9</definedName>
    <definedName name="BExZUT54340I38GVCV79EL116WR0" hidden="1">'[2]Reco Sheet for Fcast'!$I$11:$J$11</definedName>
    <definedName name="BExZUYDULCX65H9OZ9JHPBNKF3MI" hidden="1">'[2]Reco Sheet for Fcast'!$F$7:$G$7</definedName>
    <definedName name="BExZV2QD5ZDK3AGDRULLA7JB46C3" hidden="1">'[2]Reco Sheet for Fcast'!$F$8:$G$8</definedName>
    <definedName name="BExZVBQ29OM0V8XAL3HL0JIM0MMU" hidden="1">'[2]Reco Sheet for Fcast'!$I$9:$J$9</definedName>
    <definedName name="BExZVBQ3B8IIQW88DDLAW5BA4PL4" localSheetId="5" hidden="1">#REF!</definedName>
    <definedName name="BExZVBQ3B8IIQW88DDLAW5BA4PL4" localSheetId="8" hidden="1">#REF!</definedName>
    <definedName name="BExZVBQ3B8IIQW88DDLAW5BA4PL4" hidden="1">#REF!</definedName>
    <definedName name="BExZVLM4T9ORS4ZWHME46U4Q103C" hidden="1">'[2]Reco Sheet for Fcast'!$I$10:$J$10</definedName>
    <definedName name="BExZVM7OZWPPRH5YQW50EYMMIW1A" hidden="1">'[2]Reco Sheet for Fcast'!$I$6:$J$6</definedName>
    <definedName name="BExZVP7KJEUGEZ1AZ15Z29XW6KAH" hidden="1">'[2]Reco Sheet for Fcast'!$I$7:$J$7</definedName>
    <definedName name="BExZVPYGX2C5OSHMZ6F0KBKZ6B1S" hidden="1">'[2]Reco Sheet for Fcast'!$H$2:$I$2</definedName>
    <definedName name="BExZW5UARC8W9AQNLJX2I5WQWS5F" hidden="1">'[2]Reco Sheet for Fcast'!$I$9:$J$9</definedName>
    <definedName name="BExZW7HRGN6A9YS41KI2B2UUMJ7X" hidden="1">'[2]Reco Sheet for Fcast'!$I$7:$J$7</definedName>
    <definedName name="BExZW8ZPNV43UXGOT98FDNIBQHZY" hidden="1">'[2]Reco Sheet for Fcast'!$I$11:$J$11</definedName>
    <definedName name="BExZWB8KPDQGF787P51Y0GON31FF" hidden="1">'[4]Bud Mth'!$I$10:$J$10</definedName>
    <definedName name="BExZWKDP0QSA9SPSF40ZMQ81QV13" hidden="1">'[2]Reco Sheet for Fcast'!$F$7:$G$7</definedName>
    <definedName name="BExZWKZ5N3RDXU8MZ8HQVYYD8O0F" hidden="1">'[2]Reco Sheet for Fcast'!$F$6:$G$6</definedName>
    <definedName name="BExZWSMC9T48W74GFGQCIUJ8ZPP3" hidden="1">'[2]Reco Sheet for Fcast'!$G$2:$H$2</definedName>
    <definedName name="BExZWUF2V4HY3HI8JN9ZVPRWK1H3" hidden="1">'[2]Reco Sheet for Fcast'!$I$9:$J$9</definedName>
    <definedName name="BExZWX45URTK9KYDJHEXL1OTZ833" hidden="1">'[2]Reco Sheet for Fcast'!$I$9:$J$9</definedName>
    <definedName name="BExZX0EWQEZO86WDAD9A4EAEZ012" hidden="1">'[2]Reco Sheet for Fcast'!$F$9:$G$9</definedName>
    <definedName name="BExZX2T6ZT2DZLYSDJJBPVIT5OK2" hidden="1">'[2]Reco Sheet for Fcast'!$I$10:$J$10</definedName>
    <definedName name="BExZXHY0PBOVDNV2NSZ1Y4G6WMNK" localSheetId="5" hidden="1">#REF!</definedName>
    <definedName name="BExZXHY0PBOVDNV2NSZ1Y4G6WMNK" localSheetId="8" hidden="1">#REF!</definedName>
    <definedName name="BExZXHY0PBOVDNV2NSZ1Y4G6WMNK" hidden="1">#REF!</definedName>
    <definedName name="BExZXOJDELULNLEH7WG0OYJT0NJ4" hidden="1">'[2]Reco Sheet for Fcast'!$I$6:$J$6</definedName>
    <definedName name="BExZXOOTRNUK8LGEAZ8ZCFW9KXQ1" hidden="1">'[2]Reco Sheet for Fcast'!$J$2:$K$2</definedName>
    <definedName name="BExZXQSD2T3TQZ268XCC2NG9O3JQ" localSheetId="5" hidden="1">#REF!</definedName>
    <definedName name="BExZXQSD2T3TQZ268XCC2NG9O3JQ" localSheetId="8" hidden="1">#REF!</definedName>
    <definedName name="BExZXQSD2T3TQZ268XCC2NG9O3JQ" hidden="1">#REF!</definedName>
    <definedName name="BExZXT6JOXNKEDU23DKL8XZAJZIH" hidden="1">'[2]Reco Sheet for Fcast'!$I$8:$J$8</definedName>
    <definedName name="BExZXUTYW1HWEEZ1LIX4OQWC7HL1" hidden="1">'[2]Reco Sheet for Fcast'!$F$9:$G$9</definedName>
    <definedName name="BExZXY4NKQL9QD76YMQJ15U1C2G8" hidden="1">'[2]Reco Sheet for Fcast'!$I$11:$J$11</definedName>
    <definedName name="BExZXYQ7U5G08FQGUIGYT14QCBOF" hidden="1">'[2]Reco Sheet for Fcast'!$F$9:$G$9</definedName>
    <definedName name="BExZY02V77YJBMODJSWZOYCMPS5X" localSheetId="5" hidden="1">'[3]AMI P &amp; L'!#REF!</definedName>
    <definedName name="BExZY02V77YJBMODJSWZOYCMPS5X" localSheetId="8" hidden="1">'[3]AMI P &amp; L'!#REF!</definedName>
    <definedName name="BExZY02V77YJBMODJSWZOYCMPS5X" hidden="1">'[3]AMI P &amp; L'!#REF!</definedName>
    <definedName name="BExZY49QRZIR6CA41LFA9LM6EULU" hidden="1">'[2]Reco Sheet for Fcast'!$F$7:$G$7</definedName>
    <definedName name="BExZZ2FQA9A8C7CJKMEFQ9VPSLCE" hidden="1">'[2]Reco Sheet for Fcast'!$G$2</definedName>
    <definedName name="BExZZ8VO1HB3783L61XHP87HBCBE" localSheetId="5" hidden="1">#REF!</definedName>
    <definedName name="BExZZ8VO1HB3783L61XHP87HBCBE" localSheetId="8" hidden="1">#REF!</definedName>
    <definedName name="BExZZ8VO1HB3783L61XHP87HBCBE" hidden="1">#REF!</definedName>
    <definedName name="BExZZCHAVHW8C2H649KRGVQ0WVRT" hidden="1">'[2]Reco Sheet for Fcast'!$I$9:$J$9</definedName>
    <definedName name="BExZZTK54OTLF2YB68BHGOS27GEN" localSheetId="5" hidden="1">'[3]AMI P &amp; L'!#REF!</definedName>
    <definedName name="BExZZTK54OTLF2YB68BHGOS27GEN" localSheetId="8" hidden="1">'[3]AMI P &amp; L'!#REF!</definedName>
    <definedName name="BExZZTK54OTLF2YB68BHGOS27GEN" hidden="1">'[3]AMI P &amp; L'!#REF!</definedName>
    <definedName name="BExZZXB3JQQG4SIZS4MRU6NNW7HI" hidden="1">'[2]Reco Sheet for Fcast'!$F$7:$G$7</definedName>
    <definedName name="BExZZZEMIIFKMLLV4DJKX5TB9R5V" localSheetId="5" hidden="1">'[3]AMI P &amp; L'!#REF!</definedName>
    <definedName name="BExZZZEMIIFKMLLV4DJKX5TB9R5V" localSheetId="8" hidden="1">'[3]AMI P &amp; L'!#REF!</definedName>
    <definedName name="BExZZZEMIIFKMLLV4DJKX5TB9R5V" hidden="1">'[3]AMI P &amp; L'!#REF!</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 hidden="1">{#N/A,#N/A,FALSE,"Bgt";#N/A,#N/A,FALSE,"Act";#N/A,#N/A,FALSE,"Chrt Data";#N/A,#N/A,FALSE,"Bus Result";#N/A,#N/A,FALSE,"Main Charts";#N/A,#N/A,FALSE,"P&amp;L Ttl";#N/A,#N/A,FALSE,"P&amp;L C_Ttl";#N/A,#N/A,FALSE,"P&amp;L C_Oct";#N/A,#N/A,FALSE,"P&amp;L C_Sep";#N/A,#N/A,FALSE,"1996";#N/A,#N/A,FALSE,"Data"}</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hidden="1">{#N/A,#N/A,FALSE,"Bgt";#N/A,#N/A,FALSE,"Act";#N/A,#N/A,FALSE,"Chrt Data";#N/A,#N/A,FALSE,"Bus Result";#N/A,#N/A,FALSE,"Main Charts";#N/A,#N/A,FALSE,"P&amp;L Ttl";#N/A,#N/A,FALSE,"P&amp;L C_Ttl";#N/A,#N/A,FALSE,"P&amp;L C_Oct";#N/A,#N/A,FALSE,"P&amp;L C_Sep";#N/A,#N/A,FALSE,"1996";#N/A,#N/A,FALSE,"Data"}</definedName>
    <definedName name="e" hidden="1">{#N/A,#N/A,FALSE,"Bgt";#N/A,#N/A,FALSE,"Act";#N/A,#N/A,FALSE,"Chrt Data";#N/A,#N/A,FALSE,"Bus Result";#N/A,#N/A,FALSE,"Main Charts";#N/A,#N/A,FALSE,"P&amp;L Ttl";#N/A,#N/A,FALSE,"P&amp;L C_Ttl";#N/A,#N/A,FALSE,"P&amp;L C_Oct";#N/A,#N/A,FALSE,"P&amp;L C_Sep";#N/A,#N/A,FALSE,"1996";#N/A,#N/A,FALSE,"Data"}</definedName>
    <definedName name="ED"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hidden="1">{#N/A,#N/A,FALSE,"P&amp;L Ttl";#N/A,#N/A,FALSE,"P&amp;L C_Ttl New";#N/A,#N/A,FALSE,"Bus Res";#N/A,#N/A,FALSE,"Chrts";#N/A,#N/A,FALSE,"pcf";#N/A,#N/A,FALSE,"pcr ";#N/A,#N/A,FALSE,"Exp Stmt ";#N/A,#N/A,FALSE,"Cap";#N/A,#N/A,FALSE,"IT Ytd"}</definedName>
    <definedName name="ertyier76"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fduj" hidden="1">{#N/A,#N/A,FALSE,"Bgt";#N/A,#N/A,FALSE,"Act";#N/A,#N/A,FALSE,"Chrt Data";#N/A,#N/A,FALSE,"Bus Result";#N/A,#N/A,FALSE,"Main Charts";#N/A,#N/A,FALSE,"P&amp;L Ttl";#N/A,#N/A,FALSE,"P&amp;L C_Ttl";#N/A,#N/A,FALSE,"P&amp;L C_Oct";#N/A,#N/A,FALSE,"P&amp;L C_Sep";#N/A,#N/A,FALSE,"1996";#N/A,#N/A,FALSE,"Data"}</definedName>
    <definedName name="FF" hidden="1">{#N/A,#N/A,FALSE,"pcf";#N/A,#N/A,FALSE,"pcr"}</definedName>
    <definedName name="foo" hidden="1">{#N/A,#N/A,FALSE,"Bgt";#N/A,#N/A,FALSE,"Act";#N/A,#N/A,FALSE,"Chrt Data";#N/A,#N/A,FALSE,"Bus Result";#N/A,#N/A,FALSE,"Main Charts";#N/A,#N/A,FALSE,"P&amp;L Ttl";#N/A,#N/A,FALSE,"P&amp;L C_Ttl";#N/A,#N/A,FALSE,"P&amp;L C_Oct";#N/A,#N/A,FALSE,"P&amp;L C_Sep";#N/A,#N/A,FALSE,"1996";#N/A,#N/A,FALSE,"Data"}</definedName>
    <definedName name="gbes"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hidden="1">{#N/A,#N/A,FALSE,"pcf";#N/A,#N/A,FALSE,"pcr"}</definedName>
    <definedName name="grrrr" hidden="1">{#N/A,#N/A,FALSE,"Bgt";#N/A,#N/A,FALSE,"Act";#N/A,#N/A,FALSE,"Chrt Data";#N/A,#N/A,FALSE,"Bus Result";#N/A,#N/A,FALSE,"Main Charts";#N/A,#N/A,FALSE,"P&amp;L Ttl";#N/A,#N/A,FALSE,"P&amp;L C_Ttl";#N/A,#N/A,FALSE,"P&amp;L C_Oct";#N/A,#N/A,FALSE,"P&amp;L C_Sep";#N/A,#N/A,FALSE,"1996";#N/A,#N/A,FALSE,"Data"}</definedName>
    <definedName name="Header_Table_Data_EBRIN">'Data|EBRIN'!$10:$10</definedName>
    <definedName name="Header_Table_Data_opex_proposed">'Data|Forecasts'!$15:$15</definedName>
    <definedName name="Header_Table_Econometrics">'Input|Econometrics - Short'!$12:$12</definedName>
    <definedName name="Header_Table_Inflators_per_base_year">'Lookup tables'!$60:$60</definedName>
    <definedName name="Header_Table_OEF_capitalisation_long">'Data|OEFs - Long'!$51:$51</definedName>
    <definedName name="Header_Table_OEF_capitalisation_short">'Data|OEFs - Short'!$51:$51</definedName>
    <definedName name="Header_Table_Summary_long">'Output|Summary'!$33:$33</definedName>
    <definedName name="Header_Table_Summary_short">'Output|Summary'!$60:$60</definedName>
    <definedName name="hj" hidden="1">{#N/A,#N/A,FALSE,"pcf";#N/A,#N/A,FALSE,"pcr"}</definedName>
    <definedName name="III"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hidden="1">{#N/A,#N/A,FALSE,"pcf";#N/A,#N/A,FALSE,"pcr"}</definedName>
    <definedName name="kmim" hidden="1">{#N/A,#N/A,FALSE,"Bgt";#N/A,#N/A,FALSE,"Act";#N/A,#N/A,FALSE,"Chrt Data";#N/A,#N/A,FALSE,"Bus Result";#N/A,#N/A,FALSE,"Main Charts";#N/A,#N/A,FALSE,"P&amp;L Ttl";#N/A,#N/A,FALSE,"P&amp;L C_Ttl";#N/A,#N/A,FALSE,"P&amp;L C_Oct";#N/A,#N/A,FALSE,"P&amp;L C_Sep";#N/A,#N/A,FALSE,"1996";#N/A,#N/A,FALSE,"Data"}</definedName>
    <definedName name="kti" hidden="1">{#N/A,#N/A,FALSE,"P&amp;L Ttl";#N/A,#N/A,FALSE,"P&amp;L C_Ttl New";#N/A,#N/A,FALSE,"Bus Res";#N/A,#N/A,FALSE,"Chrts";#N/A,#N/A,FALSE,"pcf";#N/A,#N/A,FALSE,"pcr ";#N/A,#N/A,FALSE,"Exp Stmt ";#N/A,#N/A,FALSE,"Cap";#N/A,#N/A,FALSE,"IT Ytd"}</definedName>
    <definedName name="List_Apply_fixed_growth_rate">'Lookup tables'!$A$8:$A$9</definedName>
    <definedName name="List_DNSP">'Lookup tables'!$A$14:$A$26</definedName>
    <definedName name="List_Include_OEFs">'Lookup tables'!$A$48:$A$49</definedName>
    <definedName name="List_Inflation_method">'Lookup tables'!$A$54:$A$55</definedName>
    <definedName name="List_Number_of_violations_Long_LSETLG">'Input|Econometrics - Long'!$197:$197</definedName>
    <definedName name="List_Number_of_violations_Long_SFATLG">'Input|Econometrics - Long'!$277:$277</definedName>
    <definedName name="List_Number_of_violations_Short_LSETLG">'Input|Econometrics - Short'!$197:$197</definedName>
    <definedName name="List_Number_of_violations_Short_SFATLG">'Input|Econometrics - Short'!$277:$277</definedName>
    <definedName name="List_OEF_capitalisation_basis">'Lookup tables'!$A$83:$A$87</definedName>
    <definedName name="List_Scenario">'Lookup tables'!$A$109:$A$111</definedName>
    <definedName name="nhdtyjdf" hidden="1">{#N/A,#N/A,FALSE,"pcf";#N/A,#N/A,FALSE,"pcr"}</definedName>
    <definedName name="Parameter_Apply_fixed_growth_rate">'Input|Parameters'!$B$25</definedName>
    <definedName name="Parameter_Base_year">'Input|Parameters'!$B$14</definedName>
    <definedName name="Parameter_Base_year_manual_override">'Input|Parameters'!$B$15</definedName>
    <definedName name="Parameter_DNSP">'Input|Parameters'!$B$10</definedName>
    <definedName name="Parameter_Efficiency_target">'Input|Parameters'!$B$30</definedName>
    <definedName name="Parameter_Include_OEFs">'Input|Parameters'!$B$35</definedName>
    <definedName name="Parameter_Inflator">'Input|Parameters'!$B$19</definedName>
    <definedName name="Parameter_OEF_capitalisation_basis_long">'Input|Parameters'!$B$40</definedName>
    <definedName name="Parameter_OEF_capitalisation_basis_short">'Input|Parameters'!$B$51</definedName>
    <definedName name="Parameter_OEF_capitalisation_long">'Input|Parameters'!$B$39</definedName>
    <definedName name="Parameter_OEF_capitalisation_long_manual_override">'Input|Parameters'!$B$41</definedName>
    <definedName name="Parameter_OEF_capitalisation_short">'Input|Parameters'!$B$50</definedName>
    <definedName name="Parameter_OEF_capitalisation_short_manual_override">'Input|Parameters'!$B$52</definedName>
    <definedName name="Parameter_OEF_Sapere_Merz_long">'Input|Parameters'!$B$37</definedName>
    <definedName name="Parameter_OEF_Sapere_Merz_short">'Input|Parameters'!$B$48</definedName>
    <definedName name="Parameter_OEF_total_long">'Input|Parameters'!$B$36</definedName>
    <definedName name="Parameter_OEF_total_short">'Input|Parameters'!$B$47</definedName>
    <definedName name="Parameter_OEF_vegetation_management_long">'Input|Parameters'!$B$38</definedName>
    <definedName name="Parameter_OEF_vegetation_management_short">'Input|Parameters'!$B$49</definedName>
    <definedName name="Parameter_Opex_forecast_error">'Data|Forecasts'!$B$13</definedName>
    <definedName name="Parameter_Period_end">'Input|Parameters'!$B$18</definedName>
    <definedName name="Parameter_Period_start_long">'Input|Parameters'!$B$16</definedName>
    <definedName name="Parameter_Period_start_short">'Input|Parameters'!$B$17</definedName>
    <definedName name="Parameter_Results_dollar_basis">'Input|Parameters'!$B$13</definedName>
    <definedName name="Parameter_Scenario">'Input|Parameters'!$B$8</definedName>
    <definedName name="Parameter_Scenario_number">'Input|Parameters'!$B$9</definedName>
    <definedName name="Parameter_Technology_growth_rate">'Input|Parameters'!$B$24</definedName>
    <definedName name="Parameter_Victorian_or_non_Victorian">'Input|Parameters'!$B$12</definedName>
    <definedName name="PPP" hidden="1">{#N/A,#N/A,FALSE,"Bgt";#N/A,#N/A,FALSE,"Act";#N/A,#N/A,FALSE,"Chrt Data";#N/A,#N/A,FALSE,"Bus Result";#N/A,#N/A,FALSE,"Main Charts";#N/A,#N/A,FALSE,"P&amp;L Ttl";#N/A,#N/A,FALSE,"P&amp;L C_Ttl";#N/A,#N/A,FALSE,"P&amp;L C_Oct";#N/A,#N/A,FALSE,"P&amp;L C_Sep";#N/A,#N/A,FALSE,"1996";#N/A,#N/A,FALSE,"Data"}</definedName>
    <definedName name="q" hidden="1">{#N/A,#N/A,FALSE,"Bgt";#N/A,#N/A,FALSE,"Act";#N/A,#N/A,FALSE,"Chrt Data";#N/A,#N/A,FALSE,"Bus Result";#N/A,#N/A,FALSE,"Main Charts";#N/A,#N/A,FALSE,"P&amp;L Ttl";#N/A,#N/A,FALSE,"P&amp;L C_Ttl";#N/A,#N/A,FALSE,"P&amp;L C_Oct";#N/A,#N/A,FALSE,"P&amp;L C_Sep";#N/A,#N/A,FALSE,"1996";#N/A,#N/A,FALSE,"Data"}</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 hidden="1">{#N/A,#N/A,FALSE,"Bgt";#N/A,#N/A,FALSE,"Act";#N/A,#N/A,FALSE,"Chrt Data";#N/A,#N/A,FALSE,"Bus Result";#N/A,#N/A,FALSE,"Main Charts";#N/A,#N/A,FALSE,"P&amp;L Ttl";#N/A,#N/A,FALSE,"P&amp;L C_Ttl";#N/A,#N/A,FALSE,"P&amp;L C_Oct";#N/A,#N/A,FALSE,"P&amp;L C_Sep";#N/A,#N/A,FALSE,"1996";#N/A,#N/A,FALSE,"Data"}</definedName>
    <definedName name="RRRR" hidden="1">{#N/A,#N/A,FALSE,"pcf";#N/A,#N/A,FALSE,"pcr"}</definedName>
    <definedName name="rtgbr" hidden="1">{#N/A,#N/A,FALSE,"Bgt";#N/A,#N/A,FALSE,"Act";#N/A,#N/A,FALSE,"Chrt Data";#N/A,#N/A,FALSE,"Bus Result";#N/A,#N/A,FALSE,"Main Charts";#N/A,#N/A,FALSE,"P&amp;L Ttl";#N/A,#N/A,FALSE,"P&amp;L C_Ttl";#N/A,#N/A,FALSE,"P&amp;L C_Oct";#N/A,#N/A,FALSE,"P&amp;L C_Sep";#N/A,#N/A,FALSE,"1996";#N/A,#N/A,FALSE,"Data"}</definedName>
    <definedName name="SAPBEXdnldView" hidden="1">"4D0Q4ZKDTZLR4R5LFJNICI02C"</definedName>
    <definedName name="SAPBEXhrIndnt" hidden="1">1</definedName>
    <definedName name="SAPBEXrevision" hidden="1">1</definedName>
    <definedName name="SAPBEXsysID" hidden="1">"BWP"</definedName>
    <definedName name="SAPBEXwbID" hidden="1">"40UUPT0P5GXX8RR8TR6BQRG2M"</definedName>
    <definedName name="SAPsysID" hidden="1">"708C5W7SBKP804JT78WJ0JNKI"</definedName>
    <definedName name="SAPwbID" hidden="1">"ARS"</definedName>
    <definedName name="sdfasdf" hidden="1">{#N/A,#N/A,FALSE,"pcf";#N/A,#N/A,FALSE,"pcr"}</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able_Base_year_default">'Lookup tables'!$30:$43</definedName>
    <definedName name="Table_Coefficients_long_LSECD">'Input|Econometrics - Long'!$12:$38</definedName>
    <definedName name="Table_Coefficients_long_LSETLG">'Input|Econometrics - Long'!$126:$152</definedName>
    <definedName name="Table_Coefficients_long_SFACD">'Input|Econometrics - Long'!$69:$95</definedName>
    <definedName name="Table_Coefficients_long_SFATLG">'Input|Econometrics - Long'!$206:$232</definedName>
    <definedName name="Table_Coefficients_short_LSECD">'Input|Econometrics - Short'!$12:$38</definedName>
    <definedName name="Table_Coefficients_short_LSETLG">'Input|Econometrics - Short'!$126:$152</definedName>
    <definedName name="Table_Coefficients_short_SFACD">'Input|Econometrics - Short'!$69:$95</definedName>
    <definedName name="Table_Coefficients_short_SFATLG">'Input|Econometrics - Short'!$206:$232</definedName>
    <definedName name="Table_Data_All_groups_CPI_Australia">'Data|CPI'!$18:$1006</definedName>
    <definedName name="Table_Data_EBRIN">'Data|EBRIN'!$10:$17</definedName>
    <definedName name="Table_Data_forecast">'Data|Forecasts'!$15:$24</definedName>
    <definedName name="Table_Data_opex_alternative">'Data|EBRIN'!$38:$41</definedName>
    <definedName name="Table_Data_opex_selected">'Data|EBRIN'!$45:$46</definedName>
    <definedName name="Table_data_opexforecast_alternative">'Data|Forecasts'!$32:$35</definedName>
    <definedName name="Table_DNSP">'Lookup tables'!$13:$26</definedName>
    <definedName name="Table_Efficiency_scores_long_LSECD">'Input|Econometrics - Long'!$47:$60</definedName>
    <definedName name="Table_Efficiency_scores_long_LSETLG">'Input|Econometrics - Long'!$161:$174</definedName>
    <definedName name="Table_Efficiency_scores_long_SFACD">'Input|Econometrics - Long'!$104:$117</definedName>
    <definedName name="Table_Efficiency_scores_long_SFATLG">'Input|Econometrics - Long'!$241:$254</definedName>
    <definedName name="Table_Efficiency_scores_short_LSECD">'Input|Econometrics - Short'!$47:$60</definedName>
    <definedName name="Table_Efficiency_scores_short_LSETLG">'Input|Econometrics - Short'!$161:$174</definedName>
    <definedName name="Table_Efficiency_scores_short_SFACD">'Input|Econometrics - Short'!$104:$117</definedName>
    <definedName name="Table_Efficiency_scores_short_SFATLG">'Input|Econometrics - Short'!$241:$254</definedName>
    <definedName name="Table_Inflators_December_to_December">'Lookup tables'!#REF!</definedName>
    <definedName name="Table_Inflators_June_to_June">'Lookup tables'!#REF!</definedName>
    <definedName name="Table_Inflators_per_base_year">'Lookup tables'!$60:$78</definedName>
    <definedName name="Table_Monotonicity_violations_long_LSETLG">'Input|Econometrics - Long'!$183:$196</definedName>
    <definedName name="Table_Monotonicity_violations_long_SFATLG">'Input|Econometrics - Long'!$263:$276</definedName>
    <definedName name="Table_Monotonicity_violations_short_LSETLG">'Input|Econometrics - Short'!$183:$196</definedName>
    <definedName name="Table_Monotonicity_violations_short_SFATLG">'Input|Econometrics - Short'!$263:$276</definedName>
    <definedName name="Table_OEF_capitalisation_long">'Data|OEFs - Long'!$51:$64</definedName>
    <definedName name="Table_OEF_capitalisation_short">'Data|OEFs - Short'!$51:$64</definedName>
    <definedName name="Table_OEF_Sapere_Merz_long">'Data|OEFs - Long'!$10:$23</definedName>
    <definedName name="Table_OEF_Sapere_Merz_short">'Data|OEFs - Short'!$10:$23</definedName>
    <definedName name="Table_OEF_vegetation_management_long">'Data|OEFs - Long'!$30:$43</definedName>
    <definedName name="Table_OEF_vegetation_management_short">'Data|OEFs - Short'!$30:$43</definedName>
    <definedName name="Table_Scenario_number">'Lookup tables'!$108:$113</definedName>
    <definedName name="Table_Summary_long">'Output|Summary'!$33:$45</definedName>
    <definedName name="Table_Summary_short">'Output|Summary'!$60:$72</definedName>
    <definedName name="Table_Victorian_or_non_Victorian">'Lookup tables'!$91:$104</definedName>
    <definedName name="tiimt" hidden="1">{#N/A,#N/A,FALSE,"pcf";#N/A,#N/A,FALSE,"pcr"}</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umut" hidden="1">{#N/A,#N/A,FALSE,"SUM QTR 3";#N/A,#N/A,FALSE,"Detail QTR 3 (w_o ly)"}</definedName>
    <definedName name="ujm" hidden="1">{#N/A,#N/A,FALSE,"Bgt";#N/A,#N/A,FALSE,"Act";#N/A,#N/A,FALSE,"Chrt Data";#N/A,#N/A,FALSE,"Bus Result";#N/A,#N/A,FALSE,"Main Charts";#N/A,#N/A,FALSE,"P&amp;L Ttl";#N/A,#N/A,FALSE,"P&amp;L C_Ttl";#N/A,#N/A,FALSE,"P&amp;L C_Oct";#N/A,#N/A,FALSE,"P&amp;L C_Sep";#N/A,#N/A,FALSE,"1996";#N/A,#N/A,FALSE,"Data"}</definedName>
    <definedName name="ukfykf" hidden="1">{#N/A,#N/A,FALSE,"P&amp;L Ttl";#N/A,#N/A,FALSE,"P&amp;L C_Ttl New";#N/A,#N/A,FALSE,"Bus Res";#N/A,#N/A,FALSE,"Chrts";#N/A,#N/A,FALSE,"pcf";#N/A,#N/A,FALSE,"pcr ";#N/A,#N/A,FALSE,"Exp Stmt ";#N/A,#N/A,FALSE,"Cap";#N/A,#N/A,FALSE,"IT Ytd"}</definedName>
    <definedName name="w" hidden="1">{#N/A,#N/A,FALSE,"pcf";#N/A,#N/A,FALSE,"pcr"}</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hidden="1">{#N/A,#N/A,FALSE,"P&amp;L Ttl";#N/A,#N/A,FALSE,"P&amp;L C_Ttl New";#N/A,#N/A,FALSE,"Bus Res";#N/A,#N/A,FALSE,"Chrts";#N/A,#N/A,FALSE,"pcf";#N/A,#N/A,FALSE,"pcr ";#N/A,#N/A,FALSE,"Exp Stmt ";#N/A,#N/A,FALSE,"Cap";#N/A,#N/A,FALSE,"IT Ytd"}</definedName>
    <definedName name="wrn.pages." hidden="1">{#N/A,#N/A,FALSE,"Bgt";#N/A,#N/A,FALSE,"Act";#N/A,#N/A,FALSE,"Chrt Data";#N/A,#N/A,FALSE,"Bus Result";#N/A,#N/A,FALSE,"Main Charts";#N/A,#N/A,FALSE,"P&amp;L Ttl";#N/A,#N/A,FALSE,"P&amp;L C_Ttl";#N/A,#N/A,FALSE,"P&amp;L C_Oct";#N/A,#N/A,FALSE,"P&amp;L C_Sep";#N/A,#N/A,FALSE,"1996";#N/A,#N/A,FALSE,"Data"}</definedName>
    <definedName name="wrn.S_R._.tables." hidden="1">{#N/A,#N/A,FALSE,"pcf";#N/A,#N/A,FALSE,"pcr"}</definedName>
    <definedName name="wrn.S_RQTR3." hidden="1">{#N/A,#N/A,FALSE,"SUM QTR 3";#N/A,#N/A,FALSE,"Detail QTR 3 (w_o ly)"}</definedName>
    <definedName name="yht" hidden="1">{#N/A,#N/A,FALSE,"SUM QTR 3";#N/A,#N/A,FALSE,"Detail QTR 3 (w_o ly)"}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0" l="1"/>
  <c r="S33" i="31"/>
  <c r="S19" i="31" l="1"/>
  <c r="L30" i="31"/>
  <c r="M30" i="31"/>
  <c r="N30" i="31"/>
  <c r="O30" i="31"/>
  <c r="P30" i="31"/>
  <c r="Q30" i="31"/>
  <c r="R30" i="31"/>
  <c r="S30" i="31"/>
  <c r="L31" i="31"/>
  <c r="M31" i="31"/>
  <c r="N31" i="31"/>
  <c r="O31" i="31"/>
  <c r="P31" i="31"/>
  <c r="Q31" i="31"/>
  <c r="R31" i="31"/>
  <c r="S31" i="31"/>
  <c r="B53" i="20" l="1"/>
  <c r="D197" i="34" l="1"/>
  <c r="C197" i="34"/>
  <c r="E197" i="34"/>
  <c r="EO35" i="31" l="1"/>
  <c r="BD34" i="31"/>
  <c r="EP34" i="31"/>
  <c r="EP35" i="31" s="1"/>
  <c r="CN34" i="31" l="1"/>
  <c r="DF34" i="31"/>
  <c r="FH34" i="31"/>
  <c r="FH35" i="31" s="1"/>
  <c r="FG35" i="31"/>
  <c r="IB28" i="31" l="1"/>
  <c r="FH28" i="31"/>
  <c r="BD28" i="31"/>
  <c r="B14" i="20"/>
  <c r="C16" i="31"/>
  <c r="D16" i="31"/>
  <c r="E16" i="31"/>
  <c r="F16" i="31"/>
  <c r="G16" i="31"/>
  <c r="H16" i="31"/>
  <c r="I16" i="31"/>
  <c r="J16" i="31"/>
  <c r="K16" i="31"/>
  <c r="L16" i="31"/>
  <c r="M16" i="31"/>
  <c r="N16" i="31"/>
  <c r="O16" i="31"/>
  <c r="P16" i="31"/>
  <c r="Q16" i="31"/>
  <c r="R16" i="31"/>
  <c r="U16" i="31"/>
  <c r="V16" i="31"/>
  <c r="W16" i="31"/>
  <c r="X16" i="31"/>
  <c r="Y16" i="31"/>
  <c r="Z16" i="31"/>
  <c r="AA16" i="31"/>
  <c r="AB16" i="31"/>
  <c r="AC16" i="31"/>
  <c r="AD16" i="31"/>
  <c r="AE16" i="31"/>
  <c r="AF16" i="31"/>
  <c r="AG16" i="31"/>
  <c r="AH16" i="31"/>
  <c r="AI16" i="31"/>
  <c r="AJ16" i="31"/>
  <c r="AM16" i="31"/>
  <c r="AN16" i="31"/>
  <c r="AO16" i="31"/>
  <c r="AP16" i="31"/>
  <c r="AQ16" i="31"/>
  <c r="AR16" i="31"/>
  <c r="AS16" i="31"/>
  <c r="AT16" i="31"/>
  <c r="AU16" i="31"/>
  <c r="AV16" i="31"/>
  <c r="AW16" i="31"/>
  <c r="AX16" i="31"/>
  <c r="AY16" i="31"/>
  <c r="AZ16" i="31"/>
  <c r="BA16" i="31"/>
  <c r="BB16" i="31"/>
  <c r="BE16" i="31"/>
  <c r="BF16" i="31"/>
  <c r="BG16" i="31"/>
  <c r="BH16" i="31"/>
  <c r="BI16" i="31"/>
  <c r="BJ16" i="31"/>
  <c r="BK16" i="31"/>
  <c r="BL16" i="31"/>
  <c r="BM16" i="31"/>
  <c r="BN16" i="31"/>
  <c r="BO16" i="31"/>
  <c r="BP16" i="31"/>
  <c r="BQ16" i="31"/>
  <c r="BR16" i="31"/>
  <c r="BS16" i="31"/>
  <c r="BT16" i="31"/>
  <c r="BW16" i="31"/>
  <c r="BX16" i="31"/>
  <c r="BY16" i="31"/>
  <c r="BZ16" i="31"/>
  <c r="CA16" i="31"/>
  <c r="CB16" i="31"/>
  <c r="CC16" i="31"/>
  <c r="CD16" i="31"/>
  <c r="CE16" i="31"/>
  <c r="CF16" i="31"/>
  <c r="CG16" i="31"/>
  <c r="CH16" i="31"/>
  <c r="CI16" i="31"/>
  <c r="CJ16" i="31"/>
  <c r="CK16" i="31"/>
  <c r="CL16" i="31"/>
  <c r="CO16" i="31"/>
  <c r="CP16" i="31"/>
  <c r="CQ16" i="31"/>
  <c r="CR16" i="31"/>
  <c r="CS16" i="31"/>
  <c r="CT16" i="31"/>
  <c r="CU16" i="31"/>
  <c r="CV16" i="31"/>
  <c r="CW16" i="31"/>
  <c r="CX16" i="31"/>
  <c r="CY16" i="31"/>
  <c r="CZ16" i="31"/>
  <c r="DA16" i="31"/>
  <c r="DB16" i="31"/>
  <c r="DC16" i="31"/>
  <c r="DD16" i="31"/>
  <c r="DG16" i="31"/>
  <c r="DH16" i="31"/>
  <c r="DI16" i="31"/>
  <c r="DJ16" i="31"/>
  <c r="DK16" i="31"/>
  <c r="DL16" i="31"/>
  <c r="DM16" i="31"/>
  <c r="DN16" i="31"/>
  <c r="DO16" i="31"/>
  <c r="DP16" i="31"/>
  <c r="DQ16" i="31"/>
  <c r="DR16" i="31"/>
  <c r="DS16" i="31"/>
  <c r="DT16" i="31"/>
  <c r="DU16" i="31"/>
  <c r="DV16" i="31"/>
  <c r="DY16" i="31"/>
  <c r="DZ16" i="31"/>
  <c r="EA16" i="31"/>
  <c r="EB16" i="31"/>
  <c r="EC16" i="31"/>
  <c r="ED16" i="31"/>
  <c r="EE16" i="31"/>
  <c r="EF16" i="31"/>
  <c r="EG16" i="31"/>
  <c r="EH16" i="31"/>
  <c r="EI16" i="31"/>
  <c r="EJ16" i="31"/>
  <c r="EK16" i="31"/>
  <c r="EL16" i="31"/>
  <c r="EM16" i="31"/>
  <c r="EN16" i="31"/>
  <c r="EQ16" i="31"/>
  <c r="ER16" i="31"/>
  <c r="ES16" i="31"/>
  <c r="ET16" i="31"/>
  <c r="EU16" i="31"/>
  <c r="EV16" i="31"/>
  <c r="EW16" i="31"/>
  <c r="EX16" i="31"/>
  <c r="EY16" i="31"/>
  <c r="EZ16" i="31"/>
  <c r="FA16" i="31"/>
  <c r="FB16" i="31"/>
  <c r="FC16" i="31"/>
  <c r="FD16" i="31"/>
  <c r="FE16" i="31"/>
  <c r="FF16" i="31"/>
  <c r="FI16" i="31"/>
  <c r="FJ16" i="31"/>
  <c r="FK16" i="31"/>
  <c r="FL16" i="31"/>
  <c r="FM16" i="31"/>
  <c r="FN16" i="31"/>
  <c r="FO16" i="31"/>
  <c r="FP16" i="31"/>
  <c r="FQ16" i="31"/>
  <c r="FR16" i="31"/>
  <c r="FS16" i="31"/>
  <c r="FT16" i="31"/>
  <c r="FU16" i="31"/>
  <c r="FV16" i="31"/>
  <c r="FW16" i="31"/>
  <c r="FX16" i="31"/>
  <c r="GA16" i="31"/>
  <c r="GB16" i="31"/>
  <c r="GC16" i="31"/>
  <c r="GD16" i="31"/>
  <c r="GE16" i="31"/>
  <c r="GF16" i="31"/>
  <c r="GG16" i="31"/>
  <c r="GH16" i="31"/>
  <c r="GI16" i="31"/>
  <c r="GJ16" i="31"/>
  <c r="GK16" i="31"/>
  <c r="GL16" i="31"/>
  <c r="GM16" i="31"/>
  <c r="GN16" i="31"/>
  <c r="GO16" i="31"/>
  <c r="GP16" i="31"/>
  <c r="GS16" i="31"/>
  <c r="GT16" i="31"/>
  <c r="GU16" i="31"/>
  <c r="GV16" i="31"/>
  <c r="GW16" i="31"/>
  <c r="GX16" i="31"/>
  <c r="GY16" i="31"/>
  <c r="GZ16" i="31"/>
  <c r="HA16" i="31"/>
  <c r="HB16" i="31"/>
  <c r="HC16" i="31"/>
  <c r="HD16" i="31"/>
  <c r="HE16" i="31"/>
  <c r="HF16" i="31"/>
  <c r="HG16" i="31"/>
  <c r="HH16" i="31"/>
  <c r="HJ16" i="31"/>
  <c r="HK16" i="31"/>
  <c r="HL16" i="31"/>
  <c r="HM16" i="31"/>
  <c r="HN16" i="31"/>
  <c r="HO16" i="31"/>
  <c r="HP16" i="31"/>
  <c r="HQ16" i="31"/>
  <c r="HR16" i="31"/>
  <c r="HS16" i="31"/>
  <c r="HT16" i="31"/>
  <c r="HU16" i="31"/>
  <c r="HV16" i="31"/>
  <c r="HW16" i="31"/>
  <c r="HX16" i="31"/>
  <c r="HY16" i="31"/>
  <c r="HZ16" i="31"/>
  <c r="L15" i="30"/>
  <c r="M15" i="30"/>
  <c r="N15" i="30"/>
  <c r="N19" i="31" s="1"/>
  <c r="O15" i="30"/>
  <c r="O19" i="31" s="1"/>
  <c r="P15" i="30"/>
  <c r="Q15" i="30"/>
  <c r="R15" i="30"/>
  <c r="B9" i="20"/>
  <c r="C17" i="31"/>
  <c r="D17" i="31"/>
  <c r="E17" i="31"/>
  <c r="F17" i="31"/>
  <c r="G17" i="31"/>
  <c r="H17" i="31"/>
  <c r="I17" i="31"/>
  <c r="J17" i="31"/>
  <c r="K17" i="31"/>
  <c r="L17" i="31"/>
  <c r="M17" i="31"/>
  <c r="N17" i="31"/>
  <c r="O17" i="31"/>
  <c r="P17" i="31"/>
  <c r="Q17" i="31"/>
  <c r="R17" i="31"/>
  <c r="U17" i="31"/>
  <c r="V17" i="31"/>
  <c r="W17" i="31"/>
  <c r="X17" i="31"/>
  <c r="Y17" i="31"/>
  <c r="Z17" i="31"/>
  <c r="AA17" i="31"/>
  <c r="AB17" i="31"/>
  <c r="AC17" i="31"/>
  <c r="AD17" i="31"/>
  <c r="AE17" i="31"/>
  <c r="AF17" i="31"/>
  <c r="AG17" i="31"/>
  <c r="AH17" i="31"/>
  <c r="AI17" i="31"/>
  <c r="AJ17" i="31"/>
  <c r="AM17" i="31"/>
  <c r="AN17" i="31"/>
  <c r="AO17" i="31"/>
  <c r="AP17" i="31"/>
  <c r="AQ17" i="31"/>
  <c r="AR17" i="31"/>
  <c r="AS17" i="31"/>
  <c r="AT17" i="31"/>
  <c r="AU17" i="31"/>
  <c r="AV17" i="31"/>
  <c r="AW17" i="31"/>
  <c r="AX17" i="31"/>
  <c r="AY17" i="31"/>
  <c r="AZ17" i="31"/>
  <c r="BA17" i="31"/>
  <c r="BB17" i="31"/>
  <c r="BE17" i="31"/>
  <c r="BF17" i="31"/>
  <c r="BG17" i="31"/>
  <c r="BH17" i="31"/>
  <c r="BI17" i="31"/>
  <c r="BJ17" i="31"/>
  <c r="BK17" i="31"/>
  <c r="BL17" i="31"/>
  <c r="BM17" i="31"/>
  <c r="BN17" i="31"/>
  <c r="BO17" i="31"/>
  <c r="BP17" i="31"/>
  <c r="BQ17" i="31"/>
  <c r="BR17" i="31"/>
  <c r="BS17" i="31"/>
  <c r="BT17" i="31"/>
  <c r="BW17" i="31"/>
  <c r="BX17" i="31"/>
  <c r="BY17" i="31"/>
  <c r="BZ17" i="31"/>
  <c r="CA17" i="31"/>
  <c r="CB17" i="31"/>
  <c r="CC17" i="31"/>
  <c r="CD17" i="31"/>
  <c r="CE17" i="31"/>
  <c r="CF17" i="31"/>
  <c r="CG17" i="31"/>
  <c r="CH17" i="31"/>
  <c r="CI17" i="31"/>
  <c r="CJ17" i="31"/>
  <c r="CK17" i="31"/>
  <c r="CL17" i="31"/>
  <c r="CO17" i="31"/>
  <c r="CP17" i="31"/>
  <c r="CQ17" i="31"/>
  <c r="CR17" i="31"/>
  <c r="CS17" i="31"/>
  <c r="CT17" i="31"/>
  <c r="CU17" i="31"/>
  <c r="CV17" i="31"/>
  <c r="CW17" i="31"/>
  <c r="CX17" i="31"/>
  <c r="CY17" i="31"/>
  <c r="CZ17" i="31"/>
  <c r="DA17" i="31"/>
  <c r="DF17" i="31" s="1"/>
  <c r="DB17" i="31"/>
  <c r="DC17" i="31"/>
  <c r="DD17" i="31"/>
  <c r="DG17" i="31"/>
  <c r="DH17" i="31"/>
  <c r="DI17" i="31"/>
  <c r="DJ17" i="31"/>
  <c r="DK17" i="31"/>
  <c r="DL17" i="31"/>
  <c r="DM17" i="31"/>
  <c r="DN17" i="31"/>
  <c r="DO17" i="31"/>
  <c r="DP17" i="31"/>
  <c r="DQ17" i="31"/>
  <c r="DR17" i="31"/>
  <c r="DS17" i="31"/>
  <c r="DT17" i="31"/>
  <c r="DU17" i="31"/>
  <c r="DV17" i="31"/>
  <c r="DY17" i="31"/>
  <c r="DZ17" i="31"/>
  <c r="EA17" i="31"/>
  <c r="EB17" i="31"/>
  <c r="EC17" i="31"/>
  <c r="ED17" i="31"/>
  <c r="EE17" i="31"/>
  <c r="EF17" i="31"/>
  <c r="EG17" i="31"/>
  <c r="EH17" i="31"/>
  <c r="EI17" i="31"/>
  <c r="EJ17" i="31"/>
  <c r="EK17" i="31"/>
  <c r="EL17" i="31"/>
  <c r="EM17" i="31"/>
  <c r="EN17" i="31"/>
  <c r="EQ17" i="31"/>
  <c r="ER17" i="31"/>
  <c r="ES17" i="31"/>
  <c r="ET17" i="31"/>
  <c r="EU17" i="31"/>
  <c r="EV17" i="31"/>
  <c r="EW17" i="31"/>
  <c r="EX17" i="31"/>
  <c r="EY17" i="31"/>
  <c r="EZ17" i="31"/>
  <c r="FA17" i="31"/>
  <c r="FB17" i="31"/>
  <c r="FC17" i="31"/>
  <c r="FD17" i="31"/>
  <c r="FE17" i="31"/>
  <c r="FF17" i="31"/>
  <c r="FI17" i="31"/>
  <c r="FJ17" i="31"/>
  <c r="FK17" i="31"/>
  <c r="FL17" i="31"/>
  <c r="FM17" i="31"/>
  <c r="FN17" i="31"/>
  <c r="FO17" i="31"/>
  <c r="FP17" i="31"/>
  <c r="FQ17" i="31"/>
  <c r="FR17" i="31"/>
  <c r="FS17" i="31"/>
  <c r="FT17" i="31"/>
  <c r="FU17" i="31"/>
  <c r="FV17" i="31"/>
  <c r="FW17" i="31"/>
  <c r="FX17" i="31"/>
  <c r="GA17" i="31"/>
  <c r="GB17" i="31"/>
  <c r="GC17" i="31"/>
  <c r="GD17" i="31"/>
  <c r="GE17" i="31"/>
  <c r="GF17" i="31"/>
  <c r="GG17" i="31"/>
  <c r="GH17" i="31"/>
  <c r="GI17" i="31"/>
  <c r="GJ17" i="31"/>
  <c r="GK17" i="31"/>
  <c r="GL17" i="31"/>
  <c r="GM17" i="31"/>
  <c r="GN17" i="31"/>
  <c r="GO17" i="31"/>
  <c r="GP17" i="31"/>
  <c r="GS17" i="31"/>
  <c r="GT17" i="31"/>
  <c r="GU17" i="31"/>
  <c r="GV17" i="31"/>
  <c r="GW17" i="31"/>
  <c r="GX17" i="31"/>
  <c r="GY17" i="31"/>
  <c r="GZ17" i="31"/>
  <c r="HA17" i="31"/>
  <c r="HB17" i="31"/>
  <c r="HC17" i="31"/>
  <c r="HD17" i="31"/>
  <c r="HE17" i="31"/>
  <c r="HF17" i="31"/>
  <c r="HG17" i="31"/>
  <c r="HH17" i="31"/>
  <c r="HK17" i="31"/>
  <c r="HL17" i="31"/>
  <c r="HM17" i="31"/>
  <c r="HN17" i="31"/>
  <c r="HO17" i="31"/>
  <c r="HP17" i="31"/>
  <c r="HQ17" i="31"/>
  <c r="HR17" i="31"/>
  <c r="HS17" i="31"/>
  <c r="HT17" i="31"/>
  <c r="HU17" i="31"/>
  <c r="HV17" i="31"/>
  <c r="HW17" i="31"/>
  <c r="HX17" i="31"/>
  <c r="HY17" i="31"/>
  <c r="HZ17" i="31"/>
  <c r="C19" i="31"/>
  <c r="C20" i="31" s="1"/>
  <c r="D19" i="31"/>
  <c r="E19" i="31"/>
  <c r="F19" i="31"/>
  <c r="G19" i="31"/>
  <c r="H19" i="31"/>
  <c r="I19" i="31"/>
  <c r="J19" i="31"/>
  <c r="K19" i="31"/>
  <c r="L19" i="31"/>
  <c r="M19" i="31"/>
  <c r="P19" i="31"/>
  <c r="Q19" i="31"/>
  <c r="R19" i="31"/>
  <c r="U19" i="31"/>
  <c r="U20" i="31" s="1"/>
  <c r="V19" i="31"/>
  <c r="W19" i="31"/>
  <c r="X19" i="31"/>
  <c r="Y19" i="31"/>
  <c r="Z19" i="31"/>
  <c r="AA19" i="31"/>
  <c r="AB19" i="31"/>
  <c r="AC19" i="31"/>
  <c r="AD19" i="31"/>
  <c r="AE19" i="31"/>
  <c r="AF19" i="31"/>
  <c r="AG19" i="31"/>
  <c r="AH19" i="31"/>
  <c r="AI19" i="31"/>
  <c r="AJ19" i="31"/>
  <c r="AM19" i="31"/>
  <c r="AM20" i="31" s="1"/>
  <c r="AN19" i="31"/>
  <c r="AO19" i="31"/>
  <c r="AP19" i="31"/>
  <c r="AQ19" i="31"/>
  <c r="AR19" i="31"/>
  <c r="AS19" i="31"/>
  <c r="AT19" i="31"/>
  <c r="AU19" i="31"/>
  <c r="AV19" i="31"/>
  <c r="AW19" i="31"/>
  <c r="AX19" i="31"/>
  <c r="AY19" i="31"/>
  <c r="AZ19" i="31"/>
  <c r="BA19" i="31"/>
  <c r="BB19" i="31"/>
  <c r="BE19" i="31"/>
  <c r="BE20" i="31" s="1"/>
  <c r="BF19" i="31"/>
  <c r="BG19" i="31"/>
  <c r="BH19" i="31"/>
  <c r="BI19" i="31"/>
  <c r="BJ19" i="31"/>
  <c r="BK19" i="31"/>
  <c r="BL19" i="31"/>
  <c r="BM19" i="31"/>
  <c r="BN19" i="31"/>
  <c r="BO19" i="31"/>
  <c r="BP19" i="31"/>
  <c r="BQ19" i="31"/>
  <c r="BR19" i="31"/>
  <c r="BS19" i="31"/>
  <c r="BT19" i="31"/>
  <c r="BW19" i="31"/>
  <c r="BW20" i="31" s="1"/>
  <c r="BX19" i="31"/>
  <c r="BY19" i="31"/>
  <c r="BZ19" i="31"/>
  <c r="CA19" i="31"/>
  <c r="CB19" i="31"/>
  <c r="CC19" i="31"/>
  <c r="CD19" i="31"/>
  <c r="CE19" i="31"/>
  <c r="CF19" i="31"/>
  <c r="CG19" i="31"/>
  <c r="CH19" i="31"/>
  <c r="CI19" i="31"/>
  <c r="CJ19" i="31"/>
  <c r="CK19" i="31"/>
  <c r="CL19" i="31"/>
  <c r="CO19" i="31"/>
  <c r="CO20" i="31" s="1"/>
  <c r="CP19" i="31"/>
  <c r="CQ19" i="31"/>
  <c r="CR19" i="31"/>
  <c r="CS19" i="31"/>
  <c r="CT19" i="31"/>
  <c r="CU19" i="31"/>
  <c r="CV19" i="31"/>
  <c r="CW19" i="31"/>
  <c r="CX19" i="31"/>
  <c r="CY19" i="31"/>
  <c r="CZ19" i="31"/>
  <c r="DA19" i="31"/>
  <c r="DB19" i="31"/>
  <c r="DC19" i="31"/>
  <c r="DD19" i="31"/>
  <c r="DG19" i="31"/>
  <c r="DG20" i="31" s="1"/>
  <c r="DH19" i="31"/>
  <c r="DI19" i="31"/>
  <c r="DJ19" i="31"/>
  <c r="DK19" i="31"/>
  <c r="DL19" i="31"/>
  <c r="DM19" i="31"/>
  <c r="DN19" i="31"/>
  <c r="DO19" i="31"/>
  <c r="DP19" i="31"/>
  <c r="DQ19" i="31"/>
  <c r="DR19" i="31"/>
  <c r="DS19" i="31"/>
  <c r="DT19" i="31"/>
  <c r="DU19" i="31"/>
  <c r="DV19" i="31"/>
  <c r="DY19" i="31"/>
  <c r="DY20" i="31" s="1"/>
  <c r="DZ19" i="31"/>
  <c r="EA19" i="31"/>
  <c r="EB19" i="31"/>
  <c r="EC19" i="31"/>
  <c r="ED19" i="31"/>
  <c r="EE19" i="31"/>
  <c r="EF19" i="31"/>
  <c r="EG19" i="31"/>
  <c r="EH19" i="31"/>
  <c r="EI19" i="31"/>
  <c r="EJ19" i="31"/>
  <c r="EK19" i="31"/>
  <c r="EL19" i="31"/>
  <c r="EM19" i="31"/>
  <c r="EN19" i="31"/>
  <c r="EQ19" i="31"/>
  <c r="EQ20" i="31" s="1"/>
  <c r="ER19" i="31"/>
  <c r="ES19" i="31"/>
  <c r="ET19" i="31"/>
  <c r="EU19" i="31"/>
  <c r="EV19" i="31"/>
  <c r="EW19" i="31"/>
  <c r="EX19" i="31"/>
  <c r="EY19" i="31"/>
  <c r="EZ19" i="31"/>
  <c r="FA19" i="31"/>
  <c r="FB19" i="31"/>
  <c r="FC19" i="31"/>
  <c r="FD19" i="31"/>
  <c r="FE19" i="31"/>
  <c r="FF19" i="31"/>
  <c r="FI19" i="31"/>
  <c r="FI20" i="31" s="1"/>
  <c r="FJ19" i="31"/>
  <c r="FK19" i="31"/>
  <c r="FL19" i="31"/>
  <c r="FM19" i="31"/>
  <c r="FN19" i="31"/>
  <c r="FO19" i="31"/>
  <c r="FP19" i="31"/>
  <c r="FQ19" i="31"/>
  <c r="FR19" i="31"/>
  <c r="FS19" i="31"/>
  <c r="FT19" i="31"/>
  <c r="FU19" i="31"/>
  <c r="FV19" i="31"/>
  <c r="FW19" i="31"/>
  <c r="FX19" i="31"/>
  <c r="GA19" i="31"/>
  <c r="GA20" i="31" s="1"/>
  <c r="GB19" i="31"/>
  <c r="GC19" i="31"/>
  <c r="GD19" i="31"/>
  <c r="GE19" i="31"/>
  <c r="GF19" i="31"/>
  <c r="GG19" i="31"/>
  <c r="GH19" i="31"/>
  <c r="GI19" i="31"/>
  <c r="GJ19" i="31"/>
  <c r="GK19" i="31"/>
  <c r="GL19" i="31"/>
  <c r="GM19" i="31"/>
  <c r="GN19" i="31"/>
  <c r="GO19" i="31"/>
  <c r="GP19" i="31"/>
  <c r="GS19" i="31"/>
  <c r="GS20" i="31" s="1"/>
  <c r="GT19" i="31"/>
  <c r="GU19" i="31"/>
  <c r="GV19" i="31"/>
  <c r="GW19" i="31"/>
  <c r="GX19" i="31"/>
  <c r="GY19" i="31"/>
  <c r="GZ19" i="31"/>
  <c r="HA19" i="31"/>
  <c r="HB19" i="31"/>
  <c r="HC19" i="31"/>
  <c r="HD19" i="31"/>
  <c r="HE19" i="31"/>
  <c r="HF19" i="31"/>
  <c r="HG19" i="31"/>
  <c r="HH19" i="31"/>
  <c r="HK19" i="31"/>
  <c r="HK20" i="31" s="1"/>
  <c r="HL19" i="31"/>
  <c r="HM19" i="31"/>
  <c r="HN19" i="31"/>
  <c r="HO19" i="31"/>
  <c r="HP19" i="31"/>
  <c r="HQ19" i="31"/>
  <c r="HR19" i="31"/>
  <c r="HS19" i="31"/>
  <c r="HT19" i="31"/>
  <c r="HU19" i="31"/>
  <c r="HV19" i="31"/>
  <c r="HW19" i="31"/>
  <c r="HX19" i="31"/>
  <c r="HY19" i="31"/>
  <c r="HZ19" i="31"/>
  <c r="S28" i="31"/>
  <c r="AK28" i="31"/>
  <c r="BC28" i="31"/>
  <c r="BU28" i="31"/>
  <c r="CM28" i="31"/>
  <c r="CM35" i="31" s="1"/>
  <c r="DE28" i="31"/>
  <c r="DW28" i="31"/>
  <c r="EO28" i="31"/>
  <c r="FG28" i="31"/>
  <c r="FY28" i="31"/>
  <c r="GQ28" i="31"/>
  <c r="HI28" i="31"/>
  <c r="IA28" i="31"/>
  <c r="BC35" i="31"/>
  <c r="BC22" i="31" s="1"/>
  <c r="BC24" i="31" s="1"/>
  <c r="CN17" i="31"/>
  <c r="GO46" i="30"/>
  <c r="HM22" i="31" s="1"/>
  <c r="HM24" i="31" s="1"/>
  <c r="EB46" i="30"/>
  <c r="ER22" i="31" s="1"/>
  <c r="ER24" i="31" s="1"/>
  <c r="DL46" i="30"/>
  <c r="DZ22" i="31" s="1"/>
  <c r="DZ24" i="31" s="1"/>
  <c r="CE46" i="30"/>
  <c r="CO22" i="31" s="1"/>
  <c r="CO24" i="31" s="1"/>
  <c r="AY46" i="30"/>
  <c r="BE22" i="31" s="1"/>
  <c r="BE24" i="31" s="1"/>
  <c r="T46" i="30"/>
  <c r="V22" i="31" s="1"/>
  <c r="V24" i="31" s="1"/>
  <c r="P41" i="42"/>
  <c r="P44" i="42" s="1"/>
  <c r="P47" i="42" s="1"/>
  <c r="P31" i="42"/>
  <c r="P30" i="42"/>
  <c r="P29" i="42"/>
  <c r="P28" i="42"/>
  <c r="GR28" i="31" s="1"/>
  <c r="Y46" i="30"/>
  <c r="AA22" i="31" s="1"/>
  <c r="AA24" i="31" s="1"/>
  <c r="BP46" i="30"/>
  <c r="BX22" i="31" s="1"/>
  <c r="BX24" i="31" s="1"/>
  <c r="DF33" i="31"/>
  <c r="EP33" i="31"/>
  <c r="FZ33" i="31"/>
  <c r="FH46" i="30"/>
  <c r="GB22" i="31" s="1"/>
  <c r="GB24" i="31" s="1"/>
  <c r="GR33" i="31"/>
  <c r="FY46" i="30"/>
  <c r="GU22" i="31" s="1"/>
  <c r="GU24" i="31" s="1"/>
  <c r="GM46" i="30"/>
  <c r="HK22" i="31" s="1"/>
  <c r="HK24" i="31" s="1"/>
  <c r="IB33" i="31"/>
  <c r="CL46" i="30"/>
  <c r="CV22" i="31" s="1"/>
  <c r="CV24" i="31" s="1"/>
  <c r="F46" i="30"/>
  <c r="F22" i="31" s="1"/>
  <c r="F24" i="31" s="1"/>
  <c r="G46" i="30"/>
  <c r="G22" i="31" s="1"/>
  <c r="G24" i="31" s="1"/>
  <c r="N46" i="30"/>
  <c r="N22" i="31" s="1"/>
  <c r="N24" i="31" s="1"/>
  <c r="O46" i="30"/>
  <c r="O22" i="31" s="1"/>
  <c r="O24" i="31" s="1"/>
  <c r="Z46" i="30"/>
  <c r="AB22" i="31" s="1"/>
  <c r="AB24" i="31" s="1"/>
  <c r="AB46" i="30"/>
  <c r="AD22" i="31" s="1"/>
  <c r="AD24" i="31" s="1"/>
  <c r="AH46" i="30"/>
  <c r="AJ22" i="31" s="1"/>
  <c r="AJ24" i="31" s="1"/>
  <c r="AR46" i="30"/>
  <c r="AV22" i="31" s="1"/>
  <c r="AV24" i="31" s="1"/>
  <c r="BB46" i="30"/>
  <c r="BH22" i="31" s="1"/>
  <c r="BH24" i="31" s="1"/>
  <c r="BC46" i="30"/>
  <c r="BI22" i="31" s="1"/>
  <c r="BI24" i="31" s="1"/>
  <c r="BM46" i="30"/>
  <c r="BS22" i="31" s="1"/>
  <c r="BS24" i="31" s="1"/>
  <c r="BV46" i="30"/>
  <c r="BY46" i="30"/>
  <c r="CG22" i="31" s="1"/>
  <c r="CG24" i="31" s="1"/>
  <c r="CD46" i="30"/>
  <c r="CL22" i="31" s="1"/>
  <c r="CL24" i="31" s="1"/>
  <c r="CH46" i="30"/>
  <c r="CR22" i="31" s="1"/>
  <c r="CR24" i="31" s="1"/>
  <c r="CO46" i="30"/>
  <c r="CY22" i="31" s="1"/>
  <c r="CY24" i="31" s="1"/>
  <c r="CR46" i="30"/>
  <c r="DB22" i="31" s="1"/>
  <c r="DB24" i="31" s="1"/>
  <c r="DD46" i="30"/>
  <c r="DP22" i="31" s="1"/>
  <c r="DP24" i="31" s="1"/>
  <c r="DT46" i="30"/>
  <c r="EH22" i="31" s="1"/>
  <c r="EH24" i="31" s="1"/>
  <c r="DZ46" i="30"/>
  <c r="EN22" i="31" s="1"/>
  <c r="EN24" i="31" s="1"/>
  <c r="EF46" i="30"/>
  <c r="EV22" i="31" s="1"/>
  <c r="EV24" i="31" s="1"/>
  <c r="EJ46" i="30"/>
  <c r="EZ22" i="31" s="1"/>
  <c r="EZ24" i="31" s="1"/>
  <c r="EK46" i="30"/>
  <c r="FA22" i="31" s="1"/>
  <c r="FA24" i="31" s="1"/>
  <c r="EN46" i="30"/>
  <c r="FD22" i="31" s="1"/>
  <c r="FD24" i="31" s="1"/>
  <c r="EU46" i="30"/>
  <c r="FM22" i="31" s="1"/>
  <c r="FM24" i="31" s="1"/>
  <c r="EV46" i="30"/>
  <c r="FN22" i="31" s="1"/>
  <c r="FN24" i="31" s="1"/>
  <c r="FC46" i="30"/>
  <c r="FU22" i="31" s="1"/>
  <c r="FU24" i="31" s="1"/>
  <c r="FJ46" i="30"/>
  <c r="GD22" i="31" s="1"/>
  <c r="GD24" i="31" s="1"/>
  <c r="FK46" i="30"/>
  <c r="GE22" i="31" s="1"/>
  <c r="GE24" i="31" s="1"/>
  <c r="FM46" i="30"/>
  <c r="GG22" i="31" s="1"/>
  <c r="GG24" i="31" s="1"/>
  <c r="FN46" i="30"/>
  <c r="GH22" i="31" s="1"/>
  <c r="GH24" i="31" s="1"/>
  <c r="FS46" i="30"/>
  <c r="GM22" i="31" s="1"/>
  <c r="GM24" i="31" s="1"/>
  <c r="FV46" i="30"/>
  <c r="GP22" i="31" s="1"/>
  <c r="GP24" i="31" s="1"/>
  <c r="FZ46" i="30"/>
  <c r="GV22" i="31" s="1"/>
  <c r="GV24" i="31" s="1"/>
  <c r="GF46" i="30"/>
  <c r="HB22" i="31" s="1"/>
  <c r="HB24" i="31" s="1"/>
  <c r="GG46" i="30"/>
  <c r="HC22" i="31" s="1"/>
  <c r="HC24" i="31" s="1"/>
  <c r="GH46" i="30"/>
  <c r="HD22" i="31" s="1"/>
  <c r="HD24" i="31" s="1"/>
  <c r="GQ46" i="30"/>
  <c r="HO22" i="31" s="1"/>
  <c r="HO24" i="31" s="1"/>
  <c r="GW46" i="30"/>
  <c r="HU22" i="31" s="1"/>
  <c r="HU24" i="31" s="1"/>
  <c r="GX46" i="30"/>
  <c r="HV22" i="31" s="1"/>
  <c r="HV24" i="31" s="1"/>
  <c r="GY46" i="30"/>
  <c r="HW22" i="31" s="1"/>
  <c r="AU13" i="30"/>
  <c r="AY18" i="31" s="1"/>
  <c r="BK46" i="30"/>
  <c r="BQ22" i="31" s="1"/>
  <c r="BQ24" i="31" s="1"/>
  <c r="P151" i="42"/>
  <c r="P154" i="42" s="1"/>
  <c r="P152" i="42"/>
  <c r="P150" i="42"/>
  <c r="P128" i="42"/>
  <c r="P129" i="42"/>
  <c r="P130" i="42"/>
  <c r="P127" i="42"/>
  <c r="FZ28" i="31" s="1"/>
  <c r="P117" i="42"/>
  <c r="P120" i="42" s="1"/>
  <c r="P118" i="42"/>
  <c r="P119" i="42"/>
  <c r="P106" i="42"/>
  <c r="P107" i="42"/>
  <c r="P108" i="42"/>
  <c r="P109" i="42" s="1"/>
  <c r="P105" i="42"/>
  <c r="EP28" i="31" s="1"/>
  <c r="P73" i="42"/>
  <c r="P74" i="42"/>
  <c r="P77" i="42" s="1"/>
  <c r="P75" i="42"/>
  <c r="P72" i="42"/>
  <c r="DF28" i="31" s="1"/>
  <c r="P62" i="42"/>
  <c r="P63" i="42"/>
  <c r="P64" i="42"/>
  <c r="P61" i="42"/>
  <c r="CN28" i="31" s="1"/>
  <c r="P42" i="42"/>
  <c r="P40" i="42"/>
  <c r="P43" i="42" s="1"/>
  <c r="D277" i="34"/>
  <c r="D197" i="25"/>
  <c r="D277" i="25"/>
  <c r="N154" i="42"/>
  <c r="N157" i="42" s="1"/>
  <c r="M154" i="42"/>
  <c r="M157" i="42" s="1"/>
  <c r="L154" i="42"/>
  <c r="L155" i="42" s="1"/>
  <c r="L156" i="42" s="1"/>
  <c r="K154" i="42"/>
  <c r="K157" i="42" s="1"/>
  <c r="J154" i="42"/>
  <c r="J155" i="42" s="1"/>
  <c r="J156" i="42" s="1"/>
  <c r="I154" i="42"/>
  <c r="H154" i="42"/>
  <c r="H157" i="42" s="1"/>
  <c r="G154" i="42"/>
  <c r="G157" i="42" s="1"/>
  <c r="F154" i="42"/>
  <c r="E154" i="42"/>
  <c r="E157" i="42" s="1"/>
  <c r="D154" i="42"/>
  <c r="D157" i="42" s="1"/>
  <c r="C154" i="42"/>
  <c r="C157" i="42" s="1"/>
  <c r="B154" i="42"/>
  <c r="N153" i="42"/>
  <c r="M153" i="42"/>
  <c r="M155" i="42" s="1"/>
  <c r="M156" i="42" s="1"/>
  <c r="L153" i="42"/>
  <c r="K153" i="42"/>
  <c r="J153" i="42"/>
  <c r="I153" i="42"/>
  <c r="I155" i="42" s="1"/>
  <c r="I156" i="42" s="1"/>
  <c r="H153" i="42"/>
  <c r="G153" i="42"/>
  <c r="F153" i="42"/>
  <c r="E153" i="42"/>
  <c r="E155" i="42" s="1"/>
  <c r="E156" i="42" s="1"/>
  <c r="D153" i="42"/>
  <c r="C153" i="42"/>
  <c r="B153" i="42"/>
  <c r="N143" i="42"/>
  <c r="N146" i="42" s="1"/>
  <c r="M143" i="42"/>
  <c r="M146" i="42" s="1"/>
  <c r="L143" i="42"/>
  <c r="L146" i="42" s="1"/>
  <c r="K143" i="42"/>
  <c r="K146" i="42" s="1"/>
  <c r="J143" i="42"/>
  <c r="I143" i="42"/>
  <c r="I146" i="42" s="1"/>
  <c r="H143" i="42"/>
  <c r="H146" i="42" s="1"/>
  <c r="G143" i="42"/>
  <c r="G146" i="42" s="1"/>
  <c r="F143" i="42"/>
  <c r="F146" i="42" s="1"/>
  <c r="E143" i="42"/>
  <c r="D143" i="42"/>
  <c r="D146" i="42" s="1"/>
  <c r="C143" i="42"/>
  <c r="C146" i="42" s="1"/>
  <c r="B143" i="42"/>
  <c r="N142" i="42"/>
  <c r="M142" i="42"/>
  <c r="L142" i="42"/>
  <c r="K142" i="42"/>
  <c r="J142" i="42"/>
  <c r="I142" i="42"/>
  <c r="H142" i="42"/>
  <c r="G142" i="42"/>
  <c r="F142" i="42"/>
  <c r="E142" i="42"/>
  <c r="D142" i="42"/>
  <c r="C142" i="42"/>
  <c r="B142" i="42"/>
  <c r="F132" i="42"/>
  <c r="F135" i="42" s="1"/>
  <c r="N132" i="42"/>
  <c r="N135" i="42" s="1"/>
  <c r="M132" i="42"/>
  <c r="M135" i="42" s="1"/>
  <c r="L132" i="42"/>
  <c r="L135" i="42" s="1"/>
  <c r="K132" i="42"/>
  <c r="K135" i="42" s="1"/>
  <c r="J132" i="42"/>
  <c r="J135" i="42" s="1"/>
  <c r="I132" i="42"/>
  <c r="I135" i="42" s="1"/>
  <c r="H132" i="42"/>
  <c r="H135" i="42" s="1"/>
  <c r="G132" i="42"/>
  <c r="E132" i="42"/>
  <c r="E135" i="42" s="1"/>
  <c r="D132" i="42"/>
  <c r="D135" i="42" s="1"/>
  <c r="C132" i="42"/>
  <c r="C135" i="42" s="1"/>
  <c r="B132" i="42"/>
  <c r="B135" i="42"/>
  <c r="N131" i="42"/>
  <c r="M131" i="42"/>
  <c r="M133" i="42" s="1"/>
  <c r="M134" i="42" s="1"/>
  <c r="L131" i="42"/>
  <c r="L133" i="42" s="1"/>
  <c r="L134" i="42" s="1"/>
  <c r="K131" i="42"/>
  <c r="J131" i="42"/>
  <c r="I131" i="42"/>
  <c r="H131" i="42"/>
  <c r="G131" i="42"/>
  <c r="F131" i="42"/>
  <c r="E131" i="42"/>
  <c r="D131" i="42"/>
  <c r="D133" i="42" s="1"/>
  <c r="D134" i="42" s="1"/>
  <c r="C131" i="42"/>
  <c r="B131" i="42"/>
  <c r="B133" i="42" s="1"/>
  <c r="N121" i="42"/>
  <c r="N124" i="42" s="1"/>
  <c r="M121" i="42"/>
  <c r="M124" i="42" s="1"/>
  <c r="L121" i="42"/>
  <c r="L124" i="42" s="1"/>
  <c r="K121" i="42"/>
  <c r="K124" i="42" s="1"/>
  <c r="J121" i="42"/>
  <c r="J124" i="42" s="1"/>
  <c r="I121" i="42"/>
  <c r="I124" i="42" s="1"/>
  <c r="H121" i="42"/>
  <c r="H124" i="42" s="1"/>
  <c r="G121" i="42"/>
  <c r="G124" i="42" s="1"/>
  <c r="F121" i="42"/>
  <c r="F124" i="42" s="1"/>
  <c r="E121" i="42"/>
  <c r="E124" i="42" s="1"/>
  <c r="D121" i="42"/>
  <c r="D124" i="42" s="1"/>
  <c r="C121" i="42"/>
  <c r="C124" i="42" s="1"/>
  <c r="B121" i="42"/>
  <c r="B124" i="42" s="1"/>
  <c r="N120" i="42"/>
  <c r="M120" i="42"/>
  <c r="L120" i="42"/>
  <c r="K120" i="42"/>
  <c r="J120" i="42"/>
  <c r="I120" i="42"/>
  <c r="H120" i="42"/>
  <c r="H122" i="42" s="1"/>
  <c r="H123" i="42" s="1"/>
  <c r="G120" i="42"/>
  <c r="G122" i="42" s="1"/>
  <c r="G123" i="42" s="1"/>
  <c r="F120" i="42"/>
  <c r="E120" i="42"/>
  <c r="D120" i="42"/>
  <c r="D122" i="42" s="1"/>
  <c r="D123" i="42" s="1"/>
  <c r="C120" i="42"/>
  <c r="B120" i="42"/>
  <c r="N110" i="42"/>
  <c r="N109" i="42"/>
  <c r="M110" i="42"/>
  <c r="M113" i="42" s="1"/>
  <c r="L110" i="42"/>
  <c r="L113" i="42" s="1"/>
  <c r="K110" i="42"/>
  <c r="K113" i="42" s="1"/>
  <c r="J110" i="42"/>
  <c r="J113" i="42" s="1"/>
  <c r="I110" i="42"/>
  <c r="I113" i="42" s="1"/>
  <c r="H110" i="42"/>
  <c r="H113" i="42" s="1"/>
  <c r="G110" i="42"/>
  <c r="G113" i="42" s="1"/>
  <c r="F110" i="42"/>
  <c r="F109" i="42"/>
  <c r="E110" i="42"/>
  <c r="D110" i="42"/>
  <c r="D113" i="42" s="1"/>
  <c r="C110" i="42"/>
  <c r="C113" i="42" s="1"/>
  <c r="B110" i="42"/>
  <c r="B113" i="42" s="1"/>
  <c r="M109" i="42"/>
  <c r="L109" i="42"/>
  <c r="L111" i="42" s="1"/>
  <c r="L112" i="42" s="1"/>
  <c r="K109" i="42"/>
  <c r="J109" i="42"/>
  <c r="J111" i="42" s="1"/>
  <c r="J112" i="42" s="1"/>
  <c r="I109" i="42"/>
  <c r="H109" i="42"/>
  <c r="H111" i="42" s="1"/>
  <c r="H112" i="42" s="1"/>
  <c r="G109" i="42"/>
  <c r="E109" i="42"/>
  <c r="D109" i="42"/>
  <c r="C109" i="42"/>
  <c r="C111" i="42" s="1"/>
  <c r="C112" i="42" s="1"/>
  <c r="B109" i="42"/>
  <c r="L99" i="42"/>
  <c r="L102" i="42" s="1"/>
  <c r="C99" i="42"/>
  <c r="C102" i="42" s="1"/>
  <c r="N99" i="42"/>
  <c r="N102" i="42" s="1"/>
  <c r="M99" i="42"/>
  <c r="M102" i="42" s="1"/>
  <c r="K99" i="42"/>
  <c r="K102" i="42" s="1"/>
  <c r="J99" i="42"/>
  <c r="J102" i="42" s="1"/>
  <c r="I99" i="42"/>
  <c r="I102" i="42" s="1"/>
  <c r="H99" i="42"/>
  <c r="H102" i="42" s="1"/>
  <c r="G99" i="42"/>
  <c r="G102" i="42" s="1"/>
  <c r="F99" i="42"/>
  <c r="F102" i="42"/>
  <c r="E99" i="42"/>
  <c r="E102" i="42" s="1"/>
  <c r="D99" i="42"/>
  <c r="D102" i="42" s="1"/>
  <c r="B99" i="42"/>
  <c r="B102" i="42" s="1"/>
  <c r="N98" i="42"/>
  <c r="N100" i="42" s="1"/>
  <c r="N101" i="42" s="1"/>
  <c r="M98" i="42"/>
  <c r="L98" i="42"/>
  <c r="K98" i="42"/>
  <c r="J98" i="42"/>
  <c r="I98" i="42"/>
  <c r="H98" i="42"/>
  <c r="G98" i="42"/>
  <c r="F98" i="42"/>
  <c r="F100" i="42" s="1"/>
  <c r="F101" i="42" s="1"/>
  <c r="E98" i="42"/>
  <c r="D98" i="42"/>
  <c r="C98" i="42"/>
  <c r="C100" i="42" s="1"/>
  <c r="C101" i="42" s="1"/>
  <c r="B98" i="42"/>
  <c r="B100" i="42" s="1"/>
  <c r="B101" i="42" s="1"/>
  <c r="N88" i="42"/>
  <c r="N91" i="42" s="1"/>
  <c r="M88" i="42"/>
  <c r="M91" i="42"/>
  <c r="L88" i="42"/>
  <c r="L91" i="42" s="1"/>
  <c r="L87" i="42"/>
  <c r="K88" i="42"/>
  <c r="K91" i="42" s="1"/>
  <c r="J88" i="42"/>
  <c r="J91" i="42" s="1"/>
  <c r="I88" i="42"/>
  <c r="I91" i="42" s="1"/>
  <c r="H88" i="42"/>
  <c r="H91" i="42" s="1"/>
  <c r="G88" i="42"/>
  <c r="G91" i="42" s="1"/>
  <c r="F88" i="42"/>
  <c r="F91" i="42" s="1"/>
  <c r="E88" i="42"/>
  <c r="E91" i="42" s="1"/>
  <c r="D88" i="42"/>
  <c r="D91" i="42" s="1"/>
  <c r="D87" i="42"/>
  <c r="C88" i="42"/>
  <c r="C91" i="42"/>
  <c r="B88" i="42"/>
  <c r="B91" i="42" s="1"/>
  <c r="N87" i="42"/>
  <c r="M87" i="42"/>
  <c r="K87" i="42"/>
  <c r="J87" i="42"/>
  <c r="I87" i="42"/>
  <c r="H87" i="42"/>
  <c r="G87" i="42"/>
  <c r="F87" i="42"/>
  <c r="E87" i="42"/>
  <c r="C87" i="42"/>
  <c r="C89" i="42" s="1"/>
  <c r="C90" i="42" s="1"/>
  <c r="B87" i="42"/>
  <c r="N77" i="42"/>
  <c r="N80" i="42" s="1"/>
  <c r="M77" i="42"/>
  <c r="L77" i="42"/>
  <c r="L80" i="42" s="1"/>
  <c r="K77" i="42"/>
  <c r="J77" i="42"/>
  <c r="J80" i="42" s="1"/>
  <c r="I77" i="42"/>
  <c r="I80" i="42" s="1"/>
  <c r="H77" i="42"/>
  <c r="G77" i="42"/>
  <c r="G80" i="42" s="1"/>
  <c r="F77" i="42"/>
  <c r="F78" i="42" s="1"/>
  <c r="F79" i="42" s="1"/>
  <c r="E77" i="42"/>
  <c r="E80" i="42" s="1"/>
  <c r="D77" i="42"/>
  <c r="C77" i="42"/>
  <c r="C80" i="42" s="1"/>
  <c r="B77" i="42"/>
  <c r="N76" i="42"/>
  <c r="M76" i="42"/>
  <c r="L76" i="42"/>
  <c r="K76" i="42"/>
  <c r="J76" i="42"/>
  <c r="I76" i="42"/>
  <c r="H76" i="42"/>
  <c r="G76" i="42"/>
  <c r="F76" i="42"/>
  <c r="E76" i="42"/>
  <c r="D76" i="42"/>
  <c r="D78" i="42" s="1"/>
  <c r="D79" i="42" s="1"/>
  <c r="C76" i="42"/>
  <c r="B76" i="42"/>
  <c r="N66" i="42"/>
  <c r="N69" i="42" s="1"/>
  <c r="M66" i="42"/>
  <c r="M69" i="42" s="1"/>
  <c r="L66" i="42"/>
  <c r="L69" i="42" s="1"/>
  <c r="K66" i="42"/>
  <c r="K69" i="42" s="1"/>
  <c r="J66" i="42"/>
  <c r="J69" i="42" s="1"/>
  <c r="I66" i="42"/>
  <c r="I69" i="42" s="1"/>
  <c r="H66" i="42"/>
  <c r="H69" i="42" s="1"/>
  <c r="G66" i="42"/>
  <c r="F66" i="42"/>
  <c r="F69" i="42" s="1"/>
  <c r="E66" i="42"/>
  <c r="E69" i="42" s="1"/>
  <c r="D66" i="42"/>
  <c r="D69" i="42" s="1"/>
  <c r="C66" i="42"/>
  <c r="C69" i="42" s="1"/>
  <c r="B66" i="42"/>
  <c r="N65" i="42"/>
  <c r="N67" i="42" s="1"/>
  <c r="N68" i="42" s="1"/>
  <c r="M65" i="42"/>
  <c r="L65" i="42"/>
  <c r="K65" i="42"/>
  <c r="J65" i="42"/>
  <c r="I65" i="42"/>
  <c r="H65" i="42"/>
  <c r="G65" i="42"/>
  <c r="F65" i="42"/>
  <c r="E65" i="42"/>
  <c r="D65" i="42"/>
  <c r="C65" i="42"/>
  <c r="B65" i="42"/>
  <c r="N55" i="42"/>
  <c r="N58" i="42" s="1"/>
  <c r="M55" i="42"/>
  <c r="M58" i="42" s="1"/>
  <c r="L55" i="42"/>
  <c r="K55" i="42"/>
  <c r="K58" i="42" s="1"/>
  <c r="J55" i="42"/>
  <c r="J58" i="42" s="1"/>
  <c r="I55" i="42"/>
  <c r="I58" i="42" s="1"/>
  <c r="H55" i="42"/>
  <c r="H58" i="42" s="1"/>
  <c r="G55" i="42"/>
  <c r="G58" i="42" s="1"/>
  <c r="F55" i="42"/>
  <c r="F58" i="42" s="1"/>
  <c r="E55" i="42"/>
  <c r="E58" i="42" s="1"/>
  <c r="D55" i="42"/>
  <c r="D58" i="42" s="1"/>
  <c r="C55" i="42"/>
  <c r="C58" i="42" s="1"/>
  <c r="B55" i="42"/>
  <c r="B58" i="42" s="1"/>
  <c r="N54" i="42"/>
  <c r="M54" i="42"/>
  <c r="L54" i="42"/>
  <c r="K54" i="42"/>
  <c r="J54" i="42"/>
  <c r="I54" i="42"/>
  <c r="H54" i="42"/>
  <c r="H56" i="42" s="1"/>
  <c r="H57" i="42" s="1"/>
  <c r="G54" i="42"/>
  <c r="F54" i="42"/>
  <c r="E54" i="42"/>
  <c r="D54" i="42"/>
  <c r="C54" i="42"/>
  <c r="B54" i="42"/>
  <c r="N44" i="42"/>
  <c r="N47" i="42" s="1"/>
  <c r="M44" i="42"/>
  <c r="M47" i="42" s="1"/>
  <c r="L44" i="42"/>
  <c r="K44" i="42"/>
  <c r="K47" i="42" s="1"/>
  <c r="J44" i="42"/>
  <c r="I44" i="42"/>
  <c r="I47" i="42" s="1"/>
  <c r="H44" i="42"/>
  <c r="G44" i="42"/>
  <c r="G47" i="42" s="1"/>
  <c r="F44" i="42"/>
  <c r="F47" i="42" s="1"/>
  <c r="E44" i="42"/>
  <c r="E47" i="42" s="1"/>
  <c r="D44" i="42"/>
  <c r="C44" i="42"/>
  <c r="C47" i="42" s="1"/>
  <c r="B44" i="42"/>
  <c r="B47" i="42" s="1"/>
  <c r="N43" i="42"/>
  <c r="M43" i="42"/>
  <c r="L43" i="42"/>
  <c r="K43" i="42"/>
  <c r="J43" i="42"/>
  <c r="I43" i="42"/>
  <c r="H43" i="42"/>
  <c r="G43" i="42"/>
  <c r="F43" i="42"/>
  <c r="E43" i="42"/>
  <c r="D43" i="42"/>
  <c r="C43" i="42"/>
  <c r="C45" i="42" s="1"/>
  <c r="C46" i="42" s="1"/>
  <c r="B43" i="42"/>
  <c r="N33" i="42"/>
  <c r="N36" i="42" s="1"/>
  <c r="M33" i="42"/>
  <c r="M36" i="42" s="1"/>
  <c r="L33" i="42"/>
  <c r="L36" i="42" s="1"/>
  <c r="K33" i="42"/>
  <c r="K36" i="42" s="1"/>
  <c r="J33" i="42"/>
  <c r="J36" i="42"/>
  <c r="I33" i="42"/>
  <c r="I36" i="42" s="1"/>
  <c r="H33" i="42"/>
  <c r="H36" i="42" s="1"/>
  <c r="G33" i="42"/>
  <c r="G36" i="42" s="1"/>
  <c r="F33" i="42"/>
  <c r="F36" i="42" s="1"/>
  <c r="E33" i="42"/>
  <c r="E36" i="42" s="1"/>
  <c r="D33" i="42"/>
  <c r="D36" i="42" s="1"/>
  <c r="C33" i="42"/>
  <c r="C36" i="42" s="1"/>
  <c r="B33" i="42"/>
  <c r="B36" i="42" s="1"/>
  <c r="N32" i="42"/>
  <c r="M32" i="42"/>
  <c r="M34" i="42" s="1"/>
  <c r="M35" i="42" s="1"/>
  <c r="L32" i="42"/>
  <c r="K32" i="42"/>
  <c r="J32" i="42"/>
  <c r="J34" i="42" s="1"/>
  <c r="J35" i="42" s="1"/>
  <c r="I32" i="42"/>
  <c r="H32" i="42"/>
  <c r="G32" i="42"/>
  <c r="G34" i="42" s="1"/>
  <c r="G35" i="42" s="1"/>
  <c r="F32" i="42"/>
  <c r="F34" i="42" s="1"/>
  <c r="F35" i="42" s="1"/>
  <c r="E32" i="42"/>
  <c r="D32" i="42"/>
  <c r="C32" i="42"/>
  <c r="C34" i="42" s="1"/>
  <c r="C35" i="42" s="1"/>
  <c r="B32" i="42"/>
  <c r="N22" i="42"/>
  <c r="M22" i="42"/>
  <c r="M25" i="42" s="1"/>
  <c r="L22" i="42"/>
  <c r="L25" i="42" s="1"/>
  <c r="K22" i="42"/>
  <c r="K25" i="42" s="1"/>
  <c r="J22" i="42"/>
  <c r="J25" i="42" s="1"/>
  <c r="I22" i="42"/>
  <c r="I25" i="42" s="1"/>
  <c r="H22" i="42"/>
  <c r="H25" i="42" s="1"/>
  <c r="G22" i="42"/>
  <c r="G25" i="42" s="1"/>
  <c r="F22" i="42"/>
  <c r="F25" i="42" s="1"/>
  <c r="E22" i="42"/>
  <c r="D22" i="42"/>
  <c r="C22" i="42"/>
  <c r="C25" i="42" s="1"/>
  <c r="B22" i="42"/>
  <c r="B25" i="42" s="1"/>
  <c r="N21" i="42"/>
  <c r="M21" i="42"/>
  <c r="L21" i="42"/>
  <c r="K21" i="42"/>
  <c r="K23" i="42" s="1"/>
  <c r="K24" i="42" s="1"/>
  <c r="J21" i="42"/>
  <c r="I21" i="42"/>
  <c r="I23" i="42" s="1"/>
  <c r="I24" i="42" s="1"/>
  <c r="H21" i="42"/>
  <c r="G21" i="42"/>
  <c r="F21" i="42"/>
  <c r="E21" i="42"/>
  <c r="D21" i="42"/>
  <c r="C21" i="42"/>
  <c r="B21" i="42"/>
  <c r="B23" i="42" s="1"/>
  <c r="B24" i="42" s="1"/>
  <c r="L144" i="42"/>
  <c r="L145" i="42" s="1"/>
  <c r="I45" i="42"/>
  <c r="I46" i="42" s="1"/>
  <c r="F89" i="42"/>
  <c r="F90" i="42" s="1"/>
  <c r="L122" i="42"/>
  <c r="L123" i="42" s="1"/>
  <c r="D155" i="42"/>
  <c r="D156" i="42" s="1"/>
  <c r="O154" i="42"/>
  <c r="O157" i="42" s="1"/>
  <c r="O88" i="42"/>
  <c r="O91" i="42" s="1"/>
  <c r="H89" i="42"/>
  <c r="H90" i="42" s="1"/>
  <c r="O132" i="42"/>
  <c r="O135" i="42" s="1"/>
  <c r="O43" i="42"/>
  <c r="P21" i="42"/>
  <c r="O143" i="42"/>
  <c r="O146" i="42" s="1"/>
  <c r="P99" i="42"/>
  <c r="P102" i="42" s="1"/>
  <c r="O44" i="42"/>
  <c r="O47" i="42" s="1"/>
  <c r="O54" i="42"/>
  <c r="P98" i="42"/>
  <c r="O120" i="42"/>
  <c r="B157" i="42"/>
  <c r="I78" i="42"/>
  <c r="I79" i="42" s="1"/>
  <c r="O153" i="42"/>
  <c r="O32" i="42"/>
  <c r="O65" i="42"/>
  <c r="O142" i="42"/>
  <c r="J157" i="42"/>
  <c r="P54" i="42"/>
  <c r="O109" i="42"/>
  <c r="I111" i="42"/>
  <c r="I112" i="42" s="1"/>
  <c r="B134" i="42"/>
  <c r="J133" i="42"/>
  <c r="J134" i="42" s="1"/>
  <c r="P143" i="42"/>
  <c r="P146" i="42" s="1"/>
  <c r="G23" i="42"/>
  <c r="G24" i="42" s="1"/>
  <c r="O22" i="42"/>
  <c r="O25" i="42" s="1"/>
  <c r="O21" i="42"/>
  <c r="O23" i="42" s="1"/>
  <c r="O24" i="42" s="1"/>
  <c r="M45" i="42"/>
  <c r="M46" i="42" s="1"/>
  <c r="B146" i="42"/>
  <c r="F155" i="42"/>
  <c r="F156" i="42" s="1"/>
  <c r="N155" i="42"/>
  <c r="N156" i="42" s="1"/>
  <c r="P87" i="42"/>
  <c r="O87" i="42"/>
  <c r="P55" i="42"/>
  <c r="P58" i="42" s="1"/>
  <c r="O131" i="42"/>
  <c r="G69" i="42"/>
  <c r="O66" i="42"/>
  <c r="O69" i="42" s="1"/>
  <c r="K78" i="42"/>
  <c r="K79" i="42" s="1"/>
  <c r="D80" i="42"/>
  <c r="O33" i="42"/>
  <c r="O121" i="42"/>
  <c r="I157" i="42"/>
  <c r="O99" i="42"/>
  <c r="O102" i="42" s="1"/>
  <c r="J47" i="42"/>
  <c r="O98" i="42"/>
  <c r="O77" i="42"/>
  <c r="O80" i="42" s="1"/>
  <c r="O76" i="42"/>
  <c r="K80" i="42"/>
  <c r="O110" i="42"/>
  <c r="O113" i="42" s="1"/>
  <c r="P142" i="42"/>
  <c r="F157" i="42"/>
  <c r="O55" i="42"/>
  <c r="O58" i="42" s="1"/>
  <c r="C59" i="24"/>
  <c r="B59" i="24"/>
  <c r="O122" i="42"/>
  <c r="O123" i="42" s="1"/>
  <c r="O124" i="42"/>
  <c r="P88" i="42"/>
  <c r="P91" i="42" s="1"/>
  <c r="P22" i="42"/>
  <c r="P25" i="42" s="1"/>
  <c r="B331" i="33"/>
  <c r="B329" i="33"/>
  <c r="B333" i="33" s="1"/>
  <c r="B10" i="28"/>
  <c r="B10" i="37"/>
  <c r="B46" i="20"/>
  <c r="B59" i="29"/>
  <c r="B32" i="29"/>
  <c r="B39" i="20"/>
  <c r="B50" i="20"/>
  <c r="D131" i="28"/>
  <c r="E131" i="28"/>
  <c r="F131" i="28"/>
  <c r="G131" i="28"/>
  <c r="H131" i="28"/>
  <c r="C131" i="28"/>
  <c r="D100" i="28"/>
  <c r="E100" i="28"/>
  <c r="F100" i="28"/>
  <c r="G100" i="28"/>
  <c r="H100" i="28"/>
  <c r="C100" i="28"/>
  <c r="D69" i="28"/>
  <c r="E69" i="28"/>
  <c r="F69" i="28"/>
  <c r="G69" i="28"/>
  <c r="H69" i="28"/>
  <c r="C69" i="28"/>
  <c r="D38" i="28"/>
  <c r="E38" i="28"/>
  <c r="F38" i="28"/>
  <c r="G38" i="28"/>
  <c r="H38" i="28"/>
  <c r="C38" i="28"/>
  <c r="C131" i="37"/>
  <c r="D131" i="37"/>
  <c r="E131" i="37"/>
  <c r="F131" i="37"/>
  <c r="G131" i="37"/>
  <c r="H131" i="37"/>
  <c r="D100" i="37"/>
  <c r="E100" i="37"/>
  <c r="F100" i="37"/>
  <c r="G100" i="37"/>
  <c r="H100" i="37"/>
  <c r="C100" i="37"/>
  <c r="D69" i="37"/>
  <c r="E69" i="37"/>
  <c r="F69" i="37"/>
  <c r="G69" i="37"/>
  <c r="H69" i="37"/>
  <c r="C69" i="37"/>
  <c r="D38" i="37"/>
  <c r="E38" i="37"/>
  <c r="F38" i="37"/>
  <c r="G38" i="37"/>
  <c r="H38" i="37"/>
  <c r="C38" i="37"/>
  <c r="B12" i="20"/>
  <c r="ES46" i="30"/>
  <c r="FK22" i="31" s="1"/>
  <c r="FK24" i="31" s="1"/>
  <c r="CV46" i="30"/>
  <c r="DH22" i="31" s="1"/>
  <c r="DH24" i="31" s="1"/>
  <c r="CG46" i="30"/>
  <c r="CQ22" i="31" s="1"/>
  <c r="CQ24" i="31" s="1"/>
  <c r="BA46" i="30"/>
  <c r="BG22" i="31" s="1"/>
  <c r="BG24" i="31" s="1"/>
  <c r="AQ46" i="30"/>
  <c r="AU22" i="31" s="1"/>
  <c r="AU24" i="31" s="1"/>
  <c r="AJ46" i="30"/>
  <c r="AN22" i="31" s="1"/>
  <c r="AN24" i="31" s="1"/>
  <c r="V46" i="30"/>
  <c r="X22" i="31" s="1"/>
  <c r="X24" i="31" s="1"/>
  <c r="D46" i="30"/>
  <c r="D22" i="31" s="1"/>
  <c r="D24" i="31" s="1"/>
  <c r="HB13" i="30"/>
  <c r="HZ18" i="31" s="1"/>
  <c r="HZ21" i="31" s="1"/>
  <c r="GL13" i="30"/>
  <c r="HH18" i="31" s="1"/>
  <c r="FV13" i="30"/>
  <c r="GP18" i="31" s="1"/>
  <c r="GP21" i="31" s="1"/>
  <c r="FF13" i="30"/>
  <c r="FX18" i="31" s="1"/>
  <c r="FX21" i="31" s="1"/>
  <c r="EP13" i="30"/>
  <c r="FF18" i="31" s="1"/>
  <c r="DZ13" i="30"/>
  <c r="EN18" i="31" s="1"/>
  <c r="EN21" i="31" s="1"/>
  <c r="DJ13" i="30"/>
  <c r="DV18" i="31" s="1"/>
  <c r="DV21" i="31" s="1"/>
  <c r="CT13" i="30"/>
  <c r="DD18" i="31" s="1"/>
  <c r="DD21" i="31" s="1"/>
  <c r="CD13" i="30"/>
  <c r="CL18" i="31" s="1"/>
  <c r="BN13" i="30"/>
  <c r="BT18" i="31" s="1"/>
  <c r="BT21" i="31" s="1"/>
  <c r="AX13" i="30"/>
  <c r="BB18" i="31" s="1"/>
  <c r="BB21" i="31" s="1"/>
  <c r="AH13" i="30"/>
  <c r="AJ18" i="31" s="1"/>
  <c r="AJ21" i="31" s="1"/>
  <c r="R13" i="30"/>
  <c r="R18" i="31" s="1"/>
  <c r="R21" i="31" s="1"/>
  <c r="O7" i="23"/>
  <c r="O9" i="23" s="1"/>
  <c r="C7" i="23"/>
  <c r="C9" i="23" s="1"/>
  <c r="I7" i="23"/>
  <c r="I13" i="23" s="1"/>
  <c r="Q7" i="23"/>
  <c r="Q9" i="23" s="1"/>
  <c r="J7" i="23"/>
  <c r="J11" i="23" s="1"/>
  <c r="K7" i="23"/>
  <c r="K11" i="23" s="1"/>
  <c r="L7" i="23"/>
  <c r="L11" i="23" s="1"/>
  <c r="M7" i="23"/>
  <c r="M9" i="23" s="1"/>
  <c r="N7" i="23"/>
  <c r="N9" i="23" s="1"/>
  <c r="P7" i="23"/>
  <c r="P17" i="23" s="1"/>
  <c r="T7" i="23"/>
  <c r="T11" i="23" s="1"/>
  <c r="R7" i="23"/>
  <c r="R11" i="23" s="1"/>
  <c r="S7" i="23"/>
  <c r="S9" i="23" s="1"/>
  <c r="D7" i="23"/>
  <c r="D11" i="23" s="1"/>
  <c r="E7" i="23"/>
  <c r="E17" i="23" s="1"/>
  <c r="F7" i="23"/>
  <c r="F11" i="23" s="1"/>
  <c r="G7" i="23"/>
  <c r="G9" i="23" s="1"/>
  <c r="H7" i="23"/>
  <c r="H17" i="23" s="1"/>
  <c r="B57" i="29"/>
  <c r="B55" i="29"/>
  <c r="B54" i="29"/>
  <c r="B53" i="29"/>
  <c r="B26" i="29"/>
  <c r="C9" i="37"/>
  <c r="E36" i="37" s="1"/>
  <c r="C7" i="37"/>
  <c r="C8" i="37"/>
  <c r="A25" i="27"/>
  <c r="A24" i="27"/>
  <c r="A23" i="27"/>
  <c r="A22" i="27"/>
  <c r="A21" i="27"/>
  <c r="C24" i="23"/>
  <c r="C34" i="23"/>
  <c r="S13" i="30"/>
  <c r="U18" i="31" s="1"/>
  <c r="U21" i="31" s="1"/>
  <c r="T13" i="30"/>
  <c r="V18" i="31" s="1"/>
  <c r="U13" i="30"/>
  <c r="W18" i="31" s="1"/>
  <c r="W21" i="31" s="1"/>
  <c r="V13" i="30"/>
  <c r="X18" i="31" s="1"/>
  <c r="W13" i="30"/>
  <c r="Y18" i="31" s="1"/>
  <c r="X13" i="30"/>
  <c r="Z18" i="31" s="1"/>
  <c r="Z21" i="31" s="1"/>
  <c r="Y13" i="30"/>
  <c r="AA18" i="31" s="1"/>
  <c r="AA21" i="31" s="1"/>
  <c r="Z13" i="30"/>
  <c r="AB18" i="31" s="1"/>
  <c r="AB21" i="31" s="1"/>
  <c r="AA13" i="30"/>
  <c r="AC18" i="31" s="1"/>
  <c r="AC21" i="31" s="1"/>
  <c r="AB13" i="30"/>
  <c r="AD18" i="31" s="1"/>
  <c r="AC13" i="30"/>
  <c r="AE18" i="31" s="1"/>
  <c r="AE21" i="31" s="1"/>
  <c r="AD13" i="30"/>
  <c r="AF18" i="31" s="1"/>
  <c r="AE13" i="30"/>
  <c r="AG18" i="31" s="1"/>
  <c r="AG21" i="31" s="1"/>
  <c r="AF13" i="30"/>
  <c r="AH18" i="31" s="1"/>
  <c r="AH21" i="31" s="1"/>
  <c r="AG13" i="30"/>
  <c r="AI18" i="31" s="1"/>
  <c r="AI21" i="31" s="1"/>
  <c r="C9" i="28"/>
  <c r="C129" i="28" s="1"/>
  <c r="HA13" i="30"/>
  <c r="HY18" i="31" s="1"/>
  <c r="GZ13" i="30"/>
  <c r="HX18" i="31" s="1"/>
  <c r="GY13" i="30"/>
  <c r="HW18" i="31" s="1"/>
  <c r="GX13" i="30"/>
  <c r="HV18" i="31" s="1"/>
  <c r="GW13" i="30"/>
  <c r="HU18" i="31" s="1"/>
  <c r="GV13" i="30"/>
  <c r="HT18" i="31" s="1"/>
  <c r="GU13" i="30"/>
  <c r="HS18" i="31" s="1"/>
  <c r="HS21" i="31" s="1"/>
  <c r="GT13" i="30"/>
  <c r="HR18" i="31" s="1"/>
  <c r="HR21" i="31" s="1"/>
  <c r="GS13" i="30"/>
  <c r="HQ18" i="31" s="1"/>
  <c r="HQ21" i="31" s="1"/>
  <c r="GR13" i="30"/>
  <c r="HP18" i="31" s="1"/>
  <c r="GQ13" i="30"/>
  <c r="HO18" i="31" s="1"/>
  <c r="HO21" i="31" s="1"/>
  <c r="GP13" i="30"/>
  <c r="HN18" i="31" s="1"/>
  <c r="GO13" i="30"/>
  <c r="HM18" i="31" s="1"/>
  <c r="GN13" i="30"/>
  <c r="HL18" i="31" s="1"/>
  <c r="GM13" i="30"/>
  <c r="HK18" i="31" s="1"/>
  <c r="HK21" i="31" s="1"/>
  <c r="GK13" i="30"/>
  <c r="HG18" i="31" s="1"/>
  <c r="GJ13" i="30"/>
  <c r="HF18" i="31" s="1"/>
  <c r="HF21" i="31" s="1"/>
  <c r="GI13" i="30"/>
  <c r="HE18" i="31" s="1"/>
  <c r="GH13" i="30"/>
  <c r="HD18" i="31" s="1"/>
  <c r="GG13" i="30"/>
  <c r="HC18" i="31" s="1"/>
  <c r="HC21" i="31" s="1"/>
  <c r="GF13" i="30"/>
  <c r="HB18" i="31" s="1"/>
  <c r="GE13" i="30"/>
  <c r="HA18" i="31" s="1"/>
  <c r="GD13" i="30"/>
  <c r="GZ18" i="31" s="1"/>
  <c r="GC13" i="30"/>
  <c r="GY18" i="31" s="1"/>
  <c r="GB13" i="30"/>
  <c r="GX18" i="31" s="1"/>
  <c r="GX21" i="31" s="1"/>
  <c r="GA13" i="30"/>
  <c r="GW18" i="31" s="1"/>
  <c r="FZ13" i="30"/>
  <c r="GV18" i="31" s="1"/>
  <c r="FY13" i="30"/>
  <c r="GU18" i="31" s="1"/>
  <c r="GU21" i="31" s="1"/>
  <c r="FX13" i="30"/>
  <c r="GT18" i="31" s="1"/>
  <c r="FW13" i="30"/>
  <c r="GS18" i="31" s="1"/>
  <c r="FU13" i="30"/>
  <c r="GO18" i="31" s="1"/>
  <c r="GO21" i="31" s="1"/>
  <c r="FT13" i="30"/>
  <c r="GN18" i="31" s="1"/>
  <c r="GN21" i="31" s="1"/>
  <c r="FS13" i="30"/>
  <c r="GM18" i="31" s="1"/>
  <c r="GM21" i="31" s="1"/>
  <c r="FR13" i="30"/>
  <c r="GL18" i="31" s="1"/>
  <c r="FQ13" i="30"/>
  <c r="GK18" i="31" s="1"/>
  <c r="GK21" i="31" s="1"/>
  <c r="FP13" i="30"/>
  <c r="GJ18" i="31" s="1"/>
  <c r="GJ21" i="31" s="1"/>
  <c r="FO13" i="30"/>
  <c r="GI18" i="31" s="1"/>
  <c r="FN13" i="30"/>
  <c r="GH18" i="31" s="1"/>
  <c r="FM13" i="30"/>
  <c r="GG18" i="31" s="1"/>
  <c r="GG21" i="31" s="1"/>
  <c r="FL13" i="30"/>
  <c r="GF18" i="31" s="1"/>
  <c r="GF21" i="31" s="1"/>
  <c r="FK13" i="30"/>
  <c r="GE18" i="31" s="1"/>
  <c r="GE21" i="31" s="1"/>
  <c r="FJ13" i="30"/>
  <c r="GD18" i="31" s="1"/>
  <c r="FI13" i="30"/>
  <c r="GC18" i="31" s="1"/>
  <c r="GC21" i="31" s="1"/>
  <c r="FH13" i="30"/>
  <c r="GB18" i="31" s="1"/>
  <c r="GB21" i="31" s="1"/>
  <c r="FG13" i="30"/>
  <c r="GA18" i="31" s="1"/>
  <c r="FE13" i="30"/>
  <c r="FW18" i="31" s="1"/>
  <c r="FD13" i="30"/>
  <c r="FV18" i="31" s="1"/>
  <c r="FV21" i="31" s="1"/>
  <c r="FC13" i="30"/>
  <c r="FU18" i="31" s="1"/>
  <c r="FB13" i="30"/>
  <c r="FT18" i="31" s="1"/>
  <c r="FA13" i="30"/>
  <c r="FS18" i="31" s="1"/>
  <c r="FS21" i="31" s="1"/>
  <c r="EZ13" i="30"/>
  <c r="FR18" i="31" s="1"/>
  <c r="EY13" i="30"/>
  <c r="FQ18" i="31" s="1"/>
  <c r="FQ21" i="31" s="1"/>
  <c r="EX13" i="30"/>
  <c r="FP18" i="31" s="1"/>
  <c r="FP21" i="31" s="1"/>
  <c r="EW13" i="30"/>
  <c r="FO18" i="31" s="1"/>
  <c r="EV13" i="30"/>
  <c r="FN18" i="31" s="1"/>
  <c r="FN21" i="31" s="1"/>
  <c r="EU13" i="30"/>
  <c r="FM18" i="31" s="1"/>
  <c r="FM21" i="31" s="1"/>
  <c r="ET13" i="30"/>
  <c r="FL18" i="31" s="1"/>
  <c r="ES13" i="30"/>
  <c r="FK18" i="31" s="1"/>
  <c r="FK21" i="31" s="1"/>
  <c r="ER13" i="30"/>
  <c r="FJ18" i="31" s="1"/>
  <c r="EQ13" i="30"/>
  <c r="FI18" i="31" s="1"/>
  <c r="FI21" i="31" s="1"/>
  <c r="EO13" i="30"/>
  <c r="FE18" i="31" s="1"/>
  <c r="FE21" i="31" s="1"/>
  <c r="EN13" i="30"/>
  <c r="FD18" i="31" s="1"/>
  <c r="FD21" i="31" s="1"/>
  <c r="EM13" i="30"/>
  <c r="FC18" i="31" s="1"/>
  <c r="EL13" i="30"/>
  <c r="FB18" i="31" s="1"/>
  <c r="EK13" i="30"/>
  <c r="FA18" i="31" s="1"/>
  <c r="EJ13" i="30"/>
  <c r="EZ18" i="31" s="1"/>
  <c r="EI13" i="30"/>
  <c r="EY18" i="31" s="1"/>
  <c r="EY21" i="31" s="1"/>
  <c r="EH13" i="30"/>
  <c r="EX18" i="31" s="1"/>
  <c r="EG13" i="30"/>
  <c r="EW18" i="31" s="1"/>
  <c r="EW21" i="31" s="1"/>
  <c r="EF13" i="30"/>
  <c r="EV18" i="31" s="1"/>
  <c r="EV21" i="31" s="1"/>
  <c r="EE13" i="30"/>
  <c r="EU18" i="31" s="1"/>
  <c r="EU21" i="31" s="1"/>
  <c r="ED13" i="30"/>
  <c r="ET18" i="31" s="1"/>
  <c r="EC13" i="30"/>
  <c r="ES18" i="31" s="1"/>
  <c r="ES21" i="31" s="1"/>
  <c r="EB13" i="30"/>
  <c r="ER18" i="31" s="1"/>
  <c r="EA13" i="30"/>
  <c r="EQ18" i="31" s="1"/>
  <c r="EQ21" i="31" s="1"/>
  <c r="DY13" i="30"/>
  <c r="EM18" i="31" s="1"/>
  <c r="EM21" i="31" s="1"/>
  <c r="DX13" i="30"/>
  <c r="EL18" i="31" s="1"/>
  <c r="EL21" i="31" s="1"/>
  <c r="DW13" i="30"/>
  <c r="EK18" i="31" s="1"/>
  <c r="EK21" i="31" s="1"/>
  <c r="DV13" i="30"/>
  <c r="EJ18" i="31" s="1"/>
  <c r="DU13" i="30"/>
  <c r="EI18" i="31" s="1"/>
  <c r="DT13" i="30"/>
  <c r="EH18" i="31" s="1"/>
  <c r="EH21" i="31" s="1"/>
  <c r="DS13" i="30"/>
  <c r="EG18" i="31" s="1"/>
  <c r="DR13" i="30"/>
  <c r="EF18" i="31" s="1"/>
  <c r="EF21" i="31" s="1"/>
  <c r="DQ13" i="30"/>
  <c r="EE18" i="31" s="1"/>
  <c r="EE21" i="31" s="1"/>
  <c r="DP13" i="30"/>
  <c r="ED18" i="31" s="1"/>
  <c r="ED21" i="31" s="1"/>
  <c r="DO13" i="30"/>
  <c r="EC18" i="31" s="1"/>
  <c r="EC21" i="31" s="1"/>
  <c r="DN13" i="30"/>
  <c r="EB18" i="31" s="1"/>
  <c r="DM13" i="30"/>
  <c r="EA18" i="31" s="1"/>
  <c r="DL13" i="30"/>
  <c r="DZ18" i="31" s="1"/>
  <c r="DZ21" i="31" s="1"/>
  <c r="DK13" i="30"/>
  <c r="DY18" i="31" s="1"/>
  <c r="DI13" i="30"/>
  <c r="DU18" i="31" s="1"/>
  <c r="DU21" i="31" s="1"/>
  <c r="DH13" i="30"/>
  <c r="DT18" i="31" s="1"/>
  <c r="DG13" i="30"/>
  <c r="DS18" i="31" s="1"/>
  <c r="DS21" i="31" s="1"/>
  <c r="DF13" i="30"/>
  <c r="DR18" i="31" s="1"/>
  <c r="DE13" i="30"/>
  <c r="DQ18" i="31" s="1"/>
  <c r="DQ21" i="31" s="1"/>
  <c r="DD13" i="30"/>
  <c r="DP18" i="31" s="1"/>
  <c r="DP21" i="31" s="1"/>
  <c r="DC13" i="30"/>
  <c r="DO18" i="31" s="1"/>
  <c r="DO21" i="31" s="1"/>
  <c r="DB13" i="30"/>
  <c r="DN18" i="31" s="1"/>
  <c r="DN21" i="31" s="1"/>
  <c r="DA13" i="30"/>
  <c r="DM18" i="31" s="1"/>
  <c r="CZ13" i="30"/>
  <c r="DL18" i="31" s="1"/>
  <c r="CY13" i="30"/>
  <c r="DK18" i="31" s="1"/>
  <c r="DK21" i="31" s="1"/>
  <c r="CX13" i="30"/>
  <c r="DJ18" i="31" s="1"/>
  <c r="CW13" i="30"/>
  <c r="DI18" i="31" s="1"/>
  <c r="DI21" i="31" s="1"/>
  <c r="CV13" i="30"/>
  <c r="DH18" i="31" s="1"/>
  <c r="DH21" i="31" s="1"/>
  <c r="CU13" i="30"/>
  <c r="DG18" i="31" s="1"/>
  <c r="DG21" i="31" s="1"/>
  <c r="CS13" i="30"/>
  <c r="DC18" i="31" s="1"/>
  <c r="DC21" i="31" s="1"/>
  <c r="CR13" i="30"/>
  <c r="DB18" i="31" s="1"/>
  <c r="DB21" i="31" s="1"/>
  <c r="CQ13" i="30"/>
  <c r="DA18" i="31" s="1"/>
  <c r="CP13" i="30"/>
  <c r="CZ18" i="31" s="1"/>
  <c r="CZ21" i="31" s="1"/>
  <c r="CO13" i="30"/>
  <c r="CY18" i="31" s="1"/>
  <c r="CY21" i="31" s="1"/>
  <c r="CN13" i="30"/>
  <c r="CX18" i="31" s="1"/>
  <c r="CX21" i="31" s="1"/>
  <c r="CM13" i="30"/>
  <c r="CW18" i="31" s="1"/>
  <c r="CW21" i="31" s="1"/>
  <c r="CL13" i="30"/>
  <c r="CV18" i="31" s="1"/>
  <c r="CK13" i="30"/>
  <c r="CU18" i="31" s="1"/>
  <c r="CJ13" i="30"/>
  <c r="CT18" i="31" s="1"/>
  <c r="CT21" i="31" s="1"/>
  <c r="CI13" i="30"/>
  <c r="CS18" i="31" s="1"/>
  <c r="CS21" i="31" s="1"/>
  <c r="CH13" i="30"/>
  <c r="CR18" i="31" s="1"/>
  <c r="CR21" i="31" s="1"/>
  <c r="CG13" i="30"/>
  <c r="CQ18" i="31" s="1"/>
  <c r="CQ21" i="31" s="1"/>
  <c r="CF13" i="30"/>
  <c r="CP18" i="31" s="1"/>
  <c r="CP21" i="31" s="1"/>
  <c r="CE13" i="30"/>
  <c r="CO18" i="31" s="1"/>
  <c r="CO21" i="31" s="1"/>
  <c r="CC13" i="30"/>
  <c r="CK18" i="31" s="1"/>
  <c r="CK21" i="31" s="1"/>
  <c r="CB13" i="30"/>
  <c r="CJ18" i="31" s="1"/>
  <c r="CJ21" i="31" s="1"/>
  <c r="CA13" i="30"/>
  <c r="CI18" i="31" s="1"/>
  <c r="BZ13" i="30"/>
  <c r="CH18" i="31" s="1"/>
  <c r="BY13" i="30"/>
  <c r="CG18" i="31" s="1"/>
  <c r="CG21" i="31" s="1"/>
  <c r="BX13" i="30"/>
  <c r="CF18" i="31" s="1"/>
  <c r="CF21" i="31" s="1"/>
  <c r="BW13" i="30"/>
  <c r="CE18" i="31" s="1"/>
  <c r="CE21" i="31" s="1"/>
  <c r="BV13" i="30"/>
  <c r="CD18" i="31" s="1"/>
  <c r="BU13" i="30"/>
  <c r="CC18" i="31" s="1"/>
  <c r="CC21" i="31" s="1"/>
  <c r="BT13" i="30"/>
  <c r="CB18" i="31" s="1"/>
  <c r="CB21" i="31" s="1"/>
  <c r="BS13" i="30"/>
  <c r="CA18" i="31" s="1"/>
  <c r="CA21" i="31" s="1"/>
  <c r="BR13" i="30"/>
  <c r="BZ18" i="31" s="1"/>
  <c r="BQ13" i="30"/>
  <c r="BY18" i="31" s="1"/>
  <c r="BY21" i="31" s="1"/>
  <c r="BP13" i="30"/>
  <c r="BX18" i="31" s="1"/>
  <c r="BX21" i="31" s="1"/>
  <c r="BO13" i="30"/>
  <c r="BW18" i="31" s="1"/>
  <c r="BM13" i="30"/>
  <c r="BS18" i="31" s="1"/>
  <c r="BS21" i="31" s="1"/>
  <c r="BL13" i="30"/>
  <c r="BR18" i="31" s="1"/>
  <c r="BR21" i="31" s="1"/>
  <c r="BK13" i="30"/>
  <c r="BQ18" i="31" s="1"/>
  <c r="BQ21" i="31" s="1"/>
  <c r="BJ13" i="30"/>
  <c r="BP18" i="31" s="1"/>
  <c r="BI13" i="30"/>
  <c r="BO18" i="31" s="1"/>
  <c r="BO21" i="31" s="1"/>
  <c r="BH13" i="30"/>
  <c r="BN18" i="31" s="1"/>
  <c r="BG13" i="30"/>
  <c r="BM18" i="31" s="1"/>
  <c r="BF13" i="30"/>
  <c r="BL18" i="31" s="1"/>
  <c r="BL21" i="31" s="1"/>
  <c r="BE13" i="30"/>
  <c r="BK18" i="31" s="1"/>
  <c r="BK21" i="31" s="1"/>
  <c r="BD13" i="30"/>
  <c r="BJ18" i="31" s="1"/>
  <c r="BJ21" i="31" s="1"/>
  <c r="BC13" i="30"/>
  <c r="BI18" i="31" s="1"/>
  <c r="BI21" i="31" s="1"/>
  <c r="BB13" i="30"/>
  <c r="BH18" i="31" s="1"/>
  <c r="BA13" i="30"/>
  <c r="BG18" i="31" s="1"/>
  <c r="BG21" i="31" s="1"/>
  <c r="AZ13" i="30"/>
  <c r="BF18" i="31" s="1"/>
  <c r="BF21" i="31" s="1"/>
  <c r="AY13" i="30"/>
  <c r="BE18" i="31" s="1"/>
  <c r="BE21" i="31" s="1"/>
  <c r="AW13" i="30"/>
  <c r="BA18" i="31" s="1"/>
  <c r="BA21" i="31" s="1"/>
  <c r="AV13" i="30"/>
  <c r="AZ18" i="31" s="1"/>
  <c r="AZ21" i="31" s="1"/>
  <c r="AT13" i="30"/>
  <c r="AX18" i="31" s="1"/>
  <c r="AS13" i="30"/>
  <c r="AW18" i="31" s="1"/>
  <c r="AR13" i="30"/>
  <c r="AV18" i="31" s="1"/>
  <c r="AV21" i="31" s="1"/>
  <c r="AQ13" i="30"/>
  <c r="AU18" i="31" s="1"/>
  <c r="AU21" i="31" s="1"/>
  <c r="AP13" i="30"/>
  <c r="AT18" i="31" s="1"/>
  <c r="AT21" i="31" s="1"/>
  <c r="AO13" i="30"/>
  <c r="AS18" i="31" s="1"/>
  <c r="AS21" i="31" s="1"/>
  <c r="AN13" i="30"/>
  <c r="AR18" i="31" s="1"/>
  <c r="AR21" i="31" s="1"/>
  <c r="AM13" i="30"/>
  <c r="AQ18" i="31" s="1"/>
  <c r="AQ21" i="31" s="1"/>
  <c r="AL13" i="30"/>
  <c r="AP18" i="31" s="1"/>
  <c r="AK13" i="30"/>
  <c r="AO18" i="31" s="1"/>
  <c r="AJ13" i="30"/>
  <c r="AN18" i="31" s="1"/>
  <c r="AN21" i="31" s="1"/>
  <c r="AI13" i="30"/>
  <c r="AM18" i="31" s="1"/>
  <c r="AM21" i="31" s="1"/>
  <c r="Q13" i="30"/>
  <c r="Q18" i="31" s="1"/>
  <c r="Q21" i="31" s="1"/>
  <c r="P13" i="30"/>
  <c r="P18" i="31" s="1"/>
  <c r="P21" i="31" s="1"/>
  <c r="O13" i="30"/>
  <c r="O18" i="31" s="1"/>
  <c r="O21" i="31" s="1"/>
  <c r="N13" i="30"/>
  <c r="N18" i="31" s="1"/>
  <c r="M13" i="30"/>
  <c r="M18" i="31" s="1"/>
  <c r="M21" i="31" s="1"/>
  <c r="L13" i="30"/>
  <c r="L18" i="31" s="1"/>
  <c r="L21" i="31" s="1"/>
  <c r="K13" i="30"/>
  <c r="K18" i="31" s="1"/>
  <c r="K21" i="31" s="1"/>
  <c r="J13" i="30"/>
  <c r="J18" i="31" s="1"/>
  <c r="J21" i="31" s="1"/>
  <c r="I13" i="30"/>
  <c r="I18" i="31" s="1"/>
  <c r="H13" i="30"/>
  <c r="H18" i="31" s="1"/>
  <c r="H21" i="31" s="1"/>
  <c r="G13" i="30"/>
  <c r="G18" i="31" s="1"/>
  <c r="G21" i="31" s="1"/>
  <c r="F13" i="30"/>
  <c r="F18" i="31" s="1"/>
  <c r="E13" i="30"/>
  <c r="E18" i="31" s="1"/>
  <c r="E21" i="31" s="1"/>
  <c r="D13" i="30"/>
  <c r="D18" i="31" s="1"/>
  <c r="D21" i="31" s="1"/>
  <c r="C13" i="30"/>
  <c r="C18" i="31" s="1"/>
  <c r="C21" i="31" s="1"/>
  <c r="B28" i="29"/>
  <c r="B27" i="29"/>
  <c r="B30" i="29"/>
  <c r="C8" i="28"/>
  <c r="C7" i="28"/>
  <c r="A16" i="27"/>
  <c r="A15" i="27"/>
  <c r="A14" i="27"/>
  <c r="A13" i="27"/>
  <c r="A12" i="27"/>
  <c r="C7" i="27"/>
  <c r="J13" i="23"/>
  <c r="B29" i="29"/>
  <c r="H33" i="29"/>
  <c r="B56" i="29"/>
  <c r="H60" i="29"/>
  <c r="I11" i="23"/>
  <c r="B328" i="33"/>
  <c r="GJ46" i="30"/>
  <c r="HF22" i="31" s="1"/>
  <c r="HF24" i="31" s="1"/>
  <c r="GB46" i="30"/>
  <c r="GX22" i="31" s="1"/>
  <c r="GX24" i="31" s="1"/>
  <c r="DX46" i="30"/>
  <c r="EL22" i="31" s="1"/>
  <c r="EL24" i="31" s="1"/>
  <c r="DP46" i="30"/>
  <c r="ED22" i="31" s="1"/>
  <c r="ED24" i="31" s="1"/>
  <c r="DH46" i="30"/>
  <c r="DT22" i="31" s="1"/>
  <c r="DT24" i="31" s="1"/>
  <c r="T18" i="23"/>
  <c r="EG46" i="30"/>
  <c r="EW22" i="31" s="1"/>
  <c r="EW24" i="31" s="1"/>
  <c r="FT46" i="30"/>
  <c r="GN22" i="31" s="1"/>
  <c r="GN24" i="31" s="1"/>
  <c r="FL46" i="30"/>
  <c r="GF22" i="31" s="1"/>
  <c r="GF24" i="31" s="1"/>
  <c r="FD46" i="30"/>
  <c r="FV22" i="31" s="1"/>
  <c r="FV24" i="31" s="1"/>
  <c r="P46" i="30"/>
  <c r="P22" i="31" s="1"/>
  <c r="P24" i="31" s="1"/>
  <c r="BU46" i="30"/>
  <c r="CZ46" i="30"/>
  <c r="DL22" i="31" s="1"/>
  <c r="DL24" i="31" s="1"/>
  <c r="BE46" i="30"/>
  <c r="BK22" i="31" s="1"/>
  <c r="BK24" i="31" s="1"/>
  <c r="EO46" i="30"/>
  <c r="FE22" i="31" s="1"/>
  <c r="FE24" i="31" s="1"/>
  <c r="CS46" i="30"/>
  <c r="DC22" i="31" s="1"/>
  <c r="DC24" i="31" s="1"/>
  <c r="CK46" i="30"/>
  <c r="CU22" i="31" s="1"/>
  <c r="CU24" i="31" s="1"/>
  <c r="CC46" i="30"/>
  <c r="CK22" i="31" s="1"/>
  <c r="CK24" i="31" s="1"/>
  <c r="DY46" i="30"/>
  <c r="EM22" i="31" s="1"/>
  <c r="EM24" i="31" s="1"/>
  <c r="DQ46" i="30"/>
  <c r="EE22" i="31" s="1"/>
  <c r="EE24" i="31" s="1"/>
  <c r="GC46" i="30"/>
  <c r="GY22" i="31" s="1"/>
  <c r="GY24" i="31" s="1"/>
  <c r="K46" i="30"/>
  <c r="K22" i="31" s="1"/>
  <c r="K24" i="31" s="1"/>
  <c r="G62" i="41"/>
  <c r="G61" i="41"/>
  <c r="G56" i="41"/>
  <c r="H57" i="40"/>
  <c r="G53" i="40"/>
  <c r="F64" i="41"/>
  <c r="G52" i="40"/>
  <c r="G59" i="40"/>
  <c r="R17" i="23" l="1"/>
  <c r="R13" i="23"/>
  <c r="Q13" i="23"/>
  <c r="Q17" i="23"/>
  <c r="R9" i="23"/>
  <c r="Q11" i="23"/>
  <c r="K9" i="23"/>
  <c r="BZ21" i="31"/>
  <c r="CH21" i="31"/>
  <c r="HN21" i="31"/>
  <c r="HV21" i="31"/>
  <c r="AF21" i="31"/>
  <c r="X21" i="31"/>
  <c r="J56" i="42"/>
  <c r="J57" i="42" s="1"/>
  <c r="H45" i="42"/>
  <c r="H46" i="42" s="1"/>
  <c r="H67" i="42"/>
  <c r="H68" i="42" s="1"/>
  <c r="H78" i="42"/>
  <c r="H79" i="42" s="1"/>
  <c r="G100" i="42"/>
  <c r="G101" i="42" s="1"/>
  <c r="D111" i="42"/>
  <c r="D112" i="42" s="1"/>
  <c r="P132" i="42"/>
  <c r="M11" i="23"/>
  <c r="BH21" i="31"/>
  <c r="BP21" i="31"/>
  <c r="GV21" i="31"/>
  <c r="HD21" i="31"/>
  <c r="O78" i="42"/>
  <c r="O79" i="42" s="1"/>
  <c r="O67" i="42"/>
  <c r="O68" i="42" s="1"/>
  <c r="M144" i="42"/>
  <c r="M145" i="42" s="1"/>
  <c r="I34" i="42"/>
  <c r="I35" i="42" s="1"/>
  <c r="F45" i="42"/>
  <c r="F46" i="42" s="1"/>
  <c r="N45" i="42"/>
  <c r="N46" i="42" s="1"/>
  <c r="I67" i="42"/>
  <c r="I68" i="42" s="1"/>
  <c r="H133" i="42"/>
  <c r="H134" i="42" s="1"/>
  <c r="K155" i="42"/>
  <c r="K156" i="42" s="1"/>
  <c r="GD21" i="31"/>
  <c r="GL21" i="31"/>
  <c r="F80" i="42"/>
  <c r="G45" i="42"/>
  <c r="G46" i="42" s="1"/>
  <c r="H100" i="42"/>
  <c r="H101" i="42" s="1"/>
  <c r="D56" i="42"/>
  <c r="D57" i="42" s="1"/>
  <c r="F23" i="42"/>
  <c r="F24" i="42" s="1"/>
  <c r="G78" i="42"/>
  <c r="G79" i="42" s="1"/>
  <c r="K122" i="42"/>
  <c r="K123" i="42" s="1"/>
  <c r="AP21" i="31"/>
  <c r="FL21" i="31"/>
  <c r="FT21" i="31"/>
  <c r="O133" i="42"/>
  <c r="O134" i="42" s="1"/>
  <c r="N144" i="42"/>
  <c r="N145" i="42" s="1"/>
  <c r="AX21" i="31"/>
  <c r="F21" i="31"/>
  <c r="N21" i="31"/>
  <c r="ET21" i="31"/>
  <c r="G144" i="42"/>
  <c r="G145" i="42" s="1"/>
  <c r="D45" i="42"/>
  <c r="D46" i="42" s="1"/>
  <c r="K100" i="42"/>
  <c r="K101" i="42" s="1"/>
  <c r="P76" i="42"/>
  <c r="P32" i="42"/>
  <c r="B34" i="42"/>
  <c r="B35" i="42" s="1"/>
  <c r="O45" i="42"/>
  <c r="O46" i="42" s="1"/>
  <c r="DJ21" i="31"/>
  <c r="DR21" i="31"/>
  <c r="H34" i="42"/>
  <c r="H35" i="42" s="1"/>
  <c r="L157" i="42"/>
  <c r="H129" i="37"/>
  <c r="C129" i="37"/>
  <c r="HL21" i="31"/>
  <c r="HT21" i="31"/>
  <c r="O56" i="42"/>
  <c r="O57" i="42" s="1"/>
  <c r="E89" i="42"/>
  <c r="E90" i="42" s="1"/>
  <c r="E133" i="42"/>
  <c r="E134" i="42" s="1"/>
  <c r="F36" i="37"/>
  <c r="C36" i="37"/>
  <c r="GT21" i="31"/>
  <c r="HB21" i="31"/>
  <c r="G155" i="42"/>
  <c r="G156" i="42" s="1"/>
  <c r="J67" i="42"/>
  <c r="J68" i="42" s="1"/>
  <c r="B78" i="42"/>
  <c r="B79" i="42" s="1"/>
  <c r="I122" i="42"/>
  <c r="I123" i="42" s="1"/>
  <c r="N133" i="42"/>
  <c r="N134" i="42" s="1"/>
  <c r="B144" i="42"/>
  <c r="B145" i="42" s="1"/>
  <c r="B155" i="42"/>
  <c r="B156" i="42" s="1"/>
  <c r="P78" i="42"/>
  <c r="G98" i="37"/>
  <c r="C67" i="37"/>
  <c r="H23" i="42"/>
  <c r="H24" i="42" s="1"/>
  <c r="E56" i="42"/>
  <c r="E57" i="42" s="1"/>
  <c r="C67" i="42"/>
  <c r="C68" i="42" s="1"/>
  <c r="K67" i="42"/>
  <c r="K68" i="42" s="1"/>
  <c r="J122" i="42"/>
  <c r="J123" i="42" s="1"/>
  <c r="P45" i="42"/>
  <c r="P46" i="42" s="1"/>
  <c r="D98" i="37"/>
  <c r="P144" i="42"/>
  <c r="P145" i="42" s="1"/>
  <c r="O155" i="42"/>
  <c r="O156" i="42" s="1"/>
  <c r="P100" i="42"/>
  <c r="P101" i="42" s="1"/>
  <c r="B45" i="42"/>
  <c r="B46" i="42" s="1"/>
  <c r="J45" i="42"/>
  <c r="J46" i="42" s="1"/>
  <c r="F56" i="42"/>
  <c r="F57" i="42" s="1"/>
  <c r="N56" i="42"/>
  <c r="N57" i="42" s="1"/>
  <c r="J100" i="42"/>
  <c r="J101" i="42" s="1"/>
  <c r="E129" i="37"/>
  <c r="J23" i="42"/>
  <c r="J24" i="42" s="1"/>
  <c r="K45" i="42"/>
  <c r="K46" i="42" s="1"/>
  <c r="L45" i="42"/>
  <c r="L46" i="42" s="1"/>
  <c r="F67" i="37"/>
  <c r="C78" i="42"/>
  <c r="C79" i="42" s="1"/>
  <c r="E122" i="42"/>
  <c r="E123" i="42" s="1"/>
  <c r="C155" i="42"/>
  <c r="C156" i="42" s="1"/>
  <c r="R10" i="23"/>
  <c r="F129" i="37"/>
  <c r="O144" i="42"/>
  <c r="O145" i="42" s="1"/>
  <c r="P23" i="42"/>
  <c r="P24" i="42" s="1"/>
  <c r="G67" i="42"/>
  <c r="G68" i="42" s="1"/>
  <c r="B67" i="42"/>
  <c r="B68" i="42" s="1"/>
  <c r="K89" i="42"/>
  <c r="K90" i="42" s="1"/>
  <c r="B111" i="42"/>
  <c r="B112" i="42" s="1"/>
  <c r="F122" i="42"/>
  <c r="F123" i="42" s="1"/>
  <c r="N122" i="42"/>
  <c r="N123" i="42" s="1"/>
  <c r="C133" i="42"/>
  <c r="C134" i="42" s="1"/>
  <c r="P66" i="42"/>
  <c r="P69" i="42" s="1"/>
  <c r="P110" i="42"/>
  <c r="P113" i="42" s="1"/>
  <c r="P131" i="42"/>
  <c r="P133" i="42" s="1"/>
  <c r="P134" i="42" s="1"/>
  <c r="J9" i="23"/>
  <c r="M10" i="23"/>
  <c r="M17" i="23"/>
  <c r="M13" i="23"/>
  <c r="L17" i="23"/>
  <c r="E9" i="23"/>
  <c r="E13" i="23"/>
  <c r="L9" i="23"/>
  <c r="L13" i="23"/>
  <c r="C67" i="28"/>
  <c r="C36" i="28"/>
  <c r="E98" i="28"/>
  <c r="GT20" i="31"/>
  <c r="H129" i="28"/>
  <c r="D36" i="28"/>
  <c r="D129" i="28"/>
  <c r="C98" i="28"/>
  <c r="DY21" i="31"/>
  <c r="EG21" i="31"/>
  <c r="GW21" i="31"/>
  <c r="HE21" i="31"/>
  <c r="AD21" i="31"/>
  <c r="V21" i="31"/>
  <c r="G36" i="37"/>
  <c r="C114" i="28"/>
  <c r="HM21" i="31"/>
  <c r="E36" i="28"/>
  <c r="FF21" i="31"/>
  <c r="ER20" i="31"/>
  <c r="ES20" i="31" s="1"/>
  <c r="ET20" i="31" s="1"/>
  <c r="EU20" i="31" s="1"/>
  <c r="EV20" i="31" s="1"/>
  <c r="EW20" i="31" s="1"/>
  <c r="EX20" i="31" s="1"/>
  <c r="EY20" i="31" s="1"/>
  <c r="EZ20" i="31" s="1"/>
  <c r="FA20" i="31" s="1"/>
  <c r="FB20" i="31" s="1"/>
  <c r="FC20" i="31" s="1"/>
  <c r="FD20" i="31" s="1"/>
  <c r="FE20" i="31" s="1"/>
  <c r="FF20" i="31" s="1"/>
  <c r="FG20" i="31" s="1"/>
  <c r="FH20" i="31" s="1"/>
  <c r="E67" i="28"/>
  <c r="D67" i="28"/>
  <c r="D98" i="28"/>
  <c r="FO21" i="31"/>
  <c r="FW21" i="31"/>
  <c r="DH20" i="31"/>
  <c r="HU21" i="31"/>
  <c r="E129" i="28"/>
  <c r="EX21" i="31"/>
  <c r="C13" i="23"/>
  <c r="C11" i="23"/>
  <c r="C12" i="23" s="1"/>
  <c r="D12" i="23" s="1"/>
  <c r="P13" i="23"/>
  <c r="C17" i="23"/>
  <c r="H11" i="23"/>
  <c r="G13" i="23"/>
  <c r="P11" i="23"/>
  <c r="P9" i="23"/>
  <c r="S21" i="31"/>
  <c r="C87" i="28"/>
  <c r="C115" i="28"/>
  <c r="G53" i="41"/>
  <c r="H53" i="41"/>
  <c r="G63" i="40"/>
  <c r="F60" i="40"/>
  <c r="G64" i="40"/>
  <c r="G55" i="40"/>
  <c r="F59" i="40"/>
  <c r="BV16" i="31"/>
  <c r="G58" i="41"/>
  <c r="C84" i="28"/>
  <c r="C22" i="37"/>
  <c r="C23" i="28"/>
  <c r="C24" i="28"/>
  <c r="C52" i="28"/>
  <c r="C24" i="37"/>
  <c r="C85" i="28"/>
  <c r="C23" i="37"/>
  <c r="C55" i="37"/>
  <c r="C54" i="37"/>
  <c r="C114" i="37"/>
  <c r="C117" i="28"/>
  <c r="C86" i="28"/>
  <c r="C84" i="37"/>
  <c r="C87" i="37"/>
  <c r="G99" i="37" s="1"/>
  <c r="G101" i="37" s="1"/>
  <c r="C118" i="28"/>
  <c r="C85" i="37"/>
  <c r="C22" i="28"/>
  <c r="C52" i="37"/>
  <c r="C86" i="37"/>
  <c r="C83" i="37"/>
  <c r="C21" i="28"/>
  <c r="C117" i="37"/>
  <c r="C55" i="28"/>
  <c r="C21" i="37"/>
  <c r="C115" i="37"/>
  <c r="C118" i="37"/>
  <c r="C130" i="37" s="1"/>
  <c r="C132" i="37" s="1"/>
  <c r="C53" i="28"/>
  <c r="T21" i="31"/>
  <c r="CN35" i="31"/>
  <c r="S34" i="31"/>
  <c r="S35" i="31" s="1"/>
  <c r="S22" i="31" s="1"/>
  <c r="S24" i="31" s="1"/>
  <c r="GQ34" i="31"/>
  <c r="AK34" i="31"/>
  <c r="AK35" i="31" s="1"/>
  <c r="AK22" i="31" s="1"/>
  <c r="AK24" i="31" s="1"/>
  <c r="HI34" i="31"/>
  <c r="HI35" i="31" s="1"/>
  <c r="HI22" i="31" s="1"/>
  <c r="HI24" i="31" s="1"/>
  <c r="BF20" i="31"/>
  <c r="BG20" i="31" s="1"/>
  <c r="BH20" i="31" s="1"/>
  <c r="BI20" i="31" s="1"/>
  <c r="BJ20" i="31" s="1"/>
  <c r="BK20" i="31" s="1"/>
  <c r="BL20" i="31" s="1"/>
  <c r="BM20" i="31" s="1"/>
  <c r="BN20" i="31" s="1"/>
  <c r="BO20" i="31" s="1"/>
  <c r="BP20" i="31" s="1"/>
  <c r="BQ20" i="31" s="1"/>
  <c r="BR20" i="31" s="1"/>
  <c r="BS20" i="31" s="1"/>
  <c r="BT20" i="31" s="1"/>
  <c r="BU20" i="31" s="1"/>
  <c r="BV20" i="31" s="1"/>
  <c r="IA34" i="31"/>
  <c r="DX16" i="31"/>
  <c r="DE35" i="31"/>
  <c r="DE22" i="31" s="1"/>
  <c r="DE24" i="31" s="1"/>
  <c r="BU34" i="31"/>
  <c r="DW34" i="31"/>
  <c r="FY34" i="31"/>
  <c r="FY35" i="31" s="1"/>
  <c r="FY22" i="31" s="1"/>
  <c r="FY24" i="31" s="1"/>
  <c r="F10" i="23"/>
  <c r="DZ20" i="31"/>
  <c r="EA20" i="31" s="1"/>
  <c r="EB20" i="31" s="1"/>
  <c r="EC20" i="31" s="1"/>
  <c r="ED20" i="31" s="1"/>
  <c r="EE20" i="31" s="1"/>
  <c r="EF20" i="31" s="1"/>
  <c r="EG20" i="31" s="1"/>
  <c r="EH20" i="31" s="1"/>
  <c r="EI20" i="31" s="1"/>
  <c r="EJ20" i="31" s="1"/>
  <c r="EK20" i="31" s="1"/>
  <c r="EL20" i="31" s="1"/>
  <c r="EM20" i="31" s="1"/>
  <c r="EN20" i="31" s="1"/>
  <c r="EO20" i="31" s="1"/>
  <c r="EP20" i="31" s="1"/>
  <c r="DI20" i="31"/>
  <c r="DJ20" i="31" s="1"/>
  <c r="DK20" i="31" s="1"/>
  <c r="GR16" i="31"/>
  <c r="P10" i="23"/>
  <c r="Q10" i="23"/>
  <c r="Q14" i="23" s="1"/>
  <c r="FZ17" i="31"/>
  <c r="GR34" i="31"/>
  <c r="DF35" i="31"/>
  <c r="FZ34" i="31"/>
  <c r="R14" i="23"/>
  <c r="IB34" i="31"/>
  <c r="FH16" i="31"/>
  <c r="HL20" i="31"/>
  <c r="HM20" i="31" s="1"/>
  <c r="BX20" i="31"/>
  <c r="BY20" i="31" s="1"/>
  <c r="BZ20" i="31" s="1"/>
  <c r="CA20" i="31" s="1"/>
  <c r="CB20" i="31" s="1"/>
  <c r="CC20" i="31" s="1"/>
  <c r="CD20" i="31" s="1"/>
  <c r="CE20" i="31" s="1"/>
  <c r="CF20" i="31" s="1"/>
  <c r="CG20" i="31" s="1"/>
  <c r="CH20" i="31" s="1"/>
  <c r="CI20" i="31" s="1"/>
  <c r="CJ20" i="31" s="1"/>
  <c r="CK20" i="31" s="1"/>
  <c r="CL20" i="31" s="1"/>
  <c r="CM20" i="31" s="1"/>
  <c r="CN20" i="31" s="1"/>
  <c r="W46" i="30"/>
  <c r="Y22" i="31" s="1"/>
  <c r="Y24" i="31" s="1"/>
  <c r="L46" i="30"/>
  <c r="L22" i="31" s="1"/>
  <c r="L24" i="31" s="1"/>
  <c r="DR46" i="30"/>
  <c r="EF22" i="31" s="1"/>
  <c r="EF24" i="31" s="1"/>
  <c r="DG46" i="30"/>
  <c r="DS22" i="31" s="1"/>
  <c r="DS24" i="31" s="1"/>
  <c r="CY46" i="30"/>
  <c r="DK22" i="31" s="1"/>
  <c r="DK24" i="31" s="1"/>
  <c r="CN46" i="30"/>
  <c r="CX22" i="31" s="1"/>
  <c r="CX24" i="31" s="1"/>
  <c r="AX46" i="30"/>
  <c r="BB22" i="31" s="1"/>
  <c r="BB24" i="31" s="1"/>
  <c r="AP46" i="30"/>
  <c r="AT22" i="31" s="1"/>
  <c r="AT24" i="31" s="1"/>
  <c r="AE46" i="30"/>
  <c r="AG22" i="31" s="1"/>
  <c r="AG24" i="31" s="1"/>
  <c r="HI21" i="31"/>
  <c r="CM21" i="31"/>
  <c r="DF46" i="30"/>
  <c r="DR22" i="31" s="1"/>
  <c r="DR24" i="31" s="1"/>
  <c r="AD46" i="30"/>
  <c r="AF22" i="31" s="1"/>
  <c r="AF24" i="31" s="1"/>
  <c r="DE46" i="30"/>
  <c r="DQ22" i="31" s="1"/>
  <c r="DQ24" i="31" s="1"/>
  <c r="BI46" i="30"/>
  <c r="BO22" i="31" s="1"/>
  <c r="BO24" i="31" s="1"/>
  <c r="BD46" i="30"/>
  <c r="BJ22" i="31" s="1"/>
  <c r="BJ24" i="31" s="1"/>
  <c r="BQ46" i="30"/>
  <c r="BY22" i="31" s="1"/>
  <c r="BY24" i="31" s="1"/>
  <c r="AT46" i="30"/>
  <c r="AX22" i="31" s="1"/>
  <c r="AX24" i="31" s="1"/>
  <c r="AL46" i="30"/>
  <c r="AP22" i="31" s="1"/>
  <c r="AP24" i="31" s="1"/>
  <c r="BU21" i="31"/>
  <c r="FR46" i="30"/>
  <c r="GL22" i="31" s="1"/>
  <c r="GL24" i="31" s="1"/>
  <c r="AI46" i="30"/>
  <c r="AM22" i="31" s="1"/>
  <c r="AM24" i="31" s="1"/>
  <c r="C83" i="28"/>
  <c r="C116" i="28"/>
  <c r="C25" i="28"/>
  <c r="C37" i="28" s="1"/>
  <c r="C39" i="28" s="1"/>
  <c r="C54" i="28"/>
  <c r="C56" i="28"/>
  <c r="C46" i="30"/>
  <c r="C22" i="31" s="1"/>
  <c r="C24" i="31" s="1"/>
  <c r="CF46" i="30"/>
  <c r="CP22" i="31" s="1"/>
  <c r="CP24" i="31" s="1"/>
  <c r="DM46" i="30"/>
  <c r="EA22" i="31" s="1"/>
  <c r="EA24" i="31" s="1"/>
  <c r="GU46" i="30"/>
  <c r="HS22" i="31" s="1"/>
  <c r="HS24" i="31" s="1"/>
  <c r="EY46" i="30"/>
  <c r="FQ22" i="31" s="1"/>
  <c r="FQ24" i="31" s="1"/>
  <c r="DS46" i="30"/>
  <c r="EG22" i="31" s="1"/>
  <c r="EG24" i="31" s="1"/>
  <c r="DC46" i="30"/>
  <c r="DO22" i="31" s="1"/>
  <c r="DO24" i="31" s="1"/>
  <c r="AO46" i="30"/>
  <c r="AS22" i="31" s="1"/>
  <c r="AS24" i="31" s="1"/>
  <c r="AG46" i="30"/>
  <c r="AI22" i="31" s="1"/>
  <c r="AI24" i="31" s="1"/>
  <c r="EM46" i="30"/>
  <c r="FC22" i="31" s="1"/>
  <c r="FC24" i="31" s="1"/>
  <c r="CJ46" i="30"/>
  <c r="CT22" i="31" s="1"/>
  <c r="CT24" i="31" s="1"/>
  <c r="BL46" i="30"/>
  <c r="BR22" i="31" s="1"/>
  <c r="BR24" i="31" s="1"/>
  <c r="AF46" i="30"/>
  <c r="AH22" i="31" s="1"/>
  <c r="AH24" i="31" s="1"/>
  <c r="B72" i="24"/>
  <c r="B70" i="24"/>
  <c r="C74" i="24"/>
  <c r="B75" i="24"/>
  <c r="C71" i="24"/>
  <c r="B62" i="24"/>
  <c r="C66" i="24"/>
  <c r="B67" i="24"/>
  <c r="C63" i="24"/>
  <c r="B332" i="33"/>
  <c r="B77" i="24"/>
  <c r="B65" i="24"/>
  <c r="C65" i="24"/>
  <c r="C75" i="24"/>
  <c r="C67" i="24"/>
  <c r="B61" i="24"/>
  <c r="C72" i="24"/>
  <c r="C78" i="24"/>
  <c r="C61" i="24"/>
  <c r="B63" i="24"/>
  <c r="B68" i="24"/>
  <c r="C64" i="24"/>
  <c r="C70" i="24"/>
  <c r="B69" i="24"/>
  <c r="B78" i="24"/>
  <c r="B74" i="24"/>
  <c r="B66" i="24"/>
  <c r="B76" i="24"/>
  <c r="C73" i="24"/>
  <c r="C76" i="24"/>
  <c r="Q46" i="30"/>
  <c r="Q22" i="31" s="1"/>
  <c r="Q24" i="31" s="1"/>
  <c r="B330" i="33"/>
  <c r="C10" i="23"/>
  <c r="H67" i="28"/>
  <c r="G36" i="28"/>
  <c r="J17" i="23"/>
  <c r="E67" i="37"/>
  <c r="C98" i="37"/>
  <c r="G129" i="37"/>
  <c r="ER21" i="31"/>
  <c r="EZ21" i="31"/>
  <c r="L47" i="42"/>
  <c r="L78" i="42"/>
  <c r="L79" i="42" s="1"/>
  <c r="P80" i="42"/>
  <c r="O111" i="42"/>
  <c r="O112" i="42" s="1"/>
  <c r="J78" i="42"/>
  <c r="J79" i="42" s="1"/>
  <c r="D144" i="42"/>
  <c r="D145" i="42" s="1"/>
  <c r="E23" i="42"/>
  <c r="E24" i="42" s="1"/>
  <c r="K34" i="42"/>
  <c r="K35" i="42" s="1"/>
  <c r="D100" i="42"/>
  <c r="D101" i="42" s="1"/>
  <c r="M122" i="42"/>
  <c r="M123" i="42" s="1"/>
  <c r="C144" i="42"/>
  <c r="C145" i="42" s="1"/>
  <c r="K144" i="42"/>
  <c r="K145" i="42" s="1"/>
  <c r="J144" i="42"/>
  <c r="J145" i="42" s="1"/>
  <c r="S11" i="23"/>
  <c r="CX46" i="30"/>
  <c r="DJ22" i="31" s="1"/>
  <c r="DJ24" i="31" s="1"/>
  <c r="CI46" i="30"/>
  <c r="CS22" i="31" s="1"/>
  <c r="CS24" i="31" s="1"/>
  <c r="AV46" i="30"/>
  <c r="AZ22" i="31" s="1"/>
  <c r="AZ24" i="31" s="1"/>
  <c r="AN46" i="30"/>
  <c r="AR22" i="31" s="1"/>
  <c r="AR24" i="31" s="1"/>
  <c r="X46" i="30"/>
  <c r="Z22" i="31" s="1"/>
  <c r="Z24" i="31" s="1"/>
  <c r="C277" i="25"/>
  <c r="CB46" i="30"/>
  <c r="CJ22" i="31" s="1"/>
  <c r="CJ24" i="31" s="1"/>
  <c r="I46" i="30"/>
  <c r="I22" i="31" s="1"/>
  <c r="I24" i="31" s="1"/>
  <c r="G58" i="40"/>
  <c r="D9" i="23"/>
  <c r="G10" i="23"/>
  <c r="G14" i="23" s="1"/>
  <c r="F98" i="37"/>
  <c r="H98" i="37"/>
  <c r="D36" i="37"/>
  <c r="D129" i="37"/>
  <c r="F67" i="28"/>
  <c r="D47" i="42"/>
  <c r="B69" i="42"/>
  <c r="F144" i="42"/>
  <c r="F145" i="42" s="1"/>
  <c r="B80" i="42"/>
  <c r="P121" i="42"/>
  <c r="P122" i="42" s="1"/>
  <c r="P123" i="42" s="1"/>
  <c r="I144" i="42"/>
  <c r="I145" i="42" s="1"/>
  <c r="L23" i="42"/>
  <c r="L24" i="42" s="1"/>
  <c r="N89" i="42"/>
  <c r="N90" i="42" s="1"/>
  <c r="L89" i="42"/>
  <c r="L90" i="42" s="1"/>
  <c r="E100" i="42"/>
  <c r="E101" i="42" s="1"/>
  <c r="L100" i="42"/>
  <c r="L101" i="42" s="1"/>
  <c r="M111" i="42"/>
  <c r="M112" i="42" s="1"/>
  <c r="F133" i="42"/>
  <c r="F134" i="42" s="1"/>
  <c r="FI46" i="30"/>
  <c r="GC22" i="31" s="1"/>
  <c r="GC24" i="31" s="1"/>
  <c r="EC46" i="30"/>
  <c r="ES22" i="31" s="1"/>
  <c r="ES24" i="31" s="1"/>
  <c r="CW46" i="30"/>
  <c r="DI22" i="31" s="1"/>
  <c r="DI24" i="31" s="1"/>
  <c r="BR46" i="30"/>
  <c r="BZ22" i="31" s="1"/>
  <c r="BZ24" i="31" s="1"/>
  <c r="EP17" i="31"/>
  <c r="BT46" i="30"/>
  <c r="CB22" i="31" s="1"/>
  <c r="CB24" i="31" s="1"/>
  <c r="F64" i="40"/>
  <c r="K17" i="23"/>
  <c r="H36" i="37"/>
  <c r="K10" i="23"/>
  <c r="D67" i="37"/>
  <c r="H98" i="28"/>
  <c r="EA21" i="31"/>
  <c r="EI21" i="31"/>
  <c r="GY21" i="31"/>
  <c r="HG21" i="31"/>
  <c r="G98" i="28"/>
  <c r="P157" i="42"/>
  <c r="G89" i="42"/>
  <c r="G90" i="42" s="1"/>
  <c r="E78" i="42"/>
  <c r="E79" i="42" s="1"/>
  <c r="E67" i="42"/>
  <c r="E68" i="42" s="1"/>
  <c r="M23" i="42"/>
  <c r="M24" i="42" s="1"/>
  <c r="I56" i="42"/>
  <c r="I57" i="42" s="1"/>
  <c r="FX46" i="30"/>
  <c r="GT22" i="31" s="1"/>
  <c r="GT24" i="31" s="1"/>
  <c r="S14" i="23"/>
  <c r="E45" i="42"/>
  <c r="E46" i="42" s="1"/>
  <c r="G56" i="42"/>
  <c r="G57" i="42" s="1"/>
  <c r="L67" i="42"/>
  <c r="L68" i="42" s="1"/>
  <c r="GE46" i="30"/>
  <c r="HA22" i="31" s="1"/>
  <c r="HA24" i="31" s="1"/>
  <c r="FO46" i="30"/>
  <c r="GI22" i="31" s="1"/>
  <c r="GI24" i="31" s="1"/>
  <c r="EQ46" i="30"/>
  <c r="FI22" i="31" s="1"/>
  <c r="FI24" i="31" s="1"/>
  <c r="EI46" i="30"/>
  <c r="EY22" i="31" s="1"/>
  <c r="EY24" i="31" s="1"/>
  <c r="AC46" i="30"/>
  <c r="AE22" i="31" s="1"/>
  <c r="AE24" i="31" s="1"/>
  <c r="IB17" i="31"/>
  <c r="E277" i="34"/>
  <c r="H61" i="40"/>
  <c r="D13" i="23"/>
  <c r="F36" i="28"/>
  <c r="D10" i="23"/>
  <c r="F129" i="28"/>
  <c r="G55" i="41"/>
  <c r="K13" i="23"/>
  <c r="H67" i="37"/>
  <c r="G129" i="28"/>
  <c r="H36" i="28"/>
  <c r="E11" i="23"/>
  <c r="E98" i="37"/>
  <c r="BM21" i="31"/>
  <c r="GH21" i="31"/>
  <c r="P79" i="42"/>
  <c r="O100" i="42"/>
  <c r="O101" i="42" s="1"/>
  <c r="H47" i="42"/>
  <c r="P56" i="42"/>
  <c r="P57" i="42" s="1"/>
  <c r="P135" i="42"/>
  <c r="P33" i="42"/>
  <c r="P36" i="42" s="1"/>
  <c r="N23" i="42"/>
  <c r="N24" i="42" s="1"/>
  <c r="N34" i="42"/>
  <c r="N35" i="42" s="1"/>
  <c r="K111" i="42"/>
  <c r="K112" i="42" s="1"/>
  <c r="C122" i="42"/>
  <c r="C123" i="42" s="1"/>
  <c r="P65" i="42"/>
  <c r="P67" i="42" s="1"/>
  <c r="P68" i="42" s="1"/>
  <c r="P153" i="42"/>
  <c r="P155" i="42" s="1"/>
  <c r="P156" i="42" s="1"/>
  <c r="HB46" i="30"/>
  <c r="HZ22" i="31" s="1"/>
  <c r="HZ24" i="31" s="1"/>
  <c r="CM46" i="30"/>
  <c r="CW22" i="31" s="1"/>
  <c r="CW24" i="31" s="1"/>
  <c r="BG46" i="30"/>
  <c r="BM22" i="31" s="1"/>
  <c r="BM24" i="31" s="1"/>
  <c r="C277" i="34"/>
  <c r="C197" i="25"/>
  <c r="E277" i="25"/>
  <c r="D17" i="23"/>
  <c r="F98" i="28"/>
  <c r="G67" i="28"/>
  <c r="G67" i="37"/>
  <c r="I89" i="42"/>
  <c r="I90" i="42" s="1"/>
  <c r="D89" i="42"/>
  <c r="D90" i="42" s="1"/>
  <c r="H144" i="42"/>
  <c r="H145" i="42" s="1"/>
  <c r="GS46" i="30"/>
  <c r="HQ22" i="31" s="1"/>
  <c r="HQ24" i="31" s="1"/>
  <c r="GK46" i="30"/>
  <c r="HG22" i="31" s="1"/>
  <c r="HG24" i="31" s="1"/>
  <c r="FU46" i="30"/>
  <c r="GO22" i="31" s="1"/>
  <c r="GO24" i="31" s="1"/>
  <c r="DI46" i="30"/>
  <c r="DU22" i="31" s="1"/>
  <c r="DU24" i="31" s="1"/>
  <c r="AA46" i="30"/>
  <c r="AC22" i="31" s="1"/>
  <c r="AC24" i="31" s="1"/>
  <c r="S46" i="30"/>
  <c r="U22" i="31" s="1"/>
  <c r="U24" i="31" s="1"/>
  <c r="G111" i="42"/>
  <c r="G112" i="42" s="1"/>
  <c r="M56" i="42"/>
  <c r="M57" i="42" s="1"/>
  <c r="H80" i="42"/>
  <c r="K133" i="42"/>
  <c r="K134" i="42" s="1"/>
  <c r="C53" i="37"/>
  <c r="C25" i="37"/>
  <c r="C37" i="37" s="1"/>
  <c r="C39" i="37" s="1"/>
  <c r="C56" i="37"/>
  <c r="C68" i="37" s="1"/>
  <c r="C70" i="37" s="1"/>
  <c r="C18" i="29" a="1"/>
  <c r="C18" i="29" s="1"/>
  <c r="B18" i="29" s="1"/>
  <c r="H58" i="40"/>
  <c r="E46" i="30"/>
  <c r="E22" i="31" s="1"/>
  <c r="E24" i="31" s="1"/>
  <c r="AK46" i="30"/>
  <c r="AO22" i="31" s="1"/>
  <c r="AO24" i="31" s="1"/>
  <c r="G62" i="40"/>
  <c r="DJ46" i="30"/>
  <c r="DV22" i="31" s="1"/>
  <c r="DV24" i="31" s="1"/>
  <c r="DB46" i="30"/>
  <c r="DN22" i="31" s="1"/>
  <c r="DN24" i="31" s="1"/>
  <c r="BN46" i="30"/>
  <c r="BT22" i="31" s="1"/>
  <c r="BT24" i="31" s="1"/>
  <c r="BF46" i="30"/>
  <c r="BL22" i="31" s="1"/>
  <c r="BL24" i="31" s="1"/>
  <c r="AS46" i="30"/>
  <c r="AW22" i="31" s="1"/>
  <c r="AW24" i="31" s="1"/>
  <c r="G59" i="41"/>
  <c r="G54" i="40"/>
  <c r="S10" i="23"/>
  <c r="HA46" i="30"/>
  <c r="HY22" i="31" s="1"/>
  <c r="HY24" i="31" s="1"/>
  <c r="GI46" i="30"/>
  <c r="HE22" i="31" s="1"/>
  <c r="HE24" i="31" s="1"/>
  <c r="GA46" i="30"/>
  <c r="GW22" i="31" s="1"/>
  <c r="GW24" i="31" s="1"/>
  <c r="FF46" i="30"/>
  <c r="FX22" i="31" s="1"/>
  <c r="FX24" i="31" s="1"/>
  <c r="EX46" i="30"/>
  <c r="FP22" i="31" s="1"/>
  <c r="FP24" i="31" s="1"/>
  <c r="DA46" i="30"/>
  <c r="DM22" i="31" s="1"/>
  <c r="DM24" i="31" s="1"/>
  <c r="BX46" i="30"/>
  <c r="CF22" i="31" s="1"/>
  <c r="CF24" i="31" s="1"/>
  <c r="F63" i="41"/>
  <c r="E60" i="40"/>
  <c r="GZ46" i="30"/>
  <c r="HX22" i="31" s="1"/>
  <c r="HX24" i="31" s="1"/>
  <c r="GR46" i="30"/>
  <c r="HP22" i="31" s="1"/>
  <c r="HP24" i="31" s="1"/>
  <c r="FE46" i="30"/>
  <c r="FW22" i="31" s="1"/>
  <c r="FW24" i="31" s="1"/>
  <c r="EW46" i="30"/>
  <c r="FO22" i="31" s="1"/>
  <c r="FO24" i="31" s="1"/>
  <c r="BW46" i="30"/>
  <c r="CE22" i="31" s="1"/>
  <c r="CE24" i="31" s="1"/>
  <c r="M46" i="30"/>
  <c r="M22" i="31" s="1"/>
  <c r="M24" i="31" s="1"/>
  <c r="AL16" i="31"/>
  <c r="DW21" i="31"/>
  <c r="GP46" i="30"/>
  <c r="HN22" i="31" s="1"/>
  <c r="HN24" i="31" s="1"/>
  <c r="CT46" i="30"/>
  <c r="DD22" i="31" s="1"/>
  <c r="DD24" i="31" s="1"/>
  <c r="F60" i="41"/>
  <c r="GL46" i="30"/>
  <c r="HH22" i="31" s="1"/>
  <c r="HH24" i="31" s="1"/>
  <c r="GD46" i="30"/>
  <c r="GZ22" i="31" s="1"/>
  <c r="GZ24" i="31" s="1"/>
  <c r="EP46" i="30"/>
  <c r="FF22" i="31" s="1"/>
  <c r="FF24" i="31" s="1"/>
  <c r="EH46" i="30"/>
  <c r="EX22" i="31" s="1"/>
  <c r="EX24" i="31" s="1"/>
  <c r="BH46" i="30"/>
  <c r="BN22" i="31" s="1"/>
  <c r="BN24" i="31" s="1"/>
  <c r="U46" i="30"/>
  <c r="W22" i="31" s="1"/>
  <c r="W24" i="31" s="1"/>
  <c r="BO46" i="30"/>
  <c r="BW22" i="31" s="1"/>
  <c r="BW24" i="31" s="1"/>
  <c r="CU46" i="30"/>
  <c r="DG22" i="31" s="1"/>
  <c r="DG24" i="31" s="1"/>
  <c r="GN46" i="30"/>
  <c r="HL22" i="31" s="1"/>
  <c r="HL24" i="31" s="1"/>
  <c r="H64" i="40"/>
  <c r="GV46" i="30"/>
  <c r="HT22" i="31" s="1"/>
  <c r="HT24" i="31" s="1"/>
  <c r="FA46" i="30"/>
  <c r="FS22" i="31" s="1"/>
  <c r="FS24" i="31" s="1"/>
  <c r="DW46" i="30"/>
  <c r="EK22" i="31" s="1"/>
  <c r="EK24" i="31" s="1"/>
  <c r="DO46" i="30"/>
  <c r="EC22" i="31" s="1"/>
  <c r="EC24" i="31" s="1"/>
  <c r="BJ46" i="30"/>
  <c r="BP22" i="31" s="1"/>
  <c r="BP24" i="31" s="1"/>
  <c r="AW46" i="30"/>
  <c r="BA22" i="31" s="1"/>
  <c r="BA24" i="31" s="1"/>
  <c r="FG46" i="30"/>
  <c r="GA22" i="31" s="1"/>
  <c r="GA24" i="31" s="1"/>
  <c r="HJ21" i="31"/>
  <c r="M15" i="23"/>
  <c r="M19" i="23" s="1"/>
  <c r="ET46" i="30"/>
  <c r="FL22" i="31" s="1"/>
  <c r="FL24" i="31" s="1"/>
  <c r="F62" i="40"/>
  <c r="F62" i="41"/>
  <c r="EZ46" i="30"/>
  <c r="FR22" i="31" s="1"/>
  <c r="FR24" i="31" s="1"/>
  <c r="DV46" i="30"/>
  <c r="EJ22" i="31" s="1"/>
  <c r="EJ24" i="31" s="1"/>
  <c r="DN46" i="30"/>
  <c r="EB22" i="31" s="1"/>
  <c r="EB24" i="31" s="1"/>
  <c r="CA46" i="30"/>
  <c r="CI22" i="31" s="1"/>
  <c r="CI24" i="31" s="1"/>
  <c r="BS46" i="30"/>
  <c r="CA22" i="31" s="1"/>
  <c r="CA24" i="31" s="1"/>
  <c r="R46" i="30"/>
  <c r="J46" i="30"/>
  <c r="J22" i="31" s="1"/>
  <c r="J24" i="31" s="1"/>
  <c r="AZ46" i="30"/>
  <c r="BF22" i="31" s="1"/>
  <c r="BF24" i="31" s="1"/>
  <c r="DK46" i="30"/>
  <c r="DY22" i="31" s="1"/>
  <c r="DY24" i="31" s="1"/>
  <c r="ER46" i="30"/>
  <c r="FJ22" i="31" s="1"/>
  <c r="FJ24" i="31" s="1"/>
  <c r="FW46" i="30"/>
  <c r="GS22" i="31" s="1"/>
  <c r="GS24" i="31" s="1"/>
  <c r="FG22" i="31"/>
  <c r="FG24" i="31" s="1"/>
  <c r="G52" i="41"/>
  <c r="FB46" i="30"/>
  <c r="FT22" i="31" s="1"/>
  <c r="FT24" i="31" s="1"/>
  <c r="GT46" i="30"/>
  <c r="HR22" i="31" s="1"/>
  <c r="HR24" i="31" s="1"/>
  <c r="DU46" i="30"/>
  <c r="EI22" i="31" s="1"/>
  <c r="EI24" i="31" s="1"/>
  <c r="CQ46" i="30"/>
  <c r="DA22" i="31" s="1"/>
  <c r="DA24" i="31" s="1"/>
  <c r="BZ46" i="30"/>
  <c r="CH22" i="31" s="1"/>
  <c r="CH24" i="31" s="1"/>
  <c r="AU46" i="30"/>
  <c r="AY22" i="31" s="1"/>
  <c r="AY24" i="31" s="1"/>
  <c r="AM46" i="30"/>
  <c r="AQ22" i="31" s="1"/>
  <c r="AQ24" i="31" s="1"/>
  <c r="EA46" i="30"/>
  <c r="EQ22" i="31" s="1"/>
  <c r="EQ24" i="31" s="1"/>
  <c r="E64" i="40"/>
  <c r="E58" i="40"/>
  <c r="F57" i="40"/>
  <c r="G63" i="41"/>
  <c r="G60" i="40"/>
  <c r="FQ46" i="30"/>
  <c r="GK22" i="31" s="1"/>
  <c r="GK24" i="31" s="1"/>
  <c r="EE46" i="30"/>
  <c r="EU22" i="31" s="1"/>
  <c r="EU24" i="31" s="1"/>
  <c r="CP46" i="30"/>
  <c r="CZ22" i="31" s="1"/>
  <c r="CZ24" i="31" s="1"/>
  <c r="H46" i="30"/>
  <c r="H22" i="31" s="1"/>
  <c r="H24" i="31" s="1"/>
  <c r="AL21" i="31"/>
  <c r="BD33" i="31"/>
  <c r="EO22" i="31"/>
  <c r="EO24" i="31" s="1"/>
  <c r="FP46" i="30"/>
  <c r="GJ22" i="31" s="1"/>
  <c r="GJ24" i="31" s="1"/>
  <c r="EL46" i="30"/>
  <c r="FB22" i="31" s="1"/>
  <c r="FB24" i="31" s="1"/>
  <c r="ED46" i="30"/>
  <c r="ET22" i="31" s="1"/>
  <c r="ET24" i="31" s="1"/>
  <c r="DX21" i="31"/>
  <c r="C116" i="37"/>
  <c r="G15" i="23"/>
  <c r="C19" i="29" a="1"/>
  <c r="C19" i="29" s="1"/>
  <c r="B19" i="29" s="1"/>
  <c r="H64" i="29" s="1"/>
  <c r="C11" i="29" a="1"/>
  <c r="C11" i="29" s="1"/>
  <c r="B11" i="29" s="1"/>
  <c r="E197" i="25"/>
  <c r="C10" i="29" s="1" a="1"/>
  <c r="C10" i="29" s="1"/>
  <c r="B10" i="29" s="1"/>
  <c r="F13" i="23"/>
  <c r="O17" i="23"/>
  <c r="P18" i="23" s="1"/>
  <c r="N13" i="23"/>
  <c r="I9" i="23"/>
  <c r="G11" i="23"/>
  <c r="H13" i="23"/>
  <c r="O11" i="23"/>
  <c r="G17" i="23"/>
  <c r="H18" i="23" s="1"/>
  <c r="F15" i="23"/>
  <c r="O13" i="23"/>
  <c r="O10" i="23"/>
  <c r="I17" i="23"/>
  <c r="H10" i="23"/>
  <c r="N15" i="23"/>
  <c r="H9" i="23"/>
  <c r="N10" i="23"/>
  <c r="N11" i="23"/>
  <c r="F17" i="23"/>
  <c r="F18" i="23" s="1"/>
  <c r="F9" i="23"/>
  <c r="N17" i="23"/>
  <c r="N18" i="23" s="1"/>
  <c r="O15" i="23"/>
  <c r="FJ20" i="31"/>
  <c r="FK20" i="31" s="1"/>
  <c r="FL20" i="31" s="1"/>
  <c r="FM20" i="31" s="1"/>
  <c r="FN20" i="31" s="1"/>
  <c r="FO20" i="31" s="1"/>
  <c r="FP20" i="31" s="1"/>
  <c r="FQ20" i="31" s="1"/>
  <c r="FR20" i="31" s="1"/>
  <c r="FS20" i="31" s="1"/>
  <c r="FT20" i="31" s="1"/>
  <c r="FU20" i="31" s="1"/>
  <c r="FV20" i="31" s="1"/>
  <c r="FW20" i="31" s="1"/>
  <c r="FX20" i="31" s="1"/>
  <c r="FY20" i="31" s="1"/>
  <c r="FZ20" i="31" s="1"/>
  <c r="AN20" i="31"/>
  <c r="AO20" i="31" s="1"/>
  <c r="AP20" i="31" s="1"/>
  <c r="AQ20" i="31" s="1"/>
  <c r="AR20" i="31" s="1"/>
  <c r="AS20" i="31" s="1"/>
  <c r="AT20" i="31" s="1"/>
  <c r="AU20" i="31" s="1"/>
  <c r="AV20" i="31" s="1"/>
  <c r="AW20" i="31" s="1"/>
  <c r="AX20" i="31" s="1"/>
  <c r="AY20" i="31" s="1"/>
  <c r="AZ20" i="31" s="1"/>
  <c r="BA20" i="31" s="1"/>
  <c r="BB20" i="31" s="1"/>
  <c r="BC20" i="31" s="1"/>
  <c r="BD20" i="31" s="1"/>
  <c r="GB20" i="31"/>
  <c r="GC20" i="31" s="1"/>
  <c r="GD20" i="31" s="1"/>
  <c r="GE20" i="31" s="1"/>
  <c r="GF20" i="31" s="1"/>
  <c r="GG20" i="31" s="1"/>
  <c r="GH20" i="31" s="1"/>
  <c r="GI20" i="31" s="1"/>
  <c r="GJ20" i="31" s="1"/>
  <c r="GK20" i="31" s="1"/>
  <c r="GL20" i="31" s="1"/>
  <c r="GM20" i="31" s="1"/>
  <c r="GN20" i="31" s="1"/>
  <c r="GO20" i="31" s="1"/>
  <c r="GP20" i="31" s="1"/>
  <c r="GQ20" i="31" s="1"/>
  <c r="GR20" i="31" s="1"/>
  <c r="FZ16" i="31"/>
  <c r="GQ35" i="31"/>
  <c r="GQ22" i="31" s="1"/>
  <c r="GQ24" i="31" s="1"/>
  <c r="EP16" i="31"/>
  <c r="HN20" i="31"/>
  <c r="HO20" i="31" s="1"/>
  <c r="HP20" i="31" s="1"/>
  <c r="HQ20" i="31" s="1"/>
  <c r="HR20" i="31" s="1"/>
  <c r="HS20" i="31" s="1"/>
  <c r="HT20" i="31" s="1"/>
  <c r="HU20" i="31" s="1"/>
  <c r="HV20" i="31" s="1"/>
  <c r="HW20" i="31" s="1"/>
  <c r="HX20" i="31" s="1"/>
  <c r="HY20" i="31" s="1"/>
  <c r="HZ20" i="31" s="1"/>
  <c r="IA20" i="31" s="1"/>
  <c r="IB20" i="31" s="1"/>
  <c r="V20" i="31"/>
  <c r="W20" i="31" s="1"/>
  <c r="X20" i="31" s="1"/>
  <c r="Y20" i="31" s="1"/>
  <c r="Z20" i="31" s="1"/>
  <c r="AA20" i="31" s="1"/>
  <c r="AB20" i="31" s="1"/>
  <c r="AC20" i="31" s="1"/>
  <c r="AD20" i="31" s="1"/>
  <c r="AE20" i="31" s="1"/>
  <c r="AF20" i="31" s="1"/>
  <c r="AG20" i="31" s="1"/>
  <c r="AH20" i="31" s="1"/>
  <c r="AI20" i="31" s="1"/>
  <c r="AJ20" i="31" s="1"/>
  <c r="AK20" i="31" s="1"/>
  <c r="AL20" i="31" s="1"/>
  <c r="D20" i="31"/>
  <c r="E20" i="31" s="1"/>
  <c r="F20" i="31" s="1"/>
  <c r="G20" i="31" s="1"/>
  <c r="H20" i="31" s="1"/>
  <c r="I20" i="31" s="1"/>
  <c r="J20" i="31" s="1"/>
  <c r="K20" i="31" s="1"/>
  <c r="L20" i="31" s="1"/>
  <c r="BV21" i="31"/>
  <c r="DF16" i="31"/>
  <c r="DL20" i="31"/>
  <c r="DM20" i="31" s="1"/>
  <c r="DN20" i="31" s="1"/>
  <c r="DO20" i="31" s="1"/>
  <c r="DP20" i="31" s="1"/>
  <c r="DQ20" i="31" s="1"/>
  <c r="DR20" i="31" s="1"/>
  <c r="DS20" i="31" s="1"/>
  <c r="DT20" i="31" s="1"/>
  <c r="DU20" i="31" s="1"/>
  <c r="DV20" i="31" s="1"/>
  <c r="DW20" i="31" s="1"/>
  <c r="DX20" i="31" s="1"/>
  <c r="FG21" i="31"/>
  <c r="BC21" i="31"/>
  <c r="CN16" i="31"/>
  <c r="IA35" i="31"/>
  <c r="IA22" i="31" s="1"/>
  <c r="IA24" i="31" s="1"/>
  <c r="DE21" i="31"/>
  <c r="AK21" i="31"/>
  <c r="BD16" i="31"/>
  <c r="BD35" i="31"/>
  <c r="G57" i="40"/>
  <c r="F56" i="41"/>
  <c r="H60" i="41"/>
  <c r="H62" i="41"/>
  <c r="G60" i="41"/>
  <c r="E54" i="40"/>
  <c r="H59" i="41"/>
  <c r="BD17" i="31"/>
  <c r="T16" i="31"/>
  <c r="E59" i="41"/>
  <c r="FH17" i="31"/>
  <c r="E64" i="41"/>
  <c r="G54" i="41"/>
  <c r="H56" i="40"/>
  <c r="E52" i="40"/>
  <c r="E59" i="40"/>
  <c r="F53" i="40"/>
  <c r="IA21" i="31"/>
  <c r="E53" i="41"/>
  <c r="G61" i="40"/>
  <c r="E60" i="41"/>
  <c r="H62" i="40"/>
  <c r="H60" i="40"/>
  <c r="F55" i="40"/>
  <c r="CD22" i="31"/>
  <c r="CD24" i="31" s="1"/>
  <c r="E53" i="40"/>
  <c r="E63" i="41"/>
  <c r="F55" i="41"/>
  <c r="F54" i="40"/>
  <c r="F58" i="40"/>
  <c r="H52" i="40"/>
  <c r="E56" i="40"/>
  <c r="E63" i="40"/>
  <c r="E52" i="41"/>
  <c r="H54" i="40"/>
  <c r="F59" i="41"/>
  <c r="E55" i="40"/>
  <c r="H63" i="41"/>
  <c r="H55" i="40"/>
  <c r="F58" i="41"/>
  <c r="K15" i="23"/>
  <c r="FY21" i="31"/>
  <c r="H56" i="41"/>
  <c r="E57" i="41"/>
  <c r="F53" i="41"/>
  <c r="E57" i="40"/>
  <c r="F52" i="41"/>
  <c r="F63" i="40"/>
  <c r="E62" i="40"/>
  <c r="H52" i="41"/>
  <c r="P15" i="23"/>
  <c r="H63" i="40"/>
  <c r="CM22" i="31"/>
  <c r="CM24" i="31" s="1"/>
  <c r="FH33" i="31"/>
  <c r="FH22" i="31" s="1"/>
  <c r="FH24" i="31" s="1"/>
  <c r="E54" i="41"/>
  <c r="F54" i="41"/>
  <c r="H53" i="40"/>
  <c r="H57" i="41"/>
  <c r="E61" i="41"/>
  <c r="H61" i="41"/>
  <c r="G64" i="41"/>
  <c r="F52" i="40"/>
  <c r="H59" i="40"/>
  <c r="H55" i="41"/>
  <c r="H58" i="41"/>
  <c r="F61" i="41"/>
  <c r="H54" i="41"/>
  <c r="Q18" i="23"/>
  <c r="H64" i="41"/>
  <c r="E62" i="41"/>
  <c r="F56" i="40"/>
  <c r="E61" i="40"/>
  <c r="E56" i="41"/>
  <c r="F61" i="40"/>
  <c r="E55" i="41"/>
  <c r="G56" i="40"/>
  <c r="F57" i="41"/>
  <c r="G57" i="41"/>
  <c r="E58" i="41"/>
  <c r="HW24" i="31"/>
  <c r="C23" i="42"/>
  <c r="C24" i="42" s="1"/>
  <c r="N25" i="42"/>
  <c r="L34" i="42"/>
  <c r="L35" i="42" s="1"/>
  <c r="N78" i="42"/>
  <c r="N79" i="42" s="1"/>
  <c r="F113" i="42"/>
  <c r="F111" i="42"/>
  <c r="F112" i="42" s="1"/>
  <c r="DF18" i="31"/>
  <c r="DF21" i="31" s="1"/>
  <c r="DA21" i="31"/>
  <c r="O36" i="42"/>
  <c r="O34" i="42"/>
  <c r="O35" i="42" s="1"/>
  <c r="R18" i="23"/>
  <c r="CI21" i="31"/>
  <c r="CN18" i="31"/>
  <c r="IB18" i="31"/>
  <c r="IB21" i="31" s="1"/>
  <c r="HW21" i="31"/>
  <c r="L10" i="23"/>
  <c r="L14" i="23" s="1"/>
  <c r="I10" i="23"/>
  <c r="P89" i="42"/>
  <c r="P90" i="42" s="1"/>
  <c r="O89" i="42"/>
  <c r="O90" i="42" s="1"/>
  <c r="B122" i="42"/>
  <c r="B123" i="42" s="1"/>
  <c r="D25" i="42"/>
  <c r="D23" i="42"/>
  <c r="D24" i="42" s="1"/>
  <c r="B56" i="42"/>
  <c r="B57" i="42" s="1"/>
  <c r="B89" i="42"/>
  <c r="B90" i="42" s="1"/>
  <c r="E146" i="42"/>
  <c r="E144" i="42"/>
  <c r="E145" i="42" s="1"/>
  <c r="J10" i="23"/>
  <c r="J14" i="23" s="1"/>
  <c r="E10" i="23"/>
  <c r="E14" i="23" s="1"/>
  <c r="J146" i="42"/>
  <c r="I133" i="42"/>
  <c r="I134" i="42" s="1"/>
  <c r="E25" i="42"/>
  <c r="J89" i="42"/>
  <c r="J90" i="42" s="1"/>
  <c r="M100" i="42"/>
  <c r="M101" i="42" s="1"/>
  <c r="G135" i="42"/>
  <c r="G133" i="42"/>
  <c r="G134" i="42" s="1"/>
  <c r="CC22" i="31"/>
  <c r="CC24" i="31" s="1"/>
  <c r="S18" i="23"/>
  <c r="C62" i="24"/>
  <c r="D67" i="42"/>
  <c r="D68" i="42" s="1"/>
  <c r="D34" i="42"/>
  <c r="D35" i="42" s="1"/>
  <c r="FU21" i="31"/>
  <c r="FZ18" i="31"/>
  <c r="AL28" i="31"/>
  <c r="T28" i="31"/>
  <c r="T34" i="31" s="1"/>
  <c r="T35" i="31" s="1"/>
  <c r="DX28" i="31"/>
  <c r="HJ28" i="31"/>
  <c r="BV28" i="31"/>
  <c r="B73" i="24"/>
  <c r="C68" i="24"/>
  <c r="C77" i="24"/>
  <c r="B71" i="24"/>
  <c r="N113" i="42"/>
  <c r="N111" i="42"/>
  <c r="N112" i="42" s="1"/>
  <c r="FC21" i="31"/>
  <c r="FH18" i="31"/>
  <c r="B64" i="24"/>
  <c r="H155" i="42"/>
  <c r="H156" i="42" s="1"/>
  <c r="C56" i="42"/>
  <c r="C57" i="42" s="1"/>
  <c r="E34" i="42"/>
  <c r="E35" i="42" s="1"/>
  <c r="L58" i="42"/>
  <c r="L56" i="42"/>
  <c r="L57" i="42" s="1"/>
  <c r="F67" i="42"/>
  <c r="F68" i="42" s="1"/>
  <c r="M67" i="42"/>
  <c r="M68" i="42" s="1"/>
  <c r="E113" i="42"/>
  <c r="E111" i="42"/>
  <c r="E112" i="42" s="1"/>
  <c r="C69" i="24"/>
  <c r="M80" i="42"/>
  <c r="M78" i="42"/>
  <c r="M79" i="42" s="1"/>
  <c r="P124" i="42"/>
  <c r="K56" i="42"/>
  <c r="K57" i="42" s="1"/>
  <c r="CN33" i="31"/>
  <c r="DW35" i="31"/>
  <c r="DW22" i="31" s="1"/>
  <c r="DW24" i="31" s="1"/>
  <c r="I100" i="42"/>
  <c r="I101" i="42" s="1"/>
  <c r="M89" i="42"/>
  <c r="M90" i="42" s="1"/>
  <c r="DF22" i="31"/>
  <c r="DF24" i="31" s="1"/>
  <c r="AY21" i="31"/>
  <c r="BD18" i="31"/>
  <c r="HP21" i="31"/>
  <c r="HH21" i="31"/>
  <c r="EJ21" i="31"/>
  <c r="BU35" i="31"/>
  <c r="BU22" i="31" s="1"/>
  <c r="BU24" i="31" s="1"/>
  <c r="GS21" i="31"/>
  <c r="FB21" i="31"/>
  <c r="GR18" i="31"/>
  <c r="HX21" i="31"/>
  <c r="GZ21" i="31"/>
  <c r="GQ21" i="31"/>
  <c r="GR17" i="31"/>
  <c r="GI21" i="31"/>
  <c r="GA21" i="31"/>
  <c r="FR21" i="31"/>
  <c r="FJ21" i="31"/>
  <c r="FA21" i="31"/>
  <c r="EB21" i="31"/>
  <c r="DT21" i="31"/>
  <c r="DL21" i="31"/>
  <c r="CU21" i="31"/>
  <c r="CL21" i="31"/>
  <c r="CD21" i="31"/>
  <c r="BN21" i="31"/>
  <c r="AW21" i="31"/>
  <c r="AO21" i="31"/>
  <c r="Y21" i="31"/>
  <c r="I21" i="31"/>
  <c r="EO21" i="31"/>
  <c r="EP18" i="31"/>
  <c r="EP21" i="31" s="1"/>
  <c r="IB16" i="31"/>
  <c r="GU20" i="31"/>
  <c r="GV20" i="31" s="1"/>
  <c r="GW20" i="31" s="1"/>
  <c r="GX20" i="31" s="1"/>
  <c r="GY20" i="31" s="1"/>
  <c r="GZ20" i="31" s="1"/>
  <c r="HA20" i="31" s="1"/>
  <c r="HB20" i="31" s="1"/>
  <c r="HC20" i="31" s="1"/>
  <c r="HD20" i="31" s="1"/>
  <c r="HE20" i="31" s="1"/>
  <c r="HF20" i="31" s="1"/>
  <c r="HG20" i="31" s="1"/>
  <c r="HH20" i="31" s="1"/>
  <c r="HI20" i="31" s="1"/>
  <c r="HJ20" i="31" s="1"/>
  <c r="CP20" i="31"/>
  <c r="CQ20" i="31" s="1"/>
  <c r="CR20" i="31" s="1"/>
  <c r="CS20" i="31" s="1"/>
  <c r="CT20" i="31" s="1"/>
  <c r="CU20" i="31" s="1"/>
  <c r="CV20" i="31" s="1"/>
  <c r="CW20" i="31" s="1"/>
  <c r="CX20" i="31" s="1"/>
  <c r="CY20" i="31" s="1"/>
  <c r="CZ20" i="31" s="1"/>
  <c r="DA20" i="31" s="1"/>
  <c r="DB20" i="31" s="1"/>
  <c r="DC20" i="31" s="1"/>
  <c r="DD20" i="31" s="1"/>
  <c r="DE20" i="31" s="1"/>
  <c r="DF20" i="31" s="1"/>
  <c r="HY21" i="31"/>
  <c r="HA21" i="31"/>
  <c r="DM21" i="31"/>
  <c r="CV21" i="31"/>
  <c r="BW21" i="31"/>
  <c r="D15" i="23" l="1"/>
  <c r="F14" i="23"/>
  <c r="E99" i="28"/>
  <c r="E101" i="28" s="1"/>
  <c r="P111" i="42"/>
  <c r="P112" i="42" s="1"/>
  <c r="M18" i="23"/>
  <c r="E130" i="28"/>
  <c r="E132" i="28" s="1"/>
  <c r="P14" i="23"/>
  <c r="C35" i="23"/>
  <c r="F35" i="23" s="1"/>
  <c r="E13" i="37" s="1"/>
  <c r="M14" i="23"/>
  <c r="C25" i="23"/>
  <c r="H25" i="23" s="1"/>
  <c r="G13" i="28" s="1"/>
  <c r="D19" i="23"/>
  <c r="D68" i="28"/>
  <c r="D70" i="28" s="1"/>
  <c r="M20" i="31"/>
  <c r="B44" i="29"/>
  <c r="HJ34" i="31"/>
  <c r="BV34" i="31"/>
  <c r="BV35" i="31" s="1"/>
  <c r="BV22" i="31" s="1"/>
  <c r="BV24" i="31" s="1"/>
  <c r="K19" i="23"/>
  <c r="J18" i="23"/>
  <c r="C14" i="23"/>
  <c r="D14" i="23"/>
  <c r="O14" i="23"/>
  <c r="F99" i="37"/>
  <c r="F101" i="37" s="1"/>
  <c r="D116" i="28"/>
  <c r="D99" i="37"/>
  <c r="D101" i="37" s="1"/>
  <c r="H99" i="37"/>
  <c r="H101" i="37" s="1"/>
  <c r="E99" i="37"/>
  <c r="E101" i="37" s="1"/>
  <c r="C99" i="37"/>
  <c r="C101" i="37" s="1"/>
  <c r="D99" i="28"/>
  <c r="D101" i="28" s="1"/>
  <c r="H99" i="28"/>
  <c r="H101" i="28" s="1"/>
  <c r="G99" i="28"/>
  <c r="G101" i="28" s="1"/>
  <c r="C99" i="28"/>
  <c r="C101" i="28" s="1"/>
  <c r="F99" i="28"/>
  <c r="F101" i="28" s="1"/>
  <c r="D23" i="28"/>
  <c r="H130" i="28"/>
  <c r="H132" i="28" s="1"/>
  <c r="D23" i="37"/>
  <c r="C130" i="28"/>
  <c r="C132" i="28" s="1"/>
  <c r="D130" i="28"/>
  <c r="D132" i="28" s="1"/>
  <c r="F130" i="28"/>
  <c r="F132" i="28" s="1"/>
  <c r="D130" i="37"/>
  <c r="D132" i="37" s="1"/>
  <c r="D21" i="28"/>
  <c r="D116" i="37"/>
  <c r="D22" i="28"/>
  <c r="H130" i="37"/>
  <c r="H132" i="37" s="1"/>
  <c r="D53" i="37"/>
  <c r="F130" i="37"/>
  <c r="F132" i="37" s="1"/>
  <c r="G130" i="37"/>
  <c r="G132" i="37" s="1"/>
  <c r="E130" i="37"/>
  <c r="E132" i="37" s="1"/>
  <c r="D21" i="37"/>
  <c r="D83" i="28"/>
  <c r="D22" i="37"/>
  <c r="G130" i="28"/>
  <c r="G132" i="28" s="1"/>
  <c r="D84" i="37"/>
  <c r="FZ21" i="31"/>
  <c r="Q15" i="23"/>
  <c r="D85" i="37"/>
  <c r="D83" i="37"/>
  <c r="D54" i="28"/>
  <c r="D37" i="28"/>
  <c r="D39" i="28" s="1"/>
  <c r="L15" i="23"/>
  <c r="L19" i="23" s="1"/>
  <c r="AL34" i="31"/>
  <c r="AL35" i="31" s="1"/>
  <c r="AL22" i="31" s="1"/>
  <c r="AL24" i="31" s="1"/>
  <c r="T22" i="31"/>
  <c r="T24" i="31" s="1"/>
  <c r="T15" i="23" s="1"/>
  <c r="DX34" i="31"/>
  <c r="DX35" i="31" s="1"/>
  <c r="DX22" i="31" s="1"/>
  <c r="DX24" i="31" s="1"/>
  <c r="K14" i="23"/>
  <c r="H14" i="23"/>
  <c r="D115" i="28"/>
  <c r="D114" i="28"/>
  <c r="D85" i="28"/>
  <c r="D84" i="28"/>
  <c r="D53" i="28"/>
  <c r="E68" i="28"/>
  <c r="E70" i="28" s="1"/>
  <c r="D52" i="28"/>
  <c r="C68" i="28"/>
  <c r="C70" i="28" s="1"/>
  <c r="F68" i="28"/>
  <c r="F70" i="28" s="1"/>
  <c r="G68" i="28"/>
  <c r="G70" i="28" s="1"/>
  <c r="H68" i="28"/>
  <c r="H70" i="28" s="1"/>
  <c r="H37" i="28"/>
  <c r="H39" i="28" s="1"/>
  <c r="E37" i="28"/>
  <c r="E39" i="28" s="1"/>
  <c r="G37" i="28"/>
  <c r="G39" i="28" s="1"/>
  <c r="F37" i="28"/>
  <c r="F39" i="28" s="1"/>
  <c r="D115" i="37"/>
  <c r="D52" i="37"/>
  <c r="E68" i="37"/>
  <c r="E70" i="37" s="1"/>
  <c r="D54" i="37"/>
  <c r="D68" i="37"/>
  <c r="D70" i="37" s="1"/>
  <c r="F68" i="37"/>
  <c r="F70" i="37" s="1"/>
  <c r="H68" i="37"/>
  <c r="H70" i="37" s="1"/>
  <c r="G68" i="37"/>
  <c r="G70" i="37" s="1"/>
  <c r="H37" i="37"/>
  <c r="H39" i="37" s="1"/>
  <c r="D37" i="37"/>
  <c r="D39" i="37" s="1"/>
  <c r="F37" i="37"/>
  <c r="F39" i="37" s="1"/>
  <c r="G37" i="37"/>
  <c r="G39" i="37" s="1"/>
  <c r="E37" i="37"/>
  <c r="E39" i="37" s="1"/>
  <c r="S13" i="23"/>
  <c r="C15" i="23"/>
  <c r="C19" i="23" s="1"/>
  <c r="BD21" i="31"/>
  <c r="FH21" i="31"/>
  <c r="O19" i="23"/>
  <c r="H15" i="23"/>
  <c r="H19" i="23" s="1"/>
  <c r="E15" i="23"/>
  <c r="E19" i="23" s="1"/>
  <c r="I15" i="23"/>
  <c r="I19" i="23" s="1"/>
  <c r="E18" i="23"/>
  <c r="D18" i="23"/>
  <c r="N19" i="23"/>
  <c r="D114" i="37"/>
  <c r="L18" i="23"/>
  <c r="K18" i="23"/>
  <c r="S15" i="23"/>
  <c r="P34" i="42"/>
  <c r="P35" i="42" s="1"/>
  <c r="R22" i="31"/>
  <c r="R24" i="31" s="1"/>
  <c r="R15" i="23"/>
  <c r="EP22" i="31"/>
  <c r="EP24" i="31" s="1"/>
  <c r="T9" i="23"/>
  <c r="BD22" i="31"/>
  <c r="BD24" i="31" s="1"/>
  <c r="J15" i="23"/>
  <c r="J19" i="23" s="1"/>
  <c r="CN22" i="31"/>
  <c r="CN24" i="31" s="1"/>
  <c r="F19" i="23"/>
  <c r="N14" i="23"/>
  <c r="O18" i="23"/>
  <c r="G18" i="23"/>
  <c r="G19" i="23"/>
  <c r="I18" i="23"/>
  <c r="B71" i="29"/>
  <c r="C44" i="29"/>
  <c r="C71" i="29"/>
  <c r="P19" i="23"/>
  <c r="IB35" i="31"/>
  <c r="IB22" i="31" s="1"/>
  <c r="IB24" i="31" s="1"/>
  <c r="C36" i="23"/>
  <c r="I14" i="23"/>
  <c r="HJ35" i="31"/>
  <c r="HJ22" i="31" s="1"/>
  <c r="HJ24" i="31" s="1"/>
  <c r="GR21" i="31"/>
  <c r="CN21" i="31"/>
  <c r="T14" i="23" s="1"/>
  <c r="T10" i="23"/>
  <c r="FZ35" i="31"/>
  <c r="FZ22" i="31" s="1"/>
  <c r="FZ24" i="31" s="1"/>
  <c r="C26" i="23"/>
  <c r="GR35" i="31"/>
  <c r="GR22" i="31" s="1"/>
  <c r="GR24" i="31" s="1"/>
  <c r="E12" i="23"/>
  <c r="F12" i="23" s="1"/>
  <c r="G12" i="23" s="1"/>
  <c r="H12" i="23" s="1"/>
  <c r="I12" i="23" s="1"/>
  <c r="I35" i="23" l="1"/>
  <c r="H13" i="37" s="1"/>
  <c r="G35" i="23"/>
  <c r="F13" i="37" s="1"/>
  <c r="D35" i="23"/>
  <c r="C13" i="37" s="1"/>
  <c r="H35" i="23"/>
  <c r="G13" i="37" s="1"/>
  <c r="E35" i="23"/>
  <c r="D13" i="37" s="1"/>
  <c r="D25" i="23"/>
  <c r="C13" i="28" s="1"/>
  <c r="G25" i="23"/>
  <c r="F13" i="28" s="1"/>
  <c r="E25" i="23"/>
  <c r="D13" i="28" s="1"/>
  <c r="F25" i="23"/>
  <c r="E13" i="28" s="1"/>
  <c r="B38" i="29"/>
  <c r="N20" i="31"/>
  <c r="S19" i="23"/>
  <c r="F65" i="29" s="1"/>
  <c r="Q19" i="23"/>
  <c r="D44" i="29"/>
  <c r="D71" i="29"/>
  <c r="B65" i="29"/>
  <c r="I25" i="23"/>
  <c r="H13" i="28" s="1"/>
  <c r="F44" i="29"/>
  <c r="F71" i="29"/>
  <c r="C38" i="23"/>
  <c r="R19" i="23"/>
  <c r="E71" i="29"/>
  <c r="E44" i="29"/>
  <c r="T19" i="23"/>
  <c r="G44" i="29"/>
  <c r="G71" i="29"/>
  <c r="C65" i="29"/>
  <c r="C38" i="29"/>
  <c r="J12" i="23"/>
  <c r="I26" i="23"/>
  <c r="H14" i="28" s="1"/>
  <c r="T13" i="23"/>
  <c r="I36" i="23"/>
  <c r="H14" i="37" s="1"/>
  <c r="C28" i="23"/>
  <c r="E36" i="23"/>
  <c r="D14" i="37" s="1"/>
  <c r="D36" i="23"/>
  <c r="C14" i="37" s="1"/>
  <c r="G36" i="23"/>
  <c r="F14" i="37" s="1"/>
  <c r="F36" i="23"/>
  <c r="E14" i="37" s="1"/>
  <c r="H36" i="23"/>
  <c r="G14" i="37" s="1"/>
  <c r="G26" i="23"/>
  <c r="F14" i="28" s="1"/>
  <c r="D26" i="23"/>
  <c r="C14" i="28" s="1"/>
  <c r="F26" i="23"/>
  <c r="E14" i="28" s="1"/>
  <c r="E26" i="23"/>
  <c r="D14" i="28" s="1"/>
  <c r="H26" i="23"/>
  <c r="G14" i="28" s="1"/>
  <c r="D38" i="29" l="1"/>
  <c r="C29" i="23"/>
  <c r="C10" i="28" s="1"/>
  <c r="O20" i="31"/>
  <c r="H71" i="29"/>
  <c r="H44" i="29"/>
  <c r="D65" i="29"/>
  <c r="G38" i="29"/>
  <c r="F38" i="29"/>
  <c r="D38" i="23"/>
  <c r="C16" i="37" s="1"/>
  <c r="C42" i="37" s="1"/>
  <c r="F38" i="23"/>
  <c r="E16" i="37" s="1"/>
  <c r="E104" i="37" s="1"/>
  <c r="G65" i="29"/>
  <c r="H65" i="29" s="1"/>
  <c r="E38" i="23"/>
  <c r="D16" i="37" s="1"/>
  <c r="D42" i="37" s="1"/>
  <c r="I38" i="23"/>
  <c r="H16" i="37" s="1"/>
  <c r="H135" i="37" s="1"/>
  <c r="G38" i="23"/>
  <c r="F16" i="37" s="1"/>
  <c r="F73" i="37" s="1"/>
  <c r="H38" i="23"/>
  <c r="G16" i="37" s="1"/>
  <c r="G42" i="37" s="1"/>
  <c r="E38" i="29"/>
  <c r="E65" i="29"/>
  <c r="C39" i="23"/>
  <c r="D39" i="23" s="1"/>
  <c r="H28" i="23"/>
  <c r="G16" i="28" s="1"/>
  <c r="F28" i="23"/>
  <c r="E16" i="28" s="1"/>
  <c r="D28" i="23"/>
  <c r="C16" i="28" s="1"/>
  <c r="G28" i="23"/>
  <c r="F16" i="28" s="1"/>
  <c r="E28" i="23"/>
  <c r="D16" i="28" s="1"/>
  <c r="K12" i="23"/>
  <c r="L12" i="23" s="1"/>
  <c r="M12" i="23" s="1"/>
  <c r="N12" i="23" s="1"/>
  <c r="O12" i="23" s="1"/>
  <c r="I28" i="23"/>
  <c r="H16" i="28" s="1"/>
  <c r="C104" i="37" l="1"/>
  <c r="H38" i="29"/>
  <c r="C135" i="37"/>
  <c r="D29" i="23"/>
  <c r="G29" i="23"/>
  <c r="F29" i="23"/>
  <c r="E29" i="23"/>
  <c r="C73" i="37"/>
  <c r="P20" i="31"/>
  <c r="E42" i="37"/>
  <c r="G135" i="37"/>
  <c r="H104" i="37"/>
  <c r="H42" i="37"/>
  <c r="H73" i="37"/>
  <c r="D135" i="37"/>
  <c r="G104" i="37"/>
  <c r="F42" i="37"/>
  <c r="F135" i="37"/>
  <c r="F104" i="37"/>
  <c r="G73" i="37"/>
  <c r="E73" i="37"/>
  <c r="D73" i="37"/>
  <c r="D104" i="37"/>
  <c r="E135" i="37"/>
  <c r="G39" i="23"/>
  <c r="C10" i="37"/>
  <c r="E39" i="23"/>
  <c r="F39" i="23"/>
  <c r="F135" i="28"/>
  <c r="F104" i="28"/>
  <c r="F42" i="28"/>
  <c r="F73" i="28"/>
  <c r="C135" i="28"/>
  <c r="C73" i="28"/>
  <c r="C42" i="28"/>
  <c r="C104" i="28"/>
  <c r="H104" i="28"/>
  <c r="H135" i="28"/>
  <c r="H42" i="28"/>
  <c r="H73" i="28"/>
  <c r="P12" i="23"/>
  <c r="E135" i="28"/>
  <c r="E104" i="28"/>
  <c r="E42" i="28"/>
  <c r="E73" i="28"/>
  <c r="G42" i="28"/>
  <c r="G135" i="28"/>
  <c r="G104" i="28"/>
  <c r="G73" i="28"/>
  <c r="D42" i="28"/>
  <c r="D135" i="28"/>
  <c r="D73" i="28"/>
  <c r="D104" i="28"/>
  <c r="Q20" i="31" l="1"/>
  <c r="Q12" i="23"/>
  <c r="R20" i="31" l="1"/>
  <c r="R12" i="23"/>
  <c r="C27" i="23"/>
  <c r="S20" i="31" l="1"/>
  <c r="T20" i="31" s="1"/>
  <c r="D27" i="23"/>
  <c r="C15" i="28" s="1"/>
  <c r="E27" i="23"/>
  <c r="D15" i="28" s="1"/>
  <c r="F27" i="23"/>
  <c r="E15" i="28" s="1"/>
  <c r="S12" i="23"/>
  <c r="G27" i="23"/>
  <c r="F15" i="28" s="1"/>
  <c r="C37" i="23"/>
  <c r="G37" i="23" s="1"/>
  <c r="F15" i="37" s="1"/>
  <c r="F126" i="37" l="1"/>
  <c r="F95" i="37"/>
  <c r="F33" i="37"/>
  <c r="F64" i="37"/>
  <c r="F95" i="28"/>
  <c r="F64" i="28"/>
  <c r="F33" i="28"/>
  <c r="F126" i="28"/>
  <c r="D37" i="23"/>
  <c r="C15" i="37" s="1"/>
  <c r="E37" i="23"/>
  <c r="D15" i="37" s="1"/>
  <c r="F37" i="23"/>
  <c r="E15" i="37" s="1"/>
  <c r="T12" i="23"/>
  <c r="H27" i="23"/>
  <c r="G15" i="28" s="1"/>
  <c r="H37" i="23"/>
  <c r="G15" i="37" s="1"/>
  <c r="E64" i="28"/>
  <c r="E95" i="28"/>
  <c r="E33" i="28"/>
  <c r="E126" i="28"/>
  <c r="D126" i="28"/>
  <c r="D95" i="28"/>
  <c r="D64" i="28"/>
  <c r="D33" i="28"/>
  <c r="C64" i="28"/>
  <c r="C33" i="28"/>
  <c r="C126" i="28"/>
  <c r="C95" i="28"/>
  <c r="C41" i="28" l="1"/>
  <c r="C44" i="28" s="1"/>
  <c r="C46" i="28" s="1"/>
  <c r="E103" i="28"/>
  <c r="E106" i="28" s="1"/>
  <c r="E108" i="28" s="1"/>
  <c r="F134" i="28"/>
  <c r="F137" i="28" s="1"/>
  <c r="F139" i="28" s="1"/>
  <c r="C72" i="28"/>
  <c r="C75" i="28" s="1"/>
  <c r="C77" i="28" s="1"/>
  <c r="E72" i="28"/>
  <c r="E75" i="28" s="1"/>
  <c r="E77" i="28" s="1"/>
  <c r="F41" i="28"/>
  <c r="F44" i="28" s="1"/>
  <c r="F46" i="28" s="1"/>
  <c r="D41" i="28"/>
  <c r="D44" i="28" s="1"/>
  <c r="D46" i="28" s="1"/>
  <c r="G33" i="37"/>
  <c r="G126" i="37"/>
  <c r="G95" i="37"/>
  <c r="G64" i="37"/>
  <c r="F72" i="28"/>
  <c r="F75" i="28" s="1"/>
  <c r="F77" i="28" s="1"/>
  <c r="D72" i="28"/>
  <c r="D75" i="28" s="1"/>
  <c r="D77" i="28" s="1"/>
  <c r="G33" i="28"/>
  <c r="G64" i="28"/>
  <c r="G126" i="28"/>
  <c r="G95" i="28"/>
  <c r="F103" i="28"/>
  <c r="F106" i="28" s="1"/>
  <c r="F108" i="28" s="1"/>
  <c r="D103" i="28"/>
  <c r="D106" i="28" s="1"/>
  <c r="D108" i="28" s="1"/>
  <c r="I37" i="23"/>
  <c r="H15" i="37" s="1"/>
  <c r="I27" i="23"/>
  <c r="H15" i="28" s="1"/>
  <c r="F72" i="37"/>
  <c r="F75" i="37" s="1"/>
  <c r="F77" i="37" s="1"/>
  <c r="D134" i="28"/>
  <c r="D137" i="28" s="1"/>
  <c r="D139" i="28" s="1"/>
  <c r="E95" i="37"/>
  <c r="E33" i="37"/>
  <c r="E64" i="37"/>
  <c r="E126" i="37"/>
  <c r="F41" i="37"/>
  <c r="F44" i="37" s="1"/>
  <c r="F46" i="37" s="1"/>
  <c r="C103" i="28"/>
  <c r="C106" i="28" s="1"/>
  <c r="C108" i="28" s="1"/>
  <c r="E134" i="28"/>
  <c r="E137" i="28" s="1"/>
  <c r="E139" i="28" s="1"/>
  <c r="D95" i="37"/>
  <c r="D33" i="37"/>
  <c r="D126" i="37"/>
  <c r="D64" i="37"/>
  <c r="F103" i="37"/>
  <c r="F106" i="37" s="1"/>
  <c r="F108" i="37" s="1"/>
  <c r="C134" i="28"/>
  <c r="C137" i="28" s="1"/>
  <c r="C139" i="28" s="1"/>
  <c r="E41" i="28"/>
  <c r="E44" i="28" s="1"/>
  <c r="E46" i="28" s="1"/>
  <c r="C126" i="37"/>
  <c r="C64" i="37"/>
  <c r="C95" i="37"/>
  <c r="C33" i="37"/>
  <c r="F134" i="37"/>
  <c r="F137" i="37" s="1"/>
  <c r="F139" i="37" s="1"/>
  <c r="D41" i="37" l="1"/>
  <c r="D44" i="37" s="1"/>
  <c r="D46" i="37" s="1"/>
  <c r="E134" i="37"/>
  <c r="E137" i="37" s="1"/>
  <c r="E139" i="37" s="1"/>
  <c r="H64" i="28"/>
  <c r="H33" i="28"/>
  <c r="H126" i="28"/>
  <c r="H95" i="28"/>
  <c r="G72" i="28"/>
  <c r="G75" i="28" s="1"/>
  <c r="G77" i="28" s="1"/>
  <c r="G134" i="37"/>
  <c r="G137" i="37" s="1"/>
  <c r="G139" i="37" s="1"/>
  <c r="D103" i="37"/>
  <c r="D106" i="37" s="1"/>
  <c r="D108" i="37" s="1"/>
  <c r="E72" i="37"/>
  <c r="E75" i="37" s="1"/>
  <c r="E77" i="37" s="1"/>
  <c r="H33" i="37"/>
  <c r="H64" i="37"/>
  <c r="H95" i="37"/>
  <c r="H126" i="37"/>
  <c r="G41" i="28"/>
  <c r="G44" i="28" s="1"/>
  <c r="G46" i="28" s="1"/>
  <c r="G41" i="37"/>
  <c r="G44" i="37" s="1"/>
  <c r="G46" i="37" s="1"/>
  <c r="C103" i="37"/>
  <c r="C106" i="37" s="1"/>
  <c r="C108" i="37" s="1"/>
  <c r="E41" i="37"/>
  <c r="E44" i="37" s="1"/>
  <c r="E46" i="37" s="1"/>
  <c r="E103" i="37"/>
  <c r="E106" i="37" s="1"/>
  <c r="E108" i="37" s="1"/>
  <c r="C41" i="37"/>
  <c r="C44" i="37" s="1"/>
  <c r="C46" i="37" s="1"/>
  <c r="C72" i="37"/>
  <c r="C75" i="37" s="1"/>
  <c r="C77" i="37" s="1"/>
  <c r="D72" i="37"/>
  <c r="D75" i="37" s="1"/>
  <c r="D77" i="37" s="1"/>
  <c r="G103" i="28"/>
  <c r="G106" i="28" s="1"/>
  <c r="G108" i="28" s="1"/>
  <c r="G72" i="37"/>
  <c r="G75" i="37" s="1"/>
  <c r="G77" i="37" s="1"/>
  <c r="C134" i="37"/>
  <c r="C137" i="37" s="1"/>
  <c r="C139" i="37" s="1"/>
  <c r="D134" i="37"/>
  <c r="D137" i="37" s="1"/>
  <c r="D139" i="37" s="1"/>
  <c r="G134" i="28"/>
  <c r="G137" i="28" s="1"/>
  <c r="G139" i="28" s="1"/>
  <c r="G103" i="37"/>
  <c r="G106" i="37" s="1"/>
  <c r="G108" i="37" s="1"/>
  <c r="H41" i="28" l="1"/>
  <c r="H44" i="28" s="1"/>
  <c r="H46" i="28" s="1"/>
  <c r="H134" i="37"/>
  <c r="H137" i="37" s="1"/>
  <c r="H139" i="37" s="1"/>
  <c r="H72" i="28"/>
  <c r="H75" i="28" s="1"/>
  <c r="H77" i="28" s="1"/>
  <c r="H103" i="37"/>
  <c r="H106" i="37" s="1"/>
  <c r="H108" i="37" s="1"/>
  <c r="H72" i="37"/>
  <c r="H75" i="37" s="1"/>
  <c r="H77" i="37" s="1"/>
  <c r="H41" i="37"/>
  <c r="H44" i="37" s="1"/>
  <c r="H46" i="37" s="1"/>
  <c r="H103" i="28"/>
  <c r="H106" i="28" s="1"/>
  <c r="H108" i="28" s="1"/>
  <c r="H134" i="28"/>
  <c r="H137" i="28" s="1"/>
  <c r="H139" i="28" s="1"/>
  <c r="B48" i="20" l="1"/>
  <c r="B37" i="20"/>
  <c r="B38" i="20" l="1"/>
  <c r="B36" i="20" s="1"/>
  <c r="B49" i="20"/>
  <c r="B47" i="20" s="1"/>
  <c r="C23" i="27" l="1"/>
  <c r="C24" i="27"/>
  <c r="D24" i="27"/>
  <c r="E24" i="27" s="1"/>
  <c r="C122" i="37" s="1"/>
  <c r="C123" i="37" s="1"/>
  <c r="D23" i="27"/>
  <c r="E23" i="27" s="1"/>
  <c r="C91" i="37" s="1"/>
  <c r="C92" i="37" s="1"/>
  <c r="D22" i="27"/>
  <c r="E22" i="27" s="1"/>
  <c r="C60" i="37" s="1"/>
  <c r="C61" i="37" s="1"/>
  <c r="D21" i="27"/>
  <c r="C21" i="27"/>
  <c r="C22" i="27"/>
  <c r="C15" i="27"/>
  <c r="C14" i="27"/>
  <c r="D13" i="27"/>
  <c r="E13" i="27" s="1"/>
  <c r="C60" i="28" s="1"/>
  <c r="C61" i="28" s="1"/>
  <c r="C13" i="27"/>
  <c r="D14" i="27"/>
  <c r="E14" i="27" s="1"/>
  <c r="C91" i="28" s="1"/>
  <c r="C92" i="28" s="1"/>
  <c r="D15" i="27"/>
  <c r="E15" i="27" s="1"/>
  <c r="C122" i="28" s="1"/>
  <c r="C123" i="28" s="1"/>
  <c r="D12" i="27"/>
  <c r="C12" i="27"/>
  <c r="C16" i="27" l="1"/>
  <c r="C25" i="27"/>
  <c r="D16" i="27"/>
  <c r="E12" i="27"/>
  <c r="E140" i="28"/>
  <c r="D37" i="29" s="1"/>
  <c r="G140" i="28"/>
  <c r="F37" i="29" s="1"/>
  <c r="D140" i="28"/>
  <c r="C37" i="29" s="1"/>
  <c r="H140" i="28"/>
  <c r="G37" i="29" s="1"/>
  <c r="F140" i="28"/>
  <c r="E37" i="29" s="1"/>
  <c r="C140" i="28"/>
  <c r="B37" i="29" s="1"/>
  <c r="E21" i="27"/>
  <c r="D25" i="27"/>
  <c r="G78" i="37"/>
  <c r="F62" i="29" s="1"/>
  <c r="E78" i="37"/>
  <c r="D62" i="29" s="1"/>
  <c r="D78" i="37"/>
  <c r="C62" i="29" s="1"/>
  <c r="C78" i="37"/>
  <c r="B62" i="29" s="1"/>
  <c r="H78" i="37"/>
  <c r="G62" i="29" s="1"/>
  <c r="F78" i="37"/>
  <c r="E62" i="29" s="1"/>
  <c r="E109" i="28"/>
  <c r="D36" i="29" s="1"/>
  <c r="F109" i="28"/>
  <c r="E36" i="29" s="1"/>
  <c r="D109" i="28"/>
  <c r="C36" i="29" s="1"/>
  <c r="H109" i="28"/>
  <c r="G36" i="29" s="1"/>
  <c r="G109" i="28"/>
  <c r="F36" i="29" s="1"/>
  <c r="H36" i="29" s="1"/>
  <c r="C109" i="28"/>
  <c r="B36" i="29" s="1"/>
  <c r="C109" i="37"/>
  <c r="B63" i="29" s="1"/>
  <c r="E109" i="37"/>
  <c r="D63" i="29" s="1"/>
  <c r="F109" i="37"/>
  <c r="E63" i="29" s="1"/>
  <c r="D109" i="37"/>
  <c r="C63" i="29" s="1"/>
  <c r="G109" i="37"/>
  <c r="F63" i="29" s="1"/>
  <c r="H63" i="29" s="1"/>
  <c r="H109" i="37"/>
  <c r="G63" i="29" s="1"/>
  <c r="C140" i="37"/>
  <c r="B64" i="29" s="1"/>
  <c r="G140" i="37"/>
  <c r="F64" i="29" s="1"/>
  <c r="E140" i="37"/>
  <c r="D64" i="29" s="1"/>
  <c r="F140" i="37"/>
  <c r="E64" i="29" s="1"/>
  <c r="H140" i="37"/>
  <c r="G64" i="29" s="1"/>
  <c r="D140" i="37"/>
  <c r="C64" i="29" s="1"/>
  <c r="D78" i="28"/>
  <c r="C35" i="29" s="1"/>
  <c r="E78" i="28"/>
  <c r="D35" i="29" s="1"/>
  <c r="C78" i="28"/>
  <c r="B35" i="29" s="1"/>
  <c r="F78" i="28"/>
  <c r="E35" i="29" s="1"/>
  <c r="G78" i="28"/>
  <c r="F35" i="29" s="1"/>
  <c r="H35" i="29" s="1"/>
  <c r="H78" i="28"/>
  <c r="G35" i="29" s="1"/>
  <c r="H37" i="29" l="1"/>
  <c r="H62" i="29"/>
  <c r="E16" i="27"/>
  <c r="C29" i="28"/>
  <c r="C30" i="28" s="1"/>
  <c r="E25" i="27"/>
  <c r="C29" i="37"/>
  <c r="C30" i="37" s="1"/>
  <c r="C47" i="28" l="1"/>
  <c r="B34" i="29" s="1"/>
  <c r="B40" i="29" s="1"/>
  <c r="B41" i="29" s="1"/>
  <c r="B42" i="29" s="1"/>
  <c r="B45" i="29" s="1"/>
  <c r="H47" i="28"/>
  <c r="G34" i="29" s="1"/>
  <c r="G40" i="29" s="1"/>
  <c r="G41" i="29" s="1"/>
  <c r="G42" i="29" s="1"/>
  <c r="G45" i="29" s="1"/>
  <c r="F47" i="28"/>
  <c r="E34" i="29" s="1"/>
  <c r="E40" i="29" s="1"/>
  <c r="E41" i="29" s="1"/>
  <c r="E42" i="29" s="1"/>
  <c r="E45" i="29" s="1"/>
  <c r="G47" i="28"/>
  <c r="F34" i="29" s="1"/>
  <c r="E47" i="28"/>
  <c r="D34" i="29" s="1"/>
  <c r="D40" i="29" s="1"/>
  <c r="D41" i="29" s="1"/>
  <c r="D42" i="29" s="1"/>
  <c r="D45" i="29" s="1"/>
  <c r="D47" i="28"/>
  <c r="C34" i="29" s="1"/>
  <c r="C40" i="29" s="1"/>
  <c r="C41" i="29" s="1"/>
  <c r="C42" i="29" s="1"/>
  <c r="C45" i="29" s="1"/>
  <c r="C47" i="37"/>
  <c r="B61" i="29" s="1"/>
  <c r="B67" i="29" s="1"/>
  <c r="B68" i="29" s="1"/>
  <c r="B69" i="29" s="1"/>
  <c r="B72" i="29" s="1"/>
  <c r="H47" i="37"/>
  <c r="G61" i="29" s="1"/>
  <c r="G67" i="29" s="1"/>
  <c r="G68" i="29" s="1"/>
  <c r="G69" i="29" s="1"/>
  <c r="G72" i="29" s="1"/>
  <c r="F47" i="37"/>
  <c r="E61" i="29" s="1"/>
  <c r="E67" i="29" s="1"/>
  <c r="E68" i="29" s="1"/>
  <c r="E69" i="29" s="1"/>
  <c r="E72" i="29" s="1"/>
  <c r="G47" i="37"/>
  <c r="F61" i="29" s="1"/>
  <c r="D47" i="37"/>
  <c r="C61" i="29" s="1"/>
  <c r="C67" i="29" s="1"/>
  <c r="C68" i="29" s="1"/>
  <c r="C69" i="29" s="1"/>
  <c r="C72" i="29" s="1"/>
  <c r="E47" i="37"/>
  <c r="D61" i="29" s="1"/>
  <c r="D67" i="29" s="1"/>
  <c r="D68" i="29" s="1"/>
  <c r="D69" i="29" s="1"/>
  <c r="D72" i="29" s="1"/>
  <c r="H34" i="29" l="1"/>
  <c r="H40" i="29" s="1"/>
  <c r="F40" i="29"/>
  <c r="F41" i="29" s="1"/>
  <c r="F42" i="29" s="1"/>
  <c r="F45" i="29" s="1"/>
  <c r="H45" i="29" s="1"/>
  <c r="H46" i="29" s="1"/>
  <c r="H61" i="29"/>
  <c r="H67" i="29" s="1"/>
  <c r="F67" i="29"/>
  <c r="F68" i="29" s="1"/>
  <c r="F69" i="29" s="1"/>
  <c r="F72" i="29" s="1"/>
  <c r="H72" i="29" s="1"/>
  <c r="H73" i="29" s="1"/>
  <c r="J49" i="29" l="1"/>
  <c r="J53" i="29"/>
  <c r="J52" i="29"/>
  <c r="J51" i="29"/>
  <c r="J50" i="29"/>
  <c r="H68" i="29"/>
  <c r="H69" i="29" s="1"/>
  <c r="J24" i="29"/>
  <c r="J25" i="29"/>
  <c r="H41" i="29"/>
  <c r="H42" i="29" s="1"/>
  <c r="J22" i="29"/>
  <c r="J26" i="29"/>
  <c r="J23"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McKinnon, Hamish</author>
  </authors>
  <commentList>
    <comment ref="B59" authorId="0" shapeId="0" xr:uid="{00000000-0006-0000-0100-000001000000}">
      <text>
        <r>
          <rPr>
            <sz val="8"/>
            <color indexed="81"/>
            <rFont val="Arial"/>
            <family val="2"/>
          </rPr>
          <t>From 2021 onwards, Victorian DNSPs began reporting on a financial year basis. This means the inflators for Victorian DNSPs represent:
     -   $JunYYYY to $&lt;Parameter_Results_dollar_basis&gt; for 2006 to 2020; and,
     -   $Dec(YYYY - 1) to $&lt;Parameter_Results_dollar_basis&gt; for 2021 onwards.
The inflators for non-Victorian and Victorian DNSPs are identical from 2021 onwards.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Rapoport, Adam</author>
  </authors>
  <commentList>
    <comment ref="S33" authorId="0" shapeId="0" xr:uid="{00000000-0006-0000-0700-000001000000}">
      <text>
        <r>
          <rPr>
            <sz val="9"/>
            <color indexed="81"/>
            <rFont val="Tahoma"/>
            <family val="2"/>
          </rPr>
          <t xml:space="preserve">Source for opex: DNSP consolidated data (2022)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Rapoport, Adam</author>
  </authors>
  <commentList>
    <comment ref="B8" authorId="0" shapeId="0" xr:uid="{00000000-0006-0000-0800-000001000000}">
      <text>
        <r>
          <rPr>
            <sz val="9"/>
            <color indexed="81"/>
            <rFont val="Tahoma"/>
            <family val="2"/>
          </rPr>
          <t xml:space="preserve">Select Option 12 for the AER's traditional approach and Option 15_lb for the modelling of the AER's capitalisation approach, as presented in the draft decision for Evoenergy. 
NB. Options 15_lb and 15_ub represent the lower and upper bounds for Energex's and Ergon's capitalised corporate overheads. As explained in the draft decision, these were still being finalised at the time of the decison.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<sst xmlns="http://schemas.openxmlformats.org/spreadsheetml/2006/main" count="3306" uniqueCount="1065">
  <si>
    <t>DNSP</t>
  </si>
  <si>
    <t>JEN</t>
  </si>
  <si>
    <t>Base year</t>
  </si>
  <si>
    <t>Start of period</t>
  </si>
  <si>
    <t>End of period</t>
  </si>
  <si>
    <t>%</t>
  </si>
  <si>
    <t>Translog LSE</t>
  </si>
  <si>
    <t>Coefficient</t>
  </si>
  <si>
    <t>ACT</t>
  </si>
  <si>
    <t>ly2</t>
  </si>
  <si>
    <t>AGD</t>
  </si>
  <si>
    <t>ly3</t>
  </si>
  <si>
    <t>CIT</t>
  </si>
  <si>
    <t>ly4</t>
  </si>
  <si>
    <t>END</t>
  </si>
  <si>
    <t>lz1</t>
  </si>
  <si>
    <t>ENX</t>
  </si>
  <si>
    <t>ly22</t>
  </si>
  <si>
    <t>yr</t>
  </si>
  <si>
    <t>ERG</t>
  </si>
  <si>
    <t>ly23</t>
  </si>
  <si>
    <t>cd2</t>
  </si>
  <si>
    <t>ESS</t>
  </si>
  <si>
    <t>ly24</t>
  </si>
  <si>
    <t>cd3</t>
  </si>
  <si>
    <t>ly33</t>
  </si>
  <si>
    <t>_cons</t>
  </si>
  <si>
    <t>PCR</t>
  </si>
  <si>
    <t>d2</t>
  </si>
  <si>
    <t>ly34</t>
  </si>
  <si>
    <t>SAP</t>
  </si>
  <si>
    <t>d3</t>
  </si>
  <si>
    <t>ly44</t>
  </si>
  <si>
    <t>AND</t>
  </si>
  <si>
    <t>d4</t>
  </si>
  <si>
    <t>TND</t>
  </si>
  <si>
    <t>d5</t>
  </si>
  <si>
    <t>UED</t>
  </si>
  <si>
    <t>d6</t>
  </si>
  <si>
    <t>d7</t>
  </si>
  <si>
    <t>d8</t>
  </si>
  <si>
    <t>d9</t>
  </si>
  <si>
    <t>d10</t>
  </si>
  <si>
    <t>d11</t>
  </si>
  <si>
    <t>d12</t>
  </si>
  <si>
    <t>d13</t>
  </si>
  <si>
    <t>Share Underground</t>
  </si>
  <si>
    <t>Ratcheted Maximum Demand</t>
  </si>
  <si>
    <t>Circuit Length</t>
  </si>
  <si>
    <t>$'000</t>
  </si>
  <si>
    <t>MW</t>
  </si>
  <si>
    <t>number</t>
  </si>
  <si>
    <t>Margin allowance</t>
  </si>
  <si>
    <t>Efficiency target</t>
  </si>
  <si>
    <t>Model</t>
  </si>
  <si>
    <t>Translog SFA</t>
  </si>
  <si>
    <t>Average</t>
  </si>
  <si>
    <t>Technology</t>
  </si>
  <si>
    <t>Weighted Average Output Growth (1)</t>
  </si>
  <si>
    <t>Returns to Scale (B)</t>
  </si>
  <si>
    <t>Business Conditions (C)</t>
  </si>
  <si>
    <t>Real input cost escalation (3)</t>
  </si>
  <si>
    <t>Start year</t>
  </si>
  <si>
    <t>End year</t>
  </si>
  <si>
    <t>Target opex reduction after ex post OEF adjustment</t>
  </si>
  <si>
    <t>Midpoint</t>
  </si>
  <si>
    <t>Citipower</t>
  </si>
  <si>
    <t>Year</t>
  </si>
  <si>
    <t>Total overhead circuit km</t>
  </si>
  <si>
    <t>km</t>
  </si>
  <si>
    <t>Total underground circuit km</t>
  </si>
  <si>
    <t>Total customer numbers</t>
  </si>
  <si>
    <t>Non-coincident Summated Raw System Annual Maximum Demand</t>
  </si>
  <si>
    <t xml:space="preserve">MW </t>
  </si>
  <si>
    <t>Opex for network services</t>
  </si>
  <si>
    <t>Total circuit</t>
  </si>
  <si>
    <t>Powercor</t>
  </si>
  <si>
    <t>Jemena</t>
  </si>
  <si>
    <t>United Energy</t>
  </si>
  <si>
    <t>Difference (%)</t>
  </si>
  <si>
    <t>Vegetation management</t>
  </si>
  <si>
    <t>Evoenergy</t>
  </si>
  <si>
    <t>Ausgrid</t>
  </si>
  <si>
    <t>Energex</t>
  </si>
  <si>
    <t>TasNetworks</t>
  </si>
  <si>
    <t>Customer Numbers</t>
  </si>
  <si>
    <t>Index</t>
  </si>
  <si>
    <t>Capitalisation</t>
  </si>
  <si>
    <t>Scenario</t>
  </si>
  <si>
    <t>SFACD</t>
  </si>
  <si>
    <t>Opex/totex</t>
  </si>
  <si>
    <t>Average - all 3 ratios</t>
  </si>
  <si>
    <t>Average - first 2 ratios</t>
  </si>
  <si>
    <t>Opex/total cost</t>
  </si>
  <si>
    <t>Opex/total input</t>
  </si>
  <si>
    <t>LSECD</t>
  </si>
  <si>
    <t>LSETLG</t>
  </si>
  <si>
    <t>SFATLG</t>
  </si>
  <si>
    <t>Ontario</t>
  </si>
  <si>
    <t>Default base year</t>
  </si>
  <si>
    <t>Endeavour Energy</t>
  </si>
  <si>
    <t>Ergon Energy</t>
  </si>
  <si>
    <t>Essential Energy</t>
  </si>
  <si>
    <t>AusNet Services</t>
  </si>
  <si>
    <t>Actuals to FY21, then forecasts to FY24</t>
  </si>
  <si>
    <t>Input</t>
  </si>
  <si>
    <t>End</t>
  </si>
  <si>
    <t>Calc | Cost drivers</t>
  </si>
  <si>
    <t>Value</t>
  </si>
  <si>
    <t>General</t>
  </si>
  <si>
    <t>Description</t>
  </si>
  <si>
    <t>TFP data and forecasts</t>
  </si>
  <si>
    <t>ln(Custnum)</t>
  </si>
  <si>
    <t>ln(CircLen)</t>
  </si>
  <si>
    <t>ln(RMDemand)</t>
  </si>
  <si>
    <t>ln(ShareUGC)</t>
  </si>
  <si>
    <t>New Zealand</t>
  </si>
  <si>
    <t>Constant</t>
  </si>
  <si>
    <t>DNSP description</t>
  </si>
  <si>
    <t>Least Squares Econometrics Cobb-Douglas (LSECD) coefficients</t>
  </si>
  <si>
    <t>Least Squares Econometrics Cobb-Douglas (LSECD) efficiency score results</t>
  </si>
  <si>
    <t>Stochastic Frontier Analysis Cobb-Douglas (SFACD) coefficients</t>
  </si>
  <si>
    <t>Stochastic Frontier Analysis Cobb-Douglas (SFACD) efficiency score results</t>
  </si>
  <si>
    <t>Least Squares Econometrics Translog (LSETLG) coefficients</t>
  </si>
  <si>
    <t>Least Squares Econometrics Translog (LSETLG) efficiency score results</t>
  </si>
  <si>
    <r>
      <t>ln(Custnum)=x</t>
    </r>
    <r>
      <rPr>
        <vertAlign val="subscript"/>
        <sz val="8"/>
        <color theme="1"/>
        <rFont val="Arial"/>
        <family val="2"/>
      </rPr>
      <t>1</t>
    </r>
  </si>
  <si>
    <r>
      <t>ln(CircLen)=x</t>
    </r>
    <r>
      <rPr>
        <vertAlign val="subscript"/>
        <sz val="8"/>
        <color theme="1"/>
        <rFont val="Arial"/>
        <family val="2"/>
      </rPr>
      <t>2</t>
    </r>
  </si>
  <si>
    <r>
      <t>ln(RMDemand)=x</t>
    </r>
    <r>
      <rPr>
        <vertAlign val="subscript"/>
        <sz val="8"/>
        <color theme="1"/>
        <rFont val="Arial"/>
        <family val="2"/>
      </rPr>
      <t>3</t>
    </r>
  </si>
  <si>
    <r>
      <t>x</t>
    </r>
    <r>
      <rPr>
        <vertAlign val="subscript"/>
        <sz val="8"/>
        <color theme="1"/>
        <rFont val="Arial"/>
        <family val="2"/>
      </rPr>
      <t>1</t>
    </r>
    <r>
      <rPr>
        <sz val="8"/>
        <color theme="1"/>
        <rFont val="Arial"/>
        <family val="2"/>
      </rPr>
      <t>*x</t>
    </r>
    <r>
      <rPr>
        <vertAlign val="subscript"/>
        <sz val="8"/>
        <color theme="1"/>
        <rFont val="Arial"/>
        <family val="2"/>
      </rPr>
      <t>1</t>
    </r>
    <r>
      <rPr>
        <sz val="8"/>
        <color theme="1"/>
        <rFont val="Arial"/>
        <family val="2"/>
      </rPr>
      <t>/2</t>
    </r>
  </si>
  <si>
    <r>
      <t>x</t>
    </r>
    <r>
      <rPr>
        <vertAlign val="subscript"/>
        <sz val="8"/>
        <color theme="1"/>
        <rFont val="Arial"/>
        <family val="2"/>
      </rPr>
      <t>1</t>
    </r>
    <r>
      <rPr>
        <sz val="8"/>
        <color theme="1"/>
        <rFont val="Arial"/>
        <family val="2"/>
      </rPr>
      <t>*x</t>
    </r>
    <r>
      <rPr>
        <vertAlign val="subscript"/>
        <sz val="8"/>
        <color theme="1"/>
        <rFont val="Arial"/>
        <family val="2"/>
      </rPr>
      <t>2</t>
    </r>
  </si>
  <si>
    <r>
      <t>x</t>
    </r>
    <r>
      <rPr>
        <vertAlign val="subscript"/>
        <sz val="8"/>
        <color theme="1"/>
        <rFont val="Arial"/>
        <family val="2"/>
      </rPr>
      <t>1</t>
    </r>
    <r>
      <rPr>
        <sz val="8"/>
        <color theme="1"/>
        <rFont val="Arial"/>
        <family val="2"/>
      </rPr>
      <t>*x</t>
    </r>
    <r>
      <rPr>
        <vertAlign val="subscript"/>
        <sz val="8"/>
        <color theme="1"/>
        <rFont val="Arial"/>
        <family val="2"/>
      </rPr>
      <t>3</t>
    </r>
  </si>
  <si>
    <r>
      <t>x</t>
    </r>
    <r>
      <rPr>
        <vertAlign val="subscript"/>
        <sz val="8"/>
        <color theme="1"/>
        <rFont val="Arial"/>
        <family val="2"/>
      </rPr>
      <t>2</t>
    </r>
    <r>
      <rPr>
        <sz val="8"/>
        <color theme="1"/>
        <rFont val="Arial"/>
        <family val="2"/>
      </rPr>
      <t>*x</t>
    </r>
    <r>
      <rPr>
        <vertAlign val="subscript"/>
        <sz val="8"/>
        <color theme="1"/>
        <rFont val="Arial"/>
        <family val="2"/>
      </rPr>
      <t>2</t>
    </r>
    <r>
      <rPr>
        <sz val="8"/>
        <color theme="1"/>
        <rFont val="Arial"/>
        <family val="2"/>
      </rPr>
      <t>/2</t>
    </r>
  </si>
  <si>
    <r>
      <t>x</t>
    </r>
    <r>
      <rPr>
        <vertAlign val="subscript"/>
        <sz val="8"/>
        <color theme="1"/>
        <rFont val="Arial"/>
        <family val="2"/>
      </rPr>
      <t>2</t>
    </r>
    <r>
      <rPr>
        <sz val="8"/>
        <color theme="1"/>
        <rFont val="Arial"/>
        <family val="2"/>
      </rPr>
      <t>*x</t>
    </r>
    <r>
      <rPr>
        <vertAlign val="subscript"/>
        <sz val="8"/>
        <color theme="1"/>
        <rFont val="Arial"/>
        <family val="2"/>
      </rPr>
      <t>3</t>
    </r>
  </si>
  <si>
    <r>
      <t>x</t>
    </r>
    <r>
      <rPr>
        <vertAlign val="subscript"/>
        <sz val="8"/>
        <color theme="1"/>
        <rFont val="Arial"/>
        <family val="2"/>
      </rPr>
      <t>3</t>
    </r>
    <r>
      <rPr>
        <sz val="8"/>
        <color theme="1"/>
        <rFont val="Arial"/>
        <family val="2"/>
      </rPr>
      <t>*x</t>
    </r>
    <r>
      <rPr>
        <vertAlign val="subscript"/>
        <sz val="8"/>
        <color theme="1"/>
        <rFont val="Arial"/>
        <family val="2"/>
      </rPr>
      <t>3</t>
    </r>
    <r>
      <rPr>
        <sz val="8"/>
        <color theme="1"/>
        <rFont val="Arial"/>
        <family val="2"/>
      </rPr>
      <t>/2</t>
    </r>
  </si>
  <si>
    <t>Stochastic Frontier Analysis Translog (SFATLG) coefficients</t>
  </si>
  <si>
    <t>Stochastic Frontier Analysis Translog (SFATLG) efficiency score results</t>
  </si>
  <si>
    <t>Least Squares Econometrics Translog (LSETLG) monotonicity violations</t>
  </si>
  <si>
    <t>Stochastic Frontier Analysis Translog (SFATLG) monotonicity violations</t>
  </si>
  <si>
    <t>Input | Parameters</t>
  </si>
  <si>
    <t>Calc | Efficiency target</t>
  </si>
  <si>
    <t>Implied opex reduction to reach efficiency target</t>
  </si>
  <si>
    <t>Least Squares Econometrics Cobb-Douglas (LSECD) estimated cost elasticities</t>
  </si>
  <si>
    <t>Output weights</t>
  </si>
  <si>
    <t>PP opex growth rates (2 = A + B - C)</t>
  </si>
  <si>
    <t>Opex rate of change (= (1 &amp; 3) / 2)</t>
  </si>
  <si>
    <t>Forecast cost driver growth rates</t>
  </si>
  <si>
    <t>Least Squares Econometrics Cobb-Douglas (LSECD) forecast driver growth rates / PP opex growth rates forecast</t>
  </si>
  <si>
    <t>Least Squares Econometrics Translog (LSETLG) estimated cost elasticities</t>
  </si>
  <si>
    <t>Least Squares Econometrics Translog (LSETLG) forecast driver growth rates / PP opex growth rates forecast</t>
  </si>
  <si>
    <t>Output | Summary</t>
  </si>
  <si>
    <t>Assessment made by comparing to rolled-forward average target opex from four models</t>
  </si>
  <si>
    <t>Cobb-Douglas LSE</t>
  </si>
  <si>
    <t>Cobb-Douglas SFA</t>
  </si>
  <si>
    <t>Model average</t>
  </si>
  <si>
    <t>Difference</t>
  </si>
  <si>
    <t>Yes / No</t>
  </si>
  <si>
    <t>0 - No</t>
  </si>
  <si>
    <t>Inflators per base year</t>
  </si>
  <si>
    <t>Data | EBRIN</t>
  </si>
  <si>
    <t>EBRIN data</t>
  </si>
  <si>
    <t>Measure</t>
  </si>
  <si>
    <t>Alternative opex for network services series</t>
  </si>
  <si>
    <t>Selected opex for network services series</t>
  </si>
  <si>
    <t>2006ACT</t>
  </si>
  <si>
    <t>2007ACT</t>
  </si>
  <si>
    <t>2008ACT</t>
  </si>
  <si>
    <t>2009ACT</t>
  </si>
  <si>
    <t>2010ACT</t>
  </si>
  <si>
    <t>2011ACT</t>
  </si>
  <si>
    <t>2012ACT</t>
  </si>
  <si>
    <t>2013ACT</t>
  </si>
  <si>
    <t>2014ACT</t>
  </si>
  <si>
    <t>2015ACT</t>
  </si>
  <si>
    <t>2016ACT</t>
  </si>
  <si>
    <t>2017ACT</t>
  </si>
  <si>
    <t>2018ACT</t>
  </si>
  <si>
    <t>2019ACT</t>
  </si>
  <si>
    <t>2020ACT</t>
  </si>
  <si>
    <t>2006AGD</t>
  </si>
  <si>
    <t>2007AGD</t>
  </si>
  <si>
    <t>2008AGD</t>
  </si>
  <si>
    <t>2009AGD</t>
  </si>
  <si>
    <t>2010AGD</t>
  </si>
  <si>
    <t>2011AGD</t>
  </si>
  <si>
    <t>2012AGD</t>
  </si>
  <si>
    <t>2013AGD</t>
  </si>
  <si>
    <t>2014AGD</t>
  </si>
  <si>
    <t>2015AGD</t>
  </si>
  <si>
    <t>2016AGD</t>
  </si>
  <si>
    <t>2017AGD</t>
  </si>
  <si>
    <t>2018AGD</t>
  </si>
  <si>
    <t>2019AGD</t>
  </si>
  <si>
    <t>2020AGD</t>
  </si>
  <si>
    <t>2006CIT</t>
  </si>
  <si>
    <t>2007CIT</t>
  </si>
  <si>
    <t>2008CIT</t>
  </si>
  <si>
    <t>2009CIT</t>
  </si>
  <si>
    <t>2010CIT</t>
  </si>
  <si>
    <t>2011CIT</t>
  </si>
  <si>
    <t>2012CIT</t>
  </si>
  <si>
    <t>2013CIT</t>
  </si>
  <si>
    <t>2014CIT</t>
  </si>
  <si>
    <t>2015CIT</t>
  </si>
  <si>
    <t>2016CIT</t>
  </si>
  <si>
    <t>2017CIT</t>
  </si>
  <si>
    <t>2018CIT</t>
  </si>
  <si>
    <t>2019CIT</t>
  </si>
  <si>
    <t>2020CIT</t>
  </si>
  <si>
    <t>2006END</t>
  </si>
  <si>
    <t>2007END</t>
  </si>
  <si>
    <t>2008END</t>
  </si>
  <si>
    <t>2009END</t>
  </si>
  <si>
    <t>2010END</t>
  </si>
  <si>
    <t>2011END</t>
  </si>
  <si>
    <t>2012END</t>
  </si>
  <si>
    <t>2013END</t>
  </si>
  <si>
    <t>2014END</t>
  </si>
  <si>
    <t>2015END</t>
  </si>
  <si>
    <t>2016END</t>
  </si>
  <si>
    <t>2017END</t>
  </si>
  <si>
    <t>2018END</t>
  </si>
  <si>
    <t>2019END</t>
  </si>
  <si>
    <t>2020END</t>
  </si>
  <si>
    <t>2006ENX</t>
  </si>
  <si>
    <t>2007ENX</t>
  </si>
  <si>
    <t>2008ENX</t>
  </si>
  <si>
    <t>2009ENX</t>
  </si>
  <si>
    <t>2010ENX</t>
  </si>
  <si>
    <t>2011ENX</t>
  </si>
  <si>
    <t>2012ENX</t>
  </si>
  <si>
    <t>2013ENX</t>
  </si>
  <si>
    <t>2014ENX</t>
  </si>
  <si>
    <t>2015ENX</t>
  </si>
  <si>
    <t>2016ENX</t>
  </si>
  <si>
    <t>2017ENX</t>
  </si>
  <si>
    <t>2018ENX</t>
  </si>
  <si>
    <t>2019ENX</t>
  </si>
  <si>
    <t>2020ENX</t>
  </si>
  <si>
    <t>2006ERG</t>
  </si>
  <si>
    <t>2007ERG</t>
  </si>
  <si>
    <t>2008ERG</t>
  </si>
  <si>
    <t>2009ERG</t>
  </si>
  <si>
    <t>2010ERG</t>
  </si>
  <si>
    <t>2011ERG</t>
  </si>
  <si>
    <t>2012ERG</t>
  </si>
  <si>
    <t>2013ERG</t>
  </si>
  <si>
    <t>2014ERG</t>
  </si>
  <si>
    <t>2015ERG</t>
  </si>
  <si>
    <t>2016ERG</t>
  </si>
  <si>
    <t>2017ERG</t>
  </si>
  <si>
    <t>2018ERG</t>
  </si>
  <si>
    <t>2019ERG</t>
  </si>
  <si>
    <t>2020ERG</t>
  </si>
  <si>
    <t>2006ESS</t>
  </si>
  <si>
    <t>2007ESS</t>
  </si>
  <si>
    <t>2008ESS</t>
  </si>
  <si>
    <t>2009ESS</t>
  </si>
  <si>
    <t>2010ESS</t>
  </si>
  <si>
    <t>2011ESS</t>
  </si>
  <si>
    <t>2012ESS</t>
  </si>
  <si>
    <t>2013ESS</t>
  </si>
  <si>
    <t>2014ESS</t>
  </si>
  <si>
    <t>2015ESS</t>
  </si>
  <si>
    <t>2016ESS</t>
  </si>
  <si>
    <t>2017ESS</t>
  </si>
  <si>
    <t>2018ESS</t>
  </si>
  <si>
    <t>2019ESS</t>
  </si>
  <si>
    <t>2020ESS</t>
  </si>
  <si>
    <t>2006JEN</t>
  </si>
  <si>
    <t>2007JEN</t>
  </si>
  <si>
    <t>2008JEN</t>
  </si>
  <si>
    <t>2009JEN</t>
  </si>
  <si>
    <t>2010JEN</t>
  </si>
  <si>
    <t>2011JEN</t>
  </si>
  <si>
    <t>2012JEN</t>
  </si>
  <si>
    <t>2013JEN</t>
  </si>
  <si>
    <t>2014JEN</t>
  </si>
  <si>
    <t>2015JEN</t>
  </si>
  <si>
    <t>2016JEN</t>
  </si>
  <si>
    <t>2017JEN</t>
  </si>
  <si>
    <t>2018JEN</t>
  </si>
  <si>
    <t>2019JEN</t>
  </si>
  <si>
    <t>2020JEN</t>
  </si>
  <si>
    <t>2006PCR</t>
  </si>
  <si>
    <t>2007PCR</t>
  </si>
  <si>
    <t>2008PCR</t>
  </si>
  <si>
    <t>2009PCR</t>
  </si>
  <si>
    <t>2010PCR</t>
  </si>
  <si>
    <t>2011PCR</t>
  </si>
  <si>
    <t>2012PCR</t>
  </si>
  <si>
    <t>2013PCR</t>
  </si>
  <si>
    <t>2014PCR</t>
  </si>
  <si>
    <t>2015PCR</t>
  </si>
  <si>
    <t>2016PCR</t>
  </si>
  <si>
    <t>2017PCR</t>
  </si>
  <si>
    <t>2018PCR</t>
  </si>
  <si>
    <t>2019PCR</t>
  </si>
  <si>
    <t>2020PCR</t>
  </si>
  <si>
    <t>2006SAP</t>
  </si>
  <si>
    <t>2007SAP</t>
  </si>
  <si>
    <t>2008SAP</t>
  </si>
  <si>
    <t>2009SAP</t>
  </si>
  <si>
    <t>2010SAP</t>
  </si>
  <si>
    <t>2011SAP</t>
  </si>
  <si>
    <t>2012SAP</t>
  </si>
  <si>
    <t>2013SAP</t>
  </si>
  <si>
    <t>2014SAP</t>
  </si>
  <si>
    <t>2015SAP</t>
  </si>
  <si>
    <t>2016SAP</t>
  </si>
  <si>
    <t>2017SAP</t>
  </si>
  <si>
    <t>2018SAP</t>
  </si>
  <si>
    <t>2019SAP</t>
  </si>
  <si>
    <t>2020SAP</t>
  </si>
  <si>
    <t>2006AND</t>
  </si>
  <si>
    <t>2007AND</t>
  </si>
  <si>
    <t>2008AND</t>
  </si>
  <si>
    <t>2009AND</t>
  </si>
  <si>
    <t>2010AND</t>
  </si>
  <si>
    <t>2011AND</t>
  </si>
  <si>
    <t>2012AND</t>
  </si>
  <si>
    <t>2013AND</t>
  </si>
  <si>
    <t>2014AND</t>
  </si>
  <si>
    <t>2015AND</t>
  </si>
  <si>
    <t>2016AND</t>
  </si>
  <si>
    <t>2017AND</t>
  </si>
  <si>
    <t>2018AND</t>
  </si>
  <si>
    <t>2019AND</t>
  </si>
  <si>
    <t>2020AND</t>
  </si>
  <si>
    <t>2006TND</t>
  </si>
  <si>
    <t>2007TND</t>
  </si>
  <si>
    <t>2008TND</t>
  </si>
  <si>
    <t>2009TND</t>
  </si>
  <si>
    <t>2010TND</t>
  </si>
  <si>
    <t>2011TND</t>
  </si>
  <si>
    <t>2012TND</t>
  </si>
  <si>
    <t>2013TND</t>
  </si>
  <si>
    <t>2014TND</t>
  </si>
  <si>
    <t>2015TND</t>
  </si>
  <si>
    <t>2016TND</t>
  </si>
  <si>
    <t>2017TND</t>
  </si>
  <si>
    <t>2018TND</t>
  </si>
  <si>
    <t>2019TND</t>
  </si>
  <si>
    <t>2020TND</t>
  </si>
  <si>
    <t>2006UED</t>
  </si>
  <si>
    <t>2007UED</t>
  </si>
  <si>
    <t>2008UED</t>
  </si>
  <si>
    <t>2009UED</t>
  </si>
  <si>
    <t>2010UED</t>
  </si>
  <si>
    <t>2011UED</t>
  </si>
  <si>
    <t>2012UED</t>
  </si>
  <si>
    <t>2013UED</t>
  </si>
  <si>
    <t>2014UED</t>
  </si>
  <si>
    <t>2015UED</t>
  </si>
  <si>
    <t>2016UED</t>
  </si>
  <si>
    <t>2017UED</t>
  </si>
  <si>
    <t>2018UED</t>
  </si>
  <si>
    <t>2019UED</t>
  </si>
  <si>
    <t>2020UED</t>
  </si>
  <si>
    <t>Units</t>
  </si>
  <si>
    <t>Price opex</t>
  </si>
  <si>
    <t>fraction</t>
  </si>
  <si>
    <t>Opex forecast error (%)</t>
  </si>
  <si>
    <t>Opex price escalation (nominal)</t>
  </si>
  <si>
    <t>Opex quantity</t>
  </si>
  <si>
    <t>2021AGD</t>
  </si>
  <si>
    <t>2022AGD</t>
  </si>
  <si>
    <t>2023AGD</t>
  </si>
  <si>
    <t>Average to</t>
  </si>
  <si>
    <t>Lookup tables</t>
  </si>
  <si>
    <t>Key:</t>
  </si>
  <si>
    <t>Input cell</t>
  </si>
  <si>
    <t>Calculated cell</t>
  </si>
  <si>
    <t xml:space="preserve">For rolling forward, the opex rate of change formula used for forecasting opex is adopted.   </t>
  </si>
  <si>
    <t>Summary</t>
  </si>
  <si>
    <t>Historical and forecast data on opex and cost drivers</t>
  </si>
  <si>
    <t>Sets out the efficiency target for the selected distribution network service provider</t>
  </si>
  <si>
    <t>Displays the efficient opex estimate for each model alongside actual / forecast opex for the selected distribution network service provider</t>
  </si>
  <si>
    <t>Data sourced from Economic Benchmarking Regulatory Information Notices</t>
  </si>
  <si>
    <t>Base year - manual override</t>
  </si>
  <si>
    <t>Base year - default</t>
  </si>
  <si>
    <t>Unit</t>
  </si>
  <si>
    <t>Australian Bureau of Statistics</t>
  </si>
  <si>
    <t>TABLES 1 and 2. CPI: All Groups, Index Numbers and Percentage Changes</t>
  </si>
  <si>
    <t>Index Numbers, All groups CPI, Australia, Series ID: A2325846C</t>
  </si>
  <si>
    <t>Series Type</t>
  </si>
  <si>
    <t>Data Type</t>
  </si>
  <si>
    <t>Frequency</t>
  </si>
  <si>
    <t>Collection Month</t>
  </si>
  <si>
    <t>Series Start</t>
  </si>
  <si>
    <t>Series End</t>
  </si>
  <si>
    <t>No. Obs</t>
  </si>
  <si>
    <t>Series ID</t>
  </si>
  <si>
    <t>Index Numbers ;  All groups CPI ;  Australia ;</t>
  </si>
  <si>
    <t>Index Numbers</t>
  </si>
  <si>
    <t>Original</t>
  </si>
  <si>
    <t>INDEX</t>
  </si>
  <si>
    <t>Quarter</t>
  </si>
  <si>
    <t>A2325846C</t>
  </si>
  <si>
    <t>Data | CPI</t>
  </si>
  <si>
    <t>Base year (YYYY)</t>
  </si>
  <si>
    <t>Sep-1948</t>
  </si>
  <si>
    <t>Dec-1948</t>
  </si>
  <si>
    <t>Mar-1949</t>
  </si>
  <si>
    <t>Jun-1949</t>
  </si>
  <si>
    <t>Sep-1949</t>
  </si>
  <si>
    <t>Dec-1949</t>
  </si>
  <si>
    <t>Mar-1950</t>
  </si>
  <si>
    <t>Jun-1950</t>
  </si>
  <si>
    <t>Sep-1950</t>
  </si>
  <si>
    <t>Dec-1950</t>
  </si>
  <si>
    <t>Mar-1951</t>
  </si>
  <si>
    <t>Jun-1951</t>
  </si>
  <si>
    <t>Sep-1951</t>
  </si>
  <si>
    <t>Dec-1951</t>
  </si>
  <si>
    <t>Mar-1952</t>
  </si>
  <si>
    <t>Jun-1952</t>
  </si>
  <si>
    <t>Sep-1952</t>
  </si>
  <si>
    <t>Dec-1952</t>
  </si>
  <si>
    <t>Mar-1953</t>
  </si>
  <si>
    <t>Jun-1953</t>
  </si>
  <si>
    <t>Sep-1953</t>
  </si>
  <si>
    <t>Dec-1953</t>
  </si>
  <si>
    <t>Mar-1954</t>
  </si>
  <si>
    <t>Jun-1954</t>
  </si>
  <si>
    <t>Sep-1954</t>
  </si>
  <si>
    <t>Dec-1954</t>
  </si>
  <si>
    <t>Mar-1955</t>
  </si>
  <si>
    <t>Jun-1955</t>
  </si>
  <si>
    <t>Sep-1955</t>
  </si>
  <si>
    <t>Dec-1955</t>
  </si>
  <si>
    <t>Mar-1956</t>
  </si>
  <si>
    <t>Jun-1956</t>
  </si>
  <si>
    <t>Sep-1956</t>
  </si>
  <si>
    <t>Dec-1956</t>
  </si>
  <si>
    <t>Mar-1957</t>
  </si>
  <si>
    <t>Jun-1957</t>
  </si>
  <si>
    <t>Sep-1957</t>
  </si>
  <si>
    <t>Dec-1957</t>
  </si>
  <si>
    <t>Mar-1958</t>
  </si>
  <si>
    <t>Jun-1958</t>
  </si>
  <si>
    <t>Sep-1958</t>
  </si>
  <si>
    <t>Dec-1958</t>
  </si>
  <si>
    <t>Mar-1959</t>
  </si>
  <si>
    <t>Jun-1959</t>
  </si>
  <si>
    <t>Sep-1959</t>
  </si>
  <si>
    <t>Dec-1959</t>
  </si>
  <si>
    <t>Mar-1960</t>
  </si>
  <si>
    <t>Jun-1960</t>
  </si>
  <si>
    <t>Sep-1960</t>
  </si>
  <si>
    <t>Dec-1960</t>
  </si>
  <si>
    <t>Mar-1961</t>
  </si>
  <si>
    <t>Jun-1961</t>
  </si>
  <si>
    <t>Sep-1961</t>
  </si>
  <si>
    <t>Dec-1961</t>
  </si>
  <si>
    <t>Mar-1962</t>
  </si>
  <si>
    <t>Jun-1962</t>
  </si>
  <si>
    <t>Sep-1962</t>
  </si>
  <si>
    <t>Dec-1962</t>
  </si>
  <si>
    <t>Mar-1963</t>
  </si>
  <si>
    <t>Jun-1963</t>
  </si>
  <si>
    <t>Sep-1963</t>
  </si>
  <si>
    <t>Dec-1963</t>
  </si>
  <si>
    <t>Mar-1964</t>
  </si>
  <si>
    <t>Jun-1964</t>
  </si>
  <si>
    <t>Sep-1964</t>
  </si>
  <si>
    <t>Dec-1964</t>
  </si>
  <si>
    <t>Mar-1965</t>
  </si>
  <si>
    <t>Jun-1965</t>
  </si>
  <si>
    <t>Sep-1965</t>
  </si>
  <si>
    <t>Dec-1965</t>
  </si>
  <si>
    <t>Mar-1966</t>
  </si>
  <si>
    <t>Jun-1966</t>
  </si>
  <si>
    <t>Sep-1966</t>
  </si>
  <si>
    <t>Dec-1966</t>
  </si>
  <si>
    <t>Mar-1967</t>
  </si>
  <si>
    <t>Jun-1967</t>
  </si>
  <si>
    <t>Sep-1967</t>
  </si>
  <si>
    <t>Dec-1967</t>
  </si>
  <si>
    <t>Mar-1968</t>
  </si>
  <si>
    <t>Jun-1968</t>
  </si>
  <si>
    <t>Sep-1968</t>
  </si>
  <si>
    <t>Dec-1968</t>
  </si>
  <si>
    <t>Mar-1969</t>
  </si>
  <si>
    <t>Jun-1969</t>
  </si>
  <si>
    <t>Sep-1969</t>
  </si>
  <si>
    <t>Dec-1969</t>
  </si>
  <si>
    <t>Mar-1970</t>
  </si>
  <si>
    <t>Jun-1970</t>
  </si>
  <si>
    <t>Sep-1970</t>
  </si>
  <si>
    <t>Dec-1970</t>
  </si>
  <si>
    <t>Mar-1971</t>
  </si>
  <si>
    <t>Jun-1971</t>
  </si>
  <si>
    <t>Sep-1971</t>
  </si>
  <si>
    <t>Dec-1971</t>
  </si>
  <si>
    <t>Mar-1972</t>
  </si>
  <si>
    <t>Jun-1972</t>
  </si>
  <si>
    <t>Sep-1972</t>
  </si>
  <si>
    <t>Dec-1972</t>
  </si>
  <si>
    <t>Mar-1973</t>
  </si>
  <si>
    <t>Jun-1973</t>
  </si>
  <si>
    <t>Sep-1973</t>
  </si>
  <si>
    <t>Dec-1973</t>
  </si>
  <si>
    <t>Mar-1974</t>
  </si>
  <si>
    <t>Jun-1974</t>
  </si>
  <si>
    <t>Sep-1974</t>
  </si>
  <si>
    <t>Dec-1974</t>
  </si>
  <si>
    <t>Mar-1975</t>
  </si>
  <si>
    <t>Jun-1975</t>
  </si>
  <si>
    <t>Sep-1975</t>
  </si>
  <si>
    <t>Dec-1975</t>
  </si>
  <si>
    <t>Mar-1976</t>
  </si>
  <si>
    <t>Jun-1976</t>
  </si>
  <si>
    <t>Sep-1976</t>
  </si>
  <si>
    <t>Dec-1976</t>
  </si>
  <si>
    <t>Mar-1977</t>
  </si>
  <si>
    <t>Jun-1977</t>
  </si>
  <si>
    <t>Sep-1977</t>
  </si>
  <si>
    <t>Dec-1977</t>
  </si>
  <si>
    <t>Mar-1978</t>
  </si>
  <si>
    <t>Jun-1978</t>
  </si>
  <si>
    <t>Sep-1978</t>
  </si>
  <si>
    <t>Dec-1978</t>
  </si>
  <si>
    <t>Mar-1979</t>
  </si>
  <si>
    <t>Jun-1979</t>
  </si>
  <si>
    <t>Sep-1979</t>
  </si>
  <si>
    <t>Dec-1979</t>
  </si>
  <si>
    <t>Mar-1980</t>
  </si>
  <si>
    <t>Jun-1980</t>
  </si>
  <si>
    <t>Sep-1980</t>
  </si>
  <si>
    <t>Dec-1980</t>
  </si>
  <si>
    <t>Mar-1981</t>
  </si>
  <si>
    <t>Jun-1981</t>
  </si>
  <si>
    <t>Sep-1981</t>
  </si>
  <si>
    <t>Dec-1981</t>
  </si>
  <si>
    <t>Mar-1982</t>
  </si>
  <si>
    <t>Jun-1982</t>
  </si>
  <si>
    <t>Sep-1982</t>
  </si>
  <si>
    <t>Dec-1982</t>
  </si>
  <si>
    <t>Mar-1983</t>
  </si>
  <si>
    <t>Jun-1983</t>
  </si>
  <si>
    <t>Sep-1983</t>
  </si>
  <si>
    <t>Dec-1983</t>
  </si>
  <si>
    <t>Mar-1984</t>
  </si>
  <si>
    <t>Jun-1984</t>
  </si>
  <si>
    <t>Sep-1984</t>
  </si>
  <si>
    <t>Dec-1984</t>
  </si>
  <si>
    <t>Mar-1985</t>
  </si>
  <si>
    <t>Jun-1985</t>
  </si>
  <si>
    <t>Sep-1985</t>
  </si>
  <si>
    <t>Dec-1985</t>
  </si>
  <si>
    <t>Mar-1986</t>
  </si>
  <si>
    <t>Jun-1986</t>
  </si>
  <si>
    <t>Sep-1986</t>
  </si>
  <si>
    <t>Dec-1986</t>
  </si>
  <si>
    <t>Mar-1987</t>
  </si>
  <si>
    <t>Jun-1987</t>
  </si>
  <si>
    <t>Sep-1987</t>
  </si>
  <si>
    <t>Dec-1987</t>
  </si>
  <si>
    <t>Mar-1988</t>
  </si>
  <si>
    <t>Jun-1988</t>
  </si>
  <si>
    <t>Sep-1988</t>
  </si>
  <si>
    <t>Dec-1988</t>
  </si>
  <si>
    <t>Mar-1989</t>
  </si>
  <si>
    <t>Jun-1989</t>
  </si>
  <si>
    <t>Sep-1989</t>
  </si>
  <si>
    <t>Dec-1989</t>
  </si>
  <si>
    <t>Mar-1990</t>
  </si>
  <si>
    <t>Jun-1990</t>
  </si>
  <si>
    <t>Sep-1990</t>
  </si>
  <si>
    <t>Dec-1990</t>
  </si>
  <si>
    <t>Mar-1991</t>
  </si>
  <si>
    <t>Jun-1991</t>
  </si>
  <si>
    <t>Sep-1991</t>
  </si>
  <si>
    <t>Dec-1991</t>
  </si>
  <si>
    <t>Mar-1992</t>
  </si>
  <si>
    <t>Jun-1992</t>
  </si>
  <si>
    <t>Sep-1992</t>
  </si>
  <si>
    <t>Dec-1992</t>
  </si>
  <si>
    <t>Mar-1993</t>
  </si>
  <si>
    <t>Jun-1993</t>
  </si>
  <si>
    <t>Sep-1993</t>
  </si>
  <si>
    <t>Dec-1993</t>
  </si>
  <si>
    <t>Mar-1994</t>
  </si>
  <si>
    <t>Jun-1994</t>
  </si>
  <si>
    <t>Sep-1994</t>
  </si>
  <si>
    <t>Dec-1994</t>
  </si>
  <si>
    <t>Mar-1995</t>
  </si>
  <si>
    <t>Jun-1995</t>
  </si>
  <si>
    <t>Sep-1995</t>
  </si>
  <si>
    <t>Dec-1995</t>
  </si>
  <si>
    <t>Mar-1996</t>
  </si>
  <si>
    <t>Jun-1996</t>
  </si>
  <si>
    <t>Sep-1996</t>
  </si>
  <si>
    <t>Dec-1996</t>
  </si>
  <si>
    <t>Mar-1997</t>
  </si>
  <si>
    <t>Jun-1997</t>
  </si>
  <si>
    <t>Sep-1997</t>
  </si>
  <si>
    <t>Dec-1997</t>
  </si>
  <si>
    <t>Mar-1998</t>
  </si>
  <si>
    <t>Jun-1998</t>
  </si>
  <si>
    <t>Sep-1998</t>
  </si>
  <si>
    <t>Dec-1998</t>
  </si>
  <si>
    <t>Mar-1999</t>
  </si>
  <si>
    <t>Jun-1999</t>
  </si>
  <si>
    <t>Sep-1999</t>
  </si>
  <si>
    <t>Dec-1999</t>
  </si>
  <si>
    <t>Mar-2000</t>
  </si>
  <si>
    <t>Jun-2000</t>
  </si>
  <si>
    <t>Sep-2000</t>
  </si>
  <si>
    <t>Dec-2000</t>
  </si>
  <si>
    <t>Mar-2001</t>
  </si>
  <si>
    <t>Jun-2001</t>
  </si>
  <si>
    <t>Sep-2001</t>
  </si>
  <si>
    <t>Dec-2001</t>
  </si>
  <si>
    <t>Mar-2002</t>
  </si>
  <si>
    <t>Jun-2002</t>
  </si>
  <si>
    <t>Sep-2002</t>
  </si>
  <si>
    <t>Dec-2002</t>
  </si>
  <si>
    <t>Mar-2003</t>
  </si>
  <si>
    <t>Jun-2003</t>
  </si>
  <si>
    <t>Sep-2003</t>
  </si>
  <si>
    <t>Dec-2003</t>
  </si>
  <si>
    <t>Mar-2004</t>
  </si>
  <si>
    <t>Jun-2004</t>
  </si>
  <si>
    <t>Sep-2004</t>
  </si>
  <si>
    <t>Dec-2004</t>
  </si>
  <si>
    <t>Mar-2005</t>
  </si>
  <si>
    <t>Jun-2005</t>
  </si>
  <si>
    <t>Sep-2005</t>
  </si>
  <si>
    <t>Dec-2005</t>
  </si>
  <si>
    <t>Mar-2006</t>
  </si>
  <si>
    <t>Jun-2006</t>
  </si>
  <si>
    <t>Sep-2006</t>
  </si>
  <si>
    <t>Dec-2006</t>
  </si>
  <si>
    <t>Mar-2007</t>
  </si>
  <si>
    <t>Jun-2007</t>
  </si>
  <si>
    <t>Sep-2007</t>
  </si>
  <si>
    <t>Dec-2007</t>
  </si>
  <si>
    <t>Mar-2008</t>
  </si>
  <si>
    <t>Jun-2008</t>
  </si>
  <si>
    <t>Sep-2008</t>
  </si>
  <si>
    <t>Dec-2008</t>
  </si>
  <si>
    <t>Mar-2009</t>
  </si>
  <si>
    <t>Jun-2009</t>
  </si>
  <si>
    <t>Sep-2009</t>
  </si>
  <si>
    <t>Dec-2009</t>
  </si>
  <si>
    <t>Mar-2010</t>
  </si>
  <si>
    <t>Jun-2010</t>
  </si>
  <si>
    <t>Sep-2010</t>
  </si>
  <si>
    <t>Dec-2010</t>
  </si>
  <si>
    <t>Mar-2011</t>
  </si>
  <si>
    <t>Jun-2011</t>
  </si>
  <si>
    <t>Sep-2011</t>
  </si>
  <si>
    <t>Dec-2011</t>
  </si>
  <si>
    <t>Mar-2012</t>
  </si>
  <si>
    <t>Jun-2012</t>
  </si>
  <si>
    <t>Sep-2012</t>
  </si>
  <si>
    <t>Dec-2012</t>
  </si>
  <si>
    <t>Mar-2013</t>
  </si>
  <si>
    <t>Jun-2013</t>
  </si>
  <si>
    <t>Sep-2013</t>
  </si>
  <si>
    <t>Dec-2013</t>
  </si>
  <si>
    <t>Mar-2014</t>
  </si>
  <si>
    <t>Jun-2014</t>
  </si>
  <si>
    <t>Sep-2014</t>
  </si>
  <si>
    <t>Dec-2014</t>
  </si>
  <si>
    <t>Mar-2015</t>
  </si>
  <si>
    <t>Jun-2015</t>
  </si>
  <si>
    <t>Sep-2015</t>
  </si>
  <si>
    <t>Dec-2015</t>
  </si>
  <si>
    <t>Mar-2016</t>
  </si>
  <si>
    <t>Jun-2016</t>
  </si>
  <si>
    <t>Sep-2016</t>
  </si>
  <si>
    <t>Dec-2016</t>
  </si>
  <si>
    <t>Mar-2017</t>
  </si>
  <si>
    <t>Jun-2017</t>
  </si>
  <si>
    <t>Sep-2017</t>
  </si>
  <si>
    <t>Dec-2017</t>
  </si>
  <si>
    <t>Mar-2018</t>
  </si>
  <si>
    <t>Jun-2018</t>
  </si>
  <si>
    <t>Sep-2018</t>
  </si>
  <si>
    <t>Dec-2018</t>
  </si>
  <si>
    <t>Mar-2019</t>
  </si>
  <si>
    <t>Jun-2019</t>
  </si>
  <si>
    <t>Sep-2019</t>
  </si>
  <si>
    <t>Dec-2019</t>
  </si>
  <si>
    <t>Mar-2020</t>
  </si>
  <si>
    <t>Jun-2020</t>
  </si>
  <si>
    <t>Sep-2020</t>
  </si>
  <si>
    <t>Dec-2020</t>
  </si>
  <si>
    <t>Mar-2021</t>
  </si>
  <si>
    <t>Jun-2021</t>
  </si>
  <si>
    <t>Sep-2021</t>
  </si>
  <si>
    <t>Dec-2021</t>
  </si>
  <si>
    <t>Mar-2022</t>
  </si>
  <si>
    <t>Jun-2022</t>
  </si>
  <si>
    <t>Sep-2022</t>
  </si>
  <si>
    <t>Dec-2022</t>
  </si>
  <si>
    <t>Mar-2023</t>
  </si>
  <si>
    <t>Jun-2023</t>
  </si>
  <si>
    <t>Average - first and third ratios</t>
  </si>
  <si>
    <t>Weighted 3 ratios</t>
  </si>
  <si>
    <t>Input | Econometrics - Long</t>
  </si>
  <si>
    <t>Input | Econometrics - Short</t>
  </si>
  <si>
    <t>2021ACT</t>
  </si>
  <si>
    <t>2022ACT</t>
  </si>
  <si>
    <t>2023ACT</t>
  </si>
  <si>
    <t>2021CIT</t>
  </si>
  <si>
    <t>2022CIT</t>
  </si>
  <si>
    <t>2023CIT</t>
  </si>
  <si>
    <t>2021END</t>
  </si>
  <si>
    <t>2022END</t>
  </si>
  <si>
    <t>2023END</t>
  </si>
  <si>
    <t>2021ENX</t>
  </si>
  <si>
    <t>2022ENX</t>
  </si>
  <si>
    <t>2023ENX</t>
  </si>
  <si>
    <t>2021ERG</t>
  </si>
  <si>
    <t>2022ERG</t>
  </si>
  <si>
    <t>2023ERG</t>
  </si>
  <si>
    <t>2021ESS</t>
  </si>
  <si>
    <t>2022ESS</t>
  </si>
  <si>
    <t>2023ESS</t>
  </si>
  <si>
    <t>2021JEN</t>
  </si>
  <si>
    <t>2022JEN</t>
  </si>
  <si>
    <t>2023JEN</t>
  </si>
  <si>
    <t>2021PCR</t>
  </si>
  <si>
    <t>2022PCR</t>
  </si>
  <si>
    <t>2023PCR</t>
  </si>
  <si>
    <t>2021SAP</t>
  </si>
  <si>
    <t>2022SAP</t>
  </si>
  <si>
    <t>2023SAP</t>
  </si>
  <si>
    <t>2021AND</t>
  </si>
  <si>
    <t>2022AND</t>
  </si>
  <si>
    <t>2023AND</t>
  </si>
  <si>
    <t>2021TND</t>
  </si>
  <si>
    <t>2022TND</t>
  </si>
  <si>
    <t>2023TND</t>
  </si>
  <si>
    <t>2021UED</t>
  </si>
  <si>
    <t>2022UED</t>
  </si>
  <si>
    <t>2023UED</t>
  </si>
  <si>
    <t>Opex forecast error</t>
  </si>
  <si>
    <t>Start of long period</t>
  </si>
  <si>
    <t>Start of short period</t>
  </si>
  <si>
    <t>Operating environment factors - long period</t>
  </si>
  <si>
    <t>Operating environment factors - short period</t>
  </si>
  <si>
    <t>Data | OEFs - Long</t>
  </si>
  <si>
    <t>Data | OEFs - Short</t>
  </si>
  <si>
    <t>Rates of change - long period</t>
  </si>
  <si>
    <t>Rates of change - short period</t>
  </si>
  <si>
    <t>Efficiency target to set - long period</t>
  </si>
  <si>
    <t>Efficiency target to set - short period</t>
  </si>
  <si>
    <t>Calc | Opex forecasts - Long</t>
  </si>
  <si>
    <t>Calc | Opex forecasts - Short</t>
  </si>
  <si>
    <t>Modelling efficient base year opex for the selected distribution network service provider for the short period</t>
  </si>
  <si>
    <t>Modelling efficient base year opex for the selected distribution network service provider for the long period</t>
  </si>
  <si>
    <t>Monotonicity - long period</t>
  </si>
  <si>
    <t>Monotonicity - short period</t>
  </si>
  <si>
    <t>Sources:</t>
  </si>
  <si>
    <t>Reserve Bank of Australia</t>
  </si>
  <si>
    <t>Series</t>
  </si>
  <si>
    <t>Forecast</t>
  </si>
  <si>
    <t>Consumer price index</t>
  </si>
  <si>
    <t>Consumer Price Index data series sourced from the Australian Bureau of Statistics. Forecast sourced from Reserve Bank of Australia's quarterly (February, May, August and November) Statement on Monetary Policy. Biannual forecasts are interpolated to get quarterly values.</t>
  </si>
  <si>
    <t>Dec-2023</t>
  </si>
  <si>
    <t>Sep-2023</t>
  </si>
  <si>
    <t>Dollar basis for results</t>
  </si>
  <si>
    <t>Inflation method</t>
  </si>
  <si>
    <t>1. Simple</t>
  </si>
  <si>
    <t>2. AER Opex Model</t>
  </si>
  <si>
    <t>$'000, nominal</t>
  </si>
  <si>
    <t>Opex for network services * (1 + Opex forecast error) + Opex forecast error ($m, nominal)</t>
  </si>
  <si>
    <t>Consumer price index ;  Percentage change to quarter shown</t>
  </si>
  <si>
    <t>Mar-2024</t>
  </si>
  <si>
    <t>Jun-2024</t>
  </si>
  <si>
    <t>Technology growth rate outside benchmarking period</t>
  </si>
  <si>
    <t>Apply this growth rate outside benchmarking period?</t>
  </si>
  <si>
    <t>1 - Yes</t>
  </si>
  <si>
    <t>Apply fixed growth rate</t>
  </si>
  <si>
    <t>Scenario number</t>
  </si>
  <si>
    <t>Sheets</t>
  </si>
  <si>
    <t>Named Ranges</t>
  </si>
  <si>
    <t>Named Range</t>
  </si>
  <si>
    <t>Sheet defined</t>
  </si>
  <si>
    <t>Sheet name</t>
  </si>
  <si>
    <t>Sheet description</t>
  </si>
  <si>
    <t>Parameter_Apply_fixed_growth rate</t>
  </si>
  <si>
    <t>Parameter_Base_year</t>
  </si>
  <si>
    <t>Parameter_Base_year_manual_override</t>
  </si>
  <si>
    <t>Parameter_DNSP</t>
  </si>
  <si>
    <t>Parameter_Efficiency_target</t>
  </si>
  <si>
    <t>Parameter_Opex_forecast_error</t>
  </si>
  <si>
    <t>Parameter_Period_end</t>
  </si>
  <si>
    <t>Parameter_Period_start_long</t>
  </si>
  <si>
    <t>Parameter_Period_start_short</t>
  </si>
  <si>
    <t>Parameter_Results_dollar_basis</t>
  </si>
  <si>
    <t>Parameter_Scenario</t>
  </si>
  <si>
    <t>Parameter_Scenario_number</t>
  </si>
  <si>
    <t>Parameter_Technology_growth_rate</t>
  </si>
  <si>
    <t>Table_Base_year_default</t>
  </si>
  <si>
    <t>Table_Coefficients_long_LSECD</t>
  </si>
  <si>
    <t>Table_Coefficients_long_LSETLG</t>
  </si>
  <si>
    <t>Table_Coefficients_long_SFACD</t>
  </si>
  <si>
    <t>Table_Coefficients_long_SFATLG</t>
  </si>
  <si>
    <t>Table_Coefficients_short_LSECD</t>
  </si>
  <si>
    <t>Table_Coefficients_short_LSETLG</t>
  </si>
  <si>
    <t>Table_Coefficients_short_SFACD</t>
  </si>
  <si>
    <t>Table_Coefficients_short_SFATLG</t>
  </si>
  <si>
    <t>Table_Data_All_groups_CPI_Australia</t>
  </si>
  <si>
    <t>Table_Data_EBRIN</t>
  </si>
  <si>
    <t>Table_Data_opex_alternative</t>
  </si>
  <si>
    <t>Table_Data_opex_selected</t>
  </si>
  <si>
    <t>Table_DNSP</t>
  </si>
  <si>
    <t>Table_Efficiency_scores_long_LSECD</t>
  </si>
  <si>
    <t>Table_Efficiency_scores_long_LSETLG</t>
  </si>
  <si>
    <t>Table_Efficiency_scores_long_SFACD</t>
  </si>
  <si>
    <t>Table_Efficiency_scores_long_SFATLG</t>
  </si>
  <si>
    <t>Table_Efficiency_scores_short_LSECD</t>
  </si>
  <si>
    <t>Table_Efficiency_scores_short_LSETLG</t>
  </si>
  <si>
    <t>Table_Efficiency_scores_short_SFACD</t>
  </si>
  <si>
    <t>Table_Efficiency_scores_short_SFATLG</t>
  </si>
  <si>
    <t>Table_Inflators_December_to_December</t>
  </si>
  <si>
    <t>Table_Inflators_June_to_June</t>
  </si>
  <si>
    <t>Table_Inflators_per_base_year</t>
  </si>
  <si>
    <t>Table_Inflators_per_base_year_AER_Opex_Model</t>
  </si>
  <si>
    <t>Table_Monotonicity_violations_long_LSETLG</t>
  </si>
  <si>
    <t>Table_Monotonicity_violations_long_SFATLG</t>
  </si>
  <si>
    <t>Table_Monotonicity_violations_short_LSETLG</t>
  </si>
  <si>
    <t>Table_Monotonicity_violations_short_SFATLG</t>
  </si>
  <si>
    <t>Table_Regulatory_year_basis</t>
  </si>
  <si>
    <t>Table_Scenario_number</t>
  </si>
  <si>
    <t>Table_Summary_long</t>
  </si>
  <si>
    <t>Table_Summary_short</t>
  </si>
  <si>
    <t>Header_Table_Data_EBRIN</t>
  </si>
  <si>
    <t>Header_Table_Econometrics</t>
  </si>
  <si>
    <t>Header_Table_Inflators_December_to_December</t>
  </si>
  <si>
    <t>Header_Table_Inflators_June_to_June</t>
  </si>
  <si>
    <t>Header_Table_Inflators_per_base_year</t>
  </si>
  <si>
    <t>Header_Table_Summary_long</t>
  </si>
  <si>
    <t>Header_Table_Summary_short</t>
  </si>
  <si>
    <t>List_Apply_fixed_growth_rate</t>
  </si>
  <si>
    <t>List_DNSP</t>
  </si>
  <si>
    <t>List_Inflation_method</t>
  </si>
  <si>
    <t>List_Scenario</t>
  </si>
  <si>
    <t>Variable type</t>
  </si>
  <si>
    <t>Header</t>
  </si>
  <si>
    <t>List</t>
  </si>
  <si>
    <t>Parameter</t>
  </si>
  <si>
    <t>Table</t>
  </si>
  <si>
    <t>Used to define options in drop-down list for Parameter_Apply_fixed_growth_rate in Input | Parameters</t>
  </si>
  <si>
    <t>Used to define options in drop-down list for Parameter_DNSP in Input | Parameters</t>
  </si>
  <si>
    <t>Used to define options in drop-down list for Parameter_Inflation_method in Input | Parameters</t>
  </si>
  <si>
    <t>Used to define options in drop-down list for Parameter_Scenario in Input | Parameters</t>
  </si>
  <si>
    <t>Used to return the index of a desired column via the MATCH function when performing a VLOOKUP on Table_Data_EBRIN</t>
  </si>
  <si>
    <t>Used to return the index of a desired column via the MATCH function when performing a VLOOKUP on Table_Inflators_December_to_December</t>
  </si>
  <si>
    <t>Used to return the index of a desired column via the MATCH function when performing a VLOOKUP on Table_Inflators_June_to_June</t>
  </si>
  <si>
    <t>Used to return the index of a desired column via the MATCH function when performing a VLOOKUP on Table_Inflators_per_base_year</t>
  </si>
  <si>
    <t>Used to return the index of a desired column via the MATCH function when performing a VLOOKUP on Table_Summary_long</t>
  </si>
  <si>
    <t>Used to return the index of a desired column via the MATCH function when performing a VLOOKUP on Table_Summary_short</t>
  </si>
  <si>
    <t>Used to return the index of a desired column via the MATCH function when performing a VLOOKUP on any of the econometrics tables</t>
  </si>
  <si>
    <t>Table containing the coefficients of the Least Squares Econometrics Cobb-Douglas (LSECD) model in each scenario over the long period</t>
  </si>
  <si>
    <t>Table containing the coefficients of the Least Squares Econometrics Cobb-Douglas (LSECD) model in each scenario over the short period</t>
  </si>
  <si>
    <t>Table containing the coefficients of the Least Squares Econometrics Translog (LSETLG) model in each scenario over the long period</t>
  </si>
  <si>
    <t>Table containing the coefficients of the Least Squares Econometrics Translog (LSETLG) model in each scenario over the short period</t>
  </si>
  <si>
    <t>Table containing the coefficients of the Stochastic Frontier Analysis Cobb-Douglas (SFACD) model in each scenario over the long period</t>
  </si>
  <si>
    <t>Table containing the coefficients of the Stochastic Frontier Analysis Translog (SFATLG) model in each scenario over the long period</t>
  </si>
  <si>
    <t>Table containing the coefficients of the Stochastic Frontier Analysis Translog (SFATLG) model in each scenario over the short period</t>
  </si>
  <si>
    <t>Table containing the coefficients of the Stochastic Frontier Analysis Cobb-Douglas (SFACD) model in each scenario over the short period</t>
  </si>
  <si>
    <t>Table containing Consumer Price Index data sourced from the Australian Bureau of Statistics, with a forecast based on the Reserve Bank of Australia's quarterly Statement on Monetary Policy.</t>
  </si>
  <si>
    <t>Table containing data sourced from Economic Benchmarking Regulatory Information Notices</t>
  </si>
  <si>
    <t>Table containing alternative opex for network services data used in different scenarios</t>
  </si>
  <si>
    <t>Table containing the opex for network services data that will be used for the selected scenario</t>
  </si>
  <si>
    <t>Table used to return the full business name of a distribution network service provider based on its three-letter abbreviation</t>
  </si>
  <si>
    <t>Table containing the efficiency score results of the Least Squares Econometrics Cobb-Douglas (LSECD) model in each scenario over the long period</t>
  </si>
  <si>
    <t>Table containing the efficiency score results of the Least Squares Econometrics Cobb-Douglas (LSECD) model in each scenario over the short period</t>
  </si>
  <si>
    <t>Table containing the efficiency score results of the Least Squares Econometrics Translog (LSETLG) model in each scenario over the long period</t>
  </si>
  <si>
    <t>Table containing the efficiency score results of the Stochastic Frontier Analysis Cobb-Douglas (SFACD) model in each scenario over the long period</t>
  </si>
  <si>
    <t>Table containing the efficiency score results of the Stochastic Frontier Analysis Translog (SFATLG) model in each scenario over the long period</t>
  </si>
  <si>
    <t>Table containing the efficiency score results of the Least Squares Econometrics Translog (LSETLG) model in each scenario over the short period</t>
  </si>
  <si>
    <t>Table containing the efficiency score results of the Stochastic Frontier Analysis Cobb-Douglas (SFACD) model in each scenario over the short period</t>
  </si>
  <si>
    <t>Table containing the efficiency score results of the Stochastic Frontier Analysis Translog (SFATLG) model in each scenario over the short period</t>
  </si>
  <si>
    <t>Table containing inflators used to convert dollar basis from December of one year to December of another year. This table is derived from Table_Data_All_groups_CPI_Australia.</t>
  </si>
  <si>
    <t>Table containing inflators used to convert dollar basis from June of one year to June of another year. This table is derived from Table_Data_All_groups_CPI_Australia.</t>
  </si>
  <si>
    <t>Table containing inflators used to convert values from any base year into a fixed dollar basis using the inflation method from the AER Opex Model</t>
  </si>
  <si>
    <t>Table containing inflators used to convert values from any base year into a fixed dollar basis. This table will contain either values derived from Table_Data_All_groups_CPI_Australia if Parameter_Inflation_method is set to '1. Simple', or values from Table_Inflators_per_base_year_AER_Opex_Model if Parameter_Inflation_method is set to '2. AER Opex Model'.</t>
  </si>
  <si>
    <t>Table containing flags (0 - No, 1 - Yes) to indicate the presence of monotonicity violations in the Least Squares Econometrics Translog (LSETLG) model in each scenario over the long period</t>
  </si>
  <si>
    <t>Table containing flags (0 - No, 1 - Yes) to indicate the presence of monotonicity violations in the Least Squares Econometrics Translog (LSETLG) model in each scenario over the short period</t>
  </si>
  <si>
    <t>Table containing flags (0 - No, 1 - Yes) to indicate the presence of monotonicity violations in the Stochastic Frontier Analysis Translog (SFATLG) model in each scenario over the long period</t>
  </si>
  <si>
    <t>Table containing flags (0 - No, 1 - Yes) to indicate the presence of monotonicity violations in the Stochastic Frontier Analysis Translog (SFATLG) model in each scenario over the short period</t>
  </si>
  <si>
    <t>Table used to determine whether a particular distribution network service provider historically reported on a calendar or financial year basis. Prior to the 2021 regulatory year, Victorian distribution network service providers reported on a calendar year basis.</t>
  </si>
  <si>
    <t xml:space="preserve">Table used to return the scenario number for a given scenario. </t>
  </si>
  <si>
    <t>Table summarising results and comparison of proposed opex with rolled-forward period-average efficient opex over the long period</t>
  </si>
  <si>
    <t>Table summarising results and comparison of proposed opex with rolled-forward period-average efficient opex over the short period</t>
  </si>
  <si>
    <t>Adjusted Technology (A)</t>
  </si>
  <si>
    <t>Cumulative fixed technology growth rate</t>
  </si>
  <si>
    <t>AER benchmarking roll-forward model</t>
  </si>
  <si>
    <t>Contains lookup tables and lists used in calculations throughout the benchmarking roll-forward model</t>
  </si>
  <si>
    <t>Data sourced from econometric modelling for the short period done as part of the annual benchmarking reports</t>
  </si>
  <si>
    <t>Data sourced from econometric modelling for the long period done as part of the annual benchmarking reports</t>
  </si>
  <si>
    <t>Sapere / Merz</t>
  </si>
  <si>
    <t>External link cell</t>
  </si>
  <si>
    <t>OEF adjustment</t>
  </si>
  <si>
    <t>OEF - Total</t>
  </si>
  <si>
    <t>OEF - Sapere / Merz</t>
  </si>
  <si>
    <t>OEF - Vegetation management</t>
  </si>
  <si>
    <t>OEF - Capitalisation</t>
  </si>
  <si>
    <t>OEF - Capitalisation - Basis</t>
  </si>
  <si>
    <t>Technology growth rate</t>
  </si>
  <si>
    <t>Displays Operating Environment Factors for the short period</t>
  </si>
  <si>
    <t>Displays Operating Environment Factors for the long period</t>
  </si>
  <si>
    <t>List_OEF_capitalisation_basis</t>
  </si>
  <si>
    <t>Header_Table_OEF_capitalisation_long</t>
  </si>
  <si>
    <t>Header_Table_OEF_capitalisation_short</t>
  </si>
  <si>
    <t>Parameter_OEF_capitalisation_basis_long</t>
  </si>
  <si>
    <t>Parameter_OEF_capitalisation_basis_short</t>
  </si>
  <si>
    <t>Parameter_OEF_capitalisation_long</t>
  </si>
  <si>
    <t>Parameter_OEF_capitalisation_short</t>
  </si>
  <si>
    <t>Parameter_OEF_Sapere_Merz_long</t>
  </si>
  <si>
    <t>Parameter_OEF_Sapere_Merz_short</t>
  </si>
  <si>
    <t>Parameter_OEF_total_long</t>
  </si>
  <si>
    <t>Parameter_OEF_total_short</t>
  </si>
  <si>
    <t>Parameter_OEF_vegetation_management_long</t>
  </si>
  <si>
    <t>Parameter_OEF_vegetation_management_short</t>
  </si>
  <si>
    <t>Table_OEF_capitalisation_long</t>
  </si>
  <si>
    <t>Table_OEF_capitalisation_short</t>
  </si>
  <si>
    <t>Table_OEF_Sapere_Merz_long</t>
  </si>
  <si>
    <t>Table_OEF_Sapere_Merz_short</t>
  </si>
  <si>
    <t>Table_OEF_vegetation_management_long</t>
  </si>
  <si>
    <t>Table_OEF_vegetation_management_short</t>
  </si>
  <si>
    <t>Used to return the index of a desired column via the MATCH function when performing a VLOOKUP on Table_OEF_capitalisation_long</t>
  </si>
  <si>
    <t>Used to return the index of a desired column via the MATCH function when performing a VLOOKUP on Table_OEF_capitalisation_short</t>
  </si>
  <si>
    <t>Used to define options in drop-down list for Parameter_OEF_capitalisation_basis_long and Parameter_OEF_capitalisation_basis_short in Input | Parameters</t>
  </si>
  <si>
    <t>Table containing the capitalisation operating environment factor for each distribution network service provider over the short period</t>
  </si>
  <si>
    <t>Table containing the capitalisation operating environment factor for each distribution network service provider over the long period</t>
  </si>
  <si>
    <t>Table containing the total Sapere Merz operating environment factor for each distribution network service provider over the short period</t>
  </si>
  <si>
    <t>Table containing the total Sapere Merz operating environment factor for each distribution network service provider over the long period</t>
  </si>
  <si>
    <t>Table containing the total vegetation management operating environment factor for each distribution network service provider over the long period</t>
  </si>
  <si>
    <t>Table containing the total vegetation management operating environment factor for each distribution network service provider over the short period</t>
  </si>
  <si>
    <t>Text indicating which averaging methodology should be applied when calculating capitalisation operating environment factor for each distribution network service provider over the long period</t>
  </si>
  <si>
    <t>Text indicating which averaging methodology should be applied when calculating capitalisation operating environment factor for each distribution network service provider over the short period</t>
  </si>
  <si>
    <t>Percentage representing the capitalisation operating environment factor for the selected distribution network service provider over the long period</t>
  </si>
  <si>
    <t>Percentage representing the capitalisation operating environment factor for the selected distribution network service provider over the short period</t>
  </si>
  <si>
    <t>Percentage representing the total Sapere Merz operating environment factor for the selected distribution network service provider over the long period</t>
  </si>
  <si>
    <t>Percentage representing the total Sapere Merz operating environment factor for the selected distribution network service provider over the short period</t>
  </si>
  <si>
    <t>Percentage representing the total vegetation management operating environment factor for the selected distribution network service provider over the long period</t>
  </si>
  <si>
    <t>Percentage representing the total vegetation management operating environment factor for the selected distribution network service provider over the short period</t>
  </si>
  <si>
    <t>Percentage representing the total operating environment factor adjustment for the selected distribution network service provider over the short period</t>
  </si>
  <si>
    <t>Percentage representing the total operating environment factor adjustment for the selected distribution network service provider over the long period</t>
  </si>
  <si>
    <t>Assessment of actual / proposed opex - long period</t>
  </si>
  <si>
    <t>Assessment of actual / proposed opex - short period</t>
  </si>
  <si>
    <t xml:space="preserve">Text indicating whether to apply a fixed technology growth rate (specified in Parameter_Technology_growth_rate) outside the benchmarking period, or to extend the modelled technology growth rate beyond the benchmarking period </t>
  </si>
  <si>
    <t>Percentage representing the fixed technology growth rate to be applied outside the benchmarking period. Only applicable when Parameter_Apply_fixed_growth_rate is set to '1 - Yes'.</t>
  </si>
  <si>
    <t>Number representing the year in which to assess efficiency of actual / proposed opex against rolled-forward model efficient opex. Allows user to manually override default value for Parameter_Base_year.</t>
  </si>
  <si>
    <t>Number representing the efficiency target each distribution network service provider needs to meet (before operating environment factor adjustments) in order to be considered not materially inefficient</t>
  </si>
  <si>
    <t>Percentage representing the potential error in the proposed opex inputted in Data | Opex proposed. Allows the user to conduct sensitivity testing on proposed opex.</t>
  </si>
  <si>
    <t>Number representing the end year of the benchmarking period</t>
  </si>
  <si>
    <t>Number representing the start year of the benchmarking long period</t>
  </si>
  <si>
    <t>Number representing the start year of the benchmarking short period</t>
  </si>
  <si>
    <t>Text representing the dollar basis to which opex quantities (calculated in Calc | Opex forecasts - Short and Calc | Opex forecasts - Long) and actual / proposed opex (entered as input in Data | Opex proposed) will be converted for the purpose of assessing efficiency of actual / proposed opex</t>
  </si>
  <si>
    <t>Text representing the distribution network service provider (DNSP) selected by the user for assessment</t>
  </si>
  <si>
    <t>Text representing the scenario selected by the user. This informs which opex series is used from Data | EBRIN, and which model parameters are used from Input | Econometrics - Short and Input | Econometrics - Long.</t>
  </si>
  <si>
    <t>Number representing the scenario selected by the user.</t>
  </si>
  <si>
    <t>Number representing the year in which to assess efficiency of actual / proposed opex against rolled-forward model efficient opex. Default value determined by Parameter_DNSP and Table_Base_year_default.</t>
  </si>
  <si>
    <t>Table containing the default base year for each distribution network service provider used to assess efficiency of actual / proposed opex against rolled-forward model efficient opex</t>
  </si>
  <si>
    <t xml:space="preserve">Model average ($m, nominal) </t>
  </si>
  <si>
    <t>Include OEFs?</t>
  </si>
  <si>
    <t>Include OEFs</t>
  </si>
  <si>
    <t>List_Include_OEFs</t>
  </si>
  <si>
    <t>Used to define options in drop-down list for OEF inclusion parameter in Input | Parameters</t>
  </si>
  <si>
    <t>Parameter_Include_OEFs</t>
  </si>
  <si>
    <t>Text indicating whether operating environment factors (OEFs) should be applied in the calculation of the average rolled-forward model efficient opex over both the long and short periods</t>
  </si>
  <si>
    <t>OEF - Capitalisation - manual override</t>
  </si>
  <si>
    <t>Parameter_OEF_capitalisation_long_manual_override</t>
  </si>
  <si>
    <t>Parameter_OEF_capitalisation_short_manual_override</t>
  </si>
  <si>
    <t>Percentage representing the capitalisation operating environment factor for the selected distribution network service provider over the long period. Allows user to manually override value for Parameter_OEF_capitalisation_long.</t>
  </si>
  <si>
    <t>Percentage representing the capitalisation operating environment factor for the selected distribution network service provider over the short period. Allows user to manually override value for Parameter_OEF_capitalisation_short.</t>
  </si>
  <si>
    <t>SA Power Networks</t>
  </si>
  <si>
    <t>Victorian</t>
  </si>
  <si>
    <t>Non-Victorian</t>
  </si>
  <si>
    <t>Victorian or non-Victorian</t>
  </si>
  <si>
    <t>Text indicating whether the selected distribution network service provider is a Victorian or non-Victorian distribution network service provider.</t>
  </si>
  <si>
    <t>Parameter_Victorian_or_non_Victorian</t>
  </si>
  <si>
    <t>12. 2022 ABR</t>
  </si>
  <si>
    <t>$'000RY2021</t>
  </si>
  <si>
    <t>Target opex ($'000RY2021)</t>
  </si>
  <si>
    <t>Sep-2024</t>
  </si>
  <si>
    <t>Dec-2024</t>
  </si>
  <si>
    <t>Actual / proposed opex quantity</t>
  </si>
  <si>
    <t>Actual / proposed opex ($m, nominal)</t>
  </si>
  <si>
    <t>Target opex quantity ($'000RY2021)</t>
  </si>
  <si>
    <t>The modelling rolls forward an estimate of efficient opex (i.e., actual opex adjusted for efficiency scores and OEFs, taking into account of the chosen efficient target) from period-average basis to the base year</t>
  </si>
  <si>
    <t>($m, $RY2021)</t>
  </si>
  <si>
    <t>Data | Forecasts</t>
  </si>
  <si>
    <t>Contains forecast data for each distribution network service provider</t>
  </si>
  <si>
    <t>Table_Data_forecast</t>
  </si>
  <si>
    <t xml:space="preserve">Table containing the actual / forecast data for each distribution network service provider that the roll-forward model is compared against. </t>
  </si>
  <si>
    <t>Forecast data</t>
  </si>
  <si>
    <t>Number of violations</t>
  </si>
  <si>
    <t>Included (0 - No, 1 - Yes)</t>
  </si>
  <si>
    <t>n/a</t>
  </si>
  <si>
    <t>List_Number_of_violations_Long_LSETLG</t>
  </si>
  <si>
    <t>List_Number_of_violations_Long_SFATLG</t>
  </si>
  <si>
    <t>List_Number_of_violations_Short_LSETLG</t>
  </si>
  <si>
    <t>List_Number_of_violations_Short_SFATLG</t>
  </si>
  <si>
    <t>List containing counts of monotonicity violations in the Least Squares Econometrics Translog (LSETLG) model in each scenario over the long period</t>
  </si>
  <si>
    <t>List containing counts of monotonicity violations in the Least Squares Econometrics Translog (LSETLG) model in each scenario over the short period</t>
  </si>
  <si>
    <t>List containing counts of monotonicity violations in the Stochastic Frontier Analysis Translog (SFATLG) model in each scenario over the long period</t>
  </si>
  <si>
    <t>List containing counts of monotonicity violations in the Stochastic Frontier Analysis Translog (SFATLG) model in each scenario over the short period</t>
  </si>
  <si>
    <t>Source:</t>
  </si>
  <si>
    <t>Australian Energy Regulator (AER), November 2022</t>
  </si>
  <si>
    <t>DNSP consolidated benchmarking data (2021)</t>
  </si>
  <si>
    <t>Australian Energy Regulator (AER)</t>
  </si>
  <si>
    <t>Dx - Analysis - OEFs - all DNSPs - 2022 ABR</t>
  </si>
  <si>
    <t>Dx - Analysis - VM OEFs - all DNSPs - 2022 ABR</t>
  </si>
  <si>
    <t>Data | Overheads</t>
  </si>
  <si>
    <t>Forecast period</t>
  </si>
  <si>
    <t>AusGrid</t>
  </si>
  <si>
    <t>Capitalised corporate overheads</t>
  </si>
  <si>
    <t>Capitalised network overheads</t>
  </si>
  <si>
    <t>Expensed corporate overheads</t>
  </si>
  <si>
    <t>Expensed network overheads</t>
  </si>
  <si>
    <t>Total network overheads</t>
  </si>
  <si>
    <t>Total corporate overheads</t>
  </si>
  <si>
    <t>Total overheads</t>
  </si>
  <si>
    <t>Expensed overheads / Total overheads</t>
  </si>
  <si>
    <t>Expensed corporate overheads / Total corporate overheads</t>
  </si>
  <si>
    <t>CitiPower</t>
  </si>
  <si>
    <t>Overheads ($, nominal)</t>
  </si>
  <si>
    <t>2.1 EXPENDITURE SUMMARY &amp; RECONCILIATION</t>
  </si>
  <si>
    <t>2.1.1 - STANDARD CONTROL SERVICES CAPEX; 2.1.2 - STANDARD CONTROL SERVICES OPEX</t>
  </si>
  <si>
    <t>Data sourced from Category Analysis Regulatory Information Notices</t>
  </si>
  <si>
    <t>Category Analysis Regulatory Information Notices (CARINs), 2009 - 2022</t>
  </si>
  <si>
    <t>Revised MD</t>
  </si>
  <si>
    <t>Original MD</t>
  </si>
  <si>
    <r>
      <t xml:space="preserve">Source: </t>
    </r>
    <r>
      <rPr>
        <sz val="8"/>
        <color theme="1"/>
        <rFont val="Arial"/>
        <family val="2"/>
      </rPr>
      <t>Economic Benchmarking Regulatory Information Notices (EBRINs), 2009 - 2022</t>
    </r>
  </si>
  <si>
    <t>Cap. Corp. Overheads</t>
  </si>
  <si>
    <t>Reset Regulatory Information Notices (Reset RINs), 2024-25 to 2028-29</t>
  </si>
  <si>
    <r>
      <rPr>
        <b/>
        <sz val="8"/>
        <color rgb="FF000000"/>
        <rFont val="Arial"/>
        <family val="2"/>
      </rPr>
      <t xml:space="preserve">2023 Data for NSW/ACT/TAS: </t>
    </r>
    <r>
      <rPr>
        <sz val="8"/>
        <color rgb="FF000000"/>
        <rFont val="Arial"/>
        <family val="2"/>
      </rPr>
      <t>Reset Regulatory Information Notices (Reset RINs)</t>
    </r>
  </si>
  <si>
    <r>
      <t>2023 Data for other DNSPs: E</t>
    </r>
    <r>
      <rPr>
        <sz val="8"/>
        <color rgb="FF000000"/>
        <rFont val="Arial"/>
        <family val="2"/>
      </rPr>
      <t>stimated based on last 5 years of actuals</t>
    </r>
  </si>
  <si>
    <t>12, 14, 16</t>
  </si>
  <si>
    <t>Statement on Monetary Policy: Forecast Table - May 2023</t>
  </si>
  <si>
    <t>Stochastic Frontier Analysis Translog (SFATLG) forecast driver growth rates / PP opex growth rates forecast</t>
  </si>
  <si>
    <t>Stochastic Frontier Analysis Translog (SFATLG) estimated cost elasticities</t>
  </si>
  <si>
    <t>Stochastic Frontier Analysis Cobb-Douglas (SFACD) forecast driver growth rates / PP opex growth rates forecast</t>
  </si>
  <si>
    <t>Stochastic Frontier Analysis Cobb-Douglas (SFACD) estimated cost elasticities</t>
  </si>
  <si>
    <r>
      <t xml:space="preserve">2023 NSW/ACT/TAS Overheads - </t>
    </r>
    <r>
      <rPr>
        <b/>
        <sz val="8"/>
        <color rgb="FFFF0000"/>
        <rFont val="Arial"/>
        <family val="2"/>
      </rPr>
      <t>REPORTED ON $Jun-2024 BASIS</t>
    </r>
  </si>
  <si>
    <t>average CN growth (FY23 - FY29):</t>
  </si>
  <si>
    <t>CN growth rate FY22 - FY23:</t>
  </si>
  <si>
    <t xml:space="preserve">CN growth rate FY22 - FY23: </t>
  </si>
  <si>
    <t>15_lb</t>
  </si>
  <si>
    <t>15_ub</t>
  </si>
  <si>
    <t>15. Current CAM + capitalised corporate OHs - upper bound</t>
  </si>
  <si>
    <t>15. Current CAM + capitalised corporate OHs - lower bound</t>
  </si>
  <si>
    <t xml:space="preserve">Administration of L-FiT </t>
  </si>
  <si>
    <t>Movement in provisions</t>
  </si>
  <si>
    <t>DMIA</t>
  </si>
  <si>
    <t>Scenario chosen in OEF model</t>
  </si>
  <si>
    <t>Base year adjustments</t>
  </si>
  <si>
    <t xml:space="preserve">This spreadsheet contains modelling for opex base year adjustments. </t>
  </si>
  <si>
    <t xml:space="preserve">Allows the user to select key parameters used to model a range of different scenarios. For the purposes...lower bound EQ... </t>
  </si>
  <si>
    <t>NB. This version has been made with a focus on the DNSPs in the 2024-29 NSW/ACT/TAS resets. In relation to the other DNSPs, the data in the model are only placeholders at this stage. The results for these DNSPs should therefore be interpreted accordingly.</t>
  </si>
  <si>
    <t>2022 ABR - Option 5</t>
  </si>
  <si>
    <t>AER</t>
  </si>
  <si>
    <t>15_lb. Current CAM plus capitalised corporate OHs - lower bound</t>
  </si>
  <si>
    <t>15_ub. Current CAM plus capitalised corporate OHs - upper bound</t>
  </si>
  <si>
    <t>AER, Master Opex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</si>
</sst>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
    <numFmt numFmtId="170" formatCode="_-* #,##0_-;\-* #,##0_-;_-* &quot;-&quot;??_-;_-@_-"/>
    <numFmt numFmtId="171" formatCode="_(#,##0_);\(#,##0\);_(&quot;-&quot;_)"/>
    <numFmt numFmtId="172" formatCode="0.0000"/>
    <numFmt numFmtId="173" formatCode="0.000"/>
    <numFmt numFmtId="174" formatCode="_(* #,##0.0_);_(* \(#,##0.0\);_(* &quot;-&quot;??_);_(@_)"/>
    <numFmt numFmtId="175" formatCode="_(* #,##0_);_(* \(#,##0\);_(* &quot;-&quot;??_);_(@_)"/>
    <numFmt numFmtId="176" formatCode="[$-C09]mmm\-yyyy;@"/>
    <numFmt numFmtId="177" formatCode="dd\-mmm"/>
    <numFmt numFmtId="178" formatCode="_(* #,##0.00000_);_(* \(#,##0.00000\);_(* &quot;-&quot;??_);_(@_)"/>
    <numFmt numFmtId="179" formatCode="_(* #,##0.0000_);_(* \(#,##0.0000\);_(* &quot;-&quot;??_);_(@_)"/>
    <numFmt numFmtId="180" formatCode="#,##0.0_ ;\-#,##0.0\ "/>
    <numFmt numFmtId="181" formatCode="_(* #,##0.000_);_(* \(#,##0.000\);_(* &quot;-&quot;??_);_(@_)"/>
    <numFmt numFmtId="182" formatCode="0.000%"/>
    <numFmt numFmtId="183" formatCode="dd/mmm"/>
    <numFmt numFmtId="184" formatCode="_-* #,##0.00_-;[Red]\(#,##0.00\)_-;_-* &quot;-&quot;??_-;_-@_-"/>
    <numFmt numFmtId="185" formatCode="mm/dd/yy"/>
    <numFmt numFmtId="186" formatCode="_([$€-2]* #,##0.00_);_([$€-2]* \(#,##0.00\);_([$€-2]* &quot;-&quot;??_)"/>
    <numFmt numFmtId="187" formatCode="0_);[Red]\(0\)"/>
    <numFmt numFmtId="188" formatCode="_(* #,##0_);_(* \(#,##0\);_(* &quot;-&quot;?_);_(@_)"/>
    <numFmt numFmtId="189" formatCode="#,##0.0_);\(#,##0.0\)"/>
    <numFmt numFmtId="190" formatCode="#,##0_ ;\-#,##0\ "/>
    <numFmt numFmtId="191" formatCode="#,##0;[Red]\(#,##0.0\)"/>
    <numFmt numFmtId="192" formatCode="#,##0_ ;[Red]\(#,##0\)\ "/>
    <numFmt numFmtId="193" formatCode="#,##0.00;\(#,##0.00\)"/>
    <numFmt numFmtId="194" formatCode="_)d\-mmm\-yy_)"/>
    <numFmt numFmtId="195" formatCode="_(#,##0.0_);\(#,##0.0\);_(&quot;-&quot;_)"/>
    <numFmt numFmtId="196" formatCode="_(###0_);\(###0\);_(###0_)"/>
    <numFmt numFmtId="197" formatCode="#,##0.0000_);[Red]\(#,##0.0000\)"/>
    <numFmt numFmtId="198" formatCode="&quot;Warning&quot;;&quot;Warning&quot;;&quot;OK&quot;"/>
    <numFmt numFmtId="199" formatCode="#,##0_);\(#,##0\);\-\-_)"/>
    <numFmt numFmtId="200" formatCode="0.00000"/>
    <numFmt numFmtId="201" formatCode="0.000000"/>
    <numFmt numFmtId="202" formatCode="_-* #,##0.000_-;\-* #,##0.000_-;_-* &quot;-&quot;???_-;_-@_-"/>
  </numFmts>
  <fonts count="101">
    <font>
      <sz val="11"/>
      <color theme="1"/>
      <name val="Calibri"/>
      <family val="2"/>
      <scheme val="minor"/>
    </font>
    <font>
      <sz val="10"/>
      <color theme="1"/>
      <name val="Arial"/>
      <family val="2"/>
    </font>
    <font>
      <sz val="11"/>
      <color theme="1"/>
      <name val="Calibri"/>
      <family val="2"/>
      <scheme val="minor"/>
    </font>
    <font>
      <sz val="10"/>
      <name val="Arial"/>
      <family val="2"/>
    </font>
    <font>
      <sz val="11"/>
      <color indexed="8"/>
      <name val="Calibri"/>
      <family val="2"/>
    </font>
    <font>
      <sz val="8"/>
      <name val="Arial"/>
      <family val="2"/>
    </font>
    <font>
      <sz val="10"/>
      <name val="Arial"/>
      <family val="2"/>
    </font>
    <font>
      <sz val="12"/>
      <color theme="1"/>
      <name val="Calibri"/>
      <family val="2"/>
      <scheme val="minor"/>
    </font>
    <font>
      <sz val="8"/>
      <color theme="1"/>
      <name val="Arial"/>
      <family val="2"/>
    </font>
    <font>
      <b/>
      <sz val="12"/>
      <color theme="1"/>
      <name val="Arial"/>
      <family val="2"/>
    </font>
    <font>
      <sz val="8"/>
      <color indexed="8"/>
      <name val="Arial"/>
      <family val="2"/>
    </font>
    <font>
      <b/>
      <sz val="8"/>
      <color theme="1"/>
      <name val="Arial"/>
      <family val="2"/>
    </font>
    <font>
      <u/>
      <sz val="8"/>
      <color theme="10"/>
      <name val="Arial"/>
      <family val="2"/>
    </font>
    <font>
      <i/>
      <sz val="10"/>
      <color theme="1"/>
      <name val="Arial"/>
      <family val="2"/>
    </font>
    <font>
      <b/>
      <sz val="8"/>
      <color indexed="8"/>
      <name val="Arial"/>
      <family val="2"/>
    </font>
    <font>
      <b/>
      <sz val="8"/>
      <name val="Arial"/>
      <family val="2"/>
    </font>
    <font>
      <b/>
      <sz val="8"/>
      <color rgb="FFFF0000"/>
      <name val="Arial"/>
      <family val="2"/>
    </font>
    <font>
      <sz val="10"/>
      <color indexed="8"/>
      <name val="Arial"/>
      <family val="2"/>
    </font>
    <font>
      <u/>
      <sz val="8"/>
      <color indexed="12"/>
      <name val="Arial"/>
      <family val="2"/>
    </font>
    <font>
      <sz val="12"/>
      <name val="Arial"/>
      <family val="2"/>
    </font>
    <font>
      <b/>
      <sz val="8"/>
      <color theme="0" tint="-0.249977111117893"/>
      <name val="Arial"/>
      <family val="2"/>
    </font>
    <font>
      <sz val="11"/>
      <color theme="1"/>
      <name val="Arial"/>
      <family val="2"/>
    </font>
    <font>
      <vertAlign val="subscript"/>
      <sz val="8"/>
      <color theme="1"/>
      <name val="Arial"/>
      <family val="2"/>
    </font>
    <font>
      <sz val="8"/>
      <color indexed="81"/>
      <name val="Arial"/>
      <family val="2"/>
    </font>
    <font>
      <sz val="8"/>
      <color theme="0"/>
      <name val="Arial"/>
      <family val="2"/>
    </font>
    <font>
      <b/>
      <sz val="10"/>
      <color theme="1"/>
      <name val="Arial"/>
      <family val="2"/>
    </font>
    <font>
      <u/>
      <sz val="11"/>
      <color theme="10"/>
      <name val="Calibri"/>
      <family val="2"/>
      <scheme val="minor"/>
    </font>
    <font>
      <i/>
      <u/>
      <sz val="10"/>
      <color theme="10"/>
      <name val="Arial"/>
      <family val="2"/>
    </font>
    <font>
      <i/>
      <sz val="10"/>
      <name val="Arial"/>
      <family val="2"/>
    </font>
    <font>
      <sz val="8"/>
      <color theme="10"/>
      <name val="Arial"/>
      <family val="2"/>
    </font>
    <font>
      <b/>
      <sz val="11"/>
      <color theme="1"/>
      <name val="Arial"/>
      <family val="2"/>
    </font>
    <font>
      <sz val="8"/>
      <color theme="1"/>
      <name val="Calibri"/>
      <family val="2"/>
      <scheme val="minor"/>
    </font>
    <font>
      <sz val="11"/>
      <color indexed="8"/>
      <name val="Arial"/>
      <family val="2"/>
    </font>
    <font>
      <b/>
      <sz val="10"/>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3"/>
      <color indexed="9"/>
      <name val="Arial"/>
      <family val="2"/>
    </font>
    <font>
      <sz val="10"/>
      <color indexed="55"/>
      <name val="Arial"/>
      <family val="2"/>
    </font>
    <font>
      <b/>
      <sz val="13"/>
      <color theme="4" tint="-0.24994659260841701"/>
      <name val="Arial"/>
      <family val="2"/>
    </font>
    <font>
      <b/>
      <sz val="12"/>
      <color indexed="8"/>
      <name val="Arial"/>
      <family val="2"/>
    </font>
    <font>
      <u/>
      <sz val="11"/>
      <name val="Arial"/>
      <family val="2"/>
    </font>
    <font>
      <i/>
      <sz val="11"/>
      <name val="Arial"/>
      <family val="2"/>
    </font>
    <font>
      <i/>
      <sz val="10"/>
      <color theme="1" tint="0.24994659260841701"/>
      <name val="Arial"/>
      <family val="2"/>
    </font>
    <font>
      <sz val="10"/>
      <color indexed="16"/>
      <name val="Arial"/>
      <family val="2"/>
    </font>
    <font>
      <b/>
      <sz val="16"/>
      <color indexed="9"/>
      <name val="Arial"/>
      <family val="2"/>
    </font>
    <font>
      <b/>
      <sz val="12"/>
      <color indexed="9"/>
      <name val="Arial"/>
      <family val="2"/>
    </font>
    <font>
      <sz val="11"/>
      <color indexed="9"/>
      <name val="Arial"/>
      <family val="2"/>
    </font>
    <font>
      <b/>
      <sz val="11"/>
      <color indexed="9"/>
      <name val="Arial"/>
      <family val="2"/>
    </font>
    <font>
      <sz val="10"/>
      <color theme="5" tint="-0.499984740745262"/>
      <name val="Arial"/>
      <family val="2"/>
    </font>
    <font>
      <b/>
      <sz val="12"/>
      <color theme="0"/>
      <name val="Arial"/>
      <family val="2"/>
    </font>
    <font>
      <sz val="10"/>
      <color theme="1"/>
      <name val="Verdana"/>
      <family val="2"/>
    </font>
    <font>
      <sz val="11"/>
      <color rgb="FF000000"/>
      <name val="Calibri"/>
      <family val="2"/>
    </font>
    <font>
      <sz val="11"/>
      <color rgb="FF000000"/>
      <name val="Calibri"/>
      <family val="2"/>
    </font>
    <font>
      <u/>
      <sz val="11"/>
      <color theme="10"/>
      <name val="Calibri"/>
      <family val="2"/>
    </font>
    <font>
      <sz val="8"/>
      <color rgb="FF000000"/>
      <name val="Arial"/>
      <family val="2"/>
    </font>
    <font>
      <b/>
      <sz val="8"/>
      <color rgb="FF000000"/>
      <name val="Arial"/>
      <family val="2"/>
    </font>
    <font>
      <u/>
      <sz val="8"/>
      <color theme="10"/>
      <name val="Calibri"/>
      <family val="2"/>
      <scheme val="minor"/>
    </font>
    <font>
      <sz val="9"/>
      <color indexed="81"/>
      <name val="Tahoma"/>
      <family val="2"/>
    </font>
  </fonts>
  <fills count="53">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6795556505021"/>
        <bgColor indexed="64"/>
      </patternFill>
    </fill>
    <fill>
      <patternFill patternType="solid">
        <fgColor indexed="8"/>
        <bgColor indexed="64"/>
      </patternFill>
    </fill>
    <fill>
      <patternFill patternType="solid">
        <fgColor indexed="26"/>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mediumGray">
        <fgColor indexed="22"/>
      </patternFill>
    </fill>
    <fill>
      <patternFill patternType="solid">
        <fgColor theme="1" tint="0.499984740745262"/>
        <bgColor indexed="64"/>
      </patternFill>
    </fill>
    <fill>
      <patternFill patternType="solid">
        <fgColor theme="6" tint="0.39994506668294322"/>
        <bgColor indexed="64"/>
      </patternFill>
    </fill>
    <fill>
      <patternFill patternType="lightUp">
        <fgColor indexed="23"/>
        <bgColor auto="1"/>
      </patternFill>
    </fill>
    <fill>
      <patternFill patternType="solid">
        <fgColor theme="4" tint="-0.24994659260841701"/>
        <bgColor indexed="64"/>
      </patternFill>
    </fill>
    <fill>
      <patternFill patternType="solid">
        <fgColor theme="4" tint="-0.499984740745262"/>
        <bgColor indexed="64"/>
      </patternFill>
    </fill>
    <fill>
      <patternFill patternType="solid">
        <fgColor theme="6" tint="-0.499984740745262"/>
        <bgColor indexed="64"/>
      </patternFill>
    </fill>
    <fill>
      <patternFill patternType="gray0625">
        <fgColor indexed="22"/>
      </patternFill>
    </fill>
    <fill>
      <patternFill patternType="solid">
        <fgColor theme="9" tint="0.79998168889431442"/>
        <bgColor indexed="64"/>
      </patternFill>
    </fill>
    <fill>
      <patternFill patternType="solid">
        <fgColor theme="1"/>
        <bgColor indexed="64"/>
      </patternFill>
    </fill>
    <fill>
      <patternFill patternType="solid">
        <fgColor rgb="FFFFFFFF"/>
        <bgColor rgb="FF000000"/>
      </patternFill>
    </fill>
    <fill>
      <patternFill patternType="solid">
        <fgColor rgb="FFCCFFCC"/>
        <bgColor rgb="FF000000"/>
      </patternFill>
    </fill>
    <fill>
      <patternFill patternType="solid">
        <fgColor rgb="FFCCFFFF"/>
        <bgColor rgb="FF000000"/>
      </patternFill>
    </fill>
    <fill>
      <patternFill patternType="solid">
        <fgColor rgb="FFDAEEF3"/>
        <bgColor indexed="64"/>
      </patternFill>
    </fill>
  </fills>
  <borders count="31">
    <border>
      <left/>
      <right/>
      <top/>
      <bottom/>
      <diagonal/>
    </border>
    <border>
      <left/>
      <right/>
      <top/>
      <bottom style="thin">
        <color indexed="64"/>
      </bottom>
      <diagonal/>
    </border>
    <border>
      <left style="medium">
        <color indexed="18"/>
      </left>
      <right style="medium">
        <color indexed="18"/>
      </right>
      <top style="medium">
        <color indexed="18"/>
      </top>
      <bottom style="medium">
        <color indexed="18"/>
      </bottom>
      <diagonal/>
    </border>
    <border>
      <left/>
      <right/>
      <top style="thin">
        <color indexed="64"/>
      </top>
      <bottom style="thin">
        <color indexed="64"/>
      </bottom>
      <diagonal/>
    </border>
    <border>
      <left/>
      <right/>
      <top/>
      <bottom style="medium">
        <color indexed="9"/>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thin">
        <color indexed="64"/>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hair">
        <color auto="1"/>
      </bottom>
      <diagonal/>
    </border>
    <border>
      <left/>
      <right style="thin">
        <color indexed="64"/>
      </right>
      <top/>
      <bottom/>
      <diagonal/>
    </border>
    <border>
      <left style="hair">
        <color auto="1"/>
      </left>
      <right style="thin">
        <color indexed="64"/>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indexed="64"/>
      </bottom>
      <diagonal/>
    </border>
    <border>
      <left/>
      <right/>
      <top style="thin">
        <color indexed="49"/>
      </top>
      <bottom style="double">
        <color indexed="49"/>
      </bottom>
      <diagonal/>
    </border>
    <border>
      <left style="thin">
        <color indexed="55"/>
      </left>
      <right style="thin">
        <color indexed="55"/>
      </right>
      <top style="thin">
        <color indexed="55"/>
      </top>
      <bottom style="thin">
        <color indexed="55"/>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medium">
        <color indexed="64"/>
      </top>
      <bottom style="medium">
        <color indexed="64"/>
      </bottom>
      <diagonal/>
    </border>
    <border>
      <left style="hair">
        <color auto="1"/>
      </left>
      <right style="hair">
        <color auto="1"/>
      </right>
      <top style="hair">
        <color auto="1"/>
      </top>
      <bottom/>
      <diagonal/>
    </border>
  </borders>
  <cellStyleXfs count="328">
    <xf numFmtId="0" fontId="0" fillId="0" borderId="0"/>
    <xf numFmtId="0" fontId="3" fillId="0" borderId="0"/>
    <xf numFmtId="0" fontId="2" fillId="0" borderId="0"/>
    <xf numFmtId="9"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171" fontId="5" fillId="0" borderId="2">
      <alignment horizontal="right" vertical="center"/>
      <protection locked="0"/>
    </xf>
    <xf numFmtId="0" fontId="2" fillId="0" borderId="0"/>
    <xf numFmtId="0" fontId="6" fillId="0" borderId="0"/>
    <xf numFmtId="167" fontId="4" fillId="0" borderId="0" applyFont="0" applyFill="0" applyBorder="0" applyAlignment="0" applyProtection="0"/>
    <xf numFmtId="9" fontId="2" fillId="0" borderId="0" applyFont="0" applyFill="0" applyBorder="0" applyAlignment="0" applyProtection="0"/>
    <xf numFmtId="0" fontId="2"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7" fillId="0" borderId="0"/>
    <xf numFmtId="9" fontId="7" fillId="0" borderId="0" applyFont="0" applyFill="0" applyBorder="0" applyAlignment="0" applyProtection="0"/>
    <xf numFmtId="0" fontId="8" fillId="0" borderId="0"/>
    <xf numFmtId="0" fontId="12" fillId="0" borderId="0" applyNumberFormat="0" applyFill="0" applyBorder="0" applyAlignment="0" applyProtection="0"/>
    <xf numFmtId="9" fontId="8" fillId="0" borderId="0" applyFont="0" applyFill="0" applyBorder="0" applyAlignment="0" applyProtection="0"/>
    <xf numFmtId="0" fontId="26" fillId="0" borderId="0" applyNumberFormat="0" applyFill="0" applyBorder="0" applyAlignment="0" applyProtection="0"/>
    <xf numFmtId="167" fontId="2" fillId="0" borderId="0" applyFont="0" applyFill="0" applyBorder="0" applyAlignment="0" applyProtection="0"/>
    <xf numFmtId="183" fontId="10" fillId="10" borderId="0" applyProtection="0"/>
    <xf numFmtId="9" fontId="32" fillId="0" borderId="0" applyFont="0" applyFill="0" applyBorder="0" applyAlignment="0" applyProtection="0"/>
    <xf numFmtId="167" fontId="8" fillId="0" borderId="0" applyFont="0" applyFill="0" applyBorder="0" applyAlignment="0" applyProtection="0"/>
    <xf numFmtId="0" fontId="3" fillId="0" borderId="0"/>
    <xf numFmtId="167"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4" fontId="5" fillId="0" borderId="0"/>
    <xf numFmtId="184" fontId="5" fillId="0" borderId="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34" fillId="23" borderId="0" applyNumberFormat="0" applyBorder="0" applyAlignment="0" applyProtection="0"/>
    <xf numFmtId="0" fontId="34" fillId="27"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34" fillId="23" borderId="0" applyNumberFormat="0" applyBorder="0" applyAlignment="0" applyProtection="0"/>
    <xf numFmtId="0" fontId="34" fillId="28" borderId="0" applyNumberFormat="0" applyBorder="0" applyAlignment="0" applyProtection="0"/>
    <xf numFmtId="0" fontId="4" fillId="29" borderId="0" applyNumberFormat="0" applyBorder="0" applyAlignment="0" applyProtection="0"/>
    <xf numFmtId="0" fontId="4"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4" fillId="22" borderId="0" applyNumberFormat="0" applyBorder="0" applyAlignment="0" applyProtection="0"/>
    <xf numFmtId="0" fontId="4" fillId="30"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5" fillId="0" borderId="0"/>
    <xf numFmtId="164" fontId="36" fillId="0" borderId="0" applyFont="0" applyFill="0" applyBorder="0" applyAlignment="0" applyProtection="0"/>
    <xf numFmtId="0" fontId="37" fillId="32" borderId="0" applyNumberFormat="0" applyBorder="0" applyAlignment="0" applyProtection="0"/>
    <xf numFmtId="0" fontId="38" fillId="0" borderId="0" applyNumberFormat="0" applyFill="0" applyBorder="0" applyAlignment="0"/>
    <xf numFmtId="165" fontId="3" fillId="8" borderId="0" applyNumberFormat="0" applyFont="0" applyBorder="0" applyAlignment="0">
      <alignment horizontal="right"/>
    </xf>
    <xf numFmtId="165" fontId="3" fillId="8" borderId="0" applyNumberFormat="0" applyFont="0" applyBorder="0" applyAlignment="0">
      <alignment horizontal="right"/>
    </xf>
    <xf numFmtId="0" fontId="39" fillId="0" borderId="0" applyNumberFormat="0" applyFill="0" applyBorder="0" applyAlignment="0">
      <protection locked="0"/>
    </xf>
    <xf numFmtId="0" fontId="40" fillId="16" borderId="15" applyNumberFormat="0" applyAlignment="0" applyProtection="0"/>
    <xf numFmtId="0" fontId="41" fillId="33" borderId="16" applyNumberFormat="0" applyAlignment="0" applyProtection="0"/>
    <xf numFmtId="165" fontId="3" fillId="0" borderId="0" applyFont="0" applyFill="0" applyBorder="0" applyAlignment="0" applyProtection="0"/>
    <xf numFmtId="0" fontId="4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7" fontId="4"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7" fontId="4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3" fontId="4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186" fontId="4" fillId="0" borderId="0" applyFont="0" applyFill="0" applyBorder="0" applyAlignment="0" applyProtection="0"/>
    <xf numFmtId="0" fontId="46" fillId="0" borderId="0" applyNumberForma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0" fontId="47" fillId="0" borderId="0"/>
    <xf numFmtId="0" fontId="48" fillId="0" borderId="0"/>
    <xf numFmtId="0" fontId="49" fillId="37" borderId="0" applyNumberFormat="0" applyBorder="0" applyAlignment="0" applyProtection="0"/>
    <xf numFmtId="0" fontId="33" fillId="0" borderId="0" applyFill="0" applyBorder="0">
      <alignment vertical="center"/>
    </xf>
    <xf numFmtId="0" fontId="50" fillId="0" borderId="17" applyNumberFormat="0" applyFill="0" applyAlignment="0" applyProtection="0"/>
    <xf numFmtId="0" fontId="33" fillId="0" borderId="0" applyFill="0" applyBorder="0">
      <alignment vertical="center"/>
    </xf>
    <xf numFmtId="0" fontId="51" fillId="0" borderId="0" applyFill="0" applyBorder="0">
      <alignment vertical="center"/>
    </xf>
    <xf numFmtId="0" fontId="52" fillId="0" borderId="18" applyNumberFormat="0" applyFill="0" applyAlignment="0" applyProtection="0"/>
    <xf numFmtId="0" fontId="51" fillId="0" borderId="0" applyFill="0" applyBorder="0">
      <alignment vertical="center"/>
    </xf>
    <xf numFmtId="0" fontId="15" fillId="0" borderId="0" applyFill="0" applyBorder="0">
      <alignment vertical="center"/>
    </xf>
    <xf numFmtId="0" fontId="53" fillId="0" borderId="19" applyNumberFormat="0" applyFill="0" applyAlignment="0" applyProtection="0"/>
    <xf numFmtId="0" fontId="15" fillId="0" borderId="0" applyFill="0" applyBorder="0">
      <alignment vertical="center"/>
    </xf>
    <xf numFmtId="0" fontId="5" fillId="0" borderId="0" applyFill="0" applyBorder="0">
      <alignment vertical="center"/>
    </xf>
    <xf numFmtId="0" fontId="53" fillId="0" borderId="0" applyNumberFormat="0" applyFill="0" applyBorder="0" applyAlignment="0" applyProtection="0"/>
    <xf numFmtId="0" fontId="5" fillId="0" borderId="0" applyFill="0" applyBorder="0">
      <alignment vertical="center"/>
    </xf>
    <xf numFmtId="169" fontId="54" fillId="0" borderId="0"/>
    <xf numFmtId="0" fontId="55" fillId="0" borderId="0" applyNumberFormat="0" applyFill="0" applyBorder="0" applyAlignment="0" applyProtection="0">
      <alignment vertical="top"/>
      <protection locked="0"/>
    </xf>
    <xf numFmtId="0" fontId="56" fillId="0" borderId="0" applyFill="0" applyBorder="0">
      <alignment horizontal="center" vertical="center"/>
      <protection locked="0"/>
    </xf>
    <xf numFmtId="0" fontId="57" fillId="0" borderId="0" applyFill="0" applyBorder="0">
      <alignment horizontal="left" vertical="center"/>
      <protection locked="0"/>
    </xf>
    <xf numFmtId="0" fontId="58" fillId="14" borderId="15" applyNumberFormat="0" applyAlignment="0" applyProtection="0"/>
    <xf numFmtId="165" fontId="3" fillId="38" borderId="0" applyFont="0" applyBorder="0" applyAlignment="0">
      <alignment horizontal="right"/>
      <protection locked="0"/>
    </xf>
    <xf numFmtId="165" fontId="3" fillId="38" borderId="0" applyFont="0" applyBorder="0" applyAlignment="0">
      <alignment horizontal="right"/>
      <protection locked="0"/>
    </xf>
    <xf numFmtId="188" fontId="3" fillId="9" borderId="0" applyFont="0" applyBorder="0">
      <alignment horizontal="right"/>
      <protection locked="0"/>
    </xf>
    <xf numFmtId="188" fontId="3" fillId="9" borderId="0" applyFont="0" applyBorder="0">
      <alignment horizontal="right"/>
      <protection locked="0"/>
    </xf>
    <xf numFmtId="165" fontId="3" fillId="12" borderId="0" applyFont="0" applyBorder="0">
      <alignment horizontal="right"/>
      <protection locked="0"/>
    </xf>
    <xf numFmtId="165" fontId="3" fillId="12" borderId="0" applyFont="0" applyBorder="0">
      <alignment horizontal="right"/>
      <protection locked="0"/>
    </xf>
    <xf numFmtId="0" fontId="5" fillId="8" borderId="0"/>
    <xf numFmtId="0" fontId="59" fillId="0" borderId="20" applyNumberFormat="0" applyFill="0" applyAlignment="0" applyProtection="0"/>
    <xf numFmtId="189" fontId="60" fillId="0" borderId="0"/>
    <xf numFmtId="0" fontId="61" fillId="0" borderId="0" applyFill="0" applyBorder="0">
      <alignment horizontal="left" vertical="center"/>
    </xf>
    <xf numFmtId="0" fontId="62" fillId="17" borderId="0" applyNumberFormat="0" applyBorder="0" applyAlignment="0" applyProtection="0"/>
    <xf numFmtId="190" fontId="6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7"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4" fillId="0" borderId="0"/>
    <xf numFmtId="0" fontId="3" fillId="0" borderId="0"/>
    <xf numFmtId="0" fontId="36" fillId="0" borderId="0"/>
    <xf numFmtId="0" fontId="3" fillId="7" borderId="0"/>
    <xf numFmtId="0" fontId="2" fillId="0" borderId="0"/>
    <xf numFmtId="0" fontId="3" fillId="0" borderId="0"/>
    <xf numFmtId="0" fontId="3" fillId="0" borderId="0"/>
    <xf numFmtId="0" fontId="3" fillId="15" borderId="21" applyNumberFormat="0" applyFont="0" applyAlignment="0" applyProtection="0"/>
    <xf numFmtId="0" fontId="64" fillId="16" borderId="22" applyNumberFormat="0" applyAlignment="0" applyProtection="0"/>
    <xf numFmtId="191" fontId="3" fillId="0" borderId="0" applyFill="0" applyBorder="0"/>
    <xf numFmtId="191" fontId="3" fillId="0" borderId="0" applyFill="0" applyBorder="0"/>
    <xf numFmtId="191" fontId="3" fillId="0" borderId="0" applyFill="0" applyBorder="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65" fillId="0" borderId="0"/>
    <xf numFmtId="0" fontId="15" fillId="0" borderId="0" applyFill="0" applyBorder="0">
      <alignment vertical="center"/>
    </xf>
    <xf numFmtId="0" fontId="42" fillId="0" borderId="0" applyNumberFormat="0" applyFont="0" applyFill="0" applyBorder="0" applyAlignment="0" applyProtection="0">
      <alignment horizontal="left"/>
    </xf>
    <xf numFmtId="15" fontId="42" fillId="0" borderId="0" applyFont="0" applyFill="0" applyBorder="0" applyAlignment="0" applyProtection="0"/>
    <xf numFmtId="4" fontId="42" fillId="0" borderId="0" applyFont="0" applyFill="0" applyBorder="0" applyAlignment="0" applyProtection="0"/>
    <xf numFmtId="192" fontId="66" fillId="0" borderId="23"/>
    <xf numFmtId="0" fontId="67" fillId="0" borderId="24">
      <alignment horizontal="center"/>
    </xf>
    <xf numFmtId="3" fontId="42" fillId="0" borderId="0" applyFont="0" applyFill="0" applyBorder="0" applyAlignment="0" applyProtection="0"/>
    <xf numFmtId="0" fontId="42" fillId="39" borderId="0" applyNumberFormat="0" applyFont="0" applyBorder="0" applyAlignment="0" applyProtection="0"/>
    <xf numFmtId="193" fontId="3" fillId="0" borderId="0"/>
    <xf numFmtId="193" fontId="3" fillId="0" borderId="0"/>
    <xf numFmtId="193" fontId="3" fillId="0" borderId="0"/>
    <xf numFmtId="194" fontId="5" fillId="0" borderId="0" applyFill="0" applyBorder="0">
      <alignment horizontal="right" vertical="center"/>
    </xf>
    <xf numFmtId="195" fontId="5" fillId="0" borderId="0" applyFill="0" applyBorder="0">
      <alignment horizontal="right" vertical="center"/>
    </xf>
    <xf numFmtId="196" fontId="5" fillId="0" borderId="0" applyFill="0" applyBorder="0">
      <alignment horizontal="right" vertical="center"/>
    </xf>
    <xf numFmtId="0" fontId="3" fillId="15" borderId="0" applyNumberFormat="0" applyFont="0" applyBorder="0" applyAlignment="0" applyProtection="0"/>
    <xf numFmtId="0" fontId="3" fillId="15" borderId="0" applyNumberFormat="0" applyFont="0" applyBorder="0" applyAlignment="0" applyProtection="0"/>
    <xf numFmtId="0" fontId="3" fillId="16" borderId="0" applyNumberFormat="0" applyFont="0" applyBorder="0" applyAlignment="0" applyProtection="0"/>
    <xf numFmtId="0" fontId="3" fillId="16" borderId="0" applyNumberFormat="0" applyFont="0" applyBorder="0" applyAlignment="0" applyProtection="0"/>
    <xf numFmtId="0" fontId="3" fillId="18" borderId="0" applyNumberFormat="0" applyFont="0" applyBorder="0" applyAlignment="0" applyProtection="0"/>
    <xf numFmtId="0" fontId="3" fillId="18"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18" borderId="0" applyNumberFormat="0" applyFont="0" applyBorder="0" applyAlignment="0" applyProtection="0"/>
    <xf numFmtId="0" fontId="3" fillId="18"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0" fontId="3" fillId="0" borderId="0" applyNumberFormat="0" applyFont="0" applyBorder="0" applyAlignment="0" applyProtection="0"/>
    <xf numFmtId="0" fontId="68" fillId="0" borderId="0" applyNumberFormat="0" applyFill="0" applyBorder="0" applyAlignment="0" applyProtection="0"/>
    <xf numFmtId="0" fontId="3" fillId="0" borderId="0"/>
    <xf numFmtId="0" fontId="3" fillId="0" borderId="0"/>
    <xf numFmtId="0" fontId="3" fillId="0" borderId="0"/>
    <xf numFmtId="0" fontId="61" fillId="0" borderId="0"/>
    <xf numFmtId="0" fontId="69" fillId="0" borderId="0"/>
    <xf numFmtId="15" fontId="3" fillId="0" borderId="0"/>
    <xf numFmtId="15" fontId="3" fillId="0" borderId="0"/>
    <xf numFmtId="15" fontId="3" fillId="0" borderId="0"/>
    <xf numFmtId="10" fontId="3" fillId="0" borderId="0"/>
    <xf numFmtId="10" fontId="3" fillId="0" borderId="0"/>
    <xf numFmtId="10" fontId="3" fillId="0" borderId="0"/>
    <xf numFmtId="0" fontId="70" fillId="11" borderId="1" applyBorder="0" applyProtection="0">
      <alignment horizontal="centerContinuous" vertical="center"/>
    </xf>
    <xf numFmtId="0" fontId="71" fillId="0" borderId="0" applyBorder="0" applyProtection="0">
      <alignment vertical="center"/>
    </xf>
    <xf numFmtId="0" fontId="72" fillId="0" borderId="0">
      <alignment horizontal="left"/>
    </xf>
    <xf numFmtId="0" fontId="72" fillId="0" borderId="14" applyFill="0" applyBorder="0" applyProtection="0">
      <alignment horizontal="left" vertical="top"/>
    </xf>
    <xf numFmtId="49" fontId="3" fillId="0" borderId="0" applyFont="0" applyFill="0" applyBorder="0" applyAlignment="0" applyProtection="0"/>
    <xf numFmtId="0" fontId="73" fillId="0" borderId="0"/>
    <xf numFmtId="49" fontId="3" fillId="0" borderId="0" applyFont="0" applyFill="0" applyBorder="0" applyAlignment="0" applyProtection="0"/>
    <xf numFmtId="0" fontId="74" fillId="0" borderId="0"/>
    <xf numFmtId="0" fontId="74" fillId="0" borderId="0"/>
    <xf numFmtId="0" fontId="73" fillId="0" borderId="0"/>
    <xf numFmtId="189" fontId="75" fillId="0" borderId="0"/>
    <xf numFmtId="0" fontId="68" fillId="0" borderId="0" applyNumberFormat="0" applyFill="0" applyBorder="0" applyAlignment="0" applyProtection="0"/>
    <xf numFmtId="0" fontId="76" fillId="0" borderId="0" applyFill="0" applyBorder="0">
      <alignment horizontal="left" vertical="center"/>
      <protection locked="0"/>
    </xf>
    <xf numFmtId="0" fontId="73" fillId="0" borderId="0"/>
    <xf numFmtId="0" fontId="77" fillId="0" borderId="0" applyFill="0" applyBorder="0">
      <alignment horizontal="left" vertical="center"/>
      <protection locked="0"/>
    </xf>
    <xf numFmtId="0" fontId="45" fillId="0" borderId="25" applyNumberFormat="0" applyFill="0" applyAlignment="0" applyProtection="0"/>
    <xf numFmtId="0" fontId="78" fillId="0" borderId="0" applyNumberFormat="0" applyFill="0" applyBorder="0" applyAlignment="0" applyProtection="0"/>
    <xf numFmtId="197" fontId="3" fillId="0" borderId="1" applyBorder="0" applyProtection="0">
      <alignment horizontal="right"/>
    </xf>
    <xf numFmtId="197" fontId="3" fillId="0" borderId="1" applyBorder="0" applyProtection="0">
      <alignment horizontal="right"/>
    </xf>
    <xf numFmtId="197" fontId="3" fillId="0" borderId="1" applyBorder="0" applyProtection="0">
      <alignment horizontal="right"/>
    </xf>
    <xf numFmtId="0" fontId="2" fillId="0" borderId="0"/>
    <xf numFmtId="9" fontId="2" fillId="0" borderId="0" applyFont="0" applyFill="0" applyBorder="0" applyAlignment="0" applyProtection="0"/>
    <xf numFmtId="166" fontId="2" fillId="0" borderId="0" applyFont="0" applyFill="0" applyBorder="0" applyAlignment="0" applyProtection="0"/>
    <xf numFmtId="0" fontId="79" fillId="40" borderId="0"/>
    <xf numFmtId="198" fontId="80" fillId="0" borderId="26">
      <alignment horizontal="center"/>
    </xf>
    <xf numFmtId="0" fontId="25" fillId="41" borderId="13">
      <alignment horizontal="center" vertical="center"/>
    </xf>
    <xf numFmtId="0" fontId="3" fillId="42" borderId="15"/>
    <xf numFmtId="0" fontId="81" fillId="0" borderId="0" applyFill="0" applyBorder="0"/>
    <xf numFmtId="0" fontId="82" fillId="0" borderId="0" applyNumberFormat="0" applyFill="0"/>
    <xf numFmtId="0" fontId="83" fillId="0" borderId="0" applyFill="0"/>
    <xf numFmtId="0" fontId="84" fillId="0" borderId="0" applyFill="0"/>
    <xf numFmtId="0" fontId="85" fillId="0" borderId="0" applyFill="0"/>
    <xf numFmtId="0" fontId="79" fillId="43" borderId="0"/>
    <xf numFmtId="0" fontId="3" fillId="2" borderId="27" applyNumberFormat="0" applyFont="0" applyAlignment="0"/>
    <xf numFmtId="0" fontId="86" fillId="10" borderId="28" applyNumberFormat="0"/>
    <xf numFmtId="0" fontId="87" fillId="44" borderId="0"/>
    <xf numFmtId="0" fontId="88" fillId="44" borderId="0" applyNumberFormat="0"/>
    <xf numFmtId="0" fontId="89" fillId="44" borderId="0"/>
    <xf numFmtId="0" fontId="90" fillId="45" borderId="13" applyNumberFormat="0">
      <alignment horizontal="center" vertical="center"/>
    </xf>
    <xf numFmtId="0" fontId="1" fillId="46" borderId="15" applyNumberFormat="0" applyAlignment="0">
      <alignment horizontal="right"/>
    </xf>
    <xf numFmtId="0" fontId="33" fillId="2" borderId="27" applyNumberFormat="0" applyAlignment="0"/>
    <xf numFmtId="0" fontId="80" fillId="0" borderId="0" applyNumberFormat="0" applyFill="0" applyBorder="0"/>
    <xf numFmtId="0" fontId="91" fillId="47" borderId="27" applyNumberFormat="0">
      <protection locked="0"/>
    </xf>
    <xf numFmtId="0" fontId="2" fillId="0" borderId="0"/>
    <xf numFmtId="0" fontId="92" fillId="48" borderId="29">
      <alignment vertical="center"/>
    </xf>
    <xf numFmtId="167" fontId="8" fillId="0" borderId="0" applyFont="0" applyFill="0" applyBorder="0" applyAlignment="0" applyProtection="0"/>
    <xf numFmtId="167" fontId="3" fillId="0" borderId="0" applyFont="0" applyFill="0" applyBorder="0" applyAlignment="0" applyProtection="0"/>
    <xf numFmtId="165" fontId="3" fillId="8" borderId="0" applyNumberFormat="0" applyFont="0" applyBorder="0" applyAlignment="0">
      <alignment horizontal="right"/>
    </xf>
    <xf numFmtId="165" fontId="3" fillId="8" borderId="0" applyNumberFormat="0" applyFont="0" applyBorder="0" applyAlignment="0">
      <alignment horizontal="right"/>
    </xf>
    <xf numFmtId="167" fontId="4"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38" borderId="0" applyFont="0" applyBorder="0" applyAlignment="0">
      <alignment horizontal="right"/>
      <protection locked="0"/>
    </xf>
    <xf numFmtId="165" fontId="3" fillId="38" borderId="0" applyFont="0" applyBorder="0" applyAlignment="0">
      <alignment horizontal="right"/>
      <protection locked="0"/>
    </xf>
    <xf numFmtId="165" fontId="3" fillId="12" borderId="0" applyFont="0" applyBorder="0">
      <alignment horizontal="right"/>
      <protection locked="0"/>
    </xf>
    <xf numFmtId="165" fontId="3" fillId="12" borderId="0" applyFont="0" applyBorder="0">
      <alignment horizontal="right"/>
      <protection locked="0"/>
    </xf>
    <xf numFmtId="0" fontId="2" fillId="0" borderId="0"/>
    <xf numFmtId="0" fontId="2" fillId="0" borderId="0"/>
    <xf numFmtId="0" fontId="2" fillId="0" borderId="0"/>
    <xf numFmtId="9" fontId="2" fillId="0" borderId="0" applyFont="0" applyFill="0" applyBorder="0" applyAlignment="0" applyProtection="0"/>
    <xf numFmtId="166" fontId="2" fillId="0" borderId="0" applyFont="0" applyFill="0" applyBorder="0" applyAlignment="0" applyProtection="0"/>
    <xf numFmtId="0" fontId="93" fillId="0" borderId="0"/>
    <xf numFmtId="9" fontId="93" fillId="0" borderId="0" applyFont="0" applyFill="0" applyBorder="0" applyAlignment="0" applyProtection="0"/>
    <xf numFmtId="166" fontId="93" fillId="0" borderId="0" applyFont="0" applyFill="0" applyBorder="0" applyAlignment="0" applyProtection="0"/>
    <xf numFmtId="0" fontId="2" fillId="0" borderId="0"/>
    <xf numFmtId="167" fontId="93" fillId="0" borderId="0" applyFont="0" applyFill="0" applyBorder="0" applyAlignment="0" applyProtection="0"/>
    <xf numFmtId="0" fontId="93" fillId="0" borderId="0"/>
    <xf numFmtId="199" fontId="3" fillId="0" borderId="0" applyFill="0" applyBorder="0">
      <alignment vertical="center"/>
    </xf>
    <xf numFmtId="0" fontId="2" fillId="0" borderId="0"/>
    <xf numFmtId="0" fontId="94" fillId="0" borderId="0"/>
    <xf numFmtId="0" fontId="95" fillId="0" borderId="0"/>
    <xf numFmtId="0" fontId="94" fillId="0" borderId="0"/>
    <xf numFmtId="0" fontId="96" fillId="0" borderId="0" applyNumberFormat="0" applyFill="0" applyBorder="0" applyAlignment="0" applyProtection="0"/>
    <xf numFmtId="0" fontId="94" fillId="0" borderId="0"/>
  </cellStyleXfs>
  <cellXfs count="259">
    <xf numFmtId="0" fontId="0" fillId="0" borderId="0" xfId="0"/>
    <xf numFmtId="49" fontId="9" fillId="2" borderId="0" xfId="0" applyNumberFormat="1" applyFont="1" applyFill="1" applyAlignment="1">
      <alignment horizontal="left" vertical="center"/>
    </xf>
    <xf numFmtId="49" fontId="11" fillId="3" borderId="3" xfId="0" applyNumberFormat="1" applyFont="1" applyFill="1" applyBorder="1" applyAlignment="1">
      <alignment vertical="center"/>
    </xf>
    <xf numFmtId="49" fontId="15" fillId="3" borderId="3" xfId="0" applyNumberFormat="1" applyFont="1" applyFill="1" applyBorder="1" applyAlignment="1">
      <alignment vertical="center"/>
    </xf>
    <xf numFmtId="49" fontId="8" fillId="3" borderId="3" xfId="0" applyNumberFormat="1" applyFont="1" applyFill="1" applyBorder="1" applyAlignment="1">
      <alignment vertical="center"/>
    </xf>
    <xf numFmtId="49" fontId="8" fillId="3" borderId="3" xfId="0" applyNumberFormat="1" applyFont="1" applyFill="1" applyBorder="1" applyAlignment="1">
      <alignment vertical="center" wrapText="1"/>
    </xf>
    <xf numFmtId="49" fontId="15" fillId="3" borderId="3" xfId="0" applyNumberFormat="1" applyFont="1" applyFill="1" applyBorder="1" applyAlignment="1">
      <alignment horizontal="center" vertical="center" wrapText="1"/>
    </xf>
    <xf numFmtId="0" fontId="19" fillId="2" borderId="0" xfId="1" applyFont="1" applyFill="1" applyAlignment="1">
      <alignment vertical="center"/>
    </xf>
    <xf numFmtId="49" fontId="13" fillId="2" borderId="4" xfId="0" applyNumberFormat="1" applyFont="1" applyFill="1" applyBorder="1" applyAlignment="1">
      <alignment horizontal="left" vertical="center"/>
    </xf>
    <xf numFmtId="0" fontId="3" fillId="2" borderId="0" xfId="1" applyFill="1" applyAlignment="1">
      <alignment vertical="center"/>
    </xf>
    <xf numFmtId="0" fontId="5" fillId="2" borderId="0" xfId="1" applyFont="1" applyFill="1" applyAlignment="1">
      <alignment vertical="center"/>
    </xf>
    <xf numFmtId="0" fontId="15" fillId="2" borderId="0" xfId="1" applyFont="1" applyFill="1" applyAlignment="1">
      <alignment vertical="center"/>
    </xf>
    <xf numFmtId="0" fontId="16" fillId="2" borderId="0" xfId="1" applyFont="1" applyFill="1" applyAlignment="1">
      <alignment vertical="center"/>
    </xf>
    <xf numFmtId="176" fontId="16" fillId="2" borderId="0" xfId="17" applyNumberFormat="1" applyFont="1" applyFill="1" applyAlignment="1">
      <alignment horizontal="left" vertical="center"/>
    </xf>
    <xf numFmtId="0" fontId="20" fillId="2" borderId="0" xfId="1" applyFont="1" applyFill="1" applyAlignment="1">
      <alignment vertical="center"/>
    </xf>
    <xf numFmtId="49" fontId="1" fillId="2" borderId="0" xfId="0" applyNumberFormat="1" applyFont="1" applyFill="1" applyAlignment="1">
      <alignment vertical="center"/>
    </xf>
    <xf numFmtId="0" fontId="0" fillId="2" borderId="0" xfId="0" applyFill="1" applyAlignment="1">
      <alignment vertical="center"/>
    </xf>
    <xf numFmtId="49" fontId="17" fillId="2" borderId="0" xfId="0" applyNumberFormat="1" applyFont="1" applyFill="1" applyAlignment="1">
      <alignment vertical="center"/>
    </xf>
    <xf numFmtId="0" fontId="0" fillId="3" borderId="3" xfId="0" applyFill="1" applyBorder="1" applyAlignment="1">
      <alignment vertical="center"/>
    </xf>
    <xf numFmtId="49" fontId="10" fillId="2" borderId="0" xfId="0" applyNumberFormat="1" applyFont="1" applyFill="1" applyAlignment="1">
      <alignment vertical="center"/>
    </xf>
    <xf numFmtId="49" fontId="18" fillId="2" borderId="0" xfId="0" applyNumberFormat="1" applyFont="1" applyFill="1" applyAlignment="1">
      <alignment vertical="center"/>
    </xf>
    <xf numFmtId="0" fontId="21" fillId="2" borderId="0" xfId="0" applyFont="1" applyFill="1" applyAlignment="1">
      <alignment vertical="center"/>
    </xf>
    <xf numFmtId="0" fontId="21" fillId="3" borderId="3" xfId="0" applyFont="1" applyFill="1" applyBorder="1" applyAlignment="1">
      <alignment vertical="center"/>
    </xf>
    <xf numFmtId="0" fontId="8" fillId="2" borderId="0" xfId="0" applyFont="1" applyFill="1" applyAlignment="1">
      <alignment vertical="center"/>
    </xf>
    <xf numFmtId="0" fontId="11" fillId="2" borderId="0" xfId="0" applyFont="1" applyFill="1" applyAlignment="1">
      <alignment vertical="center"/>
    </xf>
    <xf numFmtId="0" fontId="8" fillId="2" borderId="0" xfId="0" applyFont="1" applyFill="1" applyAlignment="1">
      <alignment horizontal="left" vertical="center"/>
    </xf>
    <xf numFmtId="0" fontId="15" fillId="2" borderId="0" xfId="1" applyFont="1" applyFill="1" applyAlignment="1">
      <alignment horizontal="left" vertical="center"/>
    </xf>
    <xf numFmtId="0" fontId="16" fillId="2" borderId="0" xfId="1" applyFont="1" applyFill="1" applyAlignment="1">
      <alignment horizontal="left" vertical="center"/>
    </xf>
    <xf numFmtId="0" fontId="20" fillId="2" borderId="0" xfId="1" applyFont="1" applyFill="1" applyAlignment="1">
      <alignment horizontal="left" vertical="center"/>
    </xf>
    <xf numFmtId="49" fontId="14"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0" fontId="0" fillId="2" borderId="0" xfId="0"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9" fillId="2" borderId="0" xfId="1" applyFont="1" applyFill="1" applyAlignment="1">
      <alignment horizontal="left" vertical="center"/>
    </xf>
    <xf numFmtId="0" fontId="3" fillId="2" borderId="0" xfId="1" applyFill="1" applyAlignment="1">
      <alignment horizontal="left" vertical="center"/>
    </xf>
    <xf numFmtId="49" fontId="8" fillId="3" borderId="3" xfId="0" applyNumberFormat="1" applyFont="1" applyFill="1" applyBorder="1" applyAlignment="1">
      <alignment horizontal="left" vertical="center"/>
    </xf>
    <xf numFmtId="0" fontId="5" fillId="2" borderId="0" xfId="1" applyFont="1" applyFill="1" applyAlignment="1">
      <alignment horizontal="left" vertical="center"/>
    </xf>
    <xf numFmtId="177" fontId="10" fillId="4" borderId="5" xfId="0" applyNumberFormat="1" applyFont="1" applyFill="1" applyBorder="1" applyAlignment="1" applyProtection="1">
      <alignment horizontal="left" vertical="center"/>
      <protection locked="0"/>
    </xf>
    <xf numFmtId="177" fontId="10" fillId="2" borderId="0" xfId="0" applyNumberFormat="1" applyFont="1" applyFill="1" applyAlignment="1" applyProtection="1">
      <alignment horizontal="left" vertical="center"/>
      <protection locked="0"/>
    </xf>
    <xf numFmtId="2" fontId="10" fillId="5" borderId="5" xfId="0" applyNumberFormat="1" applyFont="1" applyFill="1" applyBorder="1" applyAlignment="1" applyProtection="1">
      <alignment horizontal="center" vertical="center"/>
      <protection locked="0"/>
    </xf>
    <xf numFmtId="168" fontId="10" fillId="5" borderId="5" xfId="0" applyNumberFormat="1" applyFont="1" applyFill="1" applyBorder="1" applyAlignment="1" applyProtection="1">
      <alignment horizontal="center" vertical="center"/>
      <protection locked="0"/>
    </xf>
    <xf numFmtId="1" fontId="10" fillId="5" borderId="5" xfId="0" applyNumberFormat="1" applyFont="1" applyFill="1" applyBorder="1" applyAlignment="1" applyProtection="1">
      <alignment horizontal="center" vertical="center"/>
      <protection locked="0"/>
    </xf>
    <xf numFmtId="175" fontId="10" fillId="4" borderId="5" xfId="12" applyNumberFormat="1" applyFont="1" applyFill="1" applyBorder="1" applyAlignment="1" applyProtection="1">
      <alignment horizontal="center" vertical="center"/>
      <protection locked="0"/>
    </xf>
    <xf numFmtId="175" fontId="10" fillId="5" borderId="5" xfId="12" applyNumberFormat="1" applyFont="1" applyFill="1" applyBorder="1" applyAlignment="1" applyProtection="1">
      <alignment horizontal="center" vertical="center"/>
      <protection locked="0"/>
    </xf>
    <xf numFmtId="167" fontId="10" fillId="4" borderId="5" xfId="12" applyFont="1" applyFill="1" applyBorder="1" applyAlignment="1" applyProtection="1">
      <alignment horizontal="left" vertical="center"/>
      <protection locked="0"/>
    </xf>
    <xf numFmtId="2" fontId="10" fillId="5" borderId="5" xfId="0" applyNumberFormat="1" applyFont="1" applyFill="1" applyBorder="1" applyAlignment="1" applyProtection="1">
      <alignment horizontal="left" vertical="center"/>
      <protection locked="0"/>
    </xf>
    <xf numFmtId="10" fontId="10" fillId="5" borderId="5" xfId="10" applyNumberFormat="1" applyFont="1" applyFill="1" applyBorder="1" applyAlignment="1" applyProtection="1">
      <alignment horizontal="right" vertical="center"/>
      <protection locked="0"/>
    </xf>
    <xf numFmtId="9" fontId="10" fillId="5" borderId="5" xfId="10" applyFont="1" applyFill="1" applyBorder="1" applyAlignment="1" applyProtection="1">
      <alignment horizontal="center" vertical="center"/>
      <protection locked="0"/>
    </xf>
    <xf numFmtId="169" fontId="10" fillId="5" borderId="5" xfId="10" applyNumberFormat="1" applyFont="1" applyFill="1" applyBorder="1" applyAlignment="1" applyProtection="1">
      <alignment horizontal="center" vertical="center"/>
      <protection locked="0"/>
    </xf>
    <xf numFmtId="10" fontId="10" fillId="5" borderId="5" xfId="10" applyNumberFormat="1" applyFont="1" applyFill="1" applyBorder="1" applyAlignment="1" applyProtection="1">
      <alignment horizontal="center" vertical="center"/>
      <protection locked="0"/>
    </xf>
    <xf numFmtId="0" fontId="8" fillId="2" borderId="1" xfId="0" applyFont="1" applyFill="1" applyBorder="1" applyAlignment="1">
      <alignment vertical="center"/>
    </xf>
    <xf numFmtId="169" fontId="10" fillId="5" borderId="7" xfId="10" applyNumberFormat="1" applyFont="1" applyFill="1" applyBorder="1" applyAlignment="1" applyProtection="1">
      <alignment horizontal="center" vertical="center"/>
      <protection locked="0"/>
    </xf>
    <xf numFmtId="169" fontId="14" fillId="5" borderId="6" xfId="10" applyNumberFormat="1" applyFont="1" applyFill="1" applyBorder="1" applyAlignment="1" applyProtection="1">
      <alignment horizontal="center" vertical="center"/>
      <protection locked="0"/>
    </xf>
    <xf numFmtId="172" fontId="10" fillId="5" borderId="5" xfId="0" applyNumberFormat="1" applyFont="1" applyFill="1" applyBorder="1" applyAlignment="1" applyProtection="1">
      <alignment horizontal="center" vertical="center"/>
      <protection locked="0"/>
    </xf>
    <xf numFmtId="10" fontId="14" fillId="5" borderId="5" xfId="10" applyNumberFormat="1" applyFont="1" applyFill="1" applyBorder="1" applyAlignment="1" applyProtection="1">
      <alignment horizontal="center" vertical="center"/>
      <protection locked="0"/>
    </xf>
    <xf numFmtId="168" fontId="11" fillId="2" borderId="0" xfId="0" applyNumberFormat="1" applyFont="1" applyFill="1" applyAlignment="1">
      <alignment vertical="center"/>
    </xf>
    <xf numFmtId="174" fontId="8" fillId="2" borderId="0" xfId="12" applyNumberFormat="1" applyFont="1" applyFill="1" applyAlignment="1">
      <alignment vertical="center"/>
    </xf>
    <xf numFmtId="1" fontId="10" fillId="5" borderId="5" xfId="0" applyNumberFormat="1" applyFont="1" applyFill="1" applyBorder="1" applyAlignment="1" applyProtection="1">
      <alignment horizontal="left" vertical="center"/>
      <protection locked="0"/>
    </xf>
    <xf numFmtId="174" fontId="21" fillId="2" borderId="0" xfId="12" applyNumberFormat="1" applyFont="1" applyFill="1" applyAlignment="1">
      <alignment vertical="center"/>
    </xf>
    <xf numFmtId="174" fontId="10" fillId="5" borderId="5" xfId="12" applyNumberFormat="1" applyFont="1" applyFill="1" applyBorder="1" applyAlignment="1" applyProtection="1">
      <alignment horizontal="left" vertical="center"/>
      <protection locked="0"/>
    </xf>
    <xf numFmtId="169" fontId="10" fillId="5" borderId="5" xfId="10" applyNumberFormat="1" applyFont="1" applyFill="1" applyBorder="1" applyAlignment="1" applyProtection="1">
      <alignment horizontal="right" vertical="center"/>
      <protection locked="0"/>
    </xf>
    <xf numFmtId="178" fontId="10" fillId="5" borderId="5" xfId="12" applyNumberFormat="1" applyFont="1" applyFill="1" applyBorder="1" applyAlignment="1" applyProtection="1">
      <alignment horizontal="left" vertical="center"/>
      <protection locked="0"/>
    </xf>
    <xf numFmtId="1" fontId="10" fillId="5" borderId="5" xfId="0" applyNumberFormat="1" applyFont="1" applyFill="1" applyBorder="1" applyAlignment="1" applyProtection="1">
      <alignment horizontal="right" vertical="center"/>
      <protection locked="0"/>
    </xf>
    <xf numFmtId="1" fontId="10" fillId="4" borderId="5" xfId="0" applyNumberFormat="1" applyFont="1" applyFill="1" applyBorder="1" applyAlignment="1" applyProtection="1">
      <alignment horizontal="right" vertical="center"/>
      <protection locked="0"/>
    </xf>
    <xf numFmtId="0" fontId="14" fillId="2" borderId="0" xfId="0" applyFont="1" applyFill="1" applyAlignment="1">
      <alignment vertical="center"/>
    </xf>
    <xf numFmtId="170" fontId="8" fillId="2" borderId="0" xfId="9" applyNumberFormat="1" applyFont="1" applyFill="1" applyAlignment="1">
      <alignment vertical="center"/>
    </xf>
    <xf numFmtId="170" fontId="8" fillId="2" borderId="0" xfId="9" applyNumberFormat="1" applyFont="1" applyFill="1" applyBorder="1" applyAlignment="1" applyProtection="1">
      <alignment vertical="center"/>
    </xf>
    <xf numFmtId="167" fontId="8" fillId="2" borderId="0" xfId="0" applyNumberFormat="1" applyFont="1" applyFill="1" applyAlignment="1">
      <alignment vertical="center"/>
    </xf>
    <xf numFmtId="175" fontId="8" fillId="2" borderId="0" xfId="12" applyNumberFormat="1" applyFont="1" applyFill="1" applyAlignment="1">
      <alignment vertical="center"/>
    </xf>
    <xf numFmtId="175" fontId="8" fillId="2" borderId="0" xfId="12" applyNumberFormat="1" applyFont="1" applyFill="1" applyBorder="1" applyAlignment="1">
      <alignment vertical="center"/>
    </xf>
    <xf numFmtId="167" fontId="8" fillId="2" borderId="0" xfId="12" applyFont="1" applyFill="1" applyAlignment="1">
      <alignment vertical="center"/>
    </xf>
    <xf numFmtId="175" fontId="8" fillId="4" borderId="5" xfId="12" applyNumberFormat="1" applyFont="1" applyFill="1" applyBorder="1" applyAlignment="1">
      <alignment vertical="center"/>
    </xf>
    <xf numFmtId="175" fontId="8" fillId="5" borderId="5" xfId="12" applyNumberFormat="1" applyFont="1" applyFill="1" applyBorder="1" applyAlignment="1">
      <alignment vertical="center"/>
    </xf>
    <xf numFmtId="0" fontId="8" fillId="2" borderId="0" xfId="0" applyFont="1" applyFill="1" applyAlignment="1">
      <alignment horizontal="right" vertical="center"/>
    </xf>
    <xf numFmtId="175" fontId="10" fillId="5" borderId="5" xfId="12" applyNumberFormat="1" applyFont="1" applyFill="1" applyBorder="1" applyAlignment="1" applyProtection="1">
      <alignment horizontal="left" vertical="center"/>
      <protection locked="0"/>
    </xf>
    <xf numFmtId="175" fontId="10" fillId="5" borderId="8" xfId="12" applyNumberFormat="1" applyFont="1" applyFill="1" applyBorder="1" applyAlignment="1" applyProtection="1">
      <alignment horizontal="left" vertical="center"/>
      <protection locked="0"/>
    </xf>
    <xf numFmtId="0" fontId="11" fillId="2" borderId="0" xfId="0" applyFont="1" applyFill="1" applyAlignment="1">
      <alignment horizontal="right" vertical="center"/>
    </xf>
    <xf numFmtId="179" fontId="8" fillId="2" borderId="0" xfId="12" applyNumberFormat="1" applyFont="1" applyFill="1" applyAlignment="1">
      <alignment vertical="center"/>
    </xf>
    <xf numFmtId="179" fontId="8" fillId="5" borderId="5" xfId="12" applyNumberFormat="1" applyFont="1" applyFill="1" applyBorder="1" applyAlignment="1">
      <alignment vertical="center"/>
    </xf>
    <xf numFmtId="10" fontId="8" fillId="5" borderId="5" xfId="10" applyNumberFormat="1" applyFont="1" applyFill="1" applyBorder="1" applyAlignment="1">
      <alignment vertical="center"/>
    </xf>
    <xf numFmtId="10" fontId="8" fillId="2" borderId="0" xfId="10" applyNumberFormat="1" applyFont="1" applyFill="1" applyAlignment="1">
      <alignment vertical="center"/>
    </xf>
    <xf numFmtId="10" fontId="10" fillId="5" borderId="8" xfId="10" applyNumberFormat="1" applyFont="1" applyFill="1" applyBorder="1" applyAlignment="1" applyProtection="1">
      <alignment horizontal="center" vertical="center"/>
      <protection locked="0"/>
    </xf>
    <xf numFmtId="180" fontId="10" fillId="5" borderId="5" xfId="12" applyNumberFormat="1" applyFont="1" applyFill="1" applyBorder="1" applyAlignment="1" applyProtection="1">
      <alignment horizontal="right" vertical="center"/>
      <protection locked="0"/>
    </xf>
    <xf numFmtId="174" fontId="24" fillId="2" borderId="0" xfId="0" applyNumberFormat="1" applyFont="1" applyFill="1" applyAlignment="1">
      <alignment vertical="center"/>
    </xf>
    <xf numFmtId="177" fontId="10" fillId="5" borderId="5" xfId="0" applyNumberFormat="1" applyFont="1" applyFill="1" applyBorder="1" applyAlignment="1" applyProtection="1">
      <alignment horizontal="left" vertical="center"/>
      <protection locked="0"/>
    </xf>
    <xf numFmtId="49" fontId="25" fillId="2" borderId="0" xfId="0" applyNumberFormat="1" applyFont="1" applyFill="1" applyAlignment="1">
      <alignment horizontal="center" vertical="center"/>
    </xf>
    <xf numFmtId="49" fontId="12" fillId="2" borderId="0" xfId="20" applyNumberFormat="1" applyFont="1" applyFill="1" applyAlignment="1">
      <alignment horizontal="left" vertical="center"/>
    </xf>
    <xf numFmtId="49" fontId="12" fillId="2" borderId="0" xfId="20" applyNumberFormat="1" applyFont="1" applyFill="1" applyAlignment="1" applyProtection="1">
      <alignment horizontal="left" vertical="center"/>
    </xf>
    <xf numFmtId="0" fontId="12" fillId="2" borderId="0" xfId="20" applyFont="1" applyFill="1" applyAlignment="1">
      <alignment horizontal="left" vertical="center"/>
    </xf>
    <xf numFmtId="0" fontId="27" fillId="2" borderId="0" xfId="20" applyFont="1" applyFill="1" applyAlignment="1">
      <alignment horizontal="left" vertical="center"/>
    </xf>
    <xf numFmtId="0" fontId="28" fillId="2" borderId="0" xfId="20" applyFont="1" applyFill="1" applyAlignment="1">
      <alignment horizontal="left" vertical="center"/>
    </xf>
    <xf numFmtId="0" fontId="8" fillId="4" borderId="5" xfId="0" applyFont="1" applyFill="1" applyBorder="1" applyAlignment="1">
      <alignment horizontal="center" vertical="center"/>
    </xf>
    <xf numFmtId="0" fontId="8" fillId="5" borderId="5" xfId="0" applyFont="1" applyFill="1" applyBorder="1" applyAlignment="1">
      <alignment horizontal="center" vertical="center"/>
    </xf>
    <xf numFmtId="0" fontId="8" fillId="2" borderId="0" xfId="0" applyFont="1" applyFill="1"/>
    <xf numFmtId="176" fontId="10" fillId="2" borderId="0" xfId="17" applyNumberFormat="1" applyFont="1" applyFill="1" applyAlignment="1">
      <alignment horizontal="left" vertical="center"/>
    </xf>
    <xf numFmtId="49" fontId="27" fillId="2" borderId="0" xfId="20" applyNumberFormat="1" applyFont="1" applyFill="1" applyAlignment="1">
      <alignment horizontal="left" vertical="center"/>
    </xf>
    <xf numFmtId="49" fontId="3" fillId="2" borderId="0" xfId="1" applyNumberFormat="1" applyFill="1" applyAlignment="1">
      <alignment vertical="center"/>
    </xf>
    <xf numFmtId="49" fontId="11" fillId="2" borderId="0" xfId="0" applyNumberFormat="1" applyFont="1" applyFill="1" applyAlignment="1">
      <alignment vertical="center"/>
    </xf>
    <xf numFmtId="49" fontId="8" fillId="2" borderId="0" xfId="0" applyNumberFormat="1" applyFont="1" applyFill="1"/>
    <xf numFmtId="49" fontId="10" fillId="4" borderId="5" xfId="17" applyNumberFormat="1" applyFont="1" applyFill="1" applyBorder="1" applyAlignment="1">
      <alignment horizontal="left" vertical="center"/>
    </xf>
    <xf numFmtId="49" fontId="21" fillId="2" borderId="0" xfId="0" applyNumberFormat="1" applyFont="1" applyFill="1" applyAlignment="1">
      <alignment vertical="center"/>
    </xf>
    <xf numFmtId="1" fontId="8" fillId="2" borderId="0" xfId="0" applyNumberFormat="1" applyFont="1" applyFill="1" applyAlignment="1">
      <alignment vertical="center"/>
    </xf>
    <xf numFmtId="49" fontId="10" fillId="5" borderId="5" xfId="17" applyNumberFormat="1" applyFont="1" applyFill="1" applyBorder="1" applyAlignment="1">
      <alignment horizontal="left" vertical="center"/>
    </xf>
    <xf numFmtId="168" fontId="19" fillId="2" borderId="0" xfId="1" applyNumberFormat="1" applyFont="1" applyFill="1" applyAlignment="1">
      <alignment vertical="center"/>
    </xf>
    <xf numFmtId="168" fontId="0" fillId="2" borderId="0" xfId="0" applyNumberFormat="1" applyFill="1" applyAlignment="1">
      <alignment vertical="center"/>
    </xf>
    <xf numFmtId="168" fontId="3" fillId="2" borderId="0" xfId="1" applyNumberFormat="1" applyFill="1" applyAlignment="1">
      <alignment vertical="center"/>
    </xf>
    <xf numFmtId="168" fontId="8" fillId="3" borderId="3" xfId="0" applyNumberFormat="1" applyFont="1" applyFill="1" applyBorder="1" applyAlignment="1">
      <alignment vertical="center"/>
    </xf>
    <xf numFmtId="168" fontId="12" fillId="2" borderId="0" xfId="20" applyNumberFormat="1" applyFont="1" applyFill="1" applyAlignment="1">
      <alignment vertical="center"/>
    </xf>
    <xf numFmtId="168" fontId="5" fillId="2" borderId="0" xfId="20" applyNumberFormat="1" applyFont="1" applyFill="1" applyAlignment="1">
      <alignment vertical="center"/>
    </xf>
    <xf numFmtId="168" fontId="8" fillId="2" borderId="0" xfId="0" applyNumberFormat="1" applyFont="1" applyFill="1" applyAlignment="1">
      <alignment horizontal="right" vertical="center" wrapText="1"/>
    </xf>
    <xf numFmtId="168" fontId="8" fillId="2" borderId="0" xfId="0" applyNumberFormat="1" applyFont="1" applyFill="1" applyAlignment="1">
      <alignment horizontal="right" vertical="center"/>
    </xf>
    <xf numFmtId="168" fontId="8" fillId="4" borderId="5" xfId="0" applyNumberFormat="1" applyFont="1" applyFill="1" applyBorder="1" applyAlignment="1">
      <alignment vertical="center"/>
    </xf>
    <xf numFmtId="168" fontId="8" fillId="5" borderId="5" xfId="0" applyNumberFormat="1" applyFont="1" applyFill="1" applyBorder="1" applyAlignment="1">
      <alignment vertical="center"/>
    </xf>
    <xf numFmtId="168" fontId="21" fillId="2" borderId="0" xfId="0" applyNumberFormat="1" applyFont="1" applyFill="1" applyAlignment="1">
      <alignment vertical="center"/>
    </xf>
    <xf numFmtId="49" fontId="8" fillId="2" borderId="0" xfId="0" applyNumberFormat="1" applyFont="1" applyFill="1" applyAlignment="1">
      <alignment horizontal="right" vertical="center"/>
    </xf>
    <xf numFmtId="49" fontId="8" fillId="0" borderId="0" xfId="0" applyNumberFormat="1" applyFont="1" applyAlignment="1">
      <alignment horizontal="right" vertical="center"/>
    </xf>
    <xf numFmtId="175" fontId="8" fillId="2" borderId="0" xfId="0" applyNumberFormat="1" applyFont="1" applyFill="1" applyAlignment="1">
      <alignment vertical="center"/>
    </xf>
    <xf numFmtId="175" fontId="10" fillId="5" borderId="5" xfId="10" applyNumberFormat="1" applyFont="1" applyFill="1" applyBorder="1" applyAlignment="1" applyProtection="1">
      <alignment horizontal="center" vertical="center"/>
      <protection locked="0"/>
    </xf>
    <xf numFmtId="179" fontId="10" fillId="5" borderId="5" xfId="10" applyNumberFormat="1" applyFont="1" applyFill="1" applyBorder="1" applyAlignment="1" applyProtection="1">
      <alignment horizontal="center" vertical="center"/>
      <protection locked="0"/>
    </xf>
    <xf numFmtId="174" fontId="8" fillId="2" borderId="0" xfId="12" applyNumberFormat="1" applyFont="1" applyFill="1" applyBorder="1" applyAlignment="1">
      <alignment vertical="center"/>
    </xf>
    <xf numFmtId="174" fontId="21" fillId="2" borderId="0" xfId="12" applyNumberFormat="1" applyFont="1" applyFill="1" applyBorder="1" applyAlignment="1">
      <alignment vertical="center"/>
    </xf>
    <xf numFmtId="2" fontId="10" fillId="2" borderId="0" xfId="0" applyNumberFormat="1" applyFont="1" applyFill="1" applyAlignment="1" applyProtection="1">
      <alignment horizontal="left" vertical="center"/>
      <protection locked="0"/>
    </xf>
    <xf numFmtId="1" fontId="10" fillId="2" borderId="0" xfId="0" applyNumberFormat="1" applyFont="1" applyFill="1" applyAlignment="1" applyProtection="1">
      <alignment horizontal="left" vertical="center"/>
      <protection locked="0"/>
    </xf>
    <xf numFmtId="174" fontId="10" fillId="2" borderId="0" xfId="12" applyNumberFormat="1" applyFont="1" applyFill="1" applyBorder="1" applyAlignment="1" applyProtection="1">
      <alignment horizontal="left" vertical="center"/>
      <protection locked="0"/>
    </xf>
    <xf numFmtId="180" fontId="10" fillId="2" borderId="0" xfId="12" applyNumberFormat="1" applyFont="1" applyFill="1" applyBorder="1" applyAlignment="1" applyProtection="1">
      <alignment horizontal="right" vertical="center"/>
      <protection locked="0"/>
    </xf>
    <xf numFmtId="169" fontId="10" fillId="2" borderId="0" xfId="10" applyNumberFormat="1" applyFont="1" applyFill="1" applyBorder="1" applyAlignment="1" applyProtection="1">
      <alignment horizontal="right" vertical="center"/>
      <protection locked="0"/>
    </xf>
    <xf numFmtId="168" fontId="15" fillId="2" borderId="0" xfId="20" applyNumberFormat="1" applyFont="1" applyFill="1" applyAlignment="1">
      <alignment vertical="center"/>
    </xf>
    <xf numFmtId="10" fontId="8" fillId="4" borderId="5" xfId="10" applyNumberFormat="1" applyFont="1" applyFill="1" applyBorder="1" applyAlignment="1">
      <alignment vertical="center"/>
    </xf>
    <xf numFmtId="10" fontId="19" fillId="2" borderId="0" xfId="10" applyNumberFormat="1" applyFont="1" applyFill="1" applyAlignment="1">
      <alignment vertical="center"/>
    </xf>
    <xf numFmtId="10" fontId="1" fillId="2" borderId="0" xfId="10" applyNumberFormat="1" applyFont="1" applyFill="1" applyBorder="1" applyAlignment="1">
      <alignment vertical="center"/>
    </xf>
    <xf numFmtId="10" fontId="3" fillId="2" borderId="0" xfId="10" applyNumberFormat="1" applyFont="1" applyFill="1" applyAlignment="1">
      <alignment vertical="center"/>
    </xf>
    <xf numFmtId="10" fontId="15" fillId="3" borderId="3" xfId="10" applyNumberFormat="1" applyFont="1" applyFill="1" applyBorder="1" applyAlignment="1">
      <alignment vertical="center"/>
    </xf>
    <xf numFmtId="10" fontId="21" fillId="2" borderId="0" xfId="10" applyNumberFormat="1" applyFont="1" applyFill="1" applyAlignment="1">
      <alignment vertical="center"/>
    </xf>
    <xf numFmtId="10" fontId="11" fillId="2" borderId="0" xfId="10" applyNumberFormat="1" applyFont="1" applyFill="1" applyAlignment="1">
      <alignment vertical="center"/>
    </xf>
    <xf numFmtId="10" fontId="8" fillId="2" borderId="0" xfId="10" applyNumberFormat="1" applyFont="1" applyFill="1" applyAlignment="1">
      <alignment horizontal="right" vertical="center" wrapText="1"/>
    </xf>
    <xf numFmtId="10" fontId="8" fillId="3" borderId="3" xfId="10" applyNumberFormat="1" applyFont="1" applyFill="1" applyBorder="1" applyAlignment="1">
      <alignment vertical="center"/>
    </xf>
    <xf numFmtId="9" fontId="10" fillId="4" borderId="5" xfId="10" applyFont="1" applyFill="1" applyBorder="1" applyAlignment="1" applyProtection="1">
      <alignment horizontal="right" vertical="center"/>
      <protection locked="0"/>
    </xf>
    <xf numFmtId="169" fontId="10" fillId="4" borderId="5" xfId="10" applyNumberFormat="1" applyFont="1" applyFill="1" applyBorder="1" applyAlignment="1" applyProtection="1">
      <alignment horizontal="right" vertical="center"/>
      <protection locked="0"/>
    </xf>
    <xf numFmtId="0" fontId="8" fillId="3" borderId="3" xfId="0" applyFont="1" applyFill="1" applyBorder="1" applyAlignment="1">
      <alignment vertical="center"/>
    </xf>
    <xf numFmtId="0" fontId="29" fillId="2" borderId="0" xfId="20" applyFont="1" applyFill="1" applyAlignment="1">
      <alignment vertical="center"/>
    </xf>
    <xf numFmtId="167" fontId="8" fillId="2" borderId="0" xfId="0" applyNumberFormat="1" applyFont="1" applyFill="1" applyAlignment="1">
      <alignment vertical="center"/>
    </xf>
    <xf numFmtId="170" fontId="11" fillId="2" borderId="0" xfId="9" applyNumberFormat="1" applyFont="1" applyFill="1" applyBorder="1" applyAlignment="1" applyProtection="1">
      <alignment vertical="center"/>
    </xf>
    <xf numFmtId="10" fontId="8" fillId="6" borderId="5" xfId="0" applyNumberFormat="1" applyFont="1" applyFill="1" applyBorder="1" applyAlignment="1">
      <alignment vertical="center"/>
    </xf>
    <xf numFmtId="0" fontId="8" fillId="6" borderId="5" xfId="0" applyFont="1" applyFill="1" applyBorder="1" applyAlignment="1">
      <alignment horizontal="center" vertical="center"/>
    </xf>
    <xf numFmtId="10" fontId="8" fillId="5" borderId="5" xfId="0" applyNumberFormat="1" applyFont="1" applyFill="1" applyBorder="1" applyAlignment="1">
      <alignment vertical="center"/>
    </xf>
    <xf numFmtId="175" fontId="8" fillId="4" borderId="10" xfId="12" applyNumberFormat="1" applyFont="1" applyFill="1" applyBorder="1" applyAlignment="1">
      <alignment vertical="center"/>
    </xf>
    <xf numFmtId="175" fontId="8" fillId="4" borderId="8" xfId="12" applyNumberFormat="1" applyFont="1" applyFill="1" applyBorder="1" applyAlignment="1">
      <alignment vertical="center"/>
    </xf>
    <xf numFmtId="175" fontId="8" fillId="5" borderId="6" xfId="12" applyNumberFormat="1" applyFont="1" applyFill="1" applyBorder="1" applyAlignment="1">
      <alignment vertical="center"/>
    </xf>
    <xf numFmtId="49" fontId="5" fillId="4" borderId="5" xfId="1" applyNumberFormat="1" applyFont="1" applyFill="1" applyBorder="1" applyAlignment="1">
      <alignment vertical="center"/>
    </xf>
    <xf numFmtId="175" fontId="10" fillId="5" borderId="10" xfId="12" applyNumberFormat="1" applyFont="1" applyFill="1" applyBorder="1" applyAlignment="1" applyProtection="1">
      <alignment horizontal="left" vertical="center"/>
      <protection locked="0"/>
    </xf>
    <xf numFmtId="179" fontId="8" fillId="5" borderId="10" xfId="12" applyNumberFormat="1" applyFont="1" applyFill="1" applyBorder="1" applyAlignment="1">
      <alignment vertical="center"/>
    </xf>
    <xf numFmtId="175" fontId="8" fillId="5" borderId="10" xfId="12" applyNumberFormat="1" applyFont="1" applyFill="1" applyBorder="1" applyAlignment="1">
      <alignment vertical="center"/>
    </xf>
    <xf numFmtId="10" fontId="8" fillId="5" borderId="10" xfId="10" applyNumberFormat="1" applyFont="1" applyFill="1" applyBorder="1" applyAlignment="1">
      <alignment vertical="center"/>
    </xf>
    <xf numFmtId="175" fontId="10" fillId="5" borderId="9" xfId="12" applyNumberFormat="1" applyFont="1" applyFill="1" applyBorder="1" applyAlignment="1" applyProtection="1">
      <alignment horizontal="left" vertical="center"/>
      <protection locked="0"/>
    </xf>
    <xf numFmtId="179" fontId="8" fillId="5" borderId="9" xfId="12" applyNumberFormat="1" applyFont="1" applyFill="1" applyBorder="1" applyAlignment="1">
      <alignment vertical="center"/>
    </xf>
    <xf numFmtId="175" fontId="8" fillId="5" borderId="9" xfId="12" applyNumberFormat="1" applyFont="1" applyFill="1" applyBorder="1" applyAlignment="1">
      <alignment vertical="center"/>
    </xf>
    <xf numFmtId="0" fontId="8" fillId="2" borderId="11" xfId="0" applyFont="1" applyFill="1" applyBorder="1" applyAlignment="1">
      <alignment vertical="center"/>
    </xf>
    <xf numFmtId="169" fontId="21" fillId="2" borderId="0" xfId="10" applyNumberFormat="1" applyFont="1" applyFill="1" applyAlignment="1">
      <alignment vertical="center"/>
    </xf>
    <xf numFmtId="181" fontId="8" fillId="2" borderId="0" xfId="12" applyNumberFormat="1" applyFont="1" applyFill="1" applyAlignment="1">
      <alignment vertical="center"/>
    </xf>
    <xf numFmtId="181" fontId="8" fillId="4" borderId="5" xfId="12" applyNumberFormat="1" applyFont="1" applyFill="1" applyBorder="1" applyAlignment="1">
      <alignment vertical="center"/>
    </xf>
    <xf numFmtId="181" fontId="8" fillId="2" borderId="0" xfId="12" applyNumberFormat="1" applyFont="1" applyFill="1" applyBorder="1" applyAlignment="1">
      <alignment vertical="center"/>
    </xf>
    <xf numFmtId="181" fontId="8" fillId="5" borderId="5" xfId="12" applyNumberFormat="1" applyFont="1" applyFill="1" applyBorder="1" applyAlignment="1">
      <alignment vertical="center"/>
    </xf>
    <xf numFmtId="181" fontId="8" fillId="5" borderId="10" xfId="12" applyNumberFormat="1" applyFont="1" applyFill="1" applyBorder="1" applyAlignment="1">
      <alignment vertical="center"/>
    </xf>
    <xf numFmtId="168" fontId="8" fillId="2" borderId="0" xfId="12" applyNumberFormat="1" applyFont="1" applyFill="1" applyAlignment="1">
      <alignment vertical="center"/>
    </xf>
    <xf numFmtId="169" fontId="14" fillId="5" borderId="5" xfId="10" applyNumberFormat="1" applyFont="1" applyFill="1" applyBorder="1" applyAlignment="1" applyProtection="1">
      <alignment horizontal="right" vertical="center"/>
      <protection locked="0"/>
    </xf>
    <xf numFmtId="182" fontId="8" fillId="2" borderId="0" xfId="10" applyNumberFormat="1" applyFont="1" applyFill="1" applyAlignment="1">
      <alignment vertical="center"/>
    </xf>
    <xf numFmtId="0" fontId="11" fillId="0" borderId="0" xfId="0" applyFont="1" applyFill="1" applyAlignment="1">
      <alignment vertical="center"/>
    </xf>
    <xf numFmtId="173" fontId="8" fillId="5" borderId="5" xfId="0" applyNumberFormat="1" applyFont="1" applyFill="1" applyBorder="1" applyAlignment="1">
      <alignment vertical="center"/>
    </xf>
    <xf numFmtId="175" fontId="5" fillId="5" borderId="5" xfId="12" applyNumberFormat="1" applyFont="1" applyFill="1" applyBorder="1" applyAlignment="1" applyProtection="1">
      <alignment horizontal="center" vertical="center"/>
      <protection locked="0"/>
    </xf>
    <xf numFmtId="168" fontId="8" fillId="2" borderId="0" xfId="0" applyNumberFormat="1" applyFont="1" applyFill="1" applyAlignment="1">
      <alignment vertical="center"/>
    </xf>
    <xf numFmtId="169" fontId="14" fillId="2" borderId="0" xfId="10" applyNumberFormat="1" applyFont="1" applyFill="1" applyBorder="1" applyAlignment="1" applyProtection="1">
      <alignment horizontal="right" vertical="center"/>
      <protection locked="0"/>
    </xf>
    <xf numFmtId="174" fontId="14" fillId="5" borderId="5" xfId="12" applyNumberFormat="1" applyFont="1" applyFill="1" applyBorder="1" applyAlignment="1" applyProtection="1">
      <alignment horizontal="left" vertical="center"/>
      <protection locked="0"/>
    </xf>
    <xf numFmtId="175" fontId="5" fillId="4" borderId="5" xfId="12" applyNumberFormat="1" applyFont="1" applyFill="1" applyBorder="1" applyAlignment="1" applyProtection="1">
      <alignment horizontal="left" vertical="center"/>
      <protection locked="0"/>
    </xf>
    <xf numFmtId="175" fontId="5" fillId="2" borderId="0" xfId="12" applyNumberFormat="1" applyFont="1" applyFill="1" applyAlignment="1">
      <alignment vertical="center"/>
    </xf>
    <xf numFmtId="175" fontId="5" fillId="5" borderId="5" xfId="12" applyNumberFormat="1" applyFont="1" applyFill="1" applyBorder="1" applyAlignment="1" applyProtection="1">
      <alignment horizontal="left" vertical="center"/>
      <protection locked="0"/>
    </xf>
    <xf numFmtId="175" fontId="5" fillId="4" borderId="8" xfId="12" applyNumberFormat="1" applyFont="1" applyFill="1" applyBorder="1" applyAlignment="1" applyProtection="1">
      <alignment horizontal="left" vertical="center"/>
      <protection locked="0"/>
    </xf>
    <xf numFmtId="0" fontId="5" fillId="2" borderId="0" xfId="0" applyFont="1" applyFill="1" applyAlignment="1">
      <alignment vertical="center"/>
    </xf>
    <xf numFmtId="179" fontId="5" fillId="2" borderId="0" xfId="12" applyNumberFormat="1" applyFont="1" applyFill="1" applyAlignment="1">
      <alignment vertical="center"/>
    </xf>
    <xf numFmtId="179" fontId="5" fillId="5" borderId="5" xfId="12" applyNumberFormat="1" applyFont="1" applyFill="1" applyBorder="1" applyAlignment="1" applyProtection="1">
      <alignment horizontal="left" vertical="center"/>
      <protection locked="0"/>
    </xf>
    <xf numFmtId="170" fontId="5" fillId="5" borderId="5" xfId="12" applyNumberFormat="1" applyFont="1" applyFill="1" applyBorder="1" applyAlignment="1" applyProtection="1">
      <alignment horizontal="left" vertical="center"/>
      <protection locked="0"/>
    </xf>
    <xf numFmtId="175" fontId="5" fillId="4" borderId="5" xfId="12" applyNumberFormat="1" applyFont="1" applyFill="1" applyBorder="1" applyAlignment="1" applyProtection="1">
      <alignment horizontal="center" vertical="center"/>
      <protection locked="0"/>
    </xf>
    <xf numFmtId="175" fontId="21" fillId="2" borderId="0" xfId="0" applyNumberFormat="1" applyFont="1" applyFill="1" applyAlignment="1">
      <alignment vertical="center"/>
    </xf>
    <xf numFmtId="0" fontId="30" fillId="2" borderId="0" xfId="0" applyFont="1" applyFill="1" applyAlignment="1">
      <alignment vertical="center"/>
    </xf>
    <xf numFmtId="175" fontId="15" fillId="5" borderId="5" xfId="12" applyNumberFormat="1" applyFont="1" applyFill="1" applyBorder="1" applyAlignment="1" applyProtection="1">
      <alignment horizontal="center" vertical="center"/>
      <protection locked="0"/>
    </xf>
    <xf numFmtId="175" fontId="15" fillId="2" borderId="0" xfId="12" applyNumberFormat="1" applyFont="1" applyFill="1" applyBorder="1" applyAlignment="1" applyProtection="1">
      <alignment horizontal="center" vertical="center"/>
      <protection locked="0"/>
    </xf>
    <xf numFmtId="0" fontId="15" fillId="2" borderId="0" xfId="1" applyFont="1" applyFill="1" applyAlignment="1">
      <alignment horizontal="center" vertical="center"/>
    </xf>
    <xf numFmtId="174" fontId="5" fillId="5" borderId="5" xfId="12" applyNumberFormat="1" applyFont="1" applyFill="1" applyBorder="1" applyAlignment="1" applyProtection="1">
      <alignment horizontal="left" vertical="center"/>
      <protection locked="0"/>
    </xf>
    <xf numFmtId="179" fontId="5" fillId="5" borderId="8" xfId="12" applyNumberFormat="1" applyFont="1" applyFill="1" applyBorder="1" applyAlignment="1" applyProtection="1">
      <alignment horizontal="left" vertical="center"/>
      <protection locked="0"/>
    </xf>
    <xf numFmtId="175" fontId="8" fillId="5" borderId="12" xfId="12" applyNumberFormat="1" applyFont="1" applyFill="1" applyBorder="1" applyAlignment="1">
      <alignment vertical="center"/>
    </xf>
    <xf numFmtId="175" fontId="8" fillId="5" borderId="8" xfId="12" applyNumberFormat="1" applyFont="1" applyFill="1" applyBorder="1" applyAlignment="1">
      <alignment vertical="center"/>
    </xf>
    <xf numFmtId="10" fontId="8" fillId="5" borderId="8" xfId="10" applyNumberFormat="1" applyFont="1" applyFill="1" applyBorder="1" applyAlignment="1">
      <alignment vertical="center"/>
    </xf>
    <xf numFmtId="181" fontId="8" fillId="5" borderId="12" xfId="12" applyNumberFormat="1" applyFont="1" applyFill="1" applyBorder="1" applyAlignment="1">
      <alignment vertical="center"/>
    </xf>
    <xf numFmtId="10" fontId="8" fillId="5" borderId="12" xfId="10" applyNumberFormat="1" applyFont="1" applyFill="1" applyBorder="1" applyAlignment="1">
      <alignment vertical="center"/>
    </xf>
    <xf numFmtId="181" fontId="8" fillId="6" borderId="5" xfId="12" applyNumberFormat="1" applyFont="1" applyFill="1" applyBorder="1" applyAlignment="1">
      <alignment vertical="center"/>
    </xf>
    <xf numFmtId="0" fontId="12" fillId="2" borderId="0" xfId="20" applyFont="1" applyFill="1" applyAlignment="1">
      <alignment vertical="center"/>
    </xf>
    <xf numFmtId="0" fontId="0" fillId="2" borderId="0" xfId="0" applyFill="1"/>
    <xf numFmtId="0" fontId="27" fillId="2" borderId="0" xfId="20" applyFont="1" applyFill="1" applyAlignment="1">
      <alignment vertical="center"/>
    </xf>
    <xf numFmtId="0" fontId="0" fillId="2" borderId="0" xfId="0" applyFill="1" applyAlignment="1">
      <alignment wrapText="1"/>
    </xf>
    <xf numFmtId="0" fontId="13" fillId="2" borderId="0" xfId="0" applyFont="1" applyFill="1" applyAlignment="1">
      <alignment vertical="center"/>
    </xf>
    <xf numFmtId="0" fontId="31" fillId="3" borderId="3" xfId="0" applyFont="1" applyFill="1" applyBorder="1" applyAlignment="1">
      <alignment vertical="center"/>
    </xf>
    <xf numFmtId="0" fontId="11" fillId="2" borderId="0" xfId="0" applyFont="1" applyFill="1"/>
    <xf numFmtId="170" fontId="8" fillId="4" borderId="5" xfId="21" applyNumberFormat="1" applyFont="1" applyFill="1" applyBorder="1"/>
    <xf numFmtId="170" fontId="8" fillId="5" borderId="5" xfId="21" applyNumberFormat="1" applyFont="1" applyFill="1" applyBorder="1"/>
    <xf numFmtId="9" fontId="8" fillId="5" borderId="5" xfId="10" applyFont="1" applyFill="1" applyBorder="1"/>
    <xf numFmtId="0" fontId="11" fillId="2" borderId="0" xfId="0" applyFont="1" applyFill="1" applyAlignment="1">
      <alignment horizontal="left" vertical="top"/>
    </xf>
    <xf numFmtId="49" fontId="11" fillId="2" borderId="0" xfId="0" applyNumberFormat="1" applyFont="1" applyFill="1" applyBorder="1" applyAlignment="1">
      <alignment vertical="center"/>
    </xf>
    <xf numFmtId="49" fontId="8" fillId="2" borderId="0" xfId="0" applyNumberFormat="1" applyFont="1" applyFill="1" applyBorder="1" applyAlignment="1">
      <alignment vertical="center"/>
    </xf>
    <xf numFmtId="0" fontId="31" fillId="2" borderId="0" xfId="0" applyFont="1" applyFill="1" applyBorder="1" applyAlignment="1">
      <alignment vertical="center"/>
    </xf>
    <xf numFmtId="0" fontId="5" fillId="2" borderId="0" xfId="20" applyFont="1" applyFill="1" applyAlignment="1">
      <alignment vertical="center"/>
    </xf>
    <xf numFmtId="0" fontId="21" fillId="2" borderId="0" xfId="0" applyFont="1" applyFill="1" applyAlignment="1">
      <alignment horizontal="center" vertical="center"/>
    </xf>
    <xf numFmtId="175" fontId="15" fillId="5" borderId="5" xfId="12" applyNumberFormat="1" applyFont="1" applyFill="1" applyBorder="1" applyAlignment="1" applyProtection="1">
      <alignment horizontal="right" vertical="center"/>
      <protection locked="0"/>
    </xf>
    <xf numFmtId="173" fontId="8" fillId="4" borderId="5" xfId="0" applyNumberFormat="1" applyFont="1" applyFill="1" applyBorder="1" applyAlignment="1">
      <alignment horizontal="center" vertical="center"/>
    </xf>
    <xf numFmtId="3" fontId="8" fillId="5" borderId="5" xfId="21" applyNumberFormat="1" applyFont="1" applyFill="1" applyBorder="1"/>
    <xf numFmtId="0" fontId="8" fillId="4" borderId="5" xfId="0" applyFont="1" applyFill="1" applyBorder="1" applyAlignment="1">
      <alignment vertical="center"/>
    </xf>
    <xf numFmtId="49" fontId="15" fillId="2" borderId="0" xfId="0" applyNumberFormat="1" applyFont="1" applyFill="1" applyBorder="1" applyAlignment="1">
      <alignment vertical="center"/>
    </xf>
    <xf numFmtId="49" fontId="8" fillId="2" borderId="0" xfId="0" applyNumberFormat="1" applyFont="1" applyFill="1" applyBorder="1" applyAlignment="1">
      <alignment vertical="center" wrapText="1"/>
    </xf>
    <xf numFmtId="49" fontId="15" fillId="2" borderId="0" xfId="0" applyNumberFormat="1" applyFont="1" applyFill="1" applyBorder="1" applyAlignment="1">
      <alignment horizontal="center" vertical="center" wrapText="1"/>
    </xf>
    <xf numFmtId="0" fontId="12" fillId="0" borderId="0" xfId="20" applyFont="1" applyFill="1"/>
    <xf numFmtId="0" fontId="12" fillId="2" borderId="0" xfId="20" applyFont="1" applyFill="1" applyBorder="1"/>
    <xf numFmtId="0" fontId="12" fillId="2" borderId="0" xfId="20" applyFont="1" applyFill="1"/>
    <xf numFmtId="170" fontId="8" fillId="4" borderId="5" xfId="12" applyNumberFormat="1" applyFont="1" applyFill="1" applyBorder="1" applyAlignment="1">
      <alignment vertical="center"/>
    </xf>
    <xf numFmtId="181" fontId="8" fillId="2" borderId="0" xfId="0" applyNumberFormat="1" applyFont="1" applyFill="1" applyAlignment="1">
      <alignment vertical="center"/>
    </xf>
    <xf numFmtId="175" fontId="8" fillId="6" borderId="5" xfId="12" applyNumberFormat="1" applyFont="1" applyFill="1" applyBorder="1" applyAlignment="1">
      <alignment vertical="center"/>
    </xf>
    <xf numFmtId="49" fontId="26" fillId="2" borderId="0" xfId="20" applyNumberFormat="1" applyFill="1" applyAlignment="1">
      <alignment vertical="center"/>
    </xf>
    <xf numFmtId="0" fontId="0" fillId="2" borderId="0" xfId="0" applyFont="1" applyFill="1"/>
    <xf numFmtId="0" fontId="97" fillId="2" borderId="0" xfId="0" applyFont="1" applyFill="1" applyAlignment="1">
      <alignment vertical="center"/>
    </xf>
    <xf numFmtId="0" fontId="98" fillId="2" borderId="0" xfId="0" applyFont="1" applyFill="1" applyAlignment="1">
      <alignment vertical="center"/>
    </xf>
    <xf numFmtId="0" fontId="98" fillId="49" borderId="0" xfId="0" applyFont="1" applyFill="1" applyAlignment="1">
      <alignment vertical="center"/>
    </xf>
    <xf numFmtId="170" fontId="98" fillId="49" borderId="0" xfId="9" applyNumberFormat="1" applyFont="1" applyFill="1" applyBorder="1" applyAlignment="1" applyProtection="1">
      <alignment vertical="center"/>
    </xf>
    <xf numFmtId="173" fontId="10" fillId="6" borderId="5" xfId="0" applyNumberFormat="1" applyFont="1" applyFill="1" applyBorder="1" applyAlignment="1" applyProtection="1">
      <alignment horizontal="center" vertical="center"/>
      <protection locked="0"/>
    </xf>
    <xf numFmtId="175" fontId="10" fillId="6" borderId="5" xfId="12" applyNumberFormat="1" applyFont="1" applyFill="1" applyBorder="1" applyAlignment="1" applyProtection="1">
      <alignment horizontal="center" vertical="center"/>
      <protection locked="0"/>
    </xf>
    <xf numFmtId="175" fontId="5" fillId="6" borderId="5" xfId="12" applyNumberFormat="1" applyFont="1" applyFill="1" applyBorder="1" applyAlignment="1" applyProtection="1">
      <alignment horizontal="left" vertical="center"/>
      <protection locked="0"/>
    </xf>
    <xf numFmtId="175" fontId="5" fillId="6" borderId="8" xfId="12" applyNumberFormat="1" applyFont="1" applyFill="1" applyBorder="1" applyAlignment="1" applyProtection="1">
      <alignment horizontal="left" vertical="center"/>
      <protection locked="0"/>
    </xf>
    <xf numFmtId="0" fontId="97" fillId="49" borderId="0" xfId="0" applyFont="1" applyFill="1" applyAlignment="1">
      <alignment vertical="center"/>
    </xf>
    <xf numFmtId="182" fontId="97" fillId="50" borderId="5" xfId="10" applyNumberFormat="1" applyFont="1" applyFill="1" applyBorder="1" applyAlignment="1">
      <alignment vertical="center"/>
    </xf>
    <xf numFmtId="175" fontId="97" fillId="51" borderId="5" xfId="12" applyNumberFormat="1" applyFont="1" applyFill="1" applyBorder="1" applyAlignment="1">
      <alignment vertical="center"/>
    </xf>
    <xf numFmtId="1" fontId="8" fillId="2" borderId="0" xfId="10" applyNumberFormat="1" applyFont="1" applyFill="1" applyAlignment="1">
      <alignment vertical="center"/>
    </xf>
    <xf numFmtId="0" fontId="99" fillId="0" borderId="0" xfId="20" applyFont="1" applyFill="1"/>
    <xf numFmtId="9" fontId="10" fillId="4" borderId="5" xfId="10" applyFont="1" applyFill="1" applyBorder="1" applyAlignment="1" applyProtection="1">
      <alignment vertical="center"/>
      <protection locked="0"/>
    </xf>
    <xf numFmtId="200" fontId="10" fillId="5" borderId="5" xfId="0" applyNumberFormat="1" applyFont="1" applyFill="1" applyBorder="1" applyAlignment="1" applyProtection="1">
      <alignment horizontal="center" vertical="center"/>
      <protection locked="0"/>
    </xf>
    <xf numFmtId="201" fontId="10" fillId="5" borderId="5" xfId="0" applyNumberFormat="1" applyFont="1" applyFill="1" applyBorder="1" applyAlignment="1" applyProtection="1">
      <alignment horizontal="center" vertical="center"/>
      <protection locked="0"/>
    </xf>
    <xf numFmtId="10" fontId="21" fillId="2" borderId="0" xfId="0" applyNumberFormat="1" applyFont="1" applyFill="1" applyAlignment="1">
      <alignment vertical="center"/>
    </xf>
    <xf numFmtId="202" fontId="8" fillId="2" borderId="0" xfId="0" applyNumberFormat="1" applyFont="1" applyFill="1" applyAlignment="1">
      <alignment vertical="center"/>
    </xf>
    <xf numFmtId="175" fontId="5" fillId="2" borderId="0" xfId="12" applyNumberFormat="1" applyFont="1" applyFill="1" applyBorder="1" applyAlignment="1" applyProtection="1">
      <alignment horizontal="left" vertical="center"/>
      <protection locked="0"/>
    </xf>
    <xf numFmtId="175" fontId="8" fillId="2" borderId="0" xfId="0" applyNumberFormat="1" applyFont="1" applyFill="1" applyBorder="1" applyAlignment="1">
      <alignment vertical="center"/>
    </xf>
    <xf numFmtId="9" fontId="8" fillId="2" borderId="0" xfId="10" applyFont="1" applyFill="1" applyBorder="1" applyAlignment="1">
      <alignment vertical="center"/>
    </xf>
    <xf numFmtId="167" fontId="8" fillId="6" borderId="5" xfId="12" applyNumberFormat="1" applyFont="1" applyFill="1" applyBorder="1" applyAlignment="1">
      <alignment vertical="center"/>
    </xf>
    <xf numFmtId="167" fontId="8" fillId="6" borderId="30" xfId="12" applyNumberFormat="1" applyFont="1" applyFill="1" applyBorder="1" applyAlignment="1">
      <alignment vertical="center"/>
    </xf>
    <xf numFmtId="49" fontId="10" fillId="2" borderId="0" xfId="0" applyNumberFormat="1" applyFont="1" applyFill="1" applyBorder="1" applyAlignment="1" applyProtection="1">
      <alignment horizontal="left" indent="1"/>
      <protection locked="0"/>
    </xf>
    <xf numFmtId="167" fontId="8" fillId="2" borderId="0" xfId="12" applyNumberFormat="1" applyFont="1" applyFill="1" applyBorder="1" applyAlignment="1">
      <alignment vertical="center"/>
    </xf>
    <xf numFmtId="1" fontId="10" fillId="4" borderId="30" xfId="0" applyNumberFormat="1" applyFont="1" applyFill="1" applyBorder="1" applyAlignment="1" applyProtection="1">
      <alignment horizontal="right" vertical="center"/>
      <protection locked="0"/>
    </xf>
    <xf numFmtId="0" fontId="5" fillId="2" borderId="0" xfId="1" applyFont="1" applyFill="1" applyBorder="1" applyAlignment="1">
      <alignment vertical="center"/>
    </xf>
    <xf numFmtId="178" fontId="10" fillId="2" borderId="0" xfId="12" applyNumberFormat="1" applyFont="1" applyFill="1" applyBorder="1" applyAlignment="1" applyProtection="1">
      <alignment horizontal="left" vertical="center"/>
      <protection locked="0"/>
    </xf>
    <xf numFmtId="49" fontId="14" fillId="2" borderId="0" xfId="0" applyNumberFormat="1" applyFont="1" applyFill="1" applyAlignment="1">
      <alignment vertical="center"/>
    </xf>
    <xf numFmtId="0" fontId="8" fillId="2" borderId="0" xfId="20" applyFont="1" applyFill="1" applyAlignment="1">
      <alignment vertical="center"/>
    </xf>
    <xf numFmtId="175" fontId="97" fillId="50" borderId="5" xfId="12" applyNumberFormat="1" applyFont="1" applyFill="1" applyBorder="1" applyAlignment="1">
      <alignment vertical="center"/>
    </xf>
    <xf numFmtId="49" fontId="10" fillId="52" borderId="10" xfId="0" applyNumberFormat="1" applyFont="1" applyFill="1" applyBorder="1" applyAlignment="1" applyProtection="1">
      <alignment horizontal="left"/>
      <protection locked="0"/>
    </xf>
    <xf numFmtId="49" fontId="10" fillId="52" borderId="8" xfId="0" applyNumberFormat="1" applyFont="1" applyFill="1" applyBorder="1" applyAlignment="1" applyProtection="1">
      <alignment horizontal="left"/>
      <protection locked="0"/>
    </xf>
  </cellXfs>
  <cellStyles count="328">
    <cellStyle name=" 1" xfId="28" xr:uid="{00000000-0005-0000-0000-000000000000}"/>
    <cellStyle name=" 1 2" xfId="29" xr:uid="{00000000-0005-0000-0000-000001000000}"/>
    <cellStyle name=" 1_29(d) - Gas extensions -tariffs" xfId="30" xr:uid="{00000000-0005-0000-0000-000002000000}"/>
    <cellStyle name="_Capex" xfId="31" xr:uid="{00000000-0005-0000-0000-000003000000}"/>
    <cellStyle name="_Capex 2" xfId="32" xr:uid="{00000000-0005-0000-0000-000004000000}"/>
    <cellStyle name="_Capex_29(d) - Gas extensions -tariffs" xfId="33" xr:uid="{00000000-0005-0000-0000-000005000000}"/>
    <cellStyle name="_UED AMP 2009-14 Final 250309 Less PU" xfId="34" xr:uid="{00000000-0005-0000-0000-000006000000}"/>
    <cellStyle name="_UED AMP 2009-14 Final 250309 Less PU_1011 monthly" xfId="35" xr:uid="{00000000-0005-0000-0000-000007000000}"/>
    <cellStyle name="20% - Accent1 2" xfId="36" xr:uid="{00000000-0005-0000-0000-000008000000}"/>
    <cellStyle name="20% - Accent2 2" xfId="37" xr:uid="{00000000-0005-0000-0000-000009000000}"/>
    <cellStyle name="20% - Accent3 2" xfId="38" xr:uid="{00000000-0005-0000-0000-00000A000000}"/>
    <cellStyle name="20% - Accent4 2" xfId="39" xr:uid="{00000000-0005-0000-0000-00000B000000}"/>
    <cellStyle name="20% - Accent5 2" xfId="40" xr:uid="{00000000-0005-0000-0000-00000C000000}"/>
    <cellStyle name="20% - Accent6 2" xfId="41" xr:uid="{00000000-0005-0000-0000-00000D000000}"/>
    <cellStyle name="40% - Accent1 2" xfId="42" xr:uid="{00000000-0005-0000-0000-00000E000000}"/>
    <cellStyle name="40% - Accent2 2" xfId="43" xr:uid="{00000000-0005-0000-0000-00000F000000}"/>
    <cellStyle name="40% - Accent3 2" xfId="44" xr:uid="{00000000-0005-0000-0000-000010000000}"/>
    <cellStyle name="40% - Accent4 2" xfId="45" xr:uid="{00000000-0005-0000-0000-000011000000}"/>
    <cellStyle name="40% - Accent5 2" xfId="46" xr:uid="{00000000-0005-0000-0000-000012000000}"/>
    <cellStyle name="40% - Accent6 2" xfId="47" xr:uid="{00000000-0005-0000-0000-000013000000}"/>
    <cellStyle name="60% - Accent1 2" xfId="48" xr:uid="{00000000-0005-0000-0000-000014000000}"/>
    <cellStyle name="60% - Accent2 2" xfId="49" xr:uid="{00000000-0005-0000-0000-000015000000}"/>
    <cellStyle name="60% - Accent3 2" xfId="50" xr:uid="{00000000-0005-0000-0000-000016000000}"/>
    <cellStyle name="60% - Accent4 2" xfId="51" xr:uid="{00000000-0005-0000-0000-000017000000}"/>
    <cellStyle name="60% - Accent5 2" xfId="52" xr:uid="{00000000-0005-0000-0000-000018000000}"/>
    <cellStyle name="60% - Accent6 2" xfId="53" xr:uid="{00000000-0005-0000-0000-000019000000}"/>
    <cellStyle name="Accent1 - 20%" xfId="54" xr:uid="{00000000-0005-0000-0000-00001A000000}"/>
    <cellStyle name="Accent1 - 40%" xfId="55" xr:uid="{00000000-0005-0000-0000-00001B000000}"/>
    <cellStyle name="Accent1 - 60%" xfId="56" xr:uid="{00000000-0005-0000-0000-00001C000000}"/>
    <cellStyle name="Accent1 2" xfId="57" xr:uid="{00000000-0005-0000-0000-00001D000000}"/>
    <cellStyle name="Accent2 - 20%" xfId="58" xr:uid="{00000000-0005-0000-0000-00001E000000}"/>
    <cellStyle name="Accent2 - 40%" xfId="59" xr:uid="{00000000-0005-0000-0000-00001F000000}"/>
    <cellStyle name="Accent2 - 60%" xfId="60" xr:uid="{00000000-0005-0000-0000-000020000000}"/>
    <cellStyle name="Accent2 2" xfId="61" xr:uid="{00000000-0005-0000-0000-000021000000}"/>
    <cellStyle name="Accent3 - 20%" xfId="62" xr:uid="{00000000-0005-0000-0000-000022000000}"/>
    <cellStyle name="Accent3 - 40%" xfId="63" xr:uid="{00000000-0005-0000-0000-000023000000}"/>
    <cellStyle name="Accent3 - 60%" xfId="64" xr:uid="{00000000-0005-0000-0000-000024000000}"/>
    <cellStyle name="Accent3 2" xfId="65" xr:uid="{00000000-0005-0000-0000-000025000000}"/>
    <cellStyle name="Accent4 - 20%" xfId="66" xr:uid="{00000000-0005-0000-0000-000026000000}"/>
    <cellStyle name="Accent4 - 40%" xfId="67" xr:uid="{00000000-0005-0000-0000-000027000000}"/>
    <cellStyle name="Accent4 - 60%" xfId="68" xr:uid="{00000000-0005-0000-0000-000028000000}"/>
    <cellStyle name="Accent4 2" xfId="69" xr:uid="{00000000-0005-0000-0000-000029000000}"/>
    <cellStyle name="Accent5 - 20%" xfId="70" xr:uid="{00000000-0005-0000-0000-00002A000000}"/>
    <cellStyle name="Accent5 - 40%" xfId="71" xr:uid="{00000000-0005-0000-0000-00002B000000}"/>
    <cellStyle name="Accent5 - 60%" xfId="72" xr:uid="{00000000-0005-0000-0000-00002C000000}"/>
    <cellStyle name="Accent5 2" xfId="73" xr:uid="{00000000-0005-0000-0000-00002D000000}"/>
    <cellStyle name="Accent6 - 20%" xfId="74" xr:uid="{00000000-0005-0000-0000-00002E000000}"/>
    <cellStyle name="Accent6 - 40%" xfId="75" xr:uid="{00000000-0005-0000-0000-00002F000000}"/>
    <cellStyle name="Accent6 - 60%" xfId="76" xr:uid="{00000000-0005-0000-0000-000030000000}"/>
    <cellStyle name="Accent6 2" xfId="77" xr:uid="{00000000-0005-0000-0000-000031000000}"/>
    <cellStyle name="Agara" xfId="78" xr:uid="{00000000-0005-0000-0000-000032000000}"/>
    <cellStyle name="Assumptions Right Number" xfId="6" xr:uid="{00000000-0005-0000-0000-000033000000}"/>
    <cellStyle name="B79812_.wvu.PrintTitlest" xfId="79" xr:uid="{00000000-0005-0000-0000-000034000000}"/>
    <cellStyle name="Bad 2" xfId="80" xr:uid="{00000000-0005-0000-0000-000035000000}"/>
    <cellStyle name="Black" xfId="81" xr:uid="{00000000-0005-0000-0000-000036000000}"/>
    <cellStyle name="Blockout" xfId="82" xr:uid="{00000000-0005-0000-0000-000037000000}"/>
    <cellStyle name="Blockout 2" xfId="83" xr:uid="{00000000-0005-0000-0000-000038000000}"/>
    <cellStyle name="Blockout 2 2" xfId="286" xr:uid="{00000000-0005-0000-0000-000039000000}"/>
    <cellStyle name="Blockout 3" xfId="285" xr:uid="{00000000-0005-0000-0000-00003A000000}"/>
    <cellStyle name="Blue" xfId="84" xr:uid="{00000000-0005-0000-0000-00003B000000}"/>
    <cellStyle name="Calcs_Divider" xfId="261" xr:uid="{00000000-0005-0000-0000-00003C000000}"/>
    <cellStyle name="Calculation 2" xfId="85" xr:uid="{00000000-0005-0000-0000-00003D000000}"/>
    <cellStyle name="Check" xfId="262" xr:uid="{00000000-0005-0000-0000-00003E000000}"/>
    <cellStyle name="Check Cell 2" xfId="86" xr:uid="{00000000-0005-0000-0000-00003F000000}"/>
    <cellStyle name="Column_Heading_1" xfId="263" xr:uid="{00000000-0005-0000-0000-000040000000}"/>
    <cellStyle name="Comma" xfId="12" builtinId="3"/>
    <cellStyle name="Comma [0]7Z_87C" xfId="87" xr:uid="{00000000-0005-0000-0000-000042000000}"/>
    <cellStyle name="Comma 0" xfId="88" xr:uid="{00000000-0005-0000-0000-000043000000}"/>
    <cellStyle name="Comma 1" xfId="89" xr:uid="{00000000-0005-0000-0000-000044000000}"/>
    <cellStyle name="Comma 1 2" xfId="90" xr:uid="{00000000-0005-0000-0000-000045000000}"/>
    <cellStyle name="Comma 10" xfId="283" xr:uid="{00000000-0005-0000-0000-000046000000}"/>
    <cellStyle name="Comma 11" xfId="24" xr:uid="{00000000-0005-0000-0000-000047000000}"/>
    <cellStyle name="Comma 2" xfId="5" xr:uid="{00000000-0005-0000-0000-000048000000}"/>
    <cellStyle name="Comma 2 2" xfId="91" xr:uid="{00000000-0005-0000-0000-000049000000}"/>
    <cellStyle name="Comma 2 2 2" xfId="287" xr:uid="{00000000-0005-0000-0000-00004A000000}"/>
    <cellStyle name="Comma 2 3" xfId="92" xr:uid="{00000000-0005-0000-0000-00004B000000}"/>
    <cellStyle name="Comma 2 3 2" xfId="93" xr:uid="{00000000-0005-0000-0000-00004C000000}"/>
    <cellStyle name="Comma 2 3 2 2" xfId="289" xr:uid="{00000000-0005-0000-0000-00004D000000}"/>
    <cellStyle name="Comma 2 3 3" xfId="288" xr:uid="{00000000-0005-0000-0000-00004E000000}"/>
    <cellStyle name="Comma 2 4" xfId="94" xr:uid="{00000000-0005-0000-0000-00004F000000}"/>
    <cellStyle name="Comma 2 4 2" xfId="290" xr:uid="{00000000-0005-0000-0000-000050000000}"/>
    <cellStyle name="Comma 2 5" xfId="95" xr:uid="{00000000-0005-0000-0000-000051000000}"/>
    <cellStyle name="Comma 2 5 2" xfId="291" xr:uid="{00000000-0005-0000-0000-000052000000}"/>
    <cellStyle name="Comma 2 6" xfId="284" xr:uid="{00000000-0005-0000-0000-000053000000}"/>
    <cellStyle name="Comma 2 7" xfId="26" xr:uid="{00000000-0005-0000-0000-000054000000}"/>
    <cellStyle name="Comma 3" xfId="9" xr:uid="{00000000-0005-0000-0000-000055000000}"/>
    <cellStyle name="Comma 3 2" xfId="97" xr:uid="{00000000-0005-0000-0000-000056000000}"/>
    <cellStyle name="Comma 3 3" xfId="98" xr:uid="{00000000-0005-0000-0000-000057000000}"/>
    <cellStyle name="Comma 3 3 2" xfId="292" xr:uid="{00000000-0005-0000-0000-000058000000}"/>
    <cellStyle name="Comma 3 4" xfId="96" xr:uid="{00000000-0005-0000-0000-000059000000}"/>
    <cellStyle name="Comma 4" xfId="13" xr:uid="{00000000-0005-0000-0000-00005A000000}"/>
    <cellStyle name="Comma 4 2" xfId="293" xr:uid="{00000000-0005-0000-0000-00005B000000}"/>
    <cellStyle name="Comma 4 3" xfId="99" xr:uid="{00000000-0005-0000-0000-00005C000000}"/>
    <cellStyle name="Comma 5" xfId="14" xr:uid="{00000000-0005-0000-0000-00005D000000}"/>
    <cellStyle name="Comma 5 2" xfId="294" xr:uid="{00000000-0005-0000-0000-00005E000000}"/>
    <cellStyle name="Comma 5 3" xfId="100" xr:uid="{00000000-0005-0000-0000-00005F000000}"/>
    <cellStyle name="Comma 6" xfId="21" xr:uid="{00000000-0005-0000-0000-000060000000}"/>
    <cellStyle name="Comma 6 2" xfId="295" xr:uid="{00000000-0005-0000-0000-000061000000}"/>
    <cellStyle name="Comma 6 3" xfId="101" xr:uid="{00000000-0005-0000-0000-000062000000}"/>
    <cellStyle name="Comma 7" xfId="102" xr:uid="{00000000-0005-0000-0000-000063000000}"/>
    <cellStyle name="Comma 7 2" xfId="296" xr:uid="{00000000-0005-0000-0000-000064000000}"/>
    <cellStyle name="Comma 8" xfId="103" xr:uid="{00000000-0005-0000-0000-000065000000}"/>
    <cellStyle name="Comma 8 2" xfId="297" xr:uid="{00000000-0005-0000-0000-000066000000}"/>
    <cellStyle name="Comma 9" xfId="319" xr:uid="{00000000-0005-0000-0000-000067000000}"/>
    <cellStyle name="Comma0" xfId="104" xr:uid="{00000000-0005-0000-0000-000068000000}"/>
    <cellStyle name="Currency 11" xfId="105" xr:uid="{00000000-0005-0000-0000-000069000000}"/>
    <cellStyle name="Currency 11 2" xfId="106" xr:uid="{00000000-0005-0000-0000-00006A000000}"/>
    <cellStyle name="Currency 11 2 2" xfId="299" xr:uid="{00000000-0005-0000-0000-00006B000000}"/>
    <cellStyle name="Currency 11 3" xfId="298" xr:uid="{00000000-0005-0000-0000-00006C000000}"/>
    <cellStyle name="Currency 2" xfId="4" xr:uid="{00000000-0005-0000-0000-00006D000000}"/>
    <cellStyle name="Currency 2 2" xfId="108" xr:uid="{00000000-0005-0000-0000-00006E000000}"/>
    <cellStyle name="Currency 2 2 2" xfId="301" xr:uid="{00000000-0005-0000-0000-00006F000000}"/>
    <cellStyle name="Currency 2 3" xfId="300" xr:uid="{00000000-0005-0000-0000-000070000000}"/>
    <cellStyle name="Currency 2 4" xfId="107" xr:uid="{00000000-0005-0000-0000-000071000000}"/>
    <cellStyle name="Currency 3" xfId="109" xr:uid="{00000000-0005-0000-0000-000072000000}"/>
    <cellStyle name="Currency 3 2" xfId="110" xr:uid="{00000000-0005-0000-0000-000073000000}"/>
    <cellStyle name="Currency 3 2 2" xfId="303" xr:uid="{00000000-0005-0000-0000-000074000000}"/>
    <cellStyle name="Currency 3 3" xfId="302" xr:uid="{00000000-0005-0000-0000-000075000000}"/>
    <cellStyle name="Currency 4" xfId="111" xr:uid="{00000000-0005-0000-0000-000076000000}"/>
    <cellStyle name="Currency 4 2" xfId="112" xr:uid="{00000000-0005-0000-0000-000077000000}"/>
    <cellStyle name="Currency 4 2 2" xfId="305" xr:uid="{00000000-0005-0000-0000-000078000000}"/>
    <cellStyle name="Currency 4 3" xfId="304" xr:uid="{00000000-0005-0000-0000-000079000000}"/>
    <cellStyle name="Currency 5" xfId="260" xr:uid="{00000000-0005-0000-0000-00007A000000}"/>
    <cellStyle name="Currency 5 2" xfId="314" xr:uid="{00000000-0005-0000-0000-00007B000000}"/>
    <cellStyle name="Currency 6" xfId="317" xr:uid="{00000000-0005-0000-0000-00007C000000}"/>
    <cellStyle name="D4_B8B1_005004B79812_.wvu.PrintTitlest" xfId="113" xr:uid="{00000000-0005-0000-0000-00007D000000}"/>
    <cellStyle name="Date" xfId="114" xr:uid="{00000000-0005-0000-0000-00007E000000}"/>
    <cellStyle name="Date 2" xfId="115" xr:uid="{00000000-0005-0000-0000-00007F000000}"/>
    <cellStyle name="dms_1" xfId="282" xr:uid="{00000000-0005-0000-0000-000080000000}"/>
    <cellStyle name="Emphasis 1" xfId="116" xr:uid="{00000000-0005-0000-0000-000081000000}"/>
    <cellStyle name="Emphasis 2" xfId="117" xr:uid="{00000000-0005-0000-0000-000082000000}"/>
    <cellStyle name="Emphasis 3" xfId="118" xr:uid="{00000000-0005-0000-0000-000083000000}"/>
    <cellStyle name="Empty_Cell" xfId="264" xr:uid="{00000000-0005-0000-0000-000084000000}"/>
    <cellStyle name="Euro" xfId="119" xr:uid="{00000000-0005-0000-0000-000085000000}"/>
    <cellStyle name="Explanatory Text 2" xfId="120" xr:uid="{00000000-0005-0000-0000-000086000000}"/>
    <cellStyle name="Fixed" xfId="121" xr:uid="{00000000-0005-0000-0000-000087000000}"/>
    <cellStyle name="Fixed 2" xfId="122" xr:uid="{00000000-0005-0000-0000-000088000000}"/>
    <cellStyle name="Gilsans" xfId="123" xr:uid="{00000000-0005-0000-0000-000089000000}"/>
    <cellStyle name="Gilsansl" xfId="124" xr:uid="{00000000-0005-0000-0000-00008A000000}"/>
    <cellStyle name="Good 2" xfId="125" xr:uid="{00000000-0005-0000-0000-00008B000000}"/>
    <cellStyle name="Header1" xfId="265" xr:uid="{00000000-0005-0000-0000-00008C000000}"/>
    <cellStyle name="Header2" xfId="266" xr:uid="{00000000-0005-0000-0000-00008D000000}"/>
    <cellStyle name="Header3" xfId="267" xr:uid="{00000000-0005-0000-0000-00008E000000}"/>
    <cellStyle name="Header4" xfId="268" xr:uid="{00000000-0005-0000-0000-00008F000000}"/>
    <cellStyle name="Header5" xfId="269" xr:uid="{00000000-0005-0000-0000-000090000000}"/>
    <cellStyle name="Heading 1 2" xfId="126" xr:uid="{00000000-0005-0000-0000-000091000000}"/>
    <cellStyle name="Heading 1 2 2" xfId="127" xr:uid="{00000000-0005-0000-0000-000092000000}"/>
    <cellStyle name="Heading 1 3" xfId="128" xr:uid="{00000000-0005-0000-0000-000093000000}"/>
    <cellStyle name="Heading 2 2" xfId="129" xr:uid="{00000000-0005-0000-0000-000094000000}"/>
    <cellStyle name="Heading 2 2 2" xfId="130" xr:uid="{00000000-0005-0000-0000-000095000000}"/>
    <cellStyle name="Heading 2 3" xfId="131" xr:uid="{00000000-0005-0000-0000-000096000000}"/>
    <cellStyle name="Heading 3 2" xfId="132" xr:uid="{00000000-0005-0000-0000-000097000000}"/>
    <cellStyle name="Heading 3 2 2" xfId="133" xr:uid="{00000000-0005-0000-0000-000098000000}"/>
    <cellStyle name="Heading 3 3" xfId="134" xr:uid="{00000000-0005-0000-0000-000099000000}"/>
    <cellStyle name="Heading 4 2" xfId="135" xr:uid="{00000000-0005-0000-0000-00009A000000}"/>
    <cellStyle name="Heading 4 2 2" xfId="136" xr:uid="{00000000-0005-0000-0000-00009B000000}"/>
    <cellStyle name="Heading 4 3" xfId="137" xr:uid="{00000000-0005-0000-0000-00009C000000}"/>
    <cellStyle name="Heading(4)" xfId="138" xr:uid="{00000000-0005-0000-0000-00009D000000}"/>
    <cellStyle name="Hyperlink" xfId="20" builtinId="8"/>
    <cellStyle name="Hyperlink 2" xfId="18" xr:uid="{00000000-0005-0000-0000-00009F000000}"/>
    <cellStyle name="Hyperlink 2 2" xfId="139" xr:uid="{00000000-0005-0000-0000-0000A0000000}"/>
    <cellStyle name="Hyperlink 3" xfId="326" xr:uid="{00000000-0005-0000-0000-0000A1000000}"/>
    <cellStyle name="Hyperlink Arrow" xfId="140" xr:uid="{00000000-0005-0000-0000-0000A2000000}"/>
    <cellStyle name="Hyperlink Text" xfId="141" xr:uid="{00000000-0005-0000-0000-0000A3000000}"/>
    <cellStyle name="Input 2" xfId="142" xr:uid="{00000000-0005-0000-0000-0000A4000000}"/>
    <cellStyle name="Input|Date" xfId="22" xr:uid="{00000000-0005-0000-0000-0000A5000000}"/>
    <cellStyle name="Input1" xfId="143" xr:uid="{00000000-0005-0000-0000-0000A6000000}"/>
    <cellStyle name="Input1 2" xfId="144" xr:uid="{00000000-0005-0000-0000-0000A7000000}"/>
    <cellStyle name="Input1 2 2" xfId="307" xr:uid="{00000000-0005-0000-0000-0000A8000000}"/>
    <cellStyle name="Input1 3" xfId="306" xr:uid="{00000000-0005-0000-0000-0000A9000000}"/>
    <cellStyle name="Input2" xfId="145" xr:uid="{00000000-0005-0000-0000-0000AA000000}"/>
    <cellStyle name="Input2 2" xfId="146" xr:uid="{00000000-0005-0000-0000-0000AB000000}"/>
    <cellStyle name="Input3" xfId="147" xr:uid="{00000000-0005-0000-0000-0000AC000000}"/>
    <cellStyle name="Input3 2" xfId="148" xr:uid="{00000000-0005-0000-0000-0000AD000000}"/>
    <cellStyle name="Input3 2 2" xfId="309" xr:uid="{00000000-0005-0000-0000-0000AE000000}"/>
    <cellStyle name="Input3 3" xfId="308" xr:uid="{00000000-0005-0000-0000-0000AF000000}"/>
    <cellStyle name="Inputs_Divider" xfId="270" xr:uid="{00000000-0005-0000-0000-0000B0000000}"/>
    <cellStyle name="InSheet" xfId="271" xr:uid="{00000000-0005-0000-0000-0000B1000000}"/>
    <cellStyle name="K_Number" xfId="321" xr:uid="{00000000-0005-0000-0000-0000B2000000}"/>
    <cellStyle name="Lines" xfId="149" xr:uid="{00000000-0005-0000-0000-0000B3000000}"/>
    <cellStyle name="Linked Cell 2" xfId="150" xr:uid="{00000000-0005-0000-0000-0000B4000000}"/>
    <cellStyle name="Mine" xfId="151" xr:uid="{00000000-0005-0000-0000-0000B5000000}"/>
    <cellStyle name="Model Name" xfId="152" xr:uid="{00000000-0005-0000-0000-0000B6000000}"/>
    <cellStyle name="Neutral 2" xfId="153" xr:uid="{00000000-0005-0000-0000-0000B7000000}"/>
    <cellStyle name="Normal" xfId="0" builtinId="0"/>
    <cellStyle name="Normal - Style1" xfId="154" xr:uid="{00000000-0005-0000-0000-0000B9000000}"/>
    <cellStyle name="Normal 10" xfId="258" xr:uid="{00000000-0005-0000-0000-0000BA000000}"/>
    <cellStyle name="Normal 10 2" xfId="312" xr:uid="{00000000-0005-0000-0000-0000BB000000}"/>
    <cellStyle name="Normal 10 3" xfId="322" xr:uid="{00000000-0005-0000-0000-0000BC000000}"/>
    <cellStyle name="Normal 11" xfId="281" xr:uid="{00000000-0005-0000-0000-0000BD000000}"/>
    <cellStyle name="Normal 11 2" xfId="315" xr:uid="{00000000-0005-0000-0000-0000BE000000}"/>
    <cellStyle name="Normal 12" xfId="318" xr:uid="{00000000-0005-0000-0000-0000BF000000}"/>
    <cellStyle name="Normal 13" xfId="155" xr:uid="{00000000-0005-0000-0000-0000C0000000}"/>
    <cellStyle name="Normal 13 2" xfId="25" xr:uid="{00000000-0005-0000-0000-0000C1000000}"/>
    <cellStyle name="Normal 13_29(d) - Gas extensions -tariffs" xfId="156" xr:uid="{00000000-0005-0000-0000-0000C2000000}"/>
    <cellStyle name="Normal 14" xfId="323" xr:uid="{00000000-0005-0000-0000-0000C3000000}"/>
    <cellStyle name="Normal 15" xfId="157" xr:uid="{00000000-0005-0000-0000-0000C4000000}"/>
    <cellStyle name="Normal 16" xfId="158" xr:uid="{00000000-0005-0000-0000-0000C5000000}"/>
    <cellStyle name="Normal 17" xfId="325" xr:uid="{00000000-0005-0000-0000-0000C6000000}"/>
    <cellStyle name="Normal 18" xfId="327" xr:uid="{00000000-0005-0000-0000-0000C7000000}"/>
    <cellStyle name="Normal 2" xfId="1" xr:uid="{00000000-0005-0000-0000-0000C8000000}"/>
    <cellStyle name="Normal 2 2" xfId="7" xr:uid="{00000000-0005-0000-0000-0000C9000000}"/>
    <cellStyle name="Normal 2 2 2" xfId="160" xr:uid="{00000000-0005-0000-0000-0000CA000000}"/>
    <cellStyle name="Normal 2 2 3" xfId="159" xr:uid="{00000000-0005-0000-0000-0000CB000000}"/>
    <cellStyle name="Normal 2 3" xfId="161" xr:uid="{00000000-0005-0000-0000-0000CC000000}"/>
    <cellStyle name="Normal 2 3 2" xfId="162" xr:uid="{00000000-0005-0000-0000-0000CD000000}"/>
    <cellStyle name="Normal 2 3_29(d) - Gas extensions -tariffs" xfId="163" xr:uid="{00000000-0005-0000-0000-0000CE000000}"/>
    <cellStyle name="Normal 2 4" xfId="164" xr:uid="{00000000-0005-0000-0000-0000CF000000}"/>
    <cellStyle name="Normal 2 5" xfId="165" xr:uid="{00000000-0005-0000-0000-0000D0000000}"/>
    <cellStyle name="Normal 2 6" xfId="324" xr:uid="{00000000-0005-0000-0000-0000D1000000}"/>
    <cellStyle name="Normal 2_29(d) - Gas extensions -tariffs" xfId="166" xr:uid="{00000000-0005-0000-0000-0000D2000000}"/>
    <cellStyle name="Normal 3" xfId="2" xr:uid="{00000000-0005-0000-0000-0000D3000000}"/>
    <cellStyle name="Normal 3 2" xfId="168" xr:uid="{00000000-0005-0000-0000-0000D4000000}"/>
    <cellStyle name="Normal 3 2 2" xfId="11" xr:uid="{00000000-0005-0000-0000-0000D5000000}"/>
    <cellStyle name="Normal 3 3" xfId="167" xr:uid="{00000000-0005-0000-0000-0000D6000000}"/>
    <cellStyle name="Normal 3_29(d) - Gas extensions -tariffs" xfId="169" xr:uid="{00000000-0005-0000-0000-0000D7000000}"/>
    <cellStyle name="Normal 38" xfId="170" xr:uid="{00000000-0005-0000-0000-0000D8000000}"/>
    <cellStyle name="Normal 38 2" xfId="171" xr:uid="{00000000-0005-0000-0000-0000D9000000}"/>
    <cellStyle name="Normal 38_29(d) - Gas extensions -tariffs" xfId="172" xr:uid="{00000000-0005-0000-0000-0000DA000000}"/>
    <cellStyle name="Normal 4" xfId="8" xr:uid="{00000000-0005-0000-0000-0000DB000000}"/>
    <cellStyle name="Normal 4 2" xfId="174" xr:uid="{00000000-0005-0000-0000-0000DC000000}"/>
    <cellStyle name="Normal 4 3" xfId="175" xr:uid="{00000000-0005-0000-0000-0000DD000000}"/>
    <cellStyle name="Normal 4 3 2" xfId="310" xr:uid="{00000000-0005-0000-0000-0000DE000000}"/>
    <cellStyle name="Normal 4 4" xfId="173" xr:uid="{00000000-0005-0000-0000-0000DF000000}"/>
    <cellStyle name="Normal 4_29(d) - Gas extensions -tariffs" xfId="176" xr:uid="{00000000-0005-0000-0000-0000E0000000}"/>
    <cellStyle name="Normal 40" xfId="177" xr:uid="{00000000-0005-0000-0000-0000E1000000}"/>
    <cellStyle name="Normal 40 2" xfId="178" xr:uid="{00000000-0005-0000-0000-0000E2000000}"/>
    <cellStyle name="Normal 40_29(d) - Gas extensions -tariffs" xfId="179" xr:uid="{00000000-0005-0000-0000-0000E3000000}"/>
    <cellStyle name="Normal 42" xfId="320" xr:uid="{00000000-0005-0000-0000-0000E4000000}"/>
    <cellStyle name="Normal 5" xfId="15" xr:uid="{00000000-0005-0000-0000-0000E5000000}"/>
    <cellStyle name="Normal 5 2" xfId="181" xr:uid="{00000000-0005-0000-0000-0000E6000000}"/>
    <cellStyle name="Normal 5 3" xfId="180" xr:uid="{00000000-0005-0000-0000-0000E7000000}"/>
    <cellStyle name="Normal 6" xfId="17" xr:uid="{00000000-0005-0000-0000-0000E8000000}"/>
    <cellStyle name="Normal 6 2" xfId="183" xr:uid="{00000000-0005-0000-0000-0000E9000000}"/>
    <cellStyle name="Normal 6 3" xfId="182" xr:uid="{00000000-0005-0000-0000-0000EA000000}"/>
    <cellStyle name="Normal 7" xfId="27" xr:uid="{00000000-0005-0000-0000-0000EB000000}"/>
    <cellStyle name="Normal 7 2" xfId="184" xr:uid="{00000000-0005-0000-0000-0000EC000000}"/>
    <cellStyle name="Normal 7 2 2" xfId="311" xr:uid="{00000000-0005-0000-0000-0000ED000000}"/>
    <cellStyle name="Normal 8" xfId="185" xr:uid="{00000000-0005-0000-0000-0000EE000000}"/>
    <cellStyle name="Normal 9" xfId="186" xr:uid="{00000000-0005-0000-0000-0000EF000000}"/>
    <cellStyle name="Note 2" xfId="187" xr:uid="{00000000-0005-0000-0000-0000F0000000}"/>
    <cellStyle name="OffSheet" xfId="272" xr:uid="{00000000-0005-0000-0000-0000F1000000}"/>
    <cellStyle name="Output 2" xfId="188" xr:uid="{00000000-0005-0000-0000-0000F2000000}"/>
    <cellStyle name="Percent" xfId="10" builtinId="5"/>
    <cellStyle name="Percent [2]" xfId="189" xr:uid="{00000000-0005-0000-0000-0000F4000000}"/>
    <cellStyle name="Percent [2] 2" xfId="190" xr:uid="{00000000-0005-0000-0000-0000F5000000}"/>
    <cellStyle name="Percent [2]_29(d) - Gas extensions -tariffs" xfId="191" xr:uid="{00000000-0005-0000-0000-0000F6000000}"/>
    <cellStyle name="Percent 2" xfId="3" xr:uid="{00000000-0005-0000-0000-0000F7000000}"/>
    <cellStyle name="Percent 2 2" xfId="192" xr:uid="{00000000-0005-0000-0000-0000F8000000}"/>
    <cellStyle name="Percent 2 3" xfId="23" xr:uid="{00000000-0005-0000-0000-0000F9000000}"/>
    <cellStyle name="Percent 3" xfId="16" xr:uid="{00000000-0005-0000-0000-0000FA000000}"/>
    <cellStyle name="Percent 3 2" xfId="194" xr:uid="{00000000-0005-0000-0000-0000FB000000}"/>
    <cellStyle name="Percent 3 3" xfId="193" xr:uid="{00000000-0005-0000-0000-0000FC000000}"/>
    <cellStyle name="Percent 4" xfId="19" xr:uid="{00000000-0005-0000-0000-0000FD000000}"/>
    <cellStyle name="Percent 4 2" xfId="195" xr:uid="{00000000-0005-0000-0000-0000FE000000}"/>
    <cellStyle name="Percent 5" xfId="259" xr:uid="{00000000-0005-0000-0000-0000FF000000}"/>
    <cellStyle name="Percent 5 2" xfId="313" xr:uid="{00000000-0005-0000-0000-000000010000}"/>
    <cellStyle name="Percent 6" xfId="316" xr:uid="{00000000-0005-0000-0000-000001010000}"/>
    <cellStyle name="Percent 7" xfId="196" xr:uid="{00000000-0005-0000-0000-000002010000}"/>
    <cellStyle name="Percentage" xfId="197" xr:uid="{00000000-0005-0000-0000-000003010000}"/>
    <cellStyle name="Period Title" xfId="198" xr:uid="{00000000-0005-0000-0000-000004010000}"/>
    <cellStyle name="PSChar" xfId="199" xr:uid="{00000000-0005-0000-0000-000005010000}"/>
    <cellStyle name="PSDate" xfId="200" xr:uid="{00000000-0005-0000-0000-000006010000}"/>
    <cellStyle name="PSDec" xfId="201" xr:uid="{00000000-0005-0000-0000-000007010000}"/>
    <cellStyle name="PSDetail" xfId="202" xr:uid="{00000000-0005-0000-0000-000008010000}"/>
    <cellStyle name="PSHeading" xfId="203" xr:uid="{00000000-0005-0000-0000-000009010000}"/>
    <cellStyle name="PSInt" xfId="204" xr:uid="{00000000-0005-0000-0000-00000A010000}"/>
    <cellStyle name="PSSpacer" xfId="205" xr:uid="{00000000-0005-0000-0000-00000B010000}"/>
    <cellStyle name="Ratio" xfId="206" xr:uid="{00000000-0005-0000-0000-00000C010000}"/>
    <cellStyle name="Ratio 2" xfId="207" xr:uid="{00000000-0005-0000-0000-00000D010000}"/>
    <cellStyle name="Ratio_29(d) - Gas extensions -tariffs" xfId="208" xr:uid="{00000000-0005-0000-0000-00000E010000}"/>
    <cellStyle name="Right Date" xfId="209" xr:uid="{00000000-0005-0000-0000-00000F010000}"/>
    <cellStyle name="Right Number" xfId="210" xr:uid="{00000000-0005-0000-0000-000010010000}"/>
    <cellStyle name="Right Year" xfId="211" xr:uid="{00000000-0005-0000-0000-000011010000}"/>
    <cellStyle name="SAPError" xfId="212" xr:uid="{00000000-0005-0000-0000-000012010000}"/>
    <cellStyle name="SAPError 2" xfId="213" xr:uid="{00000000-0005-0000-0000-000013010000}"/>
    <cellStyle name="SAPKey" xfId="214" xr:uid="{00000000-0005-0000-0000-000014010000}"/>
    <cellStyle name="SAPKey 2" xfId="215" xr:uid="{00000000-0005-0000-0000-000015010000}"/>
    <cellStyle name="SAPLocked" xfId="216" xr:uid="{00000000-0005-0000-0000-000016010000}"/>
    <cellStyle name="SAPLocked 2" xfId="217" xr:uid="{00000000-0005-0000-0000-000017010000}"/>
    <cellStyle name="SAPOutput" xfId="218" xr:uid="{00000000-0005-0000-0000-000018010000}"/>
    <cellStyle name="SAPOutput 2" xfId="219" xr:uid="{00000000-0005-0000-0000-000019010000}"/>
    <cellStyle name="SAPSpace" xfId="220" xr:uid="{00000000-0005-0000-0000-00001A010000}"/>
    <cellStyle name="SAPSpace 2" xfId="221" xr:uid="{00000000-0005-0000-0000-00001B010000}"/>
    <cellStyle name="SAPText" xfId="222" xr:uid="{00000000-0005-0000-0000-00001C010000}"/>
    <cellStyle name="SAPText 2" xfId="223" xr:uid="{00000000-0005-0000-0000-00001D010000}"/>
    <cellStyle name="SAPUnLocked" xfId="224" xr:uid="{00000000-0005-0000-0000-00001E010000}"/>
    <cellStyle name="SAPUnLocked 2" xfId="225" xr:uid="{00000000-0005-0000-0000-00001F010000}"/>
    <cellStyle name="Sheet Title" xfId="226" xr:uid="{00000000-0005-0000-0000-000020010000}"/>
    <cellStyle name="SheetHeader1" xfId="273" xr:uid="{00000000-0005-0000-0000-000021010000}"/>
    <cellStyle name="SheetHeader2" xfId="274" xr:uid="{00000000-0005-0000-0000-000022010000}"/>
    <cellStyle name="SheetHeader3" xfId="275" xr:uid="{00000000-0005-0000-0000-000023010000}"/>
    <cellStyle name="Style 1" xfId="227" xr:uid="{00000000-0005-0000-0000-000024010000}"/>
    <cellStyle name="Style 1 2" xfId="228" xr:uid="{00000000-0005-0000-0000-000025010000}"/>
    <cellStyle name="Style 1_29(d) - Gas extensions -tariffs" xfId="229" xr:uid="{00000000-0005-0000-0000-000026010000}"/>
    <cellStyle name="Style2" xfId="230" xr:uid="{00000000-0005-0000-0000-000027010000}"/>
    <cellStyle name="Style3" xfId="231" xr:uid="{00000000-0005-0000-0000-000028010000}"/>
    <cellStyle name="Style4" xfId="232" xr:uid="{00000000-0005-0000-0000-000029010000}"/>
    <cellStyle name="Style4 2" xfId="233" xr:uid="{00000000-0005-0000-0000-00002A010000}"/>
    <cellStyle name="Style4_29(d) - Gas extensions -tariffs" xfId="234" xr:uid="{00000000-0005-0000-0000-00002B010000}"/>
    <cellStyle name="Style5" xfId="235" xr:uid="{00000000-0005-0000-0000-00002C010000}"/>
    <cellStyle name="Style5 2" xfId="236" xr:uid="{00000000-0005-0000-0000-00002D010000}"/>
    <cellStyle name="Style5_29(d) - Gas extensions -tariffs" xfId="237" xr:uid="{00000000-0005-0000-0000-00002E010000}"/>
    <cellStyle name="Table Head Green" xfId="238" xr:uid="{00000000-0005-0000-0000-00002F010000}"/>
    <cellStyle name="Table Head_pldt" xfId="239" xr:uid="{00000000-0005-0000-0000-000030010000}"/>
    <cellStyle name="Table Source" xfId="240" xr:uid="{00000000-0005-0000-0000-000031010000}"/>
    <cellStyle name="Table Units" xfId="241" xr:uid="{00000000-0005-0000-0000-000032010000}"/>
    <cellStyle name="Table_Heading" xfId="276" xr:uid="{00000000-0005-0000-0000-000033010000}"/>
    <cellStyle name="Technical_Input" xfId="277" xr:uid="{00000000-0005-0000-0000-000034010000}"/>
    <cellStyle name="Text" xfId="242" xr:uid="{00000000-0005-0000-0000-000035010000}"/>
    <cellStyle name="Text 2" xfId="243" xr:uid="{00000000-0005-0000-0000-000036010000}"/>
    <cellStyle name="Text 3" xfId="244" xr:uid="{00000000-0005-0000-0000-000037010000}"/>
    <cellStyle name="Text Head 1" xfId="245" xr:uid="{00000000-0005-0000-0000-000038010000}"/>
    <cellStyle name="Text Head 2" xfId="246" xr:uid="{00000000-0005-0000-0000-000039010000}"/>
    <cellStyle name="Text Indent 2" xfId="247" xr:uid="{00000000-0005-0000-0000-00003A010000}"/>
    <cellStyle name="Theirs" xfId="248" xr:uid="{00000000-0005-0000-0000-00003B010000}"/>
    <cellStyle name="Title 2" xfId="249" xr:uid="{00000000-0005-0000-0000-00003C010000}"/>
    <cellStyle name="TOC 1" xfId="250" xr:uid="{00000000-0005-0000-0000-00003D010000}"/>
    <cellStyle name="TOC 2" xfId="251" xr:uid="{00000000-0005-0000-0000-00003E010000}"/>
    <cellStyle name="TOC 3" xfId="252" xr:uid="{00000000-0005-0000-0000-00003F010000}"/>
    <cellStyle name="Total 2" xfId="253" xr:uid="{00000000-0005-0000-0000-000040010000}"/>
    <cellStyle name="Totals" xfId="278" xr:uid="{00000000-0005-0000-0000-000041010000}"/>
    <cellStyle name="unit" xfId="279" xr:uid="{00000000-0005-0000-0000-000042010000}"/>
    <cellStyle name="User_Input" xfId="280" xr:uid="{00000000-0005-0000-0000-000043010000}"/>
    <cellStyle name="Warning Text 2" xfId="254" xr:uid="{00000000-0005-0000-0000-000044010000}"/>
    <cellStyle name="year" xfId="255" xr:uid="{00000000-0005-0000-0000-000045010000}"/>
    <cellStyle name="year 2" xfId="256" xr:uid="{00000000-0005-0000-0000-000046010000}"/>
    <cellStyle name="year_29(d) - Gas extensions -tariffs" xfId="257" xr:uid="{00000000-0005-0000-0000-000047010000}"/>
  </cellStyles>
  <dxfs count="0"/>
  <tableStyles count="0" defaultTableStyle="TableStyleMedium2" defaultPivotStyle="PivotStyleLight16"/>
  <colors>
    <mruColors>
      <color rgb="FFCCFFFF"/>
      <color rgb="FFCCFFCC"/>
      <color rgb="FFFFFFCC"/>
      <color rgb="FFF79646"/>
      <color rgb="FFFFCCFF"/>
      <color rgb="FF4BACC6"/>
      <color rgb="FFC0504D"/>
      <color rgb="FF9BBB59"/>
      <color rgb="FFFFCC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'Output|Summary'!$A$33</c:f>
              <c:strCache>
                <c:ptCount val="1"/>
                <c:pt idx="0">
                  <c:v>Model</c:v>
                </c:pt>
              </c:strCache>
            </c:strRef>
          </c:tx>
          <c:spPr>
            <a:solidFill>
              <a:schemeClr val="accent1"/>
            </a:solidFill>
            <a:ln>
              <a:noFill/>
            </a:ln>
            <a:effectLst/>
          </c:spPr>
          <c:invertIfNegative val="0"/>
          <c:dPt>
            <c:idx val="0"/>
            <c:invertIfNegative val="0"/>
            <c:bubble3D val="0"/>
            <c:spPr>
              <a:solidFill>
                <a:srgbClr val="9BBB59"/>
              </a:solidFill>
              <a:ln>
                <a:noFill/>
              </a:ln>
              <a:effectLst/>
            </c:spPr>
            <c:extLst>
              <c:ext xmlns:c16="http://schemas.microsoft.com/office/drawing/2014/chart" uri="{C3380CC4-5D6E-409C-BE32-E72D297353CC}">
                <c16:uniqueId val="{0000000E-1B5D-4FFF-A9FF-4C7737363235}"/>
              </c:ext>
            </c:extLst>
          </c:dPt>
          <c:dPt>
            <c:idx val="1"/>
            <c:invertIfNegative val="0"/>
            <c:bubble3D val="0"/>
            <c:spPr>
              <a:solidFill>
                <a:srgbClr val="9BBB59"/>
              </a:solidFill>
              <a:ln>
                <a:noFill/>
              </a:ln>
              <a:effectLst/>
            </c:spPr>
            <c:extLst>
              <c:ext xmlns:c16="http://schemas.microsoft.com/office/drawing/2014/chart" uri="{C3380CC4-5D6E-409C-BE32-E72D297353CC}">
                <c16:uniqueId val="{00000014-1B5D-4FFF-A9FF-4C7737363235}"/>
              </c:ext>
            </c:extLst>
          </c:dPt>
          <c:dPt>
            <c:idx val="2"/>
            <c:invertIfNegative val="0"/>
            <c:bubble3D val="0"/>
            <c:spPr>
              <a:solidFill>
                <a:srgbClr val="9BBB59"/>
              </a:solidFill>
              <a:ln>
                <a:noFill/>
              </a:ln>
              <a:effectLst/>
            </c:spPr>
            <c:extLst>
              <c:ext xmlns:c16="http://schemas.microsoft.com/office/drawing/2014/chart" uri="{C3380CC4-5D6E-409C-BE32-E72D297353CC}">
                <c16:uniqueId val="{0000001B-1B5D-4FFF-A9FF-4C7737363235}"/>
              </c:ext>
            </c:extLst>
          </c:dPt>
          <c:dPt>
            <c:idx val="3"/>
            <c:invertIfNegative val="0"/>
            <c:bubble3D val="0"/>
            <c:spPr>
              <a:solidFill>
                <a:srgbClr val="9BBB59"/>
              </a:solidFill>
              <a:ln>
                <a:noFill/>
              </a:ln>
              <a:effectLst/>
            </c:spPr>
            <c:extLst>
              <c:ext xmlns:c16="http://schemas.microsoft.com/office/drawing/2014/chart" uri="{C3380CC4-5D6E-409C-BE32-E72D297353CC}">
                <c16:uniqueId val="{0000001D-1B5D-4FFF-A9FF-4C7737363235}"/>
              </c:ext>
            </c:extLst>
          </c:dPt>
          <c:dPt>
            <c:idx val="4"/>
            <c:invertIfNegative val="0"/>
            <c:bubble3D val="0"/>
            <c:spPr>
              <a:solidFill>
                <a:srgbClr val="C0504D"/>
              </a:solidFill>
              <a:ln>
                <a:noFill/>
              </a:ln>
              <a:effectLst/>
            </c:spPr>
            <c:extLst>
              <c:ext xmlns:c16="http://schemas.microsoft.com/office/drawing/2014/chart" uri="{C3380CC4-5D6E-409C-BE32-E72D297353CC}">
                <c16:uniqueId val="{00000022-1B5D-4FFF-A9FF-4C7737363235}"/>
              </c:ext>
            </c:extLst>
          </c:dPt>
          <c:cat>
            <c:strRef>
              <c:f>'Output|Summary'!$A$34:$A$38</c:f>
              <c:strCache>
                <c:ptCount val="5"/>
                <c:pt idx="0">
                  <c:v>Cobb-Douglas LSE</c:v>
                </c:pt>
                <c:pt idx="1">
                  <c:v>Cobb-Douglas SFA</c:v>
                </c:pt>
                <c:pt idx="2">
                  <c:v>Translog LSE</c:v>
                </c:pt>
                <c:pt idx="3">
                  <c:v>Translog SFA</c:v>
                </c:pt>
                <c:pt idx="4">
                  <c:v>Actual / proposed opex quantity</c:v>
                </c:pt>
              </c:strCache>
            </c:strRef>
          </c:cat>
          <c:val>
            <c:numRef>
              <c:f>'Output|Summary'!$H$34:$H$38</c:f>
              <c:numCache>
                <c:formatCode>_(* #,##0.0_);_(* \(#,##0.0\);_(* "-"??_);_(@_)</c:formatCode>
                <c:ptCount val="5"/>
                <c:pt idx="0">
                  <c:v>328.82855460004129</c:v>
                </c:pt>
                <c:pt idx="1">
                  <c:v>320.33116782118947</c:v>
                </c:pt>
                <c:pt idx="2">
                  <c:v>331.3279982437578</c:v>
                </c:pt>
                <c:pt idx="3">
                  <c:v>276.45674065564015</c:v>
                </c:pt>
                <c:pt idx="4">
                  <c:v>263.83382082163956</c:v>
                </c:pt>
              </c:numCache>
            </c:numRef>
          </c:val>
          <c:extLst>
            <c:ext xmlns:c16="http://schemas.microsoft.com/office/drawing/2014/chart" uri="{C3380CC4-5D6E-409C-BE32-E72D297353CC}">
              <c16:uniqueId val="{00000006-1B5D-4FFF-A9FF-4C7737363235}"/>
            </c:ext>
          </c:extLst>
        </c:ser>
        <c:dLbls>
          <c:showLegendKey val="0"/>
          <c:showVal val="0"/>
          <c:showCatName val="0"/>
          <c:showSerName val="0"/>
          <c:showPercent val="0"/>
          <c:showBubbleSize val="0"/>
        </c:dLbls>
        <c:gapWidth val="219"/>
        <c:axId val="967493456"/>
        <c:axId val="967498048"/>
      </c:barChart>
      <c:lineChart>
        <c:grouping val="standard"/>
        <c:varyColors val="0"/>
        <c:ser>
          <c:idx val="1"/>
          <c:order val="1"/>
          <c:tx>
            <c:strRef>
              <c:f>'Output|Summary'!$A$40</c:f>
              <c:strCache>
                <c:ptCount val="1"/>
                <c:pt idx="0">
                  <c:v>Model average</c:v>
                </c:pt>
              </c:strCache>
            </c:strRef>
          </c:tx>
          <c:spPr>
            <a:ln w="28575" cap="rnd">
              <a:solidFill>
                <a:srgbClr val="4BACC6"/>
              </a:solidFill>
              <a:prstDash val="dash"/>
              <a:round/>
            </a:ln>
            <a:effectLst/>
          </c:spPr>
          <c:marker>
            <c:symbol val="none"/>
          </c:marker>
          <c:val>
            <c:numRef>
              <c:f>'Output|Summary'!$J$22:$J$26</c:f>
              <c:numCache>
                <c:formatCode>_(* #,##0.0_);_(* \(#,##0.0\);_(* "-"??_);_(@_)</c:formatCode>
                <c:ptCount val="5"/>
                <c:pt idx="0">
                  <c:v>314.23611533015719</c:v>
                </c:pt>
                <c:pt idx="1">
                  <c:v>314.23611533015719</c:v>
                </c:pt>
                <c:pt idx="2">
                  <c:v>314.23611533015719</c:v>
                </c:pt>
                <c:pt idx="3">
                  <c:v>314.23611533015719</c:v>
                </c:pt>
                <c:pt idx="4">
                  <c:v>314.23611533015719</c:v>
                </c:pt>
              </c:numCache>
            </c:numRef>
          </c:val>
          <c:smooth val="0"/>
          <c:extLst>
            <c:ext xmlns:c16="http://schemas.microsoft.com/office/drawing/2014/chart" uri="{C3380CC4-5D6E-409C-BE32-E72D297353CC}">
              <c16:uniqueId val="{0000000A-8AC5-4261-A5CE-CB2ADB9ECB41}"/>
            </c:ext>
          </c:extLst>
        </c:ser>
        <c:dLbls>
          <c:showLegendKey val="0"/>
          <c:showVal val="0"/>
          <c:showCatName val="0"/>
          <c:showSerName val="0"/>
          <c:showPercent val="0"/>
          <c:showBubbleSize val="0"/>
        </c:dLbls>
        <c:marker val="1"/>
        <c:smooth val="0"/>
        <c:axId val="967493456"/>
        <c:axId val="967498048"/>
      </c:lineChart>
      <c:catAx>
        <c:axId val="967493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67498048"/>
        <c:crosses val="autoZero"/>
        <c:auto val="1"/>
        <c:lblAlgn val="ctr"/>
        <c:lblOffset val="100"/>
        <c:noMultiLvlLbl val="0"/>
      </c:catAx>
      <c:valAx>
        <c:axId val="967498048"/>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'Output|Summary'!$C$32</c:f>
              <c:strCache>
                <c:ptCount val="1"/>
                <c:pt idx="0">
                  <c:v>($m, $RY2021)</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67493456"/>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'Output|Summary'!$A$60</c:f>
              <c:strCache>
                <c:ptCount val="1"/>
                <c:pt idx="0">
                  <c:v>Model</c:v>
                </c:pt>
              </c:strCache>
            </c:strRef>
          </c:tx>
          <c:spPr>
            <a:solidFill>
              <a:schemeClr val="accent1"/>
            </a:solidFill>
            <a:ln>
              <a:noFill/>
            </a:ln>
            <a:effectLst/>
          </c:spPr>
          <c:invertIfNegative val="0"/>
          <c:dPt>
            <c:idx val="0"/>
            <c:invertIfNegative val="0"/>
            <c:bubble3D val="0"/>
            <c:spPr>
              <a:solidFill>
                <a:srgbClr val="9BBB59"/>
              </a:solidFill>
              <a:ln>
                <a:noFill/>
              </a:ln>
              <a:effectLst/>
            </c:spPr>
            <c:extLst>
              <c:ext xmlns:c16="http://schemas.microsoft.com/office/drawing/2014/chart" uri="{C3380CC4-5D6E-409C-BE32-E72D297353CC}">
                <c16:uniqueId val="{00000001-A467-4D72-A526-C0EF9E6561A9}"/>
              </c:ext>
            </c:extLst>
          </c:dPt>
          <c:dPt>
            <c:idx val="1"/>
            <c:invertIfNegative val="0"/>
            <c:bubble3D val="0"/>
            <c:spPr>
              <a:solidFill>
                <a:srgbClr val="9BBB59"/>
              </a:solidFill>
              <a:ln>
                <a:noFill/>
              </a:ln>
              <a:effectLst/>
            </c:spPr>
            <c:extLst>
              <c:ext xmlns:c16="http://schemas.microsoft.com/office/drawing/2014/chart" uri="{C3380CC4-5D6E-409C-BE32-E72D297353CC}">
                <c16:uniqueId val="{00000003-A467-4D72-A526-C0EF9E6561A9}"/>
              </c:ext>
            </c:extLst>
          </c:dPt>
          <c:dPt>
            <c:idx val="2"/>
            <c:invertIfNegative val="0"/>
            <c:bubble3D val="0"/>
            <c:spPr>
              <a:solidFill>
                <a:srgbClr val="9BBB59"/>
              </a:solidFill>
              <a:ln>
                <a:noFill/>
              </a:ln>
              <a:effectLst/>
            </c:spPr>
            <c:extLst>
              <c:ext xmlns:c16="http://schemas.microsoft.com/office/drawing/2014/chart" uri="{C3380CC4-5D6E-409C-BE32-E72D297353CC}">
                <c16:uniqueId val="{00000005-A467-4D72-A526-C0EF9E6561A9}"/>
              </c:ext>
            </c:extLst>
          </c:dPt>
          <c:dPt>
            <c:idx val="3"/>
            <c:invertIfNegative val="0"/>
            <c:bubble3D val="0"/>
            <c:spPr>
              <a:solidFill>
                <a:srgbClr val="9BBB59"/>
              </a:solidFill>
              <a:ln>
                <a:noFill/>
              </a:ln>
              <a:effectLst/>
            </c:spPr>
            <c:extLst>
              <c:ext xmlns:c16="http://schemas.microsoft.com/office/drawing/2014/chart" uri="{C3380CC4-5D6E-409C-BE32-E72D297353CC}">
                <c16:uniqueId val="{00000007-A467-4D72-A526-C0EF9E6561A9}"/>
              </c:ext>
            </c:extLst>
          </c:dPt>
          <c:dPt>
            <c:idx val="4"/>
            <c:invertIfNegative val="0"/>
            <c:bubble3D val="0"/>
            <c:spPr>
              <a:solidFill>
                <a:srgbClr val="C0504D"/>
              </a:solidFill>
              <a:ln>
                <a:noFill/>
              </a:ln>
              <a:effectLst/>
            </c:spPr>
            <c:extLst>
              <c:ext xmlns:c16="http://schemas.microsoft.com/office/drawing/2014/chart" uri="{C3380CC4-5D6E-409C-BE32-E72D297353CC}">
                <c16:uniqueId val="{00000009-A467-4D72-A526-C0EF9E6561A9}"/>
              </c:ext>
            </c:extLst>
          </c:dPt>
          <c:cat>
            <c:strRef>
              <c:f>'Output|Summary'!$A$61:$A$65</c:f>
              <c:strCache>
                <c:ptCount val="5"/>
                <c:pt idx="0">
                  <c:v>Cobb-Douglas LSE</c:v>
                </c:pt>
                <c:pt idx="1">
                  <c:v>Cobb-Douglas SFA</c:v>
                </c:pt>
                <c:pt idx="2">
                  <c:v>Translog LSE</c:v>
                </c:pt>
                <c:pt idx="3">
                  <c:v>Translog SFA</c:v>
                </c:pt>
                <c:pt idx="4">
                  <c:v>Actual / proposed opex quantity</c:v>
                </c:pt>
              </c:strCache>
            </c:strRef>
          </c:cat>
          <c:val>
            <c:numRef>
              <c:f>'Output|Summary'!$H$61:$H$65</c:f>
              <c:numCache>
                <c:formatCode>_(* #,##0.0_);_(* \(#,##0.0\);_(* "-"??_);_(@_)</c:formatCode>
                <c:ptCount val="5"/>
                <c:pt idx="0">
                  <c:v>291.66245042260863</c:v>
                </c:pt>
                <c:pt idx="1">
                  <c:v>304.82390627385234</c:v>
                </c:pt>
                <c:pt idx="2">
                  <c:v>303.11226771002799</c:v>
                </c:pt>
                <c:pt idx="3">
                  <c:v>0</c:v>
                </c:pt>
                <c:pt idx="4">
                  <c:v>263.83382082163956</c:v>
                </c:pt>
              </c:numCache>
            </c:numRef>
          </c:val>
          <c:extLst>
            <c:ext xmlns:c16="http://schemas.microsoft.com/office/drawing/2014/chart" uri="{C3380CC4-5D6E-409C-BE32-E72D297353CC}">
              <c16:uniqueId val="{0000000A-A467-4D72-A526-C0EF9E6561A9}"/>
            </c:ext>
          </c:extLst>
        </c:ser>
        <c:dLbls>
          <c:showLegendKey val="0"/>
          <c:showVal val="0"/>
          <c:showCatName val="0"/>
          <c:showSerName val="0"/>
          <c:showPercent val="0"/>
          <c:showBubbleSize val="0"/>
        </c:dLbls>
        <c:gapWidth val="219"/>
        <c:axId val="967493456"/>
        <c:axId val="967498048"/>
      </c:barChart>
      <c:lineChart>
        <c:grouping val="standard"/>
        <c:varyColors val="0"/>
        <c:ser>
          <c:idx val="1"/>
          <c:order val="1"/>
          <c:tx>
            <c:strRef>
              <c:f>'Output|Summary'!$A$67</c:f>
              <c:strCache>
                <c:ptCount val="1"/>
                <c:pt idx="0">
                  <c:v>Model average</c:v>
                </c:pt>
              </c:strCache>
            </c:strRef>
          </c:tx>
          <c:spPr>
            <a:ln w="28575" cap="rnd">
              <a:solidFill>
                <a:srgbClr val="4BACC6"/>
              </a:solidFill>
              <a:prstDash val="dash"/>
              <a:round/>
            </a:ln>
            <a:effectLst/>
          </c:spPr>
          <c:marker>
            <c:symbol val="none"/>
          </c:marker>
          <c:val>
            <c:numRef>
              <c:f>'Output|Summary'!$J$49:$J$53</c:f>
              <c:numCache>
                <c:formatCode>_(* #,##0.0_);_(* \(#,##0.0\);_(* "-"??_);_(@_)</c:formatCode>
                <c:ptCount val="5"/>
                <c:pt idx="0">
                  <c:v>299.86620813549627</c:v>
                </c:pt>
                <c:pt idx="1">
                  <c:v>299.86620813549627</c:v>
                </c:pt>
                <c:pt idx="2">
                  <c:v>299.86620813549627</c:v>
                </c:pt>
                <c:pt idx="3">
                  <c:v>299.86620813549627</c:v>
                </c:pt>
                <c:pt idx="4">
                  <c:v>299.86620813549627</c:v>
                </c:pt>
              </c:numCache>
            </c:numRef>
          </c:val>
          <c:smooth val="0"/>
          <c:extLst>
            <c:ext xmlns:c16="http://schemas.microsoft.com/office/drawing/2014/chart" uri="{C3380CC4-5D6E-409C-BE32-E72D297353CC}">
              <c16:uniqueId val="{0000000B-A467-4D72-A526-C0EF9E6561A9}"/>
            </c:ext>
          </c:extLst>
        </c:ser>
        <c:dLbls>
          <c:showLegendKey val="0"/>
          <c:showVal val="0"/>
          <c:showCatName val="0"/>
          <c:showSerName val="0"/>
          <c:showPercent val="0"/>
          <c:showBubbleSize val="0"/>
        </c:dLbls>
        <c:marker val="1"/>
        <c:smooth val="0"/>
        <c:axId val="967493456"/>
        <c:axId val="967498048"/>
      </c:lineChart>
      <c:catAx>
        <c:axId val="967493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67498048"/>
        <c:crosses val="autoZero"/>
        <c:auto val="1"/>
        <c:lblAlgn val="ctr"/>
        <c:lblOffset val="100"/>
        <c:noMultiLvlLbl val="0"/>
      </c:catAx>
      <c:valAx>
        <c:axId val="967498048"/>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'Output|Summary'!$C$59</c:f>
              <c:strCache>
                <c:ptCount val="1"/>
                <c:pt idx="0">
                  <c:v>($m, $RY2021)</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67493456"/>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601980</xdr:colOff>
      <xdr:row>22</xdr:row>
      <xdr:rowOff>89251</xdr:rowOff>
    </xdr:from>
    <xdr:to>
      <xdr:col>19</xdr:col>
      <xdr:colOff>91440</xdr:colOff>
      <xdr:row>45</xdr:row>
      <xdr:rowOff>78365</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601980</xdr:colOff>
      <xdr:row>50</xdr:row>
      <xdr:rowOff>7605</xdr:rowOff>
    </xdr:from>
    <xdr:to>
      <xdr:col>19</xdr:col>
      <xdr:colOff>91440</xdr:colOff>
      <xdr:row>71</xdr:row>
      <xdr:rowOff>160006</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MKT\INTER-DEPT\DEPT\CMA\2010\12-Dec\Capital\BW%20Capital%20Summary%20Flash%20December%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 val="Corp 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t="str">
            <v/>
          </cell>
          <cell r="F15" t="str">
            <v/>
          </cell>
          <cell r="G15" t="str">
            <v/>
          </cell>
          <cell r="H15" t="str">
            <v/>
          </cell>
          <cell r="I15" t="str">
            <v/>
          </cell>
          <cell r="J15" t="str">
            <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t="str">
            <v/>
          </cell>
          <cell r="H16" t="str">
            <v>WBS (Function Code)</v>
          </cell>
          <cell r="I16" t="str">
            <v>Order</v>
          </cell>
          <cell r="J16" t="str">
            <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t="str">
            <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t="str">
            <v/>
          </cell>
          <cell r="F18" t="str">
            <v/>
          </cell>
          <cell r="G18" t="str">
            <v/>
          </cell>
          <cell r="H18" t="str">
            <v/>
          </cell>
          <cell r="I18" t="str">
            <v>Result</v>
          </cell>
          <cell r="J18" t="str">
            <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t="str">
            <v/>
          </cell>
          <cell r="G19" t="str">
            <v/>
          </cell>
          <cell r="H19" t="str">
            <v>BG/10/MT/BTP/205/01</v>
          </cell>
          <cell r="I19" t="str">
            <v>#</v>
          </cell>
          <cell r="J19" t="str">
            <v>Not assigned</v>
          </cell>
        </row>
        <row r="20">
          <cell r="C20" t="str">
            <v>Order type</v>
          </cell>
          <cell r="D20" t="str">
            <v/>
          </cell>
          <cell r="F20" t="str">
            <v/>
          </cell>
          <cell r="G20" t="str">
            <v/>
          </cell>
          <cell r="H20" t="str">
            <v/>
          </cell>
          <cell r="I20" t="str">
            <v>Result</v>
          </cell>
          <cell r="J20" t="str">
            <v/>
          </cell>
        </row>
        <row r="21">
          <cell r="C21" t="str">
            <v>Order</v>
          </cell>
          <cell r="D21" t="str">
            <v/>
          </cell>
          <cell r="F21" t="str">
            <v/>
          </cell>
          <cell r="G21" t="str">
            <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t="str">
            <v/>
          </cell>
          <cell r="G22" t="str">
            <v/>
          </cell>
          <cell r="H22" t="str">
            <v/>
          </cell>
          <cell r="I22" t="str">
            <v>Result</v>
          </cell>
          <cell r="J22" t="str">
            <v/>
          </cell>
        </row>
        <row r="23">
          <cell r="C23" t="str">
            <v>WBS (Function Code)</v>
          </cell>
          <cell r="D23" t="str">
            <v/>
          </cell>
          <cell r="F23" t="str">
            <v/>
          </cell>
          <cell r="G23" t="str">
            <v/>
          </cell>
          <cell r="H23" t="str">
            <v>BG/10/MT/FIP/205/01</v>
          </cell>
          <cell r="I23" t="str">
            <v>#</v>
          </cell>
          <cell r="J23" t="str">
            <v>Not assigned</v>
          </cell>
        </row>
        <row r="24">
          <cell r="F24" t="str">
            <v/>
          </cell>
          <cell r="G24" t="str">
            <v/>
          </cell>
          <cell r="H24" t="str">
            <v/>
          </cell>
          <cell r="I24" t="str">
            <v>Result</v>
          </cell>
          <cell r="J24" t="str">
            <v/>
          </cell>
        </row>
        <row r="25">
          <cell r="F25" t="str">
            <v/>
          </cell>
          <cell r="G25" t="str">
            <v/>
          </cell>
          <cell r="H25" t="str">
            <v>BG/10/MT/ITC/205/01</v>
          </cell>
          <cell r="I25" t="str">
            <v>#</v>
          </cell>
          <cell r="J25" t="str">
            <v>Not assigned</v>
          </cell>
        </row>
        <row r="26">
          <cell r="F26" t="str">
            <v/>
          </cell>
          <cell r="G26" t="str">
            <v/>
          </cell>
          <cell r="H26" t="str">
            <v/>
          </cell>
          <cell r="I26" t="str">
            <v>Result</v>
          </cell>
          <cell r="J26" t="str">
            <v/>
          </cell>
        </row>
        <row r="27">
          <cell r="F27" t="str">
            <v/>
          </cell>
          <cell r="G27" t="str">
            <v/>
          </cell>
          <cell r="H27" t="str">
            <v>BG/10/MT/ITP/205/01</v>
          </cell>
          <cell r="I27" t="str">
            <v>#</v>
          </cell>
          <cell r="J27" t="str">
            <v>Not assigned</v>
          </cell>
        </row>
        <row r="28">
          <cell r="F28" t="str">
            <v/>
          </cell>
          <cell r="G28" t="str">
            <v/>
          </cell>
          <cell r="H28" t="str">
            <v/>
          </cell>
          <cell r="I28" t="str">
            <v>Result</v>
          </cell>
          <cell r="J28" t="str">
            <v/>
          </cell>
        </row>
        <row r="29">
          <cell r="F29" t="str">
            <v/>
          </cell>
          <cell r="G29" t="str">
            <v/>
          </cell>
          <cell r="H29" t="str">
            <v>Result</v>
          </cell>
          <cell r="I29" t="str">
            <v/>
          </cell>
          <cell r="J29" t="str">
            <v/>
          </cell>
        </row>
        <row r="30">
          <cell r="F30" t="str">
            <v>533000</v>
          </cell>
          <cell r="G30" t="str">
            <v>IT Prof Services</v>
          </cell>
          <cell r="H30" t="str">
            <v>BG/10/MT/ITC/205/01</v>
          </cell>
          <cell r="I30" t="str">
            <v>#</v>
          </cell>
          <cell r="J30" t="str">
            <v>Not assigned</v>
          </cell>
        </row>
        <row r="31">
          <cell r="F31" t="str">
            <v/>
          </cell>
          <cell r="G31" t="str">
            <v/>
          </cell>
          <cell r="H31" t="str">
            <v/>
          </cell>
          <cell r="I31" t="str">
            <v>Result</v>
          </cell>
          <cell r="J31" t="str">
            <v/>
          </cell>
        </row>
        <row r="32">
          <cell r="F32" t="str">
            <v/>
          </cell>
          <cell r="G32" t="str">
            <v/>
          </cell>
          <cell r="H32" t="str">
            <v>BG/10/MT/ITP/205/01</v>
          </cell>
          <cell r="I32" t="str">
            <v>#</v>
          </cell>
          <cell r="J32" t="str">
            <v>Not assigned</v>
          </cell>
        </row>
        <row r="33">
          <cell r="F33" t="str">
            <v/>
          </cell>
          <cell r="G33" t="str">
            <v/>
          </cell>
          <cell r="H33" t="str">
            <v/>
          </cell>
          <cell r="I33" t="str">
            <v>Result</v>
          </cell>
          <cell r="J33" t="str">
            <v/>
          </cell>
        </row>
        <row r="34">
          <cell r="F34" t="str">
            <v/>
          </cell>
          <cell r="G34" t="str">
            <v/>
          </cell>
          <cell r="H34" t="str">
            <v>Result</v>
          </cell>
          <cell r="I34" t="str">
            <v/>
          </cell>
          <cell r="J34" t="str">
            <v/>
          </cell>
        </row>
        <row r="35">
          <cell r="F35" t="str">
            <v>611988</v>
          </cell>
          <cell r="G35" t="str">
            <v>AMI Cpx Prj Mgmt Fee</v>
          </cell>
          <cell r="H35" t="str">
            <v>BG/10/MT/AMC/205/20</v>
          </cell>
          <cell r="I35" t="str">
            <v>#</v>
          </cell>
          <cell r="J35" t="str">
            <v>Not assigned</v>
          </cell>
        </row>
        <row r="36">
          <cell r="F36" t="str">
            <v/>
          </cell>
          <cell r="G36" t="str">
            <v/>
          </cell>
          <cell r="H36" t="str">
            <v/>
          </cell>
          <cell r="I36" t="str">
            <v>Result</v>
          </cell>
          <cell r="J36" t="str">
            <v/>
          </cell>
        </row>
        <row r="37">
          <cell r="F37" t="str">
            <v/>
          </cell>
          <cell r="G37" t="str">
            <v/>
          </cell>
          <cell r="H37" t="str">
            <v>BG/10/MT/AMP/205/20</v>
          </cell>
          <cell r="I37" t="str">
            <v>#</v>
          </cell>
          <cell r="J37" t="str">
            <v>Not assigned</v>
          </cell>
        </row>
        <row r="38">
          <cell r="F38" t="str">
            <v/>
          </cell>
          <cell r="G38" t="str">
            <v/>
          </cell>
          <cell r="H38" t="str">
            <v/>
          </cell>
          <cell r="I38" t="str">
            <v>Result</v>
          </cell>
          <cell r="J38" t="str">
            <v/>
          </cell>
        </row>
        <row r="39">
          <cell r="F39" t="str">
            <v/>
          </cell>
          <cell r="G39" t="str">
            <v/>
          </cell>
          <cell r="H39" t="str">
            <v>BG/10/MT/BTC/205/20</v>
          </cell>
          <cell r="I39" t="str">
            <v>#</v>
          </cell>
          <cell r="J39" t="str">
            <v>Not assigned</v>
          </cell>
        </row>
        <row r="40">
          <cell r="F40" t="str">
            <v/>
          </cell>
          <cell r="G40" t="str">
            <v/>
          </cell>
          <cell r="H40" t="str">
            <v/>
          </cell>
          <cell r="I40" t="str">
            <v>Result</v>
          </cell>
          <cell r="J40" t="str">
            <v/>
          </cell>
        </row>
        <row r="41">
          <cell r="F41" t="str">
            <v/>
          </cell>
          <cell r="G41" t="str">
            <v/>
          </cell>
          <cell r="H41" t="str">
            <v>BG/10/MT/BTP/205/20</v>
          </cell>
          <cell r="I41" t="str">
            <v>#</v>
          </cell>
          <cell r="J41" t="str">
            <v>Not assigned</v>
          </cell>
        </row>
        <row r="42">
          <cell r="F42" t="str">
            <v/>
          </cell>
          <cell r="G42" t="str">
            <v/>
          </cell>
          <cell r="H42" t="str">
            <v/>
          </cell>
          <cell r="I42" t="str">
            <v>Result</v>
          </cell>
          <cell r="J42" t="str">
            <v/>
          </cell>
        </row>
        <row r="43">
          <cell r="F43" t="str">
            <v/>
          </cell>
          <cell r="G43" t="str">
            <v/>
          </cell>
          <cell r="H43" t="str">
            <v>BG/10/MT/FIC/205/20</v>
          </cell>
          <cell r="I43" t="str">
            <v>#</v>
          </cell>
          <cell r="J43" t="str">
            <v>Not assigned</v>
          </cell>
        </row>
        <row r="44">
          <cell r="F44" t="str">
            <v/>
          </cell>
          <cell r="G44" t="str">
            <v/>
          </cell>
          <cell r="H44" t="str">
            <v/>
          </cell>
          <cell r="I44" t="str">
            <v>Result</v>
          </cell>
          <cell r="J44" t="str">
            <v/>
          </cell>
        </row>
        <row r="45">
          <cell r="F45" t="str">
            <v/>
          </cell>
          <cell r="G45" t="str">
            <v/>
          </cell>
          <cell r="H45" t="str">
            <v>BG/10/MT/FIP/205/20</v>
          </cell>
          <cell r="I45" t="str">
            <v>#</v>
          </cell>
          <cell r="J45" t="str">
            <v>Not assigned</v>
          </cell>
        </row>
        <row r="46">
          <cell r="F46" t="str">
            <v/>
          </cell>
          <cell r="G46" t="str">
            <v/>
          </cell>
          <cell r="H46" t="str">
            <v/>
          </cell>
          <cell r="I46" t="str">
            <v>Result</v>
          </cell>
          <cell r="J46" t="str">
            <v/>
          </cell>
        </row>
        <row r="47">
          <cell r="F47" t="str">
            <v/>
          </cell>
          <cell r="G47" t="str">
            <v/>
          </cell>
          <cell r="H47" t="str">
            <v>BG/10/MT/ITC/205/20</v>
          </cell>
          <cell r="I47" t="str">
            <v>#</v>
          </cell>
          <cell r="J47" t="str">
            <v>Not assigned</v>
          </cell>
        </row>
        <row r="48">
          <cell r="F48" t="str">
            <v/>
          </cell>
          <cell r="G48" t="str">
            <v/>
          </cell>
          <cell r="H48" t="str">
            <v/>
          </cell>
          <cell r="I48" t="str">
            <v>Result</v>
          </cell>
          <cell r="J48" t="str">
            <v/>
          </cell>
        </row>
        <row r="49">
          <cell r="F49" t="str">
            <v/>
          </cell>
          <cell r="G49" t="str">
            <v/>
          </cell>
          <cell r="H49" t="str">
            <v>BG/10/MT/ITP/205/20</v>
          </cell>
          <cell r="I49" t="str">
            <v>#</v>
          </cell>
          <cell r="J49" t="str">
            <v>Not assigned</v>
          </cell>
        </row>
        <row r="50">
          <cell r="F50" t="str">
            <v/>
          </cell>
          <cell r="G50" t="str">
            <v/>
          </cell>
          <cell r="H50" t="str">
            <v/>
          </cell>
          <cell r="I50" t="str">
            <v>Result</v>
          </cell>
          <cell r="J50" t="str">
            <v/>
          </cell>
        </row>
        <row r="51">
          <cell r="F51" t="str">
            <v/>
          </cell>
          <cell r="G51" t="str">
            <v/>
          </cell>
          <cell r="H51" t="str">
            <v>BG/10/MT/MDC/205/20</v>
          </cell>
          <cell r="I51" t="str">
            <v>#</v>
          </cell>
          <cell r="J51" t="str">
            <v>Not assigned</v>
          </cell>
        </row>
        <row r="52">
          <cell r="F52" t="str">
            <v/>
          </cell>
          <cell r="G52" t="str">
            <v/>
          </cell>
          <cell r="H52" t="str">
            <v/>
          </cell>
          <cell r="I52" t="str">
            <v>Result</v>
          </cell>
          <cell r="J52" t="str">
            <v/>
          </cell>
        </row>
        <row r="53">
          <cell r="F53" t="str">
            <v/>
          </cell>
          <cell r="G53" t="str">
            <v/>
          </cell>
          <cell r="H53" t="str">
            <v>BG/10/MT/MDP/205/20</v>
          </cell>
          <cell r="I53" t="str">
            <v>#</v>
          </cell>
          <cell r="J53" t="str">
            <v>Not assigned</v>
          </cell>
        </row>
        <row r="54">
          <cell r="F54" t="str">
            <v/>
          </cell>
          <cell r="G54" t="str">
            <v/>
          </cell>
          <cell r="H54" t="str">
            <v/>
          </cell>
          <cell r="I54" t="str">
            <v>Result</v>
          </cell>
          <cell r="J54" t="str">
            <v/>
          </cell>
        </row>
        <row r="55">
          <cell r="F55" t="str">
            <v/>
          </cell>
          <cell r="G55" t="str">
            <v/>
          </cell>
          <cell r="H55" t="str">
            <v>Result</v>
          </cell>
          <cell r="I55" t="str">
            <v/>
          </cell>
          <cell r="J55" t="str">
            <v/>
          </cell>
        </row>
        <row r="56">
          <cell r="F56" t="str">
            <v>635005</v>
          </cell>
          <cell r="G56" t="str">
            <v>AMI Proj Margin</v>
          </cell>
          <cell r="H56" t="str">
            <v>BG/10/MT/AMC/205/20</v>
          </cell>
          <cell r="I56" t="str">
            <v>#</v>
          </cell>
          <cell r="J56" t="str">
            <v>Not assigned</v>
          </cell>
        </row>
        <row r="57">
          <cell r="F57" t="str">
            <v/>
          </cell>
          <cell r="G57" t="str">
            <v/>
          </cell>
          <cell r="H57" t="str">
            <v/>
          </cell>
          <cell r="I57" t="str">
            <v>Result</v>
          </cell>
          <cell r="J57" t="str">
            <v/>
          </cell>
        </row>
        <row r="58">
          <cell r="F58" t="str">
            <v/>
          </cell>
          <cell r="G58" t="str">
            <v/>
          </cell>
          <cell r="H58" t="str">
            <v>BG/10/MT/AMP/205/20</v>
          </cell>
          <cell r="I58" t="str">
            <v>#</v>
          </cell>
          <cell r="J58" t="str">
            <v>Not assigned</v>
          </cell>
        </row>
        <row r="59">
          <cell r="F59" t="str">
            <v/>
          </cell>
          <cell r="G59" t="str">
            <v/>
          </cell>
          <cell r="H59" t="str">
            <v/>
          </cell>
          <cell r="I59" t="str">
            <v>Result</v>
          </cell>
          <cell r="J59" t="str">
            <v/>
          </cell>
        </row>
        <row r="60">
          <cell r="F60" t="str">
            <v/>
          </cell>
          <cell r="G60" t="str">
            <v/>
          </cell>
          <cell r="H60" t="str">
            <v>BG/10/MT/BTC/205/20</v>
          </cell>
          <cell r="I60" t="str">
            <v>#</v>
          </cell>
          <cell r="J60" t="str">
            <v>Not assigned</v>
          </cell>
        </row>
        <row r="61">
          <cell r="F61" t="str">
            <v/>
          </cell>
          <cell r="G61" t="str">
            <v/>
          </cell>
          <cell r="H61" t="str">
            <v/>
          </cell>
          <cell r="I61" t="str">
            <v>Result</v>
          </cell>
          <cell r="J61" t="str">
            <v/>
          </cell>
        </row>
        <row r="62">
          <cell r="F62" t="str">
            <v/>
          </cell>
          <cell r="G62" t="str">
            <v/>
          </cell>
          <cell r="H62" t="str">
            <v>BG/10/MT/BTP/205/20</v>
          </cell>
          <cell r="I62" t="str">
            <v>#</v>
          </cell>
          <cell r="J62" t="str">
            <v>Not assigned</v>
          </cell>
        </row>
        <row r="63">
          <cell r="F63" t="str">
            <v/>
          </cell>
          <cell r="G63" t="str">
            <v/>
          </cell>
          <cell r="H63" t="str">
            <v/>
          </cell>
          <cell r="I63" t="str">
            <v>Result</v>
          </cell>
          <cell r="J63" t="str">
            <v/>
          </cell>
        </row>
        <row r="64">
          <cell r="F64" t="str">
            <v/>
          </cell>
          <cell r="G64" t="str">
            <v/>
          </cell>
          <cell r="H64" t="str">
            <v>BG/10/MT/FIC/205/20</v>
          </cell>
          <cell r="I64" t="str">
            <v>#</v>
          </cell>
          <cell r="J64" t="str">
            <v>Not assigned</v>
          </cell>
        </row>
        <row r="65">
          <cell r="F65" t="str">
            <v/>
          </cell>
          <cell r="G65" t="str">
            <v/>
          </cell>
          <cell r="H65" t="str">
            <v/>
          </cell>
          <cell r="I65" t="str">
            <v>Result</v>
          </cell>
          <cell r="J65" t="str">
            <v/>
          </cell>
        </row>
        <row r="66">
          <cell r="F66" t="str">
            <v/>
          </cell>
          <cell r="G66" t="str">
            <v/>
          </cell>
          <cell r="H66" t="str">
            <v>BG/10/MT/FIP/205/20</v>
          </cell>
          <cell r="I66" t="str">
            <v>#</v>
          </cell>
          <cell r="J66" t="str">
            <v>Not assigned</v>
          </cell>
        </row>
        <row r="67">
          <cell r="F67" t="str">
            <v/>
          </cell>
          <cell r="G67" t="str">
            <v/>
          </cell>
          <cell r="H67" t="str">
            <v/>
          </cell>
          <cell r="I67" t="str">
            <v>Result</v>
          </cell>
          <cell r="J67" t="str">
            <v/>
          </cell>
        </row>
        <row r="68">
          <cell r="F68" t="str">
            <v/>
          </cell>
          <cell r="G68" t="str">
            <v/>
          </cell>
          <cell r="H68" t="str">
            <v>BG/10/MT/ITC/205/20</v>
          </cell>
          <cell r="I68" t="str">
            <v>#</v>
          </cell>
          <cell r="J68" t="str">
            <v>Not assigned</v>
          </cell>
        </row>
        <row r="69">
          <cell r="F69" t="str">
            <v/>
          </cell>
          <cell r="G69" t="str">
            <v/>
          </cell>
          <cell r="H69" t="str">
            <v/>
          </cell>
          <cell r="I69" t="str">
            <v>Result</v>
          </cell>
          <cell r="J69" t="str">
            <v/>
          </cell>
        </row>
        <row r="70">
          <cell r="F70" t="str">
            <v/>
          </cell>
          <cell r="G70" t="str">
            <v/>
          </cell>
          <cell r="H70" t="str">
            <v>BG/10/MT/ITP/205/20</v>
          </cell>
          <cell r="I70" t="str">
            <v>#</v>
          </cell>
          <cell r="J70" t="str">
            <v>Not assigned</v>
          </cell>
        </row>
        <row r="71">
          <cell r="F71" t="str">
            <v/>
          </cell>
          <cell r="G71" t="str">
            <v/>
          </cell>
          <cell r="H71" t="str">
            <v/>
          </cell>
          <cell r="I71" t="str">
            <v>Result</v>
          </cell>
          <cell r="J71" t="str">
            <v/>
          </cell>
        </row>
        <row r="72">
          <cell r="F72" t="str">
            <v/>
          </cell>
          <cell r="G72" t="str">
            <v/>
          </cell>
          <cell r="H72" t="str">
            <v>BG/10/MT/MDC/205/20</v>
          </cell>
          <cell r="I72" t="str">
            <v>#</v>
          </cell>
          <cell r="J72" t="str">
            <v>Not assigned</v>
          </cell>
        </row>
        <row r="73">
          <cell r="F73" t="str">
            <v/>
          </cell>
          <cell r="G73" t="str">
            <v/>
          </cell>
          <cell r="H73" t="str">
            <v/>
          </cell>
          <cell r="I73" t="str">
            <v>Result</v>
          </cell>
          <cell r="J73" t="str">
            <v/>
          </cell>
        </row>
        <row r="74">
          <cell r="F74" t="str">
            <v/>
          </cell>
          <cell r="G74" t="str">
            <v/>
          </cell>
          <cell r="H74" t="str">
            <v>BG/10/MT/MDP/205/20</v>
          </cell>
          <cell r="I74" t="str">
            <v>#</v>
          </cell>
          <cell r="J74" t="str">
            <v>Not assigned</v>
          </cell>
        </row>
        <row r="75">
          <cell r="F75" t="str">
            <v/>
          </cell>
          <cell r="G75" t="str">
            <v/>
          </cell>
          <cell r="H75" t="str">
            <v/>
          </cell>
          <cell r="I75" t="str">
            <v>Result</v>
          </cell>
          <cell r="J75" t="str">
            <v/>
          </cell>
        </row>
        <row r="76">
          <cell r="F76" t="str">
            <v/>
          </cell>
          <cell r="G76" t="str">
            <v/>
          </cell>
          <cell r="H76" t="str">
            <v>Result</v>
          </cell>
          <cell r="I76" t="str">
            <v/>
          </cell>
          <cell r="J76" t="str">
            <v/>
          </cell>
        </row>
        <row r="77">
          <cell r="F77" t="str">
            <v>Overall Result</v>
          </cell>
          <cell r="G77" t="str">
            <v/>
          </cell>
          <cell r="H77" t="str">
            <v/>
          </cell>
          <cell r="I77" t="str">
            <v/>
          </cell>
          <cell r="J77" t="str">
            <v/>
          </cell>
        </row>
      </sheetData>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t="str">
            <v/>
          </cell>
          <cell r="F15" t="str">
            <v/>
          </cell>
          <cell r="G15" t="str">
            <v/>
          </cell>
          <cell r="H15" t="str">
            <v/>
          </cell>
          <cell r="I15" t="str">
            <v/>
          </cell>
          <cell r="J15" t="str">
            <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t="str">
            <v/>
          </cell>
          <cell r="H16" t="str">
            <v>BWFIN Function Code</v>
          </cell>
          <cell r="I16" t="str">
            <v>Cost element</v>
          </cell>
          <cell r="J16" t="str">
            <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t="str">
            <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t="str">
            <v/>
          </cell>
          <cell r="F18" t="str">
            <v/>
          </cell>
          <cell r="G18" t="str">
            <v/>
          </cell>
          <cell r="H18" t="str">
            <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t="str">
            <v/>
          </cell>
          <cell r="F19" t="str">
            <v/>
          </cell>
          <cell r="G19" t="str">
            <v/>
          </cell>
          <cell r="H19" t="str">
            <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t="str">
            <v/>
          </cell>
          <cell r="F20" t="str">
            <v/>
          </cell>
          <cell r="G20" t="str">
            <v/>
          </cell>
          <cell r="H20" t="str">
            <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t="str">
            <v/>
          </cell>
          <cell r="F21" t="str">
            <v/>
          </cell>
          <cell r="G21" t="str">
            <v/>
          </cell>
          <cell r="H21" t="str">
            <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t="str">
            <v/>
          </cell>
        </row>
        <row r="23">
          <cell r="C23" t="str">
            <v>Partner Business Pro</v>
          </cell>
          <cell r="D23" t="str">
            <v/>
          </cell>
        </row>
        <row r="24">
          <cell r="C24" t="str">
            <v>Partner Cost Center</v>
          </cell>
          <cell r="D24" t="str">
            <v/>
          </cell>
        </row>
        <row r="25">
          <cell r="C25" t="str">
            <v>Partner Object Type</v>
          </cell>
          <cell r="D25" t="str">
            <v/>
          </cell>
        </row>
        <row r="26">
          <cell r="C26" t="str">
            <v>Partner object</v>
          </cell>
          <cell r="D26" t="str">
            <v/>
          </cell>
        </row>
        <row r="27">
          <cell r="C27" t="str">
            <v>Partner Order</v>
          </cell>
          <cell r="D27" t="str">
            <v/>
          </cell>
        </row>
        <row r="28">
          <cell r="C28" t="str">
            <v>Partner WBS Element</v>
          </cell>
          <cell r="D28" t="str">
            <v/>
          </cell>
        </row>
        <row r="29">
          <cell r="C29" t="str">
            <v>Time Analysis. Period 001, 002, ..., 012 and total 001-012</v>
          </cell>
          <cell r="D29" t="str">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Dec Forecast"/>
      <sheetName val="Flash V1"/>
      <sheetName val="Busi Rpt V1"/>
      <sheetName val="Busi Rpt Graph"/>
      <sheetName val="Capex Growth"/>
      <sheetName val="Adjustments"/>
      <sheetName val="F220 AMI Services"/>
      <sheetName val="F220"/>
      <sheetName val="REG Capex"/>
      <sheetName val="BW V1"/>
      <sheetName val="7 SERIES "/>
      <sheetName val="1.1A PCA Company P&amp;L Corp"/>
      <sheetName val="A606IT BU Proj"/>
      <sheetName val="A606IT BU Proj FC"/>
      <sheetName val="Capital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er.gov.au/networks-pipelines/guidelines-schemes-models-reviews/annual-benchmarking-reports-2022/aer-position" TargetMode="External"/><Relationship Id="rId1" Type="http://schemas.openxmlformats.org/officeDocument/2006/relationships/hyperlink" Target="https://www.aer.gov.au/networks-pipelines/guidelines-schemes-models-reviews/annual-benchmarking-reports-2022/aer-positio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rba.gov.au/publications/smp/2023/may/forecasts.html" TargetMode="External"/><Relationship Id="rId1" Type="http://schemas.openxmlformats.org/officeDocument/2006/relationships/hyperlink" Target="https://www.abs.gov.au/statistics/economy/price-indexes-and-inflation/consumer-price-index-australia/latest-release"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F120"/>
  <sheetViews>
    <sheetView tabSelected="1" zoomScale="110" zoomScaleNormal="110" workbookViewId="0"/>
  </sheetViews>
  <sheetFormatPr defaultColWidth="8.85546875" defaultRowHeight="13.35" customHeight="1"/>
  <cols>
    <col min="1" max="1" width="19.5703125" style="23" customWidth="1"/>
    <col min="2" max="2" width="40" style="23" customWidth="1"/>
    <col min="3" max="3" width="19" style="23" bestFit="1" customWidth="1"/>
    <col min="4" max="6" width="12.5703125" style="23" customWidth="1"/>
    <col min="7" max="16384" width="8.85546875" style="23"/>
  </cols>
  <sheetData>
    <row r="1" spans="1:6" s="16" customFormat="1" ht="15.75">
      <c r="A1" s="1" t="s">
        <v>894</v>
      </c>
      <c r="C1" s="86" t="s">
        <v>369</v>
      </c>
      <c r="D1" s="92" t="s">
        <v>370</v>
      </c>
      <c r="E1" s="93" t="s">
        <v>371</v>
      </c>
      <c r="F1" s="144" t="s">
        <v>899</v>
      </c>
    </row>
    <row r="2" spans="1:6" s="16" customFormat="1" ht="13.35" customHeight="1">
      <c r="A2" s="91" t="s">
        <v>86</v>
      </c>
      <c r="C2" s="15"/>
      <c r="E2" s="89"/>
    </row>
    <row r="3" spans="1:6" s="16" customFormat="1" ht="13.35" customHeight="1">
      <c r="A3" s="17"/>
      <c r="B3" s="17"/>
      <c r="C3" s="17"/>
    </row>
    <row r="4" spans="1:6" s="18" customFormat="1" ht="13.35" customHeight="1">
      <c r="A4" s="2" t="s">
        <v>373</v>
      </c>
      <c r="B4" s="4"/>
      <c r="C4" s="4"/>
    </row>
    <row r="5" spans="1:6" s="16" customFormat="1" ht="13.35" customHeight="1">
      <c r="A5" s="19"/>
      <c r="B5" s="19"/>
      <c r="C5" s="19"/>
    </row>
    <row r="6" spans="1:6" s="16" customFormat="1" ht="13.35" customHeight="1">
      <c r="A6" s="19" t="s">
        <v>1057</v>
      </c>
      <c r="B6" s="19"/>
      <c r="C6" s="19"/>
    </row>
    <row r="7" spans="1:6" s="16" customFormat="1" ht="13.35" customHeight="1">
      <c r="A7" s="19" t="s">
        <v>989</v>
      </c>
      <c r="B7" s="19"/>
      <c r="C7" s="19"/>
    </row>
    <row r="8" spans="1:6" s="16" customFormat="1" ht="13.35" customHeight="1">
      <c r="A8" s="19" t="s">
        <v>372</v>
      </c>
      <c r="B8" s="19"/>
      <c r="C8" s="19"/>
    </row>
    <row r="9" spans="1:6" s="16" customFormat="1" ht="13.35" customHeight="1">
      <c r="A9" s="254" t="s">
        <v>1059</v>
      </c>
      <c r="B9" s="19"/>
      <c r="C9" s="19"/>
    </row>
    <row r="10" spans="1:6" s="18" customFormat="1" ht="13.35" customHeight="1">
      <c r="A10" s="2" t="s">
        <v>779</v>
      </c>
      <c r="B10" s="4"/>
      <c r="C10" s="4"/>
    </row>
    <row r="11" spans="1:6" s="16" customFormat="1" ht="13.35" customHeight="1">
      <c r="A11" s="19"/>
      <c r="B11" s="19"/>
      <c r="C11" s="19"/>
    </row>
    <row r="12" spans="1:6" s="31" customFormat="1" ht="13.35" customHeight="1">
      <c r="A12" s="29" t="s">
        <v>783</v>
      </c>
      <c r="B12" s="29" t="s">
        <v>784</v>
      </c>
      <c r="C12" s="30"/>
    </row>
    <row r="13" spans="1:6" s="16" customFormat="1" ht="13.35" customHeight="1">
      <c r="A13" s="88" t="s">
        <v>368</v>
      </c>
      <c r="B13" s="19" t="s">
        <v>895</v>
      </c>
      <c r="C13" s="19"/>
    </row>
    <row r="14" spans="1:6" s="16" customFormat="1" ht="13.35" customHeight="1">
      <c r="A14" s="88" t="s">
        <v>1013</v>
      </c>
      <c r="B14" s="19" t="s">
        <v>1029</v>
      </c>
      <c r="C14" s="19"/>
    </row>
    <row r="15" spans="1:6" s="16" customFormat="1" ht="13.35" customHeight="1">
      <c r="A15" s="87" t="s">
        <v>158</v>
      </c>
      <c r="B15" s="19" t="s">
        <v>377</v>
      </c>
      <c r="C15" s="19"/>
    </row>
    <row r="16" spans="1:6" s="16" customFormat="1" ht="13.35" customHeight="1">
      <c r="A16" s="87" t="s">
        <v>746</v>
      </c>
      <c r="B16" s="19" t="s">
        <v>907</v>
      </c>
      <c r="C16" s="19"/>
    </row>
    <row r="17" spans="1:4" s="16" customFormat="1" ht="13.35" customHeight="1">
      <c r="A17" s="87" t="s">
        <v>745</v>
      </c>
      <c r="B17" s="19" t="s">
        <v>908</v>
      </c>
      <c r="C17" s="19"/>
    </row>
    <row r="18" spans="1:4" s="16" customFormat="1" ht="13.35" customHeight="1">
      <c r="A18" s="87" t="s">
        <v>398</v>
      </c>
      <c r="B18" s="19" t="s">
        <v>762</v>
      </c>
      <c r="C18" s="19"/>
    </row>
    <row r="19" spans="1:4" s="16" customFormat="1" ht="13.35" customHeight="1">
      <c r="A19" s="87" t="s">
        <v>991</v>
      </c>
      <c r="B19" s="19" t="s">
        <v>992</v>
      </c>
      <c r="C19" s="19"/>
    </row>
    <row r="20" spans="1:4" s="16" customFormat="1" ht="13.35" customHeight="1">
      <c r="A20" s="87" t="s">
        <v>138</v>
      </c>
      <c r="B20" s="19" t="s">
        <v>1058</v>
      </c>
      <c r="C20" s="19"/>
    </row>
    <row r="21" spans="1:4" s="16" customFormat="1" ht="13.35" customHeight="1">
      <c r="A21" s="87" t="s">
        <v>703</v>
      </c>
      <c r="B21" s="19" t="s">
        <v>896</v>
      </c>
      <c r="C21" s="19"/>
    </row>
    <row r="22" spans="1:4" s="16" customFormat="1" ht="13.35" customHeight="1">
      <c r="A22" s="87" t="s">
        <v>702</v>
      </c>
      <c r="B22" s="19" t="s">
        <v>897</v>
      </c>
      <c r="C22" s="19"/>
    </row>
    <row r="23" spans="1:4" s="16" customFormat="1" ht="13.35" customHeight="1">
      <c r="A23" s="87" t="s">
        <v>107</v>
      </c>
      <c r="B23" s="19" t="s">
        <v>374</v>
      </c>
      <c r="C23" s="19"/>
    </row>
    <row r="24" spans="1:4" s="16" customFormat="1" ht="13.35" customHeight="1">
      <c r="A24" s="88" t="s">
        <v>139</v>
      </c>
      <c r="B24" s="19" t="s">
        <v>375</v>
      </c>
      <c r="C24" s="19"/>
    </row>
    <row r="25" spans="1:4" s="16" customFormat="1" ht="13.35" customHeight="1">
      <c r="A25" s="88" t="s">
        <v>752</v>
      </c>
      <c r="B25" s="19" t="s">
        <v>753</v>
      </c>
      <c r="C25" s="19"/>
    </row>
    <row r="26" spans="1:4" s="16" customFormat="1" ht="13.35" customHeight="1">
      <c r="A26" s="88" t="s">
        <v>751</v>
      </c>
      <c r="B26" s="19" t="s">
        <v>754</v>
      </c>
      <c r="C26" s="19"/>
    </row>
    <row r="27" spans="1:4" s="16" customFormat="1" ht="13.35" customHeight="1">
      <c r="A27" s="88" t="s">
        <v>149</v>
      </c>
      <c r="B27" s="19" t="s">
        <v>376</v>
      </c>
      <c r="C27" s="19"/>
    </row>
    <row r="28" spans="1:4" s="16" customFormat="1" ht="13.35" customHeight="1">
      <c r="A28" s="20"/>
      <c r="B28" s="19"/>
      <c r="C28" s="19"/>
    </row>
    <row r="29" spans="1:4" s="18" customFormat="1" ht="13.35" customHeight="1">
      <c r="A29" s="2" t="s">
        <v>780</v>
      </c>
      <c r="B29" s="4"/>
      <c r="C29" s="4"/>
    </row>
    <row r="30" spans="1:4" s="16" customFormat="1" ht="13.35" customHeight="1"/>
    <row r="31" spans="1:4" s="24" customFormat="1" ht="13.35" customHeight="1">
      <c r="A31" s="24" t="s">
        <v>843</v>
      </c>
      <c r="B31" s="24" t="s">
        <v>781</v>
      </c>
      <c r="C31" s="33" t="s">
        <v>782</v>
      </c>
      <c r="D31" s="24" t="s">
        <v>110</v>
      </c>
    </row>
    <row r="32" spans="1:4" ht="13.35" customHeight="1">
      <c r="A32" s="23" t="s">
        <v>844</v>
      </c>
      <c r="B32" s="140" t="s">
        <v>832</v>
      </c>
      <c r="C32" s="87" t="s">
        <v>158</v>
      </c>
      <c r="D32" s="23" t="s">
        <v>852</v>
      </c>
    </row>
    <row r="33" spans="1:4" ht="13.35" customHeight="1">
      <c r="B33" s="140" t="s">
        <v>833</v>
      </c>
      <c r="C33" s="87" t="s">
        <v>703</v>
      </c>
      <c r="D33" s="23" t="s">
        <v>858</v>
      </c>
    </row>
    <row r="34" spans="1:4" ht="13.35" customHeight="1">
      <c r="B34" s="140" t="s">
        <v>834</v>
      </c>
      <c r="C34" s="88" t="s">
        <v>368</v>
      </c>
      <c r="D34" s="23" t="s">
        <v>853</v>
      </c>
    </row>
    <row r="35" spans="1:4" ht="13.35" customHeight="1">
      <c r="B35" s="140" t="s">
        <v>835</v>
      </c>
      <c r="C35" s="88" t="s">
        <v>368</v>
      </c>
      <c r="D35" s="23" t="s">
        <v>854</v>
      </c>
    </row>
    <row r="36" spans="1:4" ht="13.35" customHeight="1">
      <c r="B36" s="140" t="s">
        <v>836</v>
      </c>
      <c r="C36" s="88" t="s">
        <v>368</v>
      </c>
      <c r="D36" s="23" t="s">
        <v>855</v>
      </c>
    </row>
    <row r="37" spans="1:4" ht="13.35" customHeight="1">
      <c r="B37" s="140" t="s">
        <v>910</v>
      </c>
      <c r="C37" s="88" t="s">
        <v>745</v>
      </c>
      <c r="D37" s="23" t="s">
        <v>928</v>
      </c>
    </row>
    <row r="38" spans="1:4" ht="13.35" customHeight="1">
      <c r="B38" s="140" t="s">
        <v>911</v>
      </c>
      <c r="C38" s="88" t="s">
        <v>746</v>
      </c>
      <c r="D38" s="23" t="s">
        <v>929</v>
      </c>
    </row>
    <row r="39" spans="1:4" ht="13.35" customHeight="1">
      <c r="B39" s="140" t="s">
        <v>837</v>
      </c>
      <c r="C39" s="88" t="s">
        <v>149</v>
      </c>
      <c r="D39" s="23" t="s">
        <v>856</v>
      </c>
    </row>
    <row r="40" spans="1:4" ht="13.35" customHeight="1">
      <c r="B40" s="140" t="s">
        <v>838</v>
      </c>
      <c r="C40" s="88" t="s">
        <v>149</v>
      </c>
      <c r="D40" s="23" t="s">
        <v>857</v>
      </c>
    </row>
    <row r="41" spans="1:4" ht="13.35" customHeight="1">
      <c r="A41" s="23" t="s">
        <v>845</v>
      </c>
      <c r="B41" s="140" t="s">
        <v>839</v>
      </c>
      <c r="C41" s="88" t="s">
        <v>368</v>
      </c>
      <c r="D41" s="23" t="s">
        <v>848</v>
      </c>
    </row>
    <row r="42" spans="1:4" ht="13.35" customHeight="1">
      <c r="B42" s="140" t="s">
        <v>840</v>
      </c>
      <c r="C42" s="88" t="s">
        <v>368</v>
      </c>
      <c r="D42" s="23" t="s">
        <v>849</v>
      </c>
    </row>
    <row r="43" spans="1:4" ht="13.35" customHeight="1">
      <c r="B43" s="140" t="s">
        <v>966</v>
      </c>
      <c r="C43" s="88" t="s">
        <v>368</v>
      </c>
      <c r="D43" s="23" t="s">
        <v>967</v>
      </c>
    </row>
    <row r="44" spans="1:4" ht="13.35" customHeight="1">
      <c r="B44" s="140" t="s">
        <v>841</v>
      </c>
      <c r="C44" s="88" t="s">
        <v>368</v>
      </c>
      <c r="D44" s="23" t="s">
        <v>850</v>
      </c>
    </row>
    <row r="45" spans="1:4" ht="13.35" customHeight="1">
      <c r="B45" s="140" t="s">
        <v>999</v>
      </c>
      <c r="C45" s="87" t="s">
        <v>702</v>
      </c>
      <c r="D45" s="23" t="s">
        <v>1003</v>
      </c>
    </row>
    <row r="46" spans="1:4" ht="13.35" customHeight="1">
      <c r="B46" s="140" t="s">
        <v>1000</v>
      </c>
      <c r="C46" s="87" t="s">
        <v>702</v>
      </c>
      <c r="D46" s="23" t="s">
        <v>1005</v>
      </c>
    </row>
    <row r="47" spans="1:4" ht="13.35" customHeight="1">
      <c r="B47" s="140" t="s">
        <v>1001</v>
      </c>
      <c r="C47" s="87" t="s">
        <v>703</v>
      </c>
      <c r="D47" s="23" t="s">
        <v>1004</v>
      </c>
    </row>
    <row r="48" spans="1:4" ht="13.35" customHeight="1">
      <c r="B48" s="140" t="s">
        <v>1002</v>
      </c>
      <c r="C48" s="87" t="s">
        <v>703</v>
      </c>
      <c r="D48" s="23" t="s">
        <v>1006</v>
      </c>
    </row>
    <row r="49" spans="1:4" ht="13.35" customHeight="1">
      <c r="B49" s="140" t="s">
        <v>909</v>
      </c>
      <c r="C49" s="88" t="s">
        <v>368</v>
      </c>
      <c r="D49" s="23" t="s">
        <v>930</v>
      </c>
    </row>
    <row r="50" spans="1:4" ht="13.35" customHeight="1">
      <c r="B50" s="140" t="s">
        <v>842</v>
      </c>
      <c r="C50" s="88" t="s">
        <v>368</v>
      </c>
      <c r="D50" s="23" t="s">
        <v>851</v>
      </c>
    </row>
    <row r="51" spans="1:4" ht="13.35" customHeight="1">
      <c r="A51" s="23" t="s">
        <v>846</v>
      </c>
      <c r="B51" s="140" t="s">
        <v>785</v>
      </c>
      <c r="C51" s="87" t="s">
        <v>138</v>
      </c>
      <c r="D51" s="23" t="s">
        <v>949</v>
      </c>
    </row>
    <row r="52" spans="1:4" ht="13.35" customHeight="1">
      <c r="B52" s="140" t="s">
        <v>786</v>
      </c>
      <c r="C52" s="87" t="s">
        <v>138</v>
      </c>
      <c r="D52" s="23" t="s">
        <v>961</v>
      </c>
    </row>
    <row r="53" spans="1:4" ht="13.35" customHeight="1">
      <c r="B53" s="140" t="s">
        <v>787</v>
      </c>
      <c r="C53" s="87" t="s">
        <v>138</v>
      </c>
      <c r="D53" s="23" t="s">
        <v>951</v>
      </c>
    </row>
    <row r="54" spans="1:4" ht="13.35" customHeight="1">
      <c r="B54" s="140" t="s">
        <v>788</v>
      </c>
      <c r="C54" s="87" t="s">
        <v>138</v>
      </c>
      <c r="D54" s="23" t="s">
        <v>958</v>
      </c>
    </row>
    <row r="55" spans="1:4" ht="13.35" customHeight="1">
      <c r="B55" s="140" t="s">
        <v>789</v>
      </c>
      <c r="C55" s="87" t="s">
        <v>138</v>
      </c>
      <c r="D55" s="23" t="s">
        <v>952</v>
      </c>
    </row>
    <row r="56" spans="1:4" ht="13.35" customHeight="1">
      <c r="B56" s="140" t="s">
        <v>968</v>
      </c>
      <c r="C56" s="87" t="s">
        <v>138</v>
      </c>
      <c r="D56" s="23" t="s">
        <v>969</v>
      </c>
    </row>
    <row r="57" spans="1:4" ht="13.35" customHeight="1">
      <c r="B57" s="140" t="s">
        <v>912</v>
      </c>
      <c r="C57" s="87" t="s">
        <v>138</v>
      </c>
      <c r="D57" s="23" t="s">
        <v>937</v>
      </c>
    </row>
    <row r="58" spans="1:4" ht="13.35" customHeight="1">
      <c r="B58" s="140" t="s">
        <v>913</v>
      </c>
      <c r="C58" s="87" t="s">
        <v>138</v>
      </c>
      <c r="D58" s="23" t="s">
        <v>938</v>
      </c>
    </row>
    <row r="59" spans="1:4" ht="13.35" customHeight="1">
      <c r="B59" s="140" t="s">
        <v>914</v>
      </c>
      <c r="C59" s="87" t="s">
        <v>138</v>
      </c>
      <c r="D59" s="23" t="s">
        <v>939</v>
      </c>
    </row>
    <row r="60" spans="1:4" ht="13.35" customHeight="1">
      <c r="B60" s="140" t="s">
        <v>971</v>
      </c>
      <c r="C60" s="87" t="s">
        <v>138</v>
      </c>
      <c r="D60" s="23" t="s">
        <v>973</v>
      </c>
    </row>
    <row r="61" spans="1:4" ht="13.35" customHeight="1">
      <c r="B61" s="140" t="s">
        <v>915</v>
      </c>
      <c r="C61" s="87" t="s">
        <v>138</v>
      </c>
      <c r="D61" s="23" t="s">
        <v>940</v>
      </c>
    </row>
    <row r="62" spans="1:4" ht="13.35" customHeight="1">
      <c r="B62" s="140" t="s">
        <v>972</v>
      </c>
      <c r="C62" s="87" t="s">
        <v>138</v>
      </c>
      <c r="D62" s="23" t="s">
        <v>974</v>
      </c>
    </row>
    <row r="63" spans="1:4" ht="13.35" customHeight="1">
      <c r="B63" s="140" t="s">
        <v>916</v>
      </c>
      <c r="C63" s="87" t="s">
        <v>138</v>
      </c>
      <c r="D63" s="23" t="s">
        <v>941</v>
      </c>
    </row>
    <row r="64" spans="1:4" ht="13.35" customHeight="1">
      <c r="B64" s="140" t="s">
        <v>917</v>
      </c>
      <c r="C64" s="87" t="s">
        <v>138</v>
      </c>
      <c r="D64" s="23" t="s">
        <v>942</v>
      </c>
    </row>
    <row r="65" spans="1:4" ht="13.35" customHeight="1">
      <c r="B65" s="140" t="s">
        <v>918</v>
      </c>
      <c r="C65" s="87" t="s">
        <v>138</v>
      </c>
      <c r="D65" s="23" t="s">
        <v>946</v>
      </c>
    </row>
    <row r="66" spans="1:4" ht="13.35" customHeight="1">
      <c r="B66" s="140" t="s">
        <v>919</v>
      </c>
      <c r="C66" s="87" t="s">
        <v>138</v>
      </c>
      <c r="D66" s="23" t="s">
        <v>945</v>
      </c>
    </row>
    <row r="67" spans="1:4" ht="13.35" customHeight="1">
      <c r="B67" s="140" t="s">
        <v>920</v>
      </c>
      <c r="C67" s="87" t="s">
        <v>138</v>
      </c>
      <c r="D67" s="23" t="s">
        <v>943</v>
      </c>
    </row>
    <row r="68" spans="1:4" ht="13.35" customHeight="1">
      <c r="B68" s="140" t="s">
        <v>921</v>
      </c>
      <c r="C68" s="87" t="s">
        <v>138</v>
      </c>
      <c r="D68" s="23" t="s">
        <v>944</v>
      </c>
    </row>
    <row r="69" spans="1:4" ht="13.35" customHeight="1">
      <c r="B69" s="140" t="s">
        <v>790</v>
      </c>
      <c r="C69" s="87" t="s">
        <v>991</v>
      </c>
      <c r="D69" s="23" t="s">
        <v>953</v>
      </c>
    </row>
    <row r="70" spans="1:4" ht="13.35" customHeight="1">
      <c r="B70" s="140" t="s">
        <v>791</v>
      </c>
      <c r="C70" s="87" t="s">
        <v>138</v>
      </c>
      <c r="D70" s="23" t="s">
        <v>954</v>
      </c>
    </row>
    <row r="71" spans="1:4" ht="13.35" customHeight="1">
      <c r="B71" s="140" t="s">
        <v>792</v>
      </c>
      <c r="C71" s="87" t="s">
        <v>138</v>
      </c>
      <c r="D71" s="23" t="s">
        <v>955</v>
      </c>
    </row>
    <row r="72" spans="1:4" ht="13.35" customHeight="1">
      <c r="B72" s="140" t="s">
        <v>793</v>
      </c>
      <c r="C72" s="87" t="s">
        <v>138</v>
      </c>
      <c r="D72" s="23" t="s">
        <v>956</v>
      </c>
    </row>
    <row r="73" spans="1:4" ht="13.35" customHeight="1">
      <c r="B73" s="140" t="s">
        <v>794</v>
      </c>
      <c r="C73" s="87" t="s">
        <v>138</v>
      </c>
      <c r="D73" s="23" t="s">
        <v>957</v>
      </c>
    </row>
    <row r="74" spans="1:4" ht="13.35" customHeight="1">
      <c r="B74" s="140" t="s">
        <v>795</v>
      </c>
      <c r="C74" s="87" t="s">
        <v>138</v>
      </c>
      <c r="D74" s="23" t="s">
        <v>959</v>
      </c>
    </row>
    <row r="75" spans="1:4" ht="13.35" customHeight="1">
      <c r="B75" s="140" t="s">
        <v>796</v>
      </c>
      <c r="C75" s="87" t="s">
        <v>138</v>
      </c>
      <c r="D75" s="23" t="s">
        <v>960</v>
      </c>
    </row>
    <row r="76" spans="1:4" ht="13.35" customHeight="1">
      <c r="B76" s="140" t="s">
        <v>797</v>
      </c>
      <c r="C76" s="87" t="s">
        <v>138</v>
      </c>
      <c r="D76" s="23" t="s">
        <v>950</v>
      </c>
    </row>
    <row r="77" spans="1:4" ht="13.35" customHeight="1">
      <c r="B77" s="140" t="s">
        <v>980</v>
      </c>
      <c r="C77" s="87" t="s">
        <v>138</v>
      </c>
      <c r="D77" s="23" t="s">
        <v>979</v>
      </c>
    </row>
    <row r="78" spans="1:4" ht="13.35" customHeight="1">
      <c r="A78" s="23" t="s">
        <v>847</v>
      </c>
      <c r="B78" s="140" t="s">
        <v>798</v>
      </c>
      <c r="C78" s="88" t="s">
        <v>368</v>
      </c>
      <c r="D78" s="23" t="s">
        <v>962</v>
      </c>
    </row>
    <row r="79" spans="1:4" ht="13.35" customHeight="1">
      <c r="B79" s="140" t="s">
        <v>799</v>
      </c>
      <c r="C79" s="87" t="s">
        <v>702</v>
      </c>
      <c r="D79" s="23" t="s">
        <v>859</v>
      </c>
    </row>
    <row r="80" spans="1:4" ht="13.35" customHeight="1">
      <c r="B80" s="140" t="s">
        <v>800</v>
      </c>
      <c r="C80" s="87" t="s">
        <v>702</v>
      </c>
      <c r="D80" s="23" t="s">
        <v>861</v>
      </c>
    </row>
    <row r="81" spans="2:4" ht="13.35" customHeight="1">
      <c r="B81" s="140" t="s">
        <v>801</v>
      </c>
      <c r="C81" s="87" t="s">
        <v>702</v>
      </c>
      <c r="D81" s="23" t="s">
        <v>863</v>
      </c>
    </row>
    <row r="82" spans="2:4" ht="13.35" customHeight="1">
      <c r="B82" s="140" t="s">
        <v>802</v>
      </c>
      <c r="C82" s="87" t="s">
        <v>702</v>
      </c>
      <c r="D82" s="23" t="s">
        <v>864</v>
      </c>
    </row>
    <row r="83" spans="2:4" ht="13.35" customHeight="1">
      <c r="B83" s="140" t="s">
        <v>803</v>
      </c>
      <c r="C83" s="87" t="s">
        <v>703</v>
      </c>
      <c r="D83" s="23" t="s">
        <v>860</v>
      </c>
    </row>
    <row r="84" spans="2:4" ht="13.35" customHeight="1">
      <c r="B84" s="140" t="s">
        <v>804</v>
      </c>
      <c r="C84" s="87" t="s">
        <v>703</v>
      </c>
      <c r="D84" s="23" t="s">
        <v>862</v>
      </c>
    </row>
    <row r="85" spans="2:4" ht="13.35" customHeight="1">
      <c r="B85" s="140" t="s">
        <v>805</v>
      </c>
      <c r="C85" s="87" t="s">
        <v>703</v>
      </c>
      <c r="D85" s="23" t="s">
        <v>866</v>
      </c>
    </row>
    <row r="86" spans="2:4" ht="13.35" customHeight="1">
      <c r="B86" s="140" t="s">
        <v>806</v>
      </c>
      <c r="C86" s="87" t="s">
        <v>703</v>
      </c>
      <c r="D86" s="23" t="s">
        <v>865</v>
      </c>
    </row>
    <row r="87" spans="2:4" ht="13.35" customHeight="1">
      <c r="B87" s="140" t="s">
        <v>807</v>
      </c>
      <c r="C87" s="87" t="s">
        <v>398</v>
      </c>
      <c r="D87" s="23" t="s">
        <v>867</v>
      </c>
    </row>
    <row r="88" spans="2:4" ht="13.35" customHeight="1">
      <c r="B88" s="140" t="s">
        <v>808</v>
      </c>
      <c r="C88" s="87" t="s">
        <v>158</v>
      </c>
      <c r="D88" s="23" t="s">
        <v>868</v>
      </c>
    </row>
    <row r="89" spans="2:4" ht="13.35" customHeight="1">
      <c r="B89" s="140" t="s">
        <v>993</v>
      </c>
      <c r="C89" s="87" t="s">
        <v>991</v>
      </c>
      <c r="D89" s="23" t="s">
        <v>994</v>
      </c>
    </row>
    <row r="90" spans="2:4" ht="13.35" customHeight="1">
      <c r="B90" s="140" t="s">
        <v>809</v>
      </c>
      <c r="C90" s="87" t="s">
        <v>158</v>
      </c>
      <c r="D90" s="23" t="s">
        <v>869</v>
      </c>
    </row>
    <row r="91" spans="2:4" ht="13.35" customHeight="1">
      <c r="B91" s="140" t="s">
        <v>810</v>
      </c>
      <c r="C91" s="87" t="s">
        <v>158</v>
      </c>
      <c r="D91" s="23" t="s">
        <v>870</v>
      </c>
    </row>
    <row r="92" spans="2:4" ht="13.35" customHeight="1">
      <c r="B92" s="140" t="s">
        <v>811</v>
      </c>
      <c r="C92" s="88" t="s">
        <v>368</v>
      </c>
      <c r="D92" s="23" t="s">
        <v>871</v>
      </c>
    </row>
    <row r="93" spans="2:4" ht="13.35" customHeight="1">
      <c r="B93" s="140" t="s">
        <v>812</v>
      </c>
      <c r="C93" s="87" t="s">
        <v>702</v>
      </c>
      <c r="D93" s="23" t="s">
        <v>872</v>
      </c>
    </row>
    <row r="94" spans="2:4" ht="13.35" customHeight="1">
      <c r="B94" s="140" t="s">
        <v>813</v>
      </c>
      <c r="C94" s="87" t="s">
        <v>702</v>
      </c>
      <c r="D94" s="23" t="s">
        <v>874</v>
      </c>
    </row>
    <row r="95" spans="2:4" ht="13.35" customHeight="1">
      <c r="B95" s="140" t="s">
        <v>814</v>
      </c>
      <c r="C95" s="87" t="s">
        <v>702</v>
      </c>
      <c r="D95" s="23" t="s">
        <v>875</v>
      </c>
    </row>
    <row r="96" spans="2:4" ht="13.35" customHeight="1">
      <c r="B96" s="140" t="s">
        <v>815</v>
      </c>
      <c r="C96" s="87" t="s">
        <v>702</v>
      </c>
      <c r="D96" s="23" t="s">
        <v>876</v>
      </c>
    </row>
    <row r="97" spans="2:4" ht="13.35" customHeight="1">
      <c r="B97" s="140" t="s">
        <v>816</v>
      </c>
      <c r="C97" s="87" t="s">
        <v>703</v>
      </c>
      <c r="D97" s="23" t="s">
        <v>873</v>
      </c>
    </row>
    <row r="98" spans="2:4" ht="13.35" customHeight="1">
      <c r="B98" s="140" t="s">
        <v>817</v>
      </c>
      <c r="C98" s="87" t="s">
        <v>703</v>
      </c>
      <c r="D98" s="23" t="s">
        <v>877</v>
      </c>
    </row>
    <row r="99" spans="2:4" ht="13.35" customHeight="1">
      <c r="B99" s="140" t="s">
        <v>818</v>
      </c>
      <c r="C99" s="87" t="s">
        <v>703</v>
      </c>
      <c r="D99" s="23" t="s">
        <v>878</v>
      </c>
    </row>
    <row r="100" spans="2:4" ht="13.35" customHeight="1">
      <c r="B100" s="140" t="s">
        <v>819</v>
      </c>
      <c r="C100" s="87" t="s">
        <v>703</v>
      </c>
      <c r="D100" s="23" t="s">
        <v>879</v>
      </c>
    </row>
    <row r="101" spans="2:4" ht="13.35" customHeight="1">
      <c r="B101" s="140" t="s">
        <v>820</v>
      </c>
      <c r="C101" s="88" t="s">
        <v>368</v>
      </c>
      <c r="D101" s="23" t="s">
        <v>880</v>
      </c>
    </row>
    <row r="102" spans="2:4" ht="13.35" customHeight="1">
      <c r="B102" s="140" t="s">
        <v>821</v>
      </c>
      <c r="C102" s="88" t="s">
        <v>368</v>
      </c>
      <c r="D102" s="23" t="s">
        <v>881</v>
      </c>
    </row>
    <row r="103" spans="2:4" ht="13.35" customHeight="1">
      <c r="B103" s="140" t="s">
        <v>822</v>
      </c>
      <c r="C103" s="88" t="s">
        <v>368</v>
      </c>
      <c r="D103" s="23" t="s">
        <v>883</v>
      </c>
    </row>
    <row r="104" spans="2:4" ht="13.35" customHeight="1">
      <c r="B104" s="140" t="s">
        <v>823</v>
      </c>
      <c r="C104" s="88" t="s">
        <v>368</v>
      </c>
      <c r="D104" s="23" t="s">
        <v>882</v>
      </c>
    </row>
    <row r="105" spans="2:4" ht="13.35" customHeight="1">
      <c r="B105" s="140" t="s">
        <v>824</v>
      </c>
      <c r="C105" s="87" t="s">
        <v>702</v>
      </c>
      <c r="D105" s="23" t="s">
        <v>884</v>
      </c>
    </row>
    <row r="106" spans="2:4" ht="13.35" customHeight="1">
      <c r="B106" s="140" t="s">
        <v>825</v>
      </c>
      <c r="C106" s="87" t="s">
        <v>702</v>
      </c>
      <c r="D106" s="23" t="s">
        <v>886</v>
      </c>
    </row>
    <row r="107" spans="2:4" ht="13.35" customHeight="1">
      <c r="B107" s="140" t="s">
        <v>826</v>
      </c>
      <c r="C107" s="87" t="s">
        <v>703</v>
      </c>
      <c r="D107" s="23" t="s">
        <v>885</v>
      </c>
    </row>
    <row r="108" spans="2:4" s="16" customFormat="1" ht="13.35" customHeight="1">
      <c r="B108" s="140" t="s">
        <v>827</v>
      </c>
      <c r="C108" s="87" t="s">
        <v>703</v>
      </c>
      <c r="D108" s="23" t="s">
        <v>887</v>
      </c>
    </row>
    <row r="109" spans="2:4" s="16" customFormat="1" ht="13.35" customHeight="1">
      <c r="B109" s="140" t="s">
        <v>922</v>
      </c>
      <c r="C109" s="88" t="s">
        <v>745</v>
      </c>
      <c r="D109" s="23" t="s">
        <v>932</v>
      </c>
    </row>
    <row r="110" spans="2:4" s="16" customFormat="1" ht="13.35" customHeight="1">
      <c r="B110" s="140" t="s">
        <v>923</v>
      </c>
      <c r="C110" s="88" t="s">
        <v>746</v>
      </c>
      <c r="D110" s="23" t="s">
        <v>931</v>
      </c>
    </row>
    <row r="111" spans="2:4" s="16" customFormat="1" ht="13.35" customHeight="1">
      <c r="B111" s="140" t="s">
        <v>924</v>
      </c>
      <c r="C111" s="88" t="s">
        <v>745</v>
      </c>
      <c r="D111" s="23" t="s">
        <v>934</v>
      </c>
    </row>
    <row r="112" spans="2:4" s="16" customFormat="1" ht="13.35" customHeight="1">
      <c r="B112" s="140" t="s">
        <v>925</v>
      </c>
      <c r="C112" s="88" t="s">
        <v>746</v>
      </c>
      <c r="D112" s="23" t="s">
        <v>933</v>
      </c>
    </row>
    <row r="113" spans="1:4" s="16" customFormat="1" ht="13.35" customHeight="1">
      <c r="B113" s="140" t="s">
        <v>926</v>
      </c>
      <c r="C113" s="88" t="s">
        <v>745</v>
      </c>
      <c r="D113" s="23" t="s">
        <v>935</v>
      </c>
    </row>
    <row r="114" spans="1:4" s="16" customFormat="1" ht="13.35" customHeight="1">
      <c r="B114" s="140" t="s">
        <v>927</v>
      </c>
      <c r="C114" s="88" t="s">
        <v>746</v>
      </c>
      <c r="D114" s="23" t="s">
        <v>936</v>
      </c>
    </row>
    <row r="115" spans="1:4" ht="13.35" customHeight="1">
      <c r="B115" s="140" t="s">
        <v>828</v>
      </c>
      <c r="C115" s="88" t="s">
        <v>368</v>
      </c>
      <c r="D115" s="23" t="s">
        <v>888</v>
      </c>
    </row>
    <row r="116" spans="1:4" ht="13.35" customHeight="1">
      <c r="B116" s="140" t="s">
        <v>829</v>
      </c>
      <c r="C116" s="88" t="s">
        <v>368</v>
      </c>
      <c r="D116" s="23" t="s">
        <v>889</v>
      </c>
    </row>
    <row r="117" spans="1:4" ht="13.35" customHeight="1">
      <c r="B117" s="140" t="s">
        <v>830</v>
      </c>
      <c r="C117" s="88" t="s">
        <v>149</v>
      </c>
      <c r="D117" s="23" t="s">
        <v>890</v>
      </c>
    </row>
    <row r="118" spans="1:4" ht="13.35" customHeight="1">
      <c r="B118" s="140" t="s">
        <v>831</v>
      </c>
      <c r="C118" s="88" t="s">
        <v>149</v>
      </c>
      <c r="D118" s="23" t="s">
        <v>891</v>
      </c>
    </row>
    <row r="120" spans="1:4" s="139" customFormat="1" ht="13.35" customHeight="1">
      <c r="A120" s="2" t="s">
        <v>106</v>
      </c>
      <c r="B120" s="4"/>
      <c r="C120" s="4"/>
    </row>
  </sheetData>
  <hyperlinks>
    <hyperlink ref="A13" location="'Lookup tables'!A1" display="Lookup tables" xr:uid="{00000000-0004-0000-0000-000000000000}"/>
    <hyperlink ref="A15" location="'Data|EBRIN'!A1" display="Data | EBRIN" xr:uid="{00000000-0004-0000-0000-000001000000}"/>
    <hyperlink ref="A17" location="'Data|OEFs - Long'!A1" display="Data | OEFs - Long" xr:uid="{00000000-0004-0000-0000-000002000000}"/>
    <hyperlink ref="A19" location="'Data|Forecasts'!A1" display="Data | Forecasts" xr:uid="{00000000-0004-0000-0000-000003000000}"/>
    <hyperlink ref="A20" location="'Input|Parameters'!A1" display="Input | Parameters" xr:uid="{00000000-0004-0000-0000-000004000000}"/>
    <hyperlink ref="A22" location="'Input|Econometrics - Long'!A1" display="Input | Econometrics - Long" xr:uid="{00000000-0004-0000-0000-000005000000}"/>
    <hyperlink ref="A23" location="'Calc|Cost drivers'!A1" display="Calc | Cost drivers" xr:uid="{00000000-0004-0000-0000-000006000000}"/>
    <hyperlink ref="A24" location="'Calc|Efficiency target'!A1" display="Calc | Efficiency target" xr:uid="{00000000-0004-0000-0000-000007000000}"/>
    <hyperlink ref="A25" location="'Calc|Opex forecasts - Short'!A1" display="Calc | Opex forecasts - Short" xr:uid="{00000000-0004-0000-0000-000008000000}"/>
    <hyperlink ref="A27" location="'Output|Summary'!A1" display="Output | Summary" xr:uid="{00000000-0004-0000-0000-000009000000}"/>
    <hyperlink ref="A18" location="'Data|CPI'!A1" display="Data | CPI" xr:uid="{00000000-0004-0000-0000-00000A000000}"/>
    <hyperlink ref="A16" location="'Data|OEFs - Short'!A1" display="Data | OEFs - Short" xr:uid="{00000000-0004-0000-0000-00000B000000}"/>
    <hyperlink ref="A26" location="'Calc|Opex forecasts - Long'!A1" display="Calc | Opex forecasts - Long" xr:uid="{00000000-0004-0000-0000-00000C000000}"/>
    <hyperlink ref="B32" location="Header_Table_Data_EBRIN" display="Header_Table_Data_EBRIN" xr:uid="{00000000-0004-0000-0000-00000D000000}"/>
    <hyperlink ref="B33" location="Header_Table_Econometrics" display="Header_Table_Econometrics" xr:uid="{00000000-0004-0000-0000-00000E000000}"/>
    <hyperlink ref="B34" location="Header_Table_Inflators_December_to_December" display="Header_Table_Inflators_December_to_December" xr:uid="{00000000-0004-0000-0000-00000F000000}"/>
    <hyperlink ref="B35" location="Header_Table_Inflators_June_to_June" display="Header_Table_Inflators_June_to_June" xr:uid="{00000000-0004-0000-0000-000010000000}"/>
    <hyperlink ref="B36" location="Header_Table_Inflators_per_base_year" display="Header_Table_Inflators_per_base_year" xr:uid="{00000000-0004-0000-0000-000011000000}"/>
    <hyperlink ref="B39" location="Header_Table_Summary_long" display="Header_Table_Summary_long" xr:uid="{00000000-0004-0000-0000-000012000000}"/>
    <hyperlink ref="B40" location="Header_Table_Summary_short" display="Header_Table_Summary_short" xr:uid="{00000000-0004-0000-0000-000013000000}"/>
    <hyperlink ref="B41" location="List_Apply_fixed_growth_rate" display="List_Apply_fixed_growth_rate" xr:uid="{00000000-0004-0000-0000-000014000000}"/>
    <hyperlink ref="B42" location="List_DNSP" display="List_DNSP" xr:uid="{00000000-0004-0000-0000-000015000000}"/>
    <hyperlink ref="B44" location="List_Inflation_method" display="List_Inflation_method" xr:uid="{00000000-0004-0000-0000-000016000000}"/>
    <hyperlink ref="B50" location="List_Scenario" display="List_Scenario" xr:uid="{00000000-0004-0000-0000-000017000000}"/>
    <hyperlink ref="B51" location="Parameter_Apply_fixed_growth_rate" display="Parameter_Apply_fixed_growth rate" xr:uid="{00000000-0004-0000-0000-000018000000}"/>
    <hyperlink ref="B52" location="Parameter_Base_year" display="Parameter_Base_year" xr:uid="{00000000-0004-0000-0000-000019000000}"/>
    <hyperlink ref="B53" location="Parameter_Base_year_manual_override" display="Parameter_Base_year_manual_override" xr:uid="{00000000-0004-0000-0000-00001A000000}"/>
    <hyperlink ref="B54" location="Parameter_DNSP" display="Parameter_DNSP" xr:uid="{00000000-0004-0000-0000-00001B000000}"/>
    <hyperlink ref="B55" location="Parameter_Efficiency_target" display="Parameter_Efficiency_target" xr:uid="{00000000-0004-0000-0000-00001C000000}"/>
    <hyperlink ref="B69" location="Parameter_Opex_forecast_error" display="Parameter_Opex_forecast_error" xr:uid="{00000000-0004-0000-0000-00001D000000}"/>
    <hyperlink ref="B70" location="Parameter_Period_end" display="Parameter_Period_end" xr:uid="{00000000-0004-0000-0000-00001E000000}"/>
    <hyperlink ref="B71" location="Parameter_Period_start_long" display="Parameter_Period_start_long" xr:uid="{00000000-0004-0000-0000-00001F000000}"/>
    <hyperlink ref="B72" location="Parameter_Period_start_short" display="Parameter_Period_start_short" xr:uid="{00000000-0004-0000-0000-000020000000}"/>
    <hyperlink ref="B77" location="Parameter_Regulatory_year_basis" display="Parameter_Regulatory_year_basis" xr:uid="{00000000-0004-0000-0000-000021000000}"/>
    <hyperlink ref="B73" location="Parameter_Results_dollar_basis" display="Parameter_Results_dollar_basis" xr:uid="{00000000-0004-0000-0000-000022000000}"/>
    <hyperlink ref="B74" location="Parameter_Scenario" display="Parameter_Scenario" xr:uid="{00000000-0004-0000-0000-000023000000}"/>
    <hyperlink ref="B75" location="Parameter_Scenario_number" display="Parameter_Scenario_number" xr:uid="{00000000-0004-0000-0000-000024000000}"/>
    <hyperlink ref="B76" location="Parameter_Technology_growth_rate" display="Parameter_Technology_growth_rate" xr:uid="{00000000-0004-0000-0000-000025000000}"/>
    <hyperlink ref="B78" location="Table_Base_year_default" display="Table_Base_year_default" xr:uid="{00000000-0004-0000-0000-000026000000}"/>
    <hyperlink ref="B79" location="Table_Coefficients_long_LSECD" display="Table_Coefficients_long_LSECD" xr:uid="{00000000-0004-0000-0000-000027000000}"/>
    <hyperlink ref="B80" location="Table_Coefficients_long_LSETLG" display="Table_Coefficients_long_LSETLG" xr:uid="{00000000-0004-0000-0000-000028000000}"/>
    <hyperlink ref="B81" location="Table_Coefficients_long_SFACD" display="Table_Coefficients_long_SFACD" xr:uid="{00000000-0004-0000-0000-000029000000}"/>
    <hyperlink ref="B82" location="Table_Coefficients_long_SFATLG" display="Table_Coefficients_long_SFATLG" xr:uid="{00000000-0004-0000-0000-00002A000000}"/>
    <hyperlink ref="B83" location="Table_Coefficients_short_LSECD" display="Table_Coefficients_short_LSECD" xr:uid="{00000000-0004-0000-0000-00002B000000}"/>
    <hyperlink ref="B84" location="Table_Coefficients_short_LSETLG" display="Table_Coefficients_short_LSETLG" xr:uid="{00000000-0004-0000-0000-00002C000000}"/>
    <hyperlink ref="B85" location="Table_Coefficients_short_SFACD" display="Table_Coefficients_short_SFACD" xr:uid="{00000000-0004-0000-0000-00002D000000}"/>
    <hyperlink ref="B86" location="Table_Coefficients_short_SFATLG" display="Table_Coefficients_short_SFATLG" xr:uid="{00000000-0004-0000-0000-00002E000000}"/>
    <hyperlink ref="B87" location="Table_Data_All_groups_CPI_Australia" display="Table_Data_All_groups_CPI_Australia" xr:uid="{00000000-0004-0000-0000-00002F000000}"/>
    <hyperlink ref="B88" location="Table_Data_EBRIN" display="Table_Data_EBRIN" xr:uid="{00000000-0004-0000-0000-000030000000}"/>
    <hyperlink ref="B90" location="Table_Data_opex_alternative" display="Table_Data_opex_alternative" xr:uid="{00000000-0004-0000-0000-000031000000}"/>
    <hyperlink ref="B89" location="Table_Data_forecast" display="Table_Data_forecast" xr:uid="{00000000-0004-0000-0000-000032000000}"/>
    <hyperlink ref="B91" location="Table_Data_opex_selected" display="Table_Data_opex_selected" xr:uid="{00000000-0004-0000-0000-000033000000}"/>
    <hyperlink ref="B92" location="Table_DNSP" display="Table_DNSP" xr:uid="{00000000-0004-0000-0000-000034000000}"/>
    <hyperlink ref="B93" location="Table_Efficiency_scores_long_LSECD" display="Table_Efficiency_scores_long_LSECD" xr:uid="{00000000-0004-0000-0000-000035000000}"/>
    <hyperlink ref="B94" location="Table_Efficiency_scores_long_LSETLG" display="Table_Efficiency_scores_long_LSETLG" xr:uid="{00000000-0004-0000-0000-000036000000}"/>
    <hyperlink ref="B95" location="Table_Efficiency_scores_long_SFACD" display="Table_Efficiency_scores_long_SFACD" xr:uid="{00000000-0004-0000-0000-000037000000}"/>
    <hyperlink ref="B96" location="Table_Efficiency_scores_long_SFATLG" display="Table_Efficiency_scores_long_SFATLG" xr:uid="{00000000-0004-0000-0000-000038000000}"/>
    <hyperlink ref="B97" location="Table_Efficiency_scores_short_LSECD" display="Table_Efficiency_scores_short_LSECD" xr:uid="{00000000-0004-0000-0000-000039000000}"/>
    <hyperlink ref="B98" location="Table_Efficiency_scores_long_LSETLG" display="Table_Efficiency_scores_short_LSETLG" xr:uid="{00000000-0004-0000-0000-00003A000000}"/>
    <hyperlink ref="B99" location="Table_Efficiency_scores_short_SFACD" display="Table_Efficiency_scores_short_SFACD" xr:uid="{00000000-0004-0000-0000-00003B000000}"/>
    <hyperlink ref="B100" location="Table_Efficiency_scores_short_SFATLG" display="Table_Efficiency_scores_short_SFATLG" xr:uid="{00000000-0004-0000-0000-00003C000000}"/>
    <hyperlink ref="B101" location="Table_Inflators_December_to_December" display="Table_Inflators_December_to_December" xr:uid="{00000000-0004-0000-0000-00003D000000}"/>
    <hyperlink ref="B102" location="Table_Inflators_June_to_June" display="Table_Inflators_June_to_June" xr:uid="{00000000-0004-0000-0000-00003E000000}"/>
    <hyperlink ref="B103" location="Table_Inflators_per_base_year" display="Table_Inflators_per_base_year" xr:uid="{00000000-0004-0000-0000-00003F000000}"/>
    <hyperlink ref="B104" location="Table_Inflators_per_base_year_AER_Opex_Model" display="Table_Inflators_per_base_year_AER_Opex_Model" xr:uid="{00000000-0004-0000-0000-000040000000}"/>
    <hyperlink ref="B105" location="Table_Monotonicity_violations_long_LSETLG" display="Table_Monotonicity_violations_long_LSETLG" xr:uid="{00000000-0004-0000-0000-000041000000}"/>
    <hyperlink ref="B106" location="Table_Monotonicity_violations_long_SFATLG" display="Table_Monotonicity_violations_long_SFATLG" xr:uid="{00000000-0004-0000-0000-000042000000}"/>
    <hyperlink ref="B107" location="Table_Monotonicity_violations_short_LSETLG" display="Table_Monotonicity_violations_short_LSETLG" xr:uid="{00000000-0004-0000-0000-000043000000}"/>
    <hyperlink ref="B108" location="Table_Monotonicity_violations_short_SFATLG" display="Table_Monotonicity_violations_short_SFATLG" xr:uid="{00000000-0004-0000-0000-000044000000}"/>
    <hyperlink ref="B115" location="Table_Regulatory_year_basis" display="Table_Regulatory_year_basis" xr:uid="{00000000-0004-0000-0000-000045000000}"/>
    <hyperlink ref="B116" location="Table_Scenario_number" display="Table_Scenario_number" xr:uid="{00000000-0004-0000-0000-000046000000}"/>
    <hyperlink ref="B117" location="Table_Summary_long" display="Table_Summary_long" xr:uid="{00000000-0004-0000-0000-000047000000}"/>
    <hyperlink ref="B118" location="Table_Summary_short" display="Table_Summary_short" xr:uid="{00000000-0004-0000-0000-000048000000}"/>
    <hyperlink ref="C32" location="'Data|EBRIN'!A1" display="Data | EBRIN" xr:uid="{00000000-0004-0000-0000-000049000000}"/>
    <hyperlink ref="C33" location="'Input|Econometrics - Short'!A1" display="Input | Econometrics - Short" xr:uid="{00000000-0004-0000-0000-00004A000000}"/>
    <hyperlink ref="C34" location="'Lookup tables'!A1" display="Lookup tables" xr:uid="{00000000-0004-0000-0000-00004B000000}"/>
    <hyperlink ref="C35" location="'Lookup tables'!A1" display="Lookup tables" xr:uid="{00000000-0004-0000-0000-00004C000000}"/>
    <hyperlink ref="C36" location="'Lookup tables'!A1" display="Lookup tables" xr:uid="{00000000-0004-0000-0000-00004D000000}"/>
    <hyperlink ref="C39" location="'Output|Summary'!A1" display="Output | Summary" xr:uid="{00000000-0004-0000-0000-00004E000000}"/>
    <hyperlink ref="C40" location="'Output|Summary'!A1" display="Output | Summary" xr:uid="{00000000-0004-0000-0000-00004F000000}"/>
    <hyperlink ref="C41" location="'Lookup tables'!A1" display="Lookup tables" xr:uid="{00000000-0004-0000-0000-000050000000}"/>
    <hyperlink ref="C42" location="'Lookup tables'!A1" display="Lookup tables" xr:uid="{00000000-0004-0000-0000-000051000000}"/>
    <hyperlink ref="C44" location="'Lookup tables'!A1" display="Lookup tables" xr:uid="{00000000-0004-0000-0000-000052000000}"/>
    <hyperlink ref="C50" location="'Lookup tables'!A1" display="Lookup tables" xr:uid="{00000000-0004-0000-0000-000053000000}"/>
    <hyperlink ref="C51" location="'Input|Parameters'!A1" display="Input | Parameters" xr:uid="{00000000-0004-0000-0000-000054000000}"/>
    <hyperlink ref="C52" location="'Input|Parameters'!A1" display="Input | Parameters" xr:uid="{00000000-0004-0000-0000-000055000000}"/>
    <hyperlink ref="C53" location="'Input|Parameters'!A1" display="Input | Parameters" xr:uid="{00000000-0004-0000-0000-000056000000}"/>
    <hyperlink ref="C54" location="'Input|Parameters'!A1" display="Input | Parameters" xr:uid="{00000000-0004-0000-0000-000057000000}"/>
    <hyperlink ref="C55" location="'Input|Parameters'!A1" display="Input | Parameters" xr:uid="{00000000-0004-0000-0000-000058000000}"/>
    <hyperlink ref="C70" location="'Input|Parameters'!A1" display="Input | Parameters" xr:uid="{00000000-0004-0000-0000-000059000000}"/>
    <hyperlink ref="C71" location="'Input|Parameters'!A1" display="Input | Parameters" xr:uid="{00000000-0004-0000-0000-00005A000000}"/>
    <hyperlink ref="C72" location="'Input|Parameters'!A1" display="Input | Parameters" xr:uid="{00000000-0004-0000-0000-00005B000000}"/>
    <hyperlink ref="C77" location="'Input|Parameters'!A1" display="Input | Parameters" xr:uid="{00000000-0004-0000-0000-00005C000000}"/>
    <hyperlink ref="C73" location="'Input|Parameters'!A1" display="Input | Parameters" xr:uid="{00000000-0004-0000-0000-00005D000000}"/>
    <hyperlink ref="C74" location="'Input|Parameters'!A1" display="Input | Parameters" xr:uid="{00000000-0004-0000-0000-00005E000000}"/>
    <hyperlink ref="C75" location="'Input|Parameters'!A1" display="Input | Parameters" xr:uid="{00000000-0004-0000-0000-00005F000000}"/>
    <hyperlink ref="C76" location="'Input|Parameters'!A1" display="Input | Parameters" xr:uid="{00000000-0004-0000-0000-000060000000}"/>
    <hyperlink ref="C78" location="'Lookup tables'!A1" display="Lookup tables" xr:uid="{00000000-0004-0000-0000-000061000000}"/>
    <hyperlink ref="C79" location="'Input|Econometrics - Long'!A1" display="Input | Econometrics - Long" xr:uid="{00000000-0004-0000-0000-000062000000}"/>
    <hyperlink ref="C80" location="'Input|Econometrics - Long'!A1" display="Input | Econometrics - Long" xr:uid="{00000000-0004-0000-0000-000063000000}"/>
    <hyperlink ref="C81" location="'Input|Econometrics - Long'!A1" display="Input | Econometrics - Long" xr:uid="{00000000-0004-0000-0000-000064000000}"/>
    <hyperlink ref="C82" location="'Input|Econometrics - Long'!A1" display="Input | Econometrics - Long" xr:uid="{00000000-0004-0000-0000-000065000000}"/>
    <hyperlink ref="A21" location="'Input|Econometrics - Short'!A1" display="Input | Econometrics - Short" xr:uid="{00000000-0004-0000-0000-000066000000}"/>
    <hyperlink ref="C83" location="'Input|Econometrics - Short'!A1" display="Input | Econometrics - Short" xr:uid="{00000000-0004-0000-0000-000067000000}"/>
    <hyperlink ref="C84" location="'Input|Econometrics - Short'!A1" display="Input | Econometrics - Short" xr:uid="{00000000-0004-0000-0000-000068000000}"/>
    <hyperlink ref="C85" location="'Input|Econometrics - Short'!A1" display="Input | Econometrics - Short" xr:uid="{00000000-0004-0000-0000-000069000000}"/>
    <hyperlink ref="C86" location="'Input|Econometrics - Short'!A1" display="Input | Econometrics - Short" xr:uid="{00000000-0004-0000-0000-00006A000000}"/>
    <hyperlink ref="C87" location="'Data|CPI'!A1" display="Data | CPI" xr:uid="{00000000-0004-0000-0000-00006B000000}"/>
    <hyperlink ref="C88" location="'Data|EBRIN'!A1" display="Data | EBRIN" xr:uid="{00000000-0004-0000-0000-00006C000000}"/>
    <hyperlink ref="C90" location="'Data|EBRIN'!A1" display="Data | EBRIN" xr:uid="{00000000-0004-0000-0000-00006D000000}"/>
    <hyperlink ref="C91" location="'Data|EBRIN'!A1" display="Data | EBRIN" xr:uid="{00000000-0004-0000-0000-00006E000000}"/>
    <hyperlink ref="C92" location="'Lookup tables'!A1" display="Lookup tables" xr:uid="{00000000-0004-0000-0000-00006F000000}"/>
    <hyperlink ref="C93" location="'Input|Econometrics - Long'!A1" display="Input | Econometrics - Long" xr:uid="{00000000-0004-0000-0000-000070000000}"/>
    <hyperlink ref="C94" location="'Input|Econometrics - Long'!A1" display="Input | Econometrics - Long" xr:uid="{00000000-0004-0000-0000-000071000000}"/>
    <hyperlink ref="C95" location="'Input|Econometrics - Long'!A1" display="Input | Econometrics - Long" xr:uid="{00000000-0004-0000-0000-000072000000}"/>
    <hyperlink ref="C96" location="'Input|Econometrics - Long'!A1" display="Input | Econometrics - Long" xr:uid="{00000000-0004-0000-0000-000073000000}"/>
    <hyperlink ref="C97" location="'Input|Econometrics - Short'!A1" display="Input | Econometrics - Short" xr:uid="{00000000-0004-0000-0000-000074000000}"/>
    <hyperlink ref="C98" location="'Input|Econometrics - Short'!A1" display="Input | Econometrics - Short" xr:uid="{00000000-0004-0000-0000-000075000000}"/>
    <hyperlink ref="C99" location="'Input|Econometrics - Short'!A1" display="Input | Econometrics - Short" xr:uid="{00000000-0004-0000-0000-000076000000}"/>
    <hyperlink ref="C100" location="'Input|Econometrics - Short'!A1" display="Input | Econometrics - Short" xr:uid="{00000000-0004-0000-0000-000077000000}"/>
    <hyperlink ref="C101" location="'Lookup tables'!A1" display="Lookup tables" xr:uid="{00000000-0004-0000-0000-000078000000}"/>
    <hyperlink ref="C102" location="'Lookup tables'!A1" display="Lookup tables" xr:uid="{00000000-0004-0000-0000-000079000000}"/>
    <hyperlink ref="C103" location="'Lookup tables'!A1" display="Lookup tables" xr:uid="{00000000-0004-0000-0000-00007A000000}"/>
    <hyperlink ref="C104" location="'Lookup tables'!A1" display="Lookup tables" xr:uid="{00000000-0004-0000-0000-00007B000000}"/>
    <hyperlink ref="C105" location="'Input|Econometrics - Long'!A1" display="Input | Econometrics - Long" xr:uid="{00000000-0004-0000-0000-00007C000000}"/>
    <hyperlink ref="C106" location="'Input|Econometrics - Long'!A1" display="Input | Econometrics - Long" xr:uid="{00000000-0004-0000-0000-00007D000000}"/>
    <hyperlink ref="C107" location="'Input|Econometrics - Short'!A1" display="Input | Econometrics - Short" xr:uid="{00000000-0004-0000-0000-00007E000000}"/>
    <hyperlink ref="C108" location="'Input|Econometrics - Short'!A1" display="Input | Econometrics - Short" xr:uid="{00000000-0004-0000-0000-00007F000000}"/>
    <hyperlink ref="C115" location="'Lookup tables'!A1" display="Lookup tables" xr:uid="{00000000-0004-0000-0000-000080000000}"/>
    <hyperlink ref="C116" location="'Lookup tables'!A1" display="Lookup tables" xr:uid="{00000000-0004-0000-0000-000081000000}"/>
    <hyperlink ref="C117" location="'Output|Summary'!A1" display="Output | Summary" xr:uid="{00000000-0004-0000-0000-000082000000}"/>
    <hyperlink ref="B37" location="Header_Table_OEF_capitalisation_long" display="Header_Table_OEF_capitalisation_long" xr:uid="{00000000-0004-0000-0000-000083000000}"/>
    <hyperlink ref="B38" location="Header_Table_OEF_capitalisation_short" display="Header_Table_OEF_capitalisation_short" xr:uid="{00000000-0004-0000-0000-000084000000}"/>
    <hyperlink ref="C37" location="'Data|OEFs - Long'!A1" display="Data | OEFs - Long" xr:uid="{00000000-0004-0000-0000-000085000000}"/>
    <hyperlink ref="C38" location="'Data|OEFs - Short'!A1" display="Data | OEFs - Short" xr:uid="{00000000-0004-0000-0000-000086000000}"/>
    <hyperlink ref="B49" location="List_OEF_capitalisation_basis" display="List_OEF_capitalisation_basis" xr:uid="{00000000-0004-0000-0000-000087000000}"/>
    <hyperlink ref="C49" location="'Lookup tables'!A1" display="Lookup tables" xr:uid="{00000000-0004-0000-0000-000088000000}"/>
    <hyperlink ref="B57" location="Parameter_OEF_capitalisation_basis_long" display="Parameter_OEF_capitalisation_basis_long" xr:uid="{00000000-0004-0000-0000-000089000000}"/>
    <hyperlink ref="B58" location="Parameter_OEF_capitalisation_basis_short" display="Parameter_OEF_capitalisation_basis_short" xr:uid="{00000000-0004-0000-0000-00008A000000}"/>
    <hyperlink ref="B59" location="Parameter_OEF_capitalisation_long" display="Parameter_OEF_capitalisation_long" xr:uid="{00000000-0004-0000-0000-00008B000000}"/>
    <hyperlink ref="B61" location="Parameter_OEF_capitalisation_short" display="Parameter_OEF_capitalisation_short" xr:uid="{00000000-0004-0000-0000-00008C000000}"/>
    <hyperlink ref="B63" location="Parameter_OEF_Sapere_Merz_long" display="Parameter_OEF_Sapere_Merz_long" xr:uid="{00000000-0004-0000-0000-00008D000000}"/>
    <hyperlink ref="B64" location="Parameter_OEF_Sapere_Merz_short" display="Parameter_OEF_Sapere_Merz_short" xr:uid="{00000000-0004-0000-0000-00008E000000}"/>
    <hyperlink ref="B65" location="Parameter_OEF_total_long" display="Parameter_OEF_total_long" xr:uid="{00000000-0004-0000-0000-00008F000000}"/>
    <hyperlink ref="B66" location="Parameter_OEF_total_short" display="Parameter_OEF_total_short" xr:uid="{00000000-0004-0000-0000-000090000000}"/>
    <hyperlink ref="B67" location="Parameter_OEF_vegetation_management_long" display="Parameter_OEF_vegetation_management_long" xr:uid="{00000000-0004-0000-0000-000091000000}"/>
    <hyperlink ref="B68" location="Parameter_OEF_vegetation_management_short" display="Parameter_OEF_vegetation_management_short" xr:uid="{00000000-0004-0000-0000-000092000000}"/>
    <hyperlink ref="C57" location="'Input|Parameters'!A1" display="Input | Parameters" xr:uid="{00000000-0004-0000-0000-000093000000}"/>
    <hyperlink ref="C118" location="'Output|Summary'!A1" display="Output | Summary" xr:uid="{00000000-0004-0000-0000-000094000000}"/>
    <hyperlink ref="C58" location="'Input|Parameters'!A1" display="Input | Parameters" xr:uid="{00000000-0004-0000-0000-000095000000}"/>
    <hyperlink ref="C59" location="'Input|Parameters'!A1" display="Input | Parameters" xr:uid="{00000000-0004-0000-0000-000096000000}"/>
    <hyperlink ref="C61" location="'Input|Parameters'!A1" display="Input | Parameters" xr:uid="{00000000-0004-0000-0000-000097000000}"/>
    <hyperlink ref="C63" location="'Input|Parameters'!A1" display="Input | Parameters" xr:uid="{00000000-0004-0000-0000-000098000000}"/>
    <hyperlink ref="C64" location="'Input|Parameters'!A1" display="Input | Parameters" xr:uid="{00000000-0004-0000-0000-000099000000}"/>
    <hyperlink ref="C65" location="'Input|Parameters'!A1" display="Input | Parameters" xr:uid="{00000000-0004-0000-0000-00009A000000}"/>
    <hyperlink ref="C66" location="'Input|Parameters'!A1" display="Input | Parameters" xr:uid="{00000000-0004-0000-0000-00009B000000}"/>
    <hyperlink ref="C67" location="'Input|Parameters'!A1" display="Input | Parameters" xr:uid="{00000000-0004-0000-0000-00009C000000}"/>
    <hyperlink ref="C68" location="'Input|Parameters'!A1" display="Input | Parameters" xr:uid="{00000000-0004-0000-0000-00009D000000}"/>
    <hyperlink ref="B109" location="Table_OEF_capitalisation_long" display="Table_OEF_capitalisation_long" xr:uid="{00000000-0004-0000-0000-00009E000000}"/>
    <hyperlink ref="B110" location="Table_OEF_capitalisation_short" display="Table_OEF_capitalisation_short" xr:uid="{00000000-0004-0000-0000-00009F000000}"/>
    <hyperlink ref="B111" location="Table_OEF_Sapere_Merz_long" display="Table_OEF_Sapere_Merz_long" xr:uid="{00000000-0004-0000-0000-0000A0000000}"/>
    <hyperlink ref="B112" location="Table_OEF_Sapere_Merz_short" display="Table_OEF_Sapere_Merz_short" xr:uid="{00000000-0004-0000-0000-0000A1000000}"/>
    <hyperlink ref="B113" location="Table_OEF_vegetation_management_long" display="Table_OEF_vegetation_management_long" xr:uid="{00000000-0004-0000-0000-0000A2000000}"/>
    <hyperlink ref="B114" location="Table_OEF_vegetation_management_short" display="Table_OEF_vegetation_management_short" xr:uid="{00000000-0004-0000-0000-0000A3000000}"/>
    <hyperlink ref="C109" location="'Data|OEFs - Long'!A1" display="Data | OEFs - Long" xr:uid="{00000000-0004-0000-0000-0000A4000000}"/>
    <hyperlink ref="C111" location="'Data|OEFs - Long'!A1" display="Data | OEFs - Long" xr:uid="{00000000-0004-0000-0000-0000A5000000}"/>
    <hyperlink ref="C113" location="'Data|OEFs - Long'!A1" display="Data | OEFs - Long" xr:uid="{00000000-0004-0000-0000-0000A6000000}"/>
    <hyperlink ref="C110" location="'Data|OEFs - Short'!A1" display="Data | OEFs - Short" xr:uid="{00000000-0004-0000-0000-0000A7000000}"/>
    <hyperlink ref="C112" location="'Data|OEFs - Short'!A1" display="Data | OEFs - Short" xr:uid="{00000000-0004-0000-0000-0000A8000000}"/>
    <hyperlink ref="C114" location="'Data|OEFs - Short'!A1" display="Data | OEFs - Short" xr:uid="{00000000-0004-0000-0000-0000A9000000}"/>
    <hyperlink ref="B43" location="List_Include_OEFs" display="List_Include_OEFs" xr:uid="{00000000-0004-0000-0000-0000AA000000}"/>
    <hyperlink ref="C43" location="'Lookup tables'!A1" display="Lookup tables" xr:uid="{00000000-0004-0000-0000-0000AB000000}"/>
    <hyperlink ref="C56" location="'Input|Parameters'!A1" display="Input | Parameters" xr:uid="{00000000-0004-0000-0000-0000AC000000}"/>
    <hyperlink ref="B56" location="Parameter_Include_OEFs" display="Parameter_Include_OEFs" xr:uid="{00000000-0004-0000-0000-0000AD000000}"/>
    <hyperlink ref="B60" location="Parameter_OEF_capitalisation_long_manual_override" display="Parameter_OEF_capitalisation_long_manual_override" xr:uid="{00000000-0004-0000-0000-0000AE000000}"/>
    <hyperlink ref="C60" location="'Input|Parameters'!A1" display="Input | Parameters" xr:uid="{00000000-0004-0000-0000-0000AF000000}"/>
    <hyperlink ref="C62" location="'Input|Parameters'!A1" display="Input | Parameters" xr:uid="{00000000-0004-0000-0000-0000B0000000}"/>
    <hyperlink ref="B62" location="Parameter_OEF_capitalisation_short_manual_override" display="Parameter_OEF_capitalisation_short_manual_override" xr:uid="{00000000-0004-0000-0000-0000B1000000}"/>
    <hyperlink ref="C69" location="'Data|Forecasts'!A1" display="Data | Forecasts" xr:uid="{00000000-0004-0000-0000-0000B2000000}"/>
    <hyperlink ref="C89" location="'Data|Forecasts'!A1" display="Data | Forecasts" xr:uid="{00000000-0004-0000-0000-0000B3000000}"/>
    <hyperlink ref="C47" location="'Input|Econometrics - Short'!A1" display="Input | Econometrics - Short" xr:uid="{00000000-0004-0000-0000-0000B4000000}"/>
    <hyperlink ref="C48" location="'Input|Econometrics - Short'!A1" display="Input | Econometrics - Short" xr:uid="{00000000-0004-0000-0000-0000B5000000}"/>
    <hyperlink ref="C45" location="'Input|Econometrics - Long'!A1" display="Input | Econometrics - Long" xr:uid="{00000000-0004-0000-0000-0000B6000000}"/>
    <hyperlink ref="C46" location="'Input|Econometrics - Long'!A1" display="Input | Econometrics - Long" xr:uid="{00000000-0004-0000-0000-0000B7000000}"/>
    <hyperlink ref="B45" location="List_Number_of_violations_Long_LSETLG" display="List_Number_of_violations_Long_LSETLG" xr:uid="{00000000-0004-0000-0000-0000B8000000}"/>
    <hyperlink ref="B46" location="List_Number_of_violations_Long_SFATLG" display="List_Number_of_violations_Long_SFATLG" xr:uid="{00000000-0004-0000-0000-0000B9000000}"/>
    <hyperlink ref="B47" location="List_Number_of_violations_Short_LSETLG" display="List_Number_of_violations_Short_LSETLG" xr:uid="{00000000-0004-0000-0000-0000BA000000}"/>
    <hyperlink ref="B48" location="List_Number_of_violations_Short_SFATLG" display="List_Number_of_violations_Short_SFATLG" xr:uid="{00000000-0004-0000-0000-0000BB000000}"/>
    <hyperlink ref="A14" location="'Data|Overheads'!A1" display="Data | Overheads" xr:uid="{00000000-0004-0000-0000-0000BC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1:Y115"/>
  <sheetViews>
    <sheetView zoomScaleNormal="100" workbookViewId="0">
      <selection activeCell="A20" sqref="A20"/>
    </sheetView>
  </sheetViews>
  <sheetFormatPr defaultColWidth="8.85546875" defaultRowHeight="13.35" customHeight="1"/>
  <cols>
    <col min="1" max="1" width="49.42578125" style="21" customWidth="1"/>
    <col min="2" max="2" width="17" style="21" customWidth="1"/>
    <col min="3" max="3" width="19.5703125" style="21" bestFit="1" customWidth="1"/>
    <col min="4" max="16384" width="8.85546875" style="21"/>
  </cols>
  <sheetData>
    <row r="1" spans="1:25" s="7" customFormat="1" ht="15.6" customHeight="1">
      <c r="A1" s="1" t="s">
        <v>894</v>
      </c>
    </row>
    <row r="2" spans="1:25" s="16" customFormat="1" ht="13.35" customHeight="1">
      <c r="A2" s="90" t="s">
        <v>86</v>
      </c>
      <c r="C2" s="15"/>
      <c r="E2" s="89"/>
    </row>
    <row r="3" spans="1:25" s="9" customFormat="1" ht="13.35" customHeight="1" thickBot="1">
      <c r="A3" s="8" t="s">
        <v>368</v>
      </c>
    </row>
    <row r="4" spans="1:25" s="9" customFormat="1" ht="13.35" customHeight="1"/>
    <row r="5" spans="1:25" s="4" customFormat="1" ht="13.35" customHeight="1">
      <c r="A5" s="2" t="s">
        <v>777</v>
      </c>
      <c r="C5" s="3"/>
      <c r="D5" s="3"/>
      <c r="E5" s="3"/>
      <c r="F5" s="3"/>
      <c r="G5" s="5"/>
      <c r="H5" s="6"/>
      <c r="I5" s="5"/>
      <c r="J5" s="6"/>
      <c r="K5" s="5"/>
      <c r="L5" s="5"/>
      <c r="M5" s="5"/>
      <c r="N5" s="5"/>
      <c r="O5" s="5"/>
      <c r="P5" s="5"/>
      <c r="Q5" s="5"/>
      <c r="R5" s="5"/>
      <c r="S5" s="6"/>
      <c r="T5" s="6"/>
      <c r="U5" s="5"/>
      <c r="V5" s="5"/>
      <c r="W5" s="5"/>
      <c r="X5" s="5"/>
      <c r="Y5" s="5"/>
    </row>
    <row r="7" spans="1:25" ht="13.35" customHeight="1">
      <c r="A7" s="24" t="s">
        <v>155</v>
      </c>
    </row>
    <row r="8" spans="1:25" ht="13.35" customHeight="1">
      <c r="A8" s="23" t="s">
        <v>156</v>
      </c>
    </row>
    <row r="9" spans="1:25" ht="13.35" customHeight="1">
      <c r="A9" s="23" t="s">
        <v>776</v>
      </c>
    </row>
    <row r="10" spans="1:25" ht="13.35" customHeight="1">
      <c r="A10" s="23"/>
    </row>
    <row r="11" spans="1:25" s="4" customFormat="1" ht="13.35" customHeight="1">
      <c r="A11" s="2" t="s">
        <v>118</v>
      </c>
      <c r="C11" s="3"/>
      <c r="D11" s="3"/>
      <c r="E11" s="3"/>
      <c r="F11" s="3"/>
      <c r="G11" s="5"/>
      <c r="H11" s="6"/>
      <c r="I11" s="5"/>
      <c r="J11" s="6"/>
      <c r="K11" s="5"/>
      <c r="L11" s="5"/>
      <c r="M11" s="5"/>
      <c r="N11" s="5"/>
      <c r="O11" s="5"/>
      <c r="P11" s="5"/>
      <c r="Q11" s="5"/>
      <c r="R11" s="5"/>
      <c r="S11" s="6"/>
      <c r="T11" s="6"/>
      <c r="U11" s="5"/>
      <c r="V11" s="5"/>
      <c r="W11" s="5"/>
      <c r="X11" s="5"/>
      <c r="Y11" s="5"/>
    </row>
    <row r="13" spans="1:25" s="23" customFormat="1" ht="13.35" customHeight="1">
      <c r="A13" s="24" t="s">
        <v>0</v>
      </c>
      <c r="B13" s="24" t="s">
        <v>118</v>
      </c>
    </row>
    <row r="14" spans="1:25" s="23" customFormat="1" ht="13.35" customHeight="1">
      <c r="A14" s="23" t="s">
        <v>8</v>
      </c>
      <c r="B14" s="23" t="s">
        <v>81</v>
      </c>
    </row>
    <row r="15" spans="1:25" s="23" customFormat="1" ht="13.35" customHeight="1">
      <c r="A15" s="23" t="s">
        <v>10</v>
      </c>
      <c r="B15" s="23" t="s">
        <v>82</v>
      </c>
    </row>
    <row r="16" spans="1:25" s="23" customFormat="1" ht="13.35" customHeight="1">
      <c r="A16" s="23" t="s">
        <v>12</v>
      </c>
      <c r="B16" s="23" t="s">
        <v>66</v>
      </c>
    </row>
    <row r="17" spans="1:25" s="23" customFormat="1" ht="13.35" customHeight="1">
      <c r="A17" s="23" t="s">
        <v>14</v>
      </c>
      <c r="B17" s="23" t="s">
        <v>100</v>
      </c>
    </row>
    <row r="18" spans="1:25" s="23" customFormat="1" ht="13.35" customHeight="1">
      <c r="A18" s="23" t="s">
        <v>16</v>
      </c>
      <c r="B18" s="23" t="s">
        <v>83</v>
      </c>
    </row>
    <row r="19" spans="1:25" s="23" customFormat="1" ht="13.35" customHeight="1">
      <c r="A19" s="23" t="s">
        <v>19</v>
      </c>
      <c r="B19" s="23" t="s">
        <v>101</v>
      </c>
    </row>
    <row r="20" spans="1:25" s="23" customFormat="1" ht="13.35" customHeight="1">
      <c r="A20" s="23" t="s">
        <v>22</v>
      </c>
      <c r="B20" s="23" t="s">
        <v>102</v>
      </c>
    </row>
    <row r="21" spans="1:25" s="23" customFormat="1" ht="13.35" customHeight="1">
      <c r="A21" s="23" t="s">
        <v>1</v>
      </c>
      <c r="B21" s="23" t="s">
        <v>77</v>
      </c>
    </row>
    <row r="22" spans="1:25" s="23" customFormat="1" ht="13.35" customHeight="1">
      <c r="A22" s="23" t="s">
        <v>27</v>
      </c>
      <c r="B22" s="23" t="s">
        <v>76</v>
      </c>
    </row>
    <row r="23" spans="1:25" s="23" customFormat="1" ht="13.35" customHeight="1">
      <c r="A23" s="23" t="s">
        <v>30</v>
      </c>
      <c r="B23" s="23" t="s">
        <v>975</v>
      </c>
    </row>
    <row r="24" spans="1:25" s="23" customFormat="1" ht="13.35" customHeight="1">
      <c r="A24" s="23" t="s">
        <v>33</v>
      </c>
      <c r="B24" s="23" t="s">
        <v>103</v>
      </c>
    </row>
    <row r="25" spans="1:25" s="23" customFormat="1" ht="13.35" customHeight="1">
      <c r="A25" s="23" t="s">
        <v>35</v>
      </c>
      <c r="B25" s="23" t="s">
        <v>84</v>
      </c>
    </row>
    <row r="26" spans="1:25" s="23" customFormat="1" ht="13.35" customHeight="1">
      <c r="A26" s="23" t="s">
        <v>37</v>
      </c>
      <c r="B26" s="23" t="s">
        <v>78</v>
      </c>
    </row>
    <row r="28" spans="1:25" s="4" customFormat="1" ht="13.35" customHeight="1">
      <c r="A28" s="2" t="s">
        <v>99</v>
      </c>
      <c r="C28" s="3"/>
      <c r="D28" s="3"/>
      <c r="E28" s="3"/>
      <c r="F28" s="3"/>
      <c r="G28" s="5"/>
      <c r="H28" s="6"/>
      <c r="I28" s="5"/>
      <c r="J28" s="6"/>
      <c r="K28" s="5"/>
      <c r="L28" s="5"/>
      <c r="M28" s="5"/>
      <c r="N28" s="5"/>
      <c r="O28" s="5"/>
      <c r="P28" s="5"/>
      <c r="Q28" s="5"/>
      <c r="R28" s="5"/>
      <c r="S28" s="6"/>
      <c r="T28" s="6"/>
      <c r="U28" s="5"/>
      <c r="V28" s="5"/>
      <c r="W28" s="5"/>
      <c r="X28" s="5"/>
      <c r="Y28" s="5"/>
    </row>
    <row r="30" spans="1:25" s="23" customFormat="1" ht="13.35" customHeight="1">
      <c r="A30" s="24" t="s">
        <v>0</v>
      </c>
      <c r="B30" s="24" t="s">
        <v>99</v>
      </c>
    </row>
    <row r="31" spans="1:25" s="23" customFormat="1" ht="13.35" customHeight="1">
      <c r="A31" s="23" t="s">
        <v>8</v>
      </c>
      <c r="B31" s="25">
        <v>2022</v>
      </c>
    </row>
    <row r="32" spans="1:25" s="23" customFormat="1" ht="13.35" customHeight="1">
      <c r="A32" s="23" t="s">
        <v>10</v>
      </c>
      <c r="B32" s="25">
        <v>2023</v>
      </c>
    </row>
    <row r="33" spans="1:25" s="23" customFormat="1" ht="13.35" customHeight="1">
      <c r="A33" s="23" t="s">
        <v>12</v>
      </c>
      <c r="B33" s="25">
        <v>2022</v>
      </c>
    </row>
    <row r="34" spans="1:25" s="23" customFormat="1" ht="13.35" customHeight="1">
      <c r="A34" s="23" t="s">
        <v>14</v>
      </c>
      <c r="B34" s="25">
        <v>2023</v>
      </c>
    </row>
    <row r="35" spans="1:25" s="23" customFormat="1" ht="13.35" customHeight="1">
      <c r="A35" s="23" t="s">
        <v>16</v>
      </c>
      <c r="B35" s="25">
        <v>2022</v>
      </c>
    </row>
    <row r="36" spans="1:25" s="23" customFormat="1" ht="13.35" customHeight="1">
      <c r="A36" s="23" t="s">
        <v>19</v>
      </c>
      <c r="B36" s="25">
        <v>2022</v>
      </c>
    </row>
    <row r="37" spans="1:25" s="23" customFormat="1" ht="13.35" customHeight="1">
      <c r="A37" s="23" t="s">
        <v>22</v>
      </c>
      <c r="B37" s="25">
        <v>2023</v>
      </c>
    </row>
    <row r="38" spans="1:25" s="23" customFormat="1" ht="13.35" customHeight="1">
      <c r="A38" s="23" t="s">
        <v>1</v>
      </c>
      <c r="B38" s="25">
        <v>2022</v>
      </c>
    </row>
    <row r="39" spans="1:25" s="23" customFormat="1" ht="13.35" customHeight="1">
      <c r="A39" s="23" t="s">
        <v>27</v>
      </c>
      <c r="B39" s="25">
        <v>2022</v>
      </c>
    </row>
    <row r="40" spans="1:25" s="23" customFormat="1" ht="13.35" customHeight="1">
      <c r="A40" s="23" t="s">
        <v>30</v>
      </c>
      <c r="B40" s="25">
        <v>2022</v>
      </c>
    </row>
    <row r="41" spans="1:25" s="23" customFormat="1" ht="13.35" customHeight="1">
      <c r="A41" s="23" t="s">
        <v>33</v>
      </c>
      <c r="B41" s="25">
        <v>2022</v>
      </c>
    </row>
    <row r="42" spans="1:25" s="23" customFormat="1" ht="13.35" customHeight="1">
      <c r="A42" s="23" t="s">
        <v>35</v>
      </c>
      <c r="B42" s="25">
        <v>2022</v>
      </c>
    </row>
    <row r="43" spans="1:25" s="23" customFormat="1" ht="13.35" customHeight="1">
      <c r="A43" s="23" t="s">
        <v>37</v>
      </c>
      <c r="B43" s="25">
        <v>2022</v>
      </c>
    </row>
    <row r="45" spans="1:25" s="4" customFormat="1" ht="13.35" customHeight="1">
      <c r="A45" s="2" t="s">
        <v>965</v>
      </c>
      <c r="C45" s="3"/>
      <c r="D45" s="3"/>
      <c r="E45" s="3"/>
      <c r="F45" s="3"/>
      <c r="G45" s="5"/>
      <c r="H45" s="6"/>
      <c r="I45" s="5"/>
      <c r="J45" s="6"/>
      <c r="K45" s="5"/>
      <c r="L45" s="5"/>
      <c r="M45" s="5"/>
      <c r="N45" s="5"/>
      <c r="O45" s="5"/>
      <c r="P45" s="5"/>
      <c r="Q45" s="5"/>
      <c r="R45" s="5"/>
      <c r="S45" s="6"/>
      <c r="T45" s="6"/>
      <c r="U45" s="5"/>
      <c r="V45" s="5"/>
      <c r="W45" s="5"/>
      <c r="X45" s="5"/>
      <c r="Y45" s="5"/>
    </row>
    <row r="47" spans="1:25" ht="13.35" customHeight="1">
      <c r="A47" s="24" t="s">
        <v>155</v>
      </c>
    </row>
    <row r="48" spans="1:25" ht="13.35" customHeight="1">
      <c r="A48" s="23" t="s">
        <v>156</v>
      </c>
    </row>
    <row r="49" spans="1:25" ht="13.35" customHeight="1">
      <c r="A49" s="23" t="s">
        <v>776</v>
      </c>
    </row>
    <row r="50" spans="1:25" ht="13.35" customHeight="1">
      <c r="A50" s="23"/>
    </row>
    <row r="51" spans="1:25" s="4" customFormat="1" ht="13.35" customHeight="1">
      <c r="A51" s="2" t="s">
        <v>766</v>
      </c>
      <c r="C51" s="3"/>
      <c r="D51" s="3"/>
      <c r="E51" s="3"/>
      <c r="F51" s="3"/>
      <c r="G51" s="5"/>
      <c r="H51" s="6"/>
      <c r="I51" s="5"/>
      <c r="J51" s="6"/>
      <c r="K51" s="5"/>
      <c r="L51" s="5"/>
      <c r="M51" s="5"/>
      <c r="N51" s="5"/>
      <c r="O51" s="5"/>
      <c r="P51" s="5"/>
      <c r="Q51" s="5"/>
      <c r="R51" s="5"/>
      <c r="S51" s="6"/>
      <c r="T51" s="6"/>
      <c r="U51" s="5"/>
      <c r="V51" s="5"/>
      <c r="W51" s="5"/>
      <c r="X51" s="5"/>
      <c r="Y51" s="5"/>
    </row>
    <row r="53" spans="1:25" ht="13.35" customHeight="1">
      <c r="A53" s="24" t="s">
        <v>766</v>
      </c>
    </row>
    <row r="54" spans="1:25" ht="13.35" customHeight="1">
      <c r="A54" s="23" t="s">
        <v>767</v>
      </c>
    </row>
    <row r="55" spans="1:25" ht="13.35" customHeight="1">
      <c r="A55" s="23" t="s">
        <v>768</v>
      </c>
    </row>
    <row r="56" spans="1:25" ht="13.35" customHeight="1">
      <c r="A56" s="23"/>
    </row>
    <row r="57" spans="1:25" s="4" customFormat="1" ht="13.35" customHeight="1">
      <c r="A57" s="2" t="s">
        <v>157</v>
      </c>
      <c r="C57" s="3"/>
      <c r="D57" s="3"/>
      <c r="E57" s="3"/>
      <c r="F57" s="3"/>
      <c r="G57" s="5"/>
      <c r="H57" s="6"/>
      <c r="I57" s="5"/>
      <c r="J57" s="6"/>
      <c r="K57" s="5"/>
      <c r="L57" s="5"/>
      <c r="M57" s="5"/>
      <c r="N57" s="5"/>
      <c r="O57" s="5"/>
      <c r="P57" s="5"/>
      <c r="Q57" s="5"/>
      <c r="R57" s="5"/>
      <c r="S57" s="6"/>
      <c r="T57" s="6"/>
      <c r="U57" s="5"/>
      <c r="V57" s="5"/>
      <c r="W57" s="5"/>
      <c r="X57" s="5"/>
      <c r="Y57" s="5"/>
    </row>
    <row r="59" spans="1:25" ht="13.35" customHeight="1">
      <c r="B59" s="167" t="str">
        <f>"$JunYYYY to $"&amp;Parameter_Results_dollar_basis</f>
        <v>$JunYYYY to $Jun-2024</v>
      </c>
      <c r="C59" s="167" t="str">
        <f>"$Dec(YYYY - 1) to $"&amp;Parameter_Results_dollar_basis</f>
        <v>$Dec(YYYY - 1) to $Jun-2024</v>
      </c>
    </row>
    <row r="60" spans="1:25" s="23" customFormat="1" ht="13.35" customHeight="1">
      <c r="A60" s="24" t="s">
        <v>399</v>
      </c>
      <c r="B60" s="24" t="s">
        <v>976</v>
      </c>
      <c r="C60" s="24" t="s">
        <v>977</v>
      </c>
    </row>
    <row r="61" spans="1:25" s="23" customFormat="1" ht="13.35" customHeight="1">
      <c r="A61" s="25">
        <v>2006</v>
      </c>
      <c r="B61" s="168">
        <f t="shared" ref="B61:B75" si="0">VLOOKUP(Parameter_Results_dollar_basis, Table_Data_All_groups_CPI_Australia, 2, FALSE) / VLOOKUP("Jun-"&amp;A61, Table_Data_All_groups_CPI_Australia, 2, FALSE)</f>
        <v>1.6124935972060532</v>
      </c>
      <c r="C61" s="168">
        <f t="shared" ref="C61:C78" si="1">VLOOKUP(Parameter_Results_dollar_basis, Table_Data_All_groups_CPI_Australia, 2, FALSE) / VLOOKUP("Dec-"&amp;A61 - 1, Table_Data_All_groups_CPI_Australia, 2, FALSE)</f>
        <v>1.6529021479713601</v>
      </c>
    </row>
    <row r="62" spans="1:25" s="23" customFormat="1" ht="13.35" customHeight="1">
      <c r="A62" s="25">
        <v>2007</v>
      </c>
      <c r="B62" s="168">
        <f t="shared" si="0"/>
        <v>1.5793979475484605</v>
      </c>
      <c r="C62" s="168">
        <f t="shared" si="1"/>
        <v>1.5994595842956119</v>
      </c>
    </row>
    <row r="63" spans="1:25" s="23" customFormat="1" ht="13.35" customHeight="1">
      <c r="A63" s="25">
        <v>2008</v>
      </c>
      <c r="B63" s="168">
        <f t="shared" si="0"/>
        <v>1.5121528384279475</v>
      </c>
      <c r="C63" s="168">
        <f t="shared" si="1"/>
        <v>1.5545813692480359</v>
      </c>
    </row>
    <row r="64" spans="1:25" s="23" customFormat="1" ht="13.35" customHeight="1">
      <c r="A64" s="25">
        <v>2009</v>
      </c>
      <c r="B64" s="168">
        <f t="shared" si="0"/>
        <v>1.4909924650161461</v>
      </c>
      <c r="C64" s="168">
        <f t="shared" si="1"/>
        <v>1.4990606060606058</v>
      </c>
    </row>
    <row r="65" spans="1:25" s="23" customFormat="1" ht="13.35" customHeight="1">
      <c r="A65" s="25">
        <v>2010</v>
      </c>
      <c r="B65" s="168">
        <f t="shared" si="0"/>
        <v>1.4458580375782879</v>
      </c>
      <c r="C65" s="168">
        <f t="shared" si="1"/>
        <v>1.4688568398727464</v>
      </c>
    </row>
    <row r="66" spans="1:25" s="23" customFormat="1" ht="13.35" customHeight="1">
      <c r="A66" s="25">
        <v>2011</v>
      </c>
      <c r="B66" s="168">
        <f t="shared" si="0"/>
        <v>1.3963024193548386</v>
      </c>
      <c r="C66" s="168">
        <f t="shared" si="1"/>
        <v>1.4294447884416923</v>
      </c>
    </row>
    <row r="67" spans="1:25" s="23" customFormat="1" ht="13.35" customHeight="1">
      <c r="A67" s="25">
        <v>2012</v>
      </c>
      <c r="B67" s="168">
        <f t="shared" si="0"/>
        <v>1.3796135458167329</v>
      </c>
      <c r="C67" s="168">
        <f t="shared" si="1"/>
        <v>1.3879078156312623</v>
      </c>
    </row>
    <row r="68" spans="1:25" s="23" customFormat="1" ht="13.35" customHeight="1">
      <c r="A68" s="25">
        <v>2013</v>
      </c>
      <c r="B68" s="168">
        <f t="shared" si="0"/>
        <v>1.3474046692607002</v>
      </c>
      <c r="C68" s="168">
        <f t="shared" si="1"/>
        <v>1.3579725490196077</v>
      </c>
    </row>
    <row r="69" spans="1:25" s="23" customFormat="1" ht="13.35" customHeight="1">
      <c r="A69" s="25">
        <v>2014</v>
      </c>
      <c r="B69" s="168">
        <f t="shared" si="0"/>
        <v>1.307962228517469</v>
      </c>
      <c r="C69" s="168">
        <f t="shared" si="1"/>
        <v>1.3216908396946563</v>
      </c>
    </row>
    <row r="70" spans="1:25" s="23" customFormat="1" ht="13.35" customHeight="1">
      <c r="A70" s="25">
        <v>2015</v>
      </c>
      <c r="B70" s="168">
        <f t="shared" si="0"/>
        <v>1.28849488372093</v>
      </c>
      <c r="C70" s="168">
        <f t="shared" si="1"/>
        <v>1.2993733583489679</v>
      </c>
    </row>
    <row r="71" spans="1:25" s="23" customFormat="1" ht="13.35" customHeight="1">
      <c r="A71" s="25">
        <v>2016</v>
      </c>
      <c r="B71" s="168">
        <f t="shared" si="0"/>
        <v>1.2754438305709024</v>
      </c>
      <c r="C71" s="168">
        <f t="shared" si="1"/>
        <v>1.2777970479704794</v>
      </c>
    </row>
    <row r="72" spans="1:25" s="23" customFormat="1" ht="13.35" customHeight="1">
      <c r="A72" s="25">
        <v>2017</v>
      </c>
      <c r="B72" s="168">
        <f t="shared" si="0"/>
        <v>1.2512484191508579</v>
      </c>
      <c r="C72" s="168">
        <f t="shared" si="1"/>
        <v>1.2592109090909089</v>
      </c>
    </row>
    <row r="73" spans="1:25" s="23" customFormat="1" ht="13.35" customHeight="1">
      <c r="A73" s="25">
        <v>2018</v>
      </c>
      <c r="B73" s="168">
        <f t="shared" si="0"/>
        <v>1.2257805309734511</v>
      </c>
      <c r="C73" s="168">
        <f t="shared" si="1"/>
        <v>1.235621766280107</v>
      </c>
    </row>
    <row r="74" spans="1:25" s="23" customFormat="1" ht="13.35" customHeight="1">
      <c r="A74" s="25">
        <v>2019</v>
      </c>
      <c r="B74" s="168">
        <f t="shared" si="0"/>
        <v>1.2065609756097559</v>
      </c>
      <c r="C74" s="168">
        <f t="shared" si="1"/>
        <v>1.2139631901840491</v>
      </c>
    </row>
    <row r="75" spans="1:25" s="23" customFormat="1" ht="13.35" customHeight="1">
      <c r="A75" s="25">
        <v>2020</v>
      </c>
      <c r="B75" s="168">
        <f t="shared" si="0"/>
        <v>1.2107797202797201</v>
      </c>
      <c r="C75" s="168">
        <f t="shared" si="1"/>
        <v>1.192024096385542</v>
      </c>
    </row>
    <row r="76" spans="1:25" s="23" customFormat="1" ht="13.35" customHeight="1">
      <c r="A76" s="25">
        <v>2021</v>
      </c>
      <c r="B76" s="168">
        <f>VLOOKUP(Parameter_Results_dollar_basis, Table_Data_All_groups_CPI_Australia, 2, FALSE) / VLOOKUP("Dec-"&amp;A76-1, Table_Data_All_groups_CPI_Australia, 2, FALSE)</f>
        <v>1.181853242320819</v>
      </c>
      <c r="C76" s="168">
        <f t="shared" si="1"/>
        <v>1.181853242320819</v>
      </c>
    </row>
    <row r="77" spans="1:25" s="23" customFormat="1" ht="13.35" customHeight="1">
      <c r="A77" s="25">
        <v>2022</v>
      </c>
      <c r="B77" s="168">
        <f>VLOOKUP(Parameter_Results_dollar_basis, Table_Data_All_groups_CPI_Australia, 2, FALSE) / VLOOKUP("Dec-"&amp;A77-1, Table_Data_All_groups_CPI_Australia, 2, FALSE)</f>
        <v>1.1419060181368508</v>
      </c>
      <c r="C77" s="168">
        <f t="shared" si="1"/>
        <v>1.1419060181368508</v>
      </c>
    </row>
    <row r="78" spans="1:25" s="23" customFormat="1" ht="13.35" customHeight="1">
      <c r="A78" s="25">
        <v>2023</v>
      </c>
      <c r="B78" s="168">
        <f>VLOOKUP(Parameter_Results_dollar_basis, Table_Data_All_groups_CPI_Australia, 2, FALSE) / VLOOKUP("Dec-"&amp;A78-1, Table_Data_All_groups_CPI_Australia, 2, FALSE)</f>
        <v>1.0589694189602443</v>
      </c>
      <c r="C78" s="168">
        <f t="shared" si="1"/>
        <v>1.0589694189602443</v>
      </c>
    </row>
    <row r="80" spans="1:25" s="4" customFormat="1" ht="13.35" customHeight="1">
      <c r="A80" s="2" t="s">
        <v>905</v>
      </c>
      <c r="C80" s="3"/>
      <c r="D80" s="3"/>
      <c r="E80" s="3"/>
      <c r="F80" s="3"/>
      <c r="G80" s="5"/>
      <c r="H80" s="6"/>
      <c r="I80" s="5"/>
      <c r="J80" s="6"/>
      <c r="K80" s="5"/>
      <c r="L80" s="5"/>
      <c r="M80" s="5"/>
      <c r="N80" s="5"/>
      <c r="O80" s="5"/>
      <c r="P80" s="5"/>
      <c r="Q80" s="5"/>
      <c r="R80" s="5"/>
      <c r="S80" s="6"/>
      <c r="T80" s="6"/>
      <c r="U80" s="5"/>
      <c r="V80" s="5"/>
      <c r="W80" s="5"/>
      <c r="X80" s="5"/>
      <c r="Y80" s="5"/>
    </row>
    <row r="82" spans="1:25" s="23" customFormat="1" ht="13.35" customHeight="1">
      <c r="A82" s="24" t="s">
        <v>87</v>
      </c>
      <c r="B82" s="24"/>
    </row>
    <row r="83" spans="1:25" s="23" customFormat="1" ht="13.35" customHeight="1">
      <c r="A83" s="23" t="s">
        <v>90</v>
      </c>
    </row>
    <row r="84" spans="1:25" s="23" customFormat="1" ht="13.35" customHeight="1">
      <c r="A84" s="23" t="s">
        <v>91</v>
      </c>
    </row>
    <row r="85" spans="1:25" s="23" customFormat="1" ht="13.35" customHeight="1">
      <c r="A85" s="23" t="s">
        <v>92</v>
      </c>
    </row>
    <row r="86" spans="1:25" s="23" customFormat="1" ht="13.35" customHeight="1">
      <c r="A86" s="23" t="s">
        <v>700</v>
      </c>
    </row>
    <row r="87" spans="1:25" s="23" customFormat="1" ht="13.35" customHeight="1">
      <c r="A87" s="23" t="s">
        <v>701</v>
      </c>
    </row>
    <row r="88" spans="1:25" s="23" customFormat="1" ht="13.35" customHeight="1"/>
    <row r="89" spans="1:25" s="4" customFormat="1" ht="13.35" customHeight="1">
      <c r="A89" s="2" t="s">
        <v>978</v>
      </c>
      <c r="C89" s="3"/>
      <c r="D89" s="3"/>
      <c r="E89" s="3"/>
      <c r="F89" s="3"/>
      <c r="G89" s="5"/>
      <c r="H89" s="6"/>
      <c r="I89" s="5"/>
      <c r="J89" s="6"/>
      <c r="K89" s="5"/>
      <c r="L89" s="5"/>
      <c r="M89" s="5"/>
      <c r="N89" s="5"/>
      <c r="O89" s="5"/>
      <c r="P89" s="5"/>
      <c r="Q89" s="5"/>
      <c r="R89" s="5"/>
      <c r="S89" s="6"/>
      <c r="T89" s="6"/>
      <c r="U89" s="5"/>
      <c r="V89" s="5"/>
      <c r="W89" s="5"/>
      <c r="X89" s="5"/>
      <c r="Y89" s="5"/>
    </row>
    <row r="91" spans="1:25" s="23" customFormat="1" ht="13.35" customHeight="1">
      <c r="A91" s="24" t="s">
        <v>0</v>
      </c>
      <c r="B91" s="24" t="s">
        <v>978</v>
      </c>
    </row>
    <row r="92" spans="1:25" s="23" customFormat="1" ht="13.35" customHeight="1">
      <c r="A92" s="23" t="s">
        <v>8</v>
      </c>
      <c r="B92" s="23" t="s">
        <v>977</v>
      </c>
    </row>
    <row r="93" spans="1:25" s="23" customFormat="1" ht="13.35" customHeight="1">
      <c r="A93" s="23" t="s">
        <v>10</v>
      </c>
      <c r="B93" s="23" t="s">
        <v>977</v>
      </c>
    </row>
    <row r="94" spans="1:25" s="23" customFormat="1" ht="13.35" customHeight="1">
      <c r="A94" s="23" t="s">
        <v>12</v>
      </c>
      <c r="B94" s="23" t="s">
        <v>976</v>
      </c>
    </row>
    <row r="95" spans="1:25" s="23" customFormat="1" ht="13.35" customHeight="1">
      <c r="A95" s="23" t="s">
        <v>14</v>
      </c>
      <c r="B95" s="23" t="s">
        <v>977</v>
      </c>
    </row>
    <row r="96" spans="1:25" s="23" customFormat="1" ht="13.35" customHeight="1">
      <c r="A96" s="23" t="s">
        <v>16</v>
      </c>
      <c r="B96" s="23" t="s">
        <v>977</v>
      </c>
    </row>
    <row r="97" spans="1:25" s="23" customFormat="1" ht="13.35" customHeight="1">
      <c r="A97" s="23" t="s">
        <v>19</v>
      </c>
      <c r="B97" s="23" t="s">
        <v>977</v>
      </c>
    </row>
    <row r="98" spans="1:25" s="23" customFormat="1" ht="13.35" customHeight="1">
      <c r="A98" s="23" t="s">
        <v>22</v>
      </c>
      <c r="B98" s="23" t="s">
        <v>977</v>
      </c>
    </row>
    <row r="99" spans="1:25" s="23" customFormat="1" ht="13.35" customHeight="1">
      <c r="A99" s="23" t="s">
        <v>1</v>
      </c>
      <c r="B99" s="23" t="s">
        <v>976</v>
      </c>
    </row>
    <row r="100" spans="1:25" s="23" customFormat="1" ht="13.35" customHeight="1">
      <c r="A100" s="23" t="s">
        <v>27</v>
      </c>
      <c r="B100" s="23" t="s">
        <v>976</v>
      </c>
    </row>
    <row r="101" spans="1:25" s="23" customFormat="1" ht="13.35" customHeight="1">
      <c r="A101" s="23" t="s">
        <v>30</v>
      </c>
      <c r="B101" s="23" t="s">
        <v>977</v>
      </c>
    </row>
    <row r="102" spans="1:25" s="23" customFormat="1" ht="13.35" customHeight="1">
      <c r="A102" s="23" t="s">
        <v>33</v>
      </c>
      <c r="B102" s="23" t="s">
        <v>976</v>
      </c>
    </row>
    <row r="103" spans="1:25" s="23" customFormat="1" ht="13.35" customHeight="1">
      <c r="A103" s="23" t="s">
        <v>35</v>
      </c>
      <c r="B103" s="23" t="s">
        <v>977</v>
      </c>
    </row>
    <row r="104" spans="1:25" s="23" customFormat="1" ht="13.35" customHeight="1">
      <c r="A104" s="23" t="s">
        <v>37</v>
      </c>
      <c r="B104" s="23" t="s">
        <v>976</v>
      </c>
    </row>
    <row r="106" spans="1:25" s="4" customFormat="1" ht="13.35" customHeight="1">
      <c r="A106" s="2" t="s">
        <v>778</v>
      </c>
      <c r="C106" s="3"/>
      <c r="D106" s="3"/>
      <c r="E106" s="3"/>
      <c r="F106" s="3"/>
      <c r="G106" s="5"/>
      <c r="H106" s="6"/>
      <c r="I106" s="5"/>
      <c r="J106" s="6"/>
      <c r="K106" s="5"/>
      <c r="L106" s="5"/>
      <c r="M106" s="5"/>
      <c r="N106" s="5"/>
      <c r="O106" s="5"/>
      <c r="P106" s="5"/>
      <c r="Q106" s="5"/>
      <c r="R106" s="5"/>
      <c r="S106" s="6"/>
      <c r="T106" s="6"/>
      <c r="U106" s="5"/>
      <c r="V106" s="5"/>
      <c r="W106" s="5"/>
      <c r="X106" s="5"/>
      <c r="Y106" s="5"/>
    </row>
    <row r="108" spans="1:25" s="23" customFormat="1" ht="13.35" customHeight="1">
      <c r="A108" s="24" t="s">
        <v>88</v>
      </c>
      <c r="B108" s="24" t="s">
        <v>778</v>
      </c>
    </row>
    <row r="109" spans="1:25" s="23" customFormat="1" ht="13.35" customHeight="1">
      <c r="A109" s="23" t="s">
        <v>981</v>
      </c>
      <c r="B109" s="25">
        <v>12</v>
      </c>
    </row>
    <row r="110" spans="1:25" s="23" customFormat="1" ht="13.35" customHeight="1">
      <c r="A110" s="23" t="s">
        <v>1051</v>
      </c>
      <c r="B110" s="25" t="s">
        <v>1048</v>
      </c>
    </row>
    <row r="111" spans="1:25" s="23" customFormat="1" ht="13.35" customHeight="1">
      <c r="A111" s="23" t="s">
        <v>1050</v>
      </c>
      <c r="B111" s="25" t="s">
        <v>1049</v>
      </c>
    </row>
    <row r="112" spans="1:25" s="23" customFormat="1" ht="13.35" customHeight="1">
      <c r="B112" s="25"/>
    </row>
    <row r="113" spans="1:3" s="23" customFormat="1" ht="13.35" customHeight="1">
      <c r="B113" s="25"/>
    </row>
    <row r="115" spans="1:3" s="22" customFormat="1" ht="13.35" customHeight="1">
      <c r="A115" s="2" t="s">
        <v>106</v>
      </c>
      <c r="B115" s="4"/>
      <c r="C115" s="4"/>
    </row>
  </sheetData>
  <hyperlinks>
    <hyperlink ref="A2" location="Index!A1" display="Index" xr:uid="{00000000-0004-0000-0100-000000000000}"/>
  </hyperlinks>
  <pageMargins left="0.70866141732283472" right="0.70866141732283472" top="0.74803149606299213" bottom="0.74803149606299213" header="0.31496062992125984" footer="0.31496062992125984"/>
  <pageSetup paperSize="9" scale="31" fitToHeight="2"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AM159"/>
  <sheetViews>
    <sheetView topLeftCell="A122" workbookViewId="0">
      <pane xSplit="1" topLeftCell="B1" activePane="topRight" state="frozen"/>
      <selection pane="topRight" activeCell="O152" sqref="O152"/>
    </sheetView>
  </sheetViews>
  <sheetFormatPr defaultColWidth="8.85546875" defaultRowHeight="15"/>
  <cols>
    <col min="1" max="1" width="42.42578125" style="196" bestFit="1" customWidth="1"/>
    <col min="2" max="13" width="11.5703125" style="196" bestFit="1" customWidth="1"/>
    <col min="14" max="14" width="11.5703125" style="196" customWidth="1"/>
    <col min="15" max="16" width="10.7109375" style="196" bestFit="1" customWidth="1"/>
    <col min="17" max="16384" width="8.85546875" style="196"/>
  </cols>
  <sheetData>
    <row r="1" spans="1:39" ht="15.75">
      <c r="A1" s="1" t="s">
        <v>894</v>
      </c>
    </row>
    <row r="2" spans="1:39" ht="13.35" customHeight="1">
      <c r="A2" s="197" t="s">
        <v>86</v>
      </c>
      <c r="AM2" s="198"/>
    </row>
    <row r="3" spans="1:39" ht="13.35" customHeight="1">
      <c r="A3" s="199" t="s">
        <v>1013</v>
      </c>
      <c r="AM3" s="198"/>
    </row>
    <row r="4" spans="1:39" ht="13.35" customHeight="1">
      <c r="A4" s="199"/>
      <c r="AM4" s="198"/>
    </row>
    <row r="5" spans="1:39" s="200" customFormat="1" ht="13.35" customHeight="1">
      <c r="A5" s="2" t="s">
        <v>1026</v>
      </c>
      <c r="B5" s="4"/>
      <c r="C5" s="4"/>
    </row>
    <row r="6" spans="1:39" s="208" customFormat="1" ht="13.35" customHeight="1">
      <c r="A6" s="206"/>
      <c r="B6" s="207"/>
      <c r="C6" s="207"/>
      <c r="O6" s="196"/>
      <c r="P6" s="196"/>
    </row>
    <row r="7" spans="1:39" s="21" customFormat="1" ht="13.35" customHeight="1">
      <c r="A7" s="98" t="s">
        <v>1007</v>
      </c>
      <c r="B7" s="23" t="s">
        <v>1030</v>
      </c>
      <c r="C7" s="133"/>
    </row>
    <row r="8" spans="1:39" s="21" customFormat="1" ht="13.35" customHeight="1">
      <c r="B8" s="209" t="s">
        <v>1027</v>
      </c>
      <c r="C8" s="133"/>
    </row>
    <row r="9" spans="1:39" s="21" customFormat="1" ht="13.35" customHeight="1">
      <c r="A9" s="98"/>
      <c r="B9" s="23" t="s">
        <v>1028</v>
      </c>
      <c r="C9" s="133"/>
    </row>
    <row r="10" spans="1:39" s="21" customFormat="1" ht="13.35" customHeight="1">
      <c r="A10" s="98"/>
      <c r="B10" s="23"/>
      <c r="C10" s="133"/>
    </row>
    <row r="11" spans="1:39" s="21" customFormat="1" ht="13.35" customHeight="1">
      <c r="A11" s="98"/>
      <c r="B11" s="24" t="s">
        <v>1044</v>
      </c>
      <c r="C11" s="133"/>
    </row>
    <row r="12" spans="1:39" ht="13.35" customHeight="1">
      <c r="A12" s="199"/>
      <c r="B12" s="94" t="s">
        <v>1035</v>
      </c>
      <c r="O12" s="201"/>
      <c r="AM12" s="198"/>
    </row>
    <row r="13" spans="1:39" ht="13.35" customHeight="1">
      <c r="A13" s="199"/>
      <c r="B13" s="94" t="s">
        <v>1027</v>
      </c>
      <c r="O13" s="201"/>
      <c r="AM13" s="198"/>
    </row>
    <row r="14" spans="1:39" ht="13.35" customHeight="1">
      <c r="A14" s="199"/>
      <c r="B14" s="94" t="s">
        <v>1028</v>
      </c>
      <c r="O14" s="201"/>
      <c r="AM14" s="198"/>
    </row>
    <row r="15" spans="1:39" ht="13.35" customHeight="1">
      <c r="A15" s="199"/>
      <c r="B15" s="225"/>
      <c r="P15" s="201" t="s">
        <v>1014</v>
      </c>
      <c r="AM15" s="198"/>
    </row>
    <row r="16" spans="1:39" ht="13.35" customHeight="1">
      <c r="A16" s="201" t="s">
        <v>1015</v>
      </c>
      <c r="B16" s="201">
        <v>2009</v>
      </c>
      <c r="C16" s="201">
        <v>2010</v>
      </c>
      <c r="D16" s="201">
        <v>2011</v>
      </c>
      <c r="E16" s="201">
        <v>2012</v>
      </c>
      <c r="F16" s="201">
        <v>2013</v>
      </c>
      <c r="G16" s="201">
        <v>2014</v>
      </c>
      <c r="H16" s="201">
        <v>2015</v>
      </c>
      <c r="I16" s="201">
        <v>2016</v>
      </c>
      <c r="J16" s="201">
        <v>2017</v>
      </c>
      <c r="K16" s="201">
        <v>2018</v>
      </c>
      <c r="L16" s="201">
        <v>2019</v>
      </c>
      <c r="M16" s="201">
        <v>2020</v>
      </c>
      <c r="N16" s="201">
        <v>2021</v>
      </c>
      <c r="O16" s="201">
        <v>2022</v>
      </c>
      <c r="P16" s="201">
        <v>2023</v>
      </c>
    </row>
    <row r="17" spans="1:39" ht="13.35" customHeight="1">
      <c r="A17" s="94" t="s">
        <v>1016</v>
      </c>
      <c r="B17" s="202">
        <v>2462108.8210800001</v>
      </c>
      <c r="C17" s="202">
        <v>4328453.7373799998</v>
      </c>
      <c r="D17" s="202">
        <v>5556576.7282199999</v>
      </c>
      <c r="E17" s="202">
        <v>4927561.0621999996</v>
      </c>
      <c r="F17" s="202">
        <v>3889451.1392999999</v>
      </c>
      <c r="G17" s="202">
        <v>3064312.3795232498</v>
      </c>
      <c r="H17" s="202">
        <v>4283157.49</v>
      </c>
      <c r="I17" s="202">
        <v>1923219.53</v>
      </c>
      <c r="J17" s="202">
        <v>3297479.12</v>
      </c>
      <c r="K17" s="202">
        <v>4200789.54</v>
      </c>
      <c r="L17" s="202">
        <v>8674060</v>
      </c>
      <c r="M17" s="202">
        <v>6074736.9790000003</v>
      </c>
      <c r="N17" s="202">
        <v>4016108</v>
      </c>
      <c r="O17" s="202">
        <v>4279317</v>
      </c>
      <c r="P17" s="202">
        <v>5819014</v>
      </c>
    </row>
    <row r="18" spans="1:39" ht="13.35" customHeight="1">
      <c r="A18" s="94" t="s">
        <v>1017</v>
      </c>
      <c r="B18" s="202">
        <v>131962910.68527</v>
      </c>
      <c r="C18" s="202">
        <v>150463097.31325001</v>
      </c>
      <c r="D18" s="202">
        <v>181053984.68555999</v>
      </c>
      <c r="E18" s="202">
        <v>194144649.466279</v>
      </c>
      <c r="F18" s="202">
        <v>157116994.831296</v>
      </c>
      <c r="G18" s="202">
        <v>140263380.68060499</v>
      </c>
      <c r="H18" s="202">
        <v>139046060.66999999</v>
      </c>
      <c r="I18" s="202">
        <v>102784577.59999999</v>
      </c>
      <c r="J18" s="202">
        <v>107667426.16</v>
      </c>
      <c r="K18" s="202">
        <v>121888165.86</v>
      </c>
      <c r="L18" s="202">
        <v>125842411</v>
      </c>
      <c r="M18" s="202">
        <v>107629566</v>
      </c>
      <c r="N18" s="202">
        <v>110760896</v>
      </c>
      <c r="O18" s="202">
        <v>127020454</v>
      </c>
      <c r="P18" s="202">
        <v>158403726</v>
      </c>
    </row>
    <row r="19" spans="1:39" ht="13.35" customHeight="1">
      <c r="A19" s="94" t="s">
        <v>1018</v>
      </c>
      <c r="B19" s="202">
        <v>122159263.53949399</v>
      </c>
      <c r="C19" s="202">
        <v>118641070.48581</v>
      </c>
      <c r="D19" s="202">
        <v>89836665.420728505</v>
      </c>
      <c r="E19" s="202">
        <v>99978389.754236698</v>
      </c>
      <c r="F19" s="202">
        <v>58718674.056869499</v>
      </c>
      <c r="G19" s="202">
        <v>136736240.95042899</v>
      </c>
      <c r="H19" s="202">
        <v>109288454.62363601</v>
      </c>
      <c r="I19" s="202">
        <v>151448360.23105201</v>
      </c>
      <c r="J19" s="202">
        <v>133791122.904567</v>
      </c>
      <c r="K19" s="202">
        <v>101174809</v>
      </c>
      <c r="L19" s="202">
        <v>117928294</v>
      </c>
      <c r="M19" s="202">
        <v>43184789</v>
      </c>
      <c r="N19" s="202">
        <v>70304542</v>
      </c>
      <c r="O19" s="202">
        <v>26242052</v>
      </c>
      <c r="P19" s="202">
        <v>32345733.370900001</v>
      </c>
    </row>
    <row r="20" spans="1:39" ht="13.35" customHeight="1">
      <c r="A20" s="94" t="s">
        <v>1019</v>
      </c>
      <c r="B20" s="202">
        <v>202374301.01896</v>
      </c>
      <c r="C20" s="202">
        <v>259309931.40640101</v>
      </c>
      <c r="D20" s="202">
        <v>278780056.19138998</v>
      </c>
      <c r="E20" s="202">
        <v>326852290.6067</v>
      </c>
      <c r="F20" s="202">
        <v>253279689.07700199</v>
      </c>
      <c r="G20" s="202">
        <v>141652761.660703</v>
      </c>
      <c r="H20" s="202">
        <v>204137118.94530499</v>
      </c>
      <c r="I20" s="202">
        <v>191168335.579952</v>
      </c>
      <c r="J20" s="202">
        <v>125230333.81989001</v>
      </c>
      <c r="K20" s="202">
        <v>115802928</v>
      </c>
      <c r="L20" s="202">
        <v>110874660</v>
      </c>
      <c r="M20" s="202">
        <v>118279867</v>
      </c>
      <c r="N20" s="202">
        <v>89022762</v>
      </c>
      <c r="O20" s="202">
        <v>101458265</v>
      </c>
      <c r="P20" s="202">
        <v>125056607.1573</v>
      </c>
    </row>
    <row r="21" spans="1:39" ht="13.35" customHeight="1">
      <c r="A21" s="94" t="s">
        <v>1020</v>
      </c>
      <c r="B21" s="203">
        <f t="shared" ref="B21:P21" si="0">B20+B18</f>
        <v>334337211.70423001</v>
      </c>
      <c r="C21" s="203">
        <f t="shared" si="0"/>
        <v>409773028.71965098</v>
      </c>
      <c r="D21" s="203">
        <f t="shared" si="0"/>
        <v>459834040.87694997</v>
      </c>
      <c r="E21" s="203">
        <f t="shared" si="0"/>
        <v>520996940.07297897</v>
      </c>
      <c r="F21" s="203">
        <f t="shared" si="0"/>
        <v>410396683.90829802</v>
      </c>
      <c r="G21" s="203">
        <f t="shared" si="0"/>
        <v>281916142.341308</v>
      </c>
      <c r="H21" s="203">
        <f t="shared" si="0"/>
        <v>343183179.61530495</v>
      </c>
      <c r="I21" s="203">
        <f t="shared" si="0"/>
        <v>293952913.17995203</v>
      </c>
      <c r="J21" s="203">
        <f t="shared" si="0"/>
        <v>232897759.97988999</v>
      </c>
      <c r="K21" s="203">
        <f t="shared" si="0"/>
        <v>237691093.86000001</v>
      </c>
      <c r="L21" s="203">
        <f t="shared" si="0"/>
        <v>236717071</v>
      </c>
      <c r="M21" s="203">
        <f t="shared" si="0"/>
        <v>225909433</v>
      </c>
      <c r="N21" s="203">
        <f t="shared" si="0"/>
        <v>199783658</v>
      </c>
      <c r="O21" s="203">
        <f t="shared" si="0"/>
        <v>228478719</v>
      </c>
      <c r="P21" s="203">
        <f t="shared" si="0"/>
        <v>283460333.1573</v>
      </c>
    </row>
    <row r="22" spans="1:39" ht="13.35" customHeight="1">
      <c r="A22" s="94" t="s">
        <v>1021</v>
      </c>
      <c r="B22" s="203">
        <f t="shared" ref="B22:P22" si="1">B19+B17</f>
        <v>124621372.36057399</v>
      </c>
      <c r="C22" s="203">
        <f t="shared" si="1"/>
        <v>122969524.22318999</v>
      </c>
      <c r="D22" s="203">
        <f t="shared" si="1"/>
        <v>95393242.148948506</v>
      </c>
      <c r="E22" s="203">
        <f t="shared" si="1"/>
        <v>104905950.81643669</v>
      </c>
      <c r="F22" s="203">
        <f t="shared" si="1"/>
        <v>62608125.196169496</v>
      </c>
      <c r="G22" s="203">
        <f t="shared" si="1"/>
        <v>139800553.32995224</v>
      </c>
      <c r="H22" s="203">
        <f t="shared" si="1"/>
        <v>113571612.113636</v>
      </c>
      <c r="I22" s="203">
        <f t="shared" si="1"/>
        <v>153371579.76105201</v>
      </c>
      <c r="J22" s="203">
        <f t="shared" si="1"/>
        <v>137088602.02456701</v>
      </c>
      <c r="K22" s="203">
        <f t="shared" si="1"/>
        <v>105375598.54000001</v>
      </c>
      <c r="L22" s="203">
        <f t="shared" si="1"/>
        <v>126602354</v>
      </c>
      <c r="M22" s="203">
        <f t="shared" si="1"/>
        <v>49259525.979000002</v>
      </c>
      <c r="N22" s="203">
        <f t="shared" si="1"/>
        <v>74320650</v>
      </c>
      <c r="O22" s="203">
        <f t="shared" si="1"/>
        <v>30521369</v>
      </c>
      <c r="P22" s="203">
        <f t="shared" si="1"/>
        <v>38164747.370900005</v>
      </c>
    </row>
    <row r="23" spans="1:39" ht="13.35" customHeight="1">
      <c r="A23" s="94" t="s">
        <v>1022</v>
      </c>
      <c r="B23" s="203">
        <f t="shared" ref="B23:P23" si="2">B21+B22</f>
        <v>458958584.06480402</v>
      </c>
      <c r="C23" s="203">
        <f t="shared" si="2"/>
        <v>532742552.94284099</v>
      </c>
      <c r="D23" s="203">
        <f t="shared" si="2"/>
        <v>555227283.02589846</v>
      </c>
      <c r="E23" s="203">
        <f t="shared" si="2"/>
        <v>625902890.88941562</v>
      </c>
      <c r="F23" s="203">
        <f t="shared" si="2"/>
        <v>473004809.10446751</v>
      </c>
      <c r="G23" s="203">
        <f t="shared" si="2"/>
        <v>421716695.67126024</v>
      </c>
      <c r="H23" s="203">
        <f t="shared" si="2"/>
        <v>456754791.72894096</v>
      </c>
      <c r="I23" s="203">
        <f t="shared" si="2"/>
        <v>447324492.94100404</v>
      </c>
      <c r="J23" s="203">
        <f t="shared" si="2"/>
        <v>369986362.004457</v>
      </c>
      <c r="K23" s="203">
        <f t="shared" si="2"/>
        <v>343066692.40000004</v>
      </c>
      <c r="L23" s="203">
        <f t="shared" si="2"/>
        <v>363319425</v>
      </c>
      <c r="M23" s="203">
        <f t="shared" si="2"/>
        <v>275168958.97899997</v>
      </c>
      <c r="N23" s="203">
        <f t="shared" si="2"/>
        <v>274104308</v>
      </c>
      <c r="O23" s="203">
        <f t="shared" si="2"/>
        <v>259000088</v>
      </c>
      <c r="P23" s="203">
        <f t="shared" si="2"/>
        <v>321625080.52820003</v>
      </c>
    </row>
    <row r="24" spans="1:39" ht="13.35" customHeight="1">
      <c r="A24" s="94" t="s">
        <v>1023</v>
      </c>
      <c r="B24" s="204">
        <f t="shared" ref="B24:P24" si="3">(B19+B20)/B23</f>
        <v>0.70710860593170755</v>
      </c>
      <c r="C24" s="204">
        <f t="shared" si="3"/>
        <v>0.7094439890420432</v>
      </c>
      <c r="D24" s="204">
        <f t="shared" si="3"/>
        <v>0.66390239255394157</v>
      </c>
      <c r="E24" s="204">
        <f t="shared" si="3"/>
        <v>0.68194393503184669</v>
      </c>
      <c r="F24" s="204">
        <f t="shared" si="3"/>
        <v>0.65960928330638546</v>
      </c>
      <c r="G24" s="204">
        <f t="shared" si="3"/>
        <v>0.66013275136762406</v>
      </c>
      <c r="H24" s="204">
        <f t="shared" si="3"/>
        <v>0.68620095343179666</v>
      </c>
      <c r="I24" s="204">
        <f t="shared" si="3"/>
        <v>0.76592429258326011</v>
      </c>
      <c r="J24" s="204">
        <f t="shared" si="3"/>
        <v>0.70008379584903935</v>
      </c>
      <c r="K24" s="204">
        <f t="shared" si="3"/>
        <v>0.63246517894839493</v>
      </c>
      <c r="L24" s="204">
        <f t="shared" si="3"/>
        <v>0.62975700790014189</v>
      </c>
      <c r="M24" s="204">
        <f t="shared" si="3"/>
        <v>0.58678368591830332</v>
      </c>
      <c r="N24" s="204">
        <f t="shared" si="3"/>
        <v>0.58126523133667785</v>
      </c>
      <c r="O24" s="204">
        <f t="shared" si="3"/>
        <v>0.49305124946521256</v>
      </c>
      <c r="P24" s="204">
        <f t="shared" si="3"/>
        <v>0.48939697199515819</v>
      </c>
    </row>
    <row r="25" spans="1:39" ht="13.35" customHeight="1">
      <c r="A25" s="94" t="s">
        <v>1024</v>
      </c>
      <c r="B25" s="204">
        <f t="shared" ref="B25:P25" si="4">B19/B22</f>
        <v>0.98024328592726262</v>
      </c>
      <c r="C25" s="204">
        <f t="shared" si="4"/>
        <v>0.96480059783329852</v>
      </c>
      <c r="D25" s="204">
        <f t="shared" si="4"/>
        <v>0.94175083472324095</v>
      </c>
      <c r="E25" s="204">
        <f t="shared" si="4"/>
        <v>0.95302877459428215</v>
      </c>
      <c r="F25" s="204">
        <f t="shared" si="4"/>
        <v>0.93787625604323377</v>
      </c>
      <c r="G25" s="204">
        <f t="shared" si="4"/>
        <v>0.97808082796145324</v>
      </c>
      <c r="H25" s="204">
        <f t="shared" si="4"/>
        <v>0.96228672455829534</v>
      </c>
      <c r="I25" s="204">
        <f t="shared" si="4"/>
        <v>0.98746039172970435</v>
      </c>
      <c r="J25" s="204">
        <f t="shared" si="4"/>
        <v>0.97594636555262937</v>
      </c>
      <c r="K25" s="204">
        <f t="shared" si="4"/>
        <v>0.96013508252192359</v>
      </c>
      <c r="L25" s="204">
        <f t="shared" si="4"/>
        <v>0.93148579212042137</v>
      </c>
      <c r="M25" s="204">
        <f t="shared" si="4"/>
        <v>0.8766789395904917</v>
      </c>
      <c r="N25" s="204">
        <f t="shared" si="4"/>
        <v>0.94596242094222804</v>
      </c>
      <c r="O25" s="204">
        <f t="shared" si="4"/>
        <v>0.85979275700247915</v>
      </c>
      <c r="P25" s="204">
        <f t="shared" si="4"/>
        <v>0.84752908375238178</v>
      </c>
    </row>
    <row r="26" spans="1:39" ht="13.35" customHeight="1">
      <c r="A26" s="199"/>
      <c r="AM26" s="198"/>
    </row>
    <row r="27" spans="1:39" ht="13.35" customHeight="1">
      <c r="A27" s="201" t="s">
        <v>103</v>
      </c>
      <c r="B27" s="201">
        <v>2009</v>
      </c>
      <c r="C27" s="201">
        <v>2010</v>
      </c>
      <c r="D27" s="201">
        <v>2011</v>
      </c>
      <c r="E27" s="201">
        <v>2012</v>
      </c>
      <c r="F27" s="201">
        <v>2013</v>
      </c>
      <c r="G27" s="201">
        <v>2014</v>
      </c>
      <c r="H27" s="201">
        <v>2015</v>
      </c>
      <c r="I27" s="201">
        <v>2016</v>
      </c>
      <c r="J27" s="201">
        <v>2017</v>
      </c>
      <c r="K27" s="201">
        <v>2018</v>
      </c>
      <c r="L27" s="201">
        <v>2019</v>
      </c>
      <c r="M27" s="201">
        <v>2020</v>
      </c>
      <c r="N27" s="201">
        <v>2021</v>
      </c>
      <c r="O27" s="201">
        <v>2022</v>
      </c>
      <c r="P27" s="201">
        <v>2023</v>
      </c>
    </row>
    <row r="28" spans="1:39" ht="13.35" customHeight="1">
      <c r="A28" s="94" t="s">
        <v>1016</v>
      </c>
      <c r="B28" s="202">
        <v>7800823.0870356504</v>
      </c>
      <c r="C28" s="202">
        <v>9012209.2141115405</v>
      </c>
      <c r="D28" s="202">
        <v>11214876.283642501</v>
      </c>
      <c r="E28" s="202">
        <v>14659791.9652995</v>
      </c>
      <c r="F28" s="202">
        <v>7936311.3489698097</v>
      </c>
      <c r="G28" s="202">
        <v>8817222.1277890895</v>
      </c>
      <c r="H28" s="202">
        <v>11983594.543508301</v>
      </c>
      <c r="I28" s="202">
        <v>6976774.8351207804</v>
      </c>
      <c r="J28" s="202">
        <v>5910615.2066409104</v>
      </c>
      <c r="K28" s="202">
        <v>3102633.5607427298</v>
      </c>
      <c r="L28" s="202">
        <v>2658136.1909696199</v>
      </c>
      <c r="M28" s="202">
        <v>1518550.3031538499</v>
      </c>
      <c r="N28" s="202">
        <v>3677774.4351560301</v>
      </c>
      <c r="O28" s="202">
        <v>2344847</v>
      </c>
      <c r="P28" s="203">
        <f>O28*(POWER($O28/$K28,1/4))</f>
        <v>2186303.8353581065</v>
      </c>
    </row>
    <row r="29" spans="1:39" ht="13.35" customHeight="1">
      <c r="A29" s="94" t="s">
        <v>1017</v>
      </c>
      <c r="B29" s="202">
        <v>22005248.581235401</v>
      </c>
      <c r="C29" s="202">
        <v>21207955.597916599</v>
      </c>
      <c r="D29" s="202">
        <v>19739077.062148198</v>
      </c>
      <c r="E29" s="202">
        <v>17634586.308452599</v>
      </c>
      <c r="F29" s="202">
        <v>23185111.005042698</v>
      </c>
      <c r="G29" s="202">
        <v>25600483.3992128</v>
      </c>
      <c r="H29" s="202">
        <v>30709732.810774401</v>
      </c>
      <c r="I29" s="202">
        <v>24464225.164879199</v>
      </c>
      <c r="J29" s="202">
        <v>29267094.922092602</v>
      </c>
      <c r="K29" s="202">
        <v>30691961.257964902</v>
      </c>
      <c r="L29" s="202">
        <v>27377019.3930679</v>
      </c>
      <c r="M29" s="202">
        <v>24555408.645342499</v>
      </c>
      <c r="N29" s="202">
        <v>26783498.332393799</v>
      </c>
      <c r="O29" s="202">
        <v>27746489</v>
      </c>
      <c r="P29" s="203">
        <f>O29*(POWER($O29/$K29,1/4))</f>
        <v>27055395.357045084</v>
      </c>
    </row>
    <row r="30" spans="1:39" ht="13.35" customHeight="1">
      <c r="A30" s="94" t="s">
        <v>1018</v>
      </c>
      <c r="B30" s="202">
        <v>25440958.300313</v>
      </c>
      <c r="C30" s="202">
        <v>20416414.3070799</v>
      </c>
      <c r="D30" s="202">
        <v>20284832.550326198</v>
      </c>
      <c r="E30" s="202">
        <v>20345853.214158598</v>
      </c>
      <c r="F30" s="202">
        <v>22623291.076071601</v>
      </c>
      <c r="G30" s="202">
        <v>28131633.559801102</v>
      </c>
      <c r="H30" s="202">
        <v>40128130.492523298</v>
      </c>
      <c r="I30" s="202">
        <v>36960179.887340203</v>
      </c>
      <c r="J30" s="202">
        <v>27744532.7630703</v>
      </c>
      <c r="K30" s="202">
        <v>20888463.199999999</v>
      </c>
      <c r="L30" s="202">
        <v>21676754.907341</v>
      </c>
      <c r="M30" s="202">
        <v>23380448.4840229</v>
      </c>
      <c r="N30" s="202">
        <v>30828271.775899999</v>
      </c>
      <c r="O30" s="202">
        <v>20836331</v>
      </c>
      <c r="P30" s="203">
        <f>O30*(POWER($O30/$K30,1/4))</f>
        <v>20823318.292148732</v>
      </c>
    </row>
    <row r="31" spans="1:39" ht="13.35" customHeight="1">
      <c r="A31" s="94" t="s">
        <v>1019</v>
      </c>
      <c r="B31" s="202">
        <v>32231214.279665399</v>
      </c>
      <c r="C31" s="202">
        <v>30750650.002101399</v>
      </c>
      <c r="D31" s="202">
        <v>36799335.688405901</v>
      </c>
      <c r="E31" s="202">
        <v>39137333.784624897</v>
      </c>
      <c r="F31" s="202">
        <v>47466468.153188601</v>
      </c>
      <c r="G31" s="202">
        <v>50025254.632619001</v>
      </c>
      <c r="H31" s="202">
        <v>49882333.169791102</v>
      </c>
      <c r="I31" s="202">
        <v>74188991.878197998</v>
      </c>
      <c r="J31" s="202">
        <v>70781271.114998594</v>
      </c>
      <c r="K31" s="202">
        <v>73745872.950055003</v>
      </c>
      <c r="L31" s="202">
        <v>68759537.082991198</v>
      </c>
      <c r="M31" s="202">
        <v>71673819.810000002</v>
      </c>
      <c r="N31" s="202">
        <v>71934665.653613105</v>
      </c>
      <c r="O31" s="202">
        <v>97051488</v>
      </c>
      <c r="P31" s="203">
        <f>O31*(POWER($O31/$K31,1/4))</f>
        <v>103948521.79294351</v>
      </c>
    </row>
    <row r="32" spans="1:39" ht="13.35" customHeight="1">
      <c r="A32" s="94" t="s">
        <v>1020</v>
      </c>
      <c r="B32" s="203">
        <f t="shared" ref="B32:N32" si="5">B29+B31</f>
        <v>54236462.860900804</v>
      </c>
      <c r="C32" s="203">
        <f t="shared" si="5"/>
        <v>51958605.600017995</v>
      </c>
      <c r="D32" s="203">
        <f t="shared" si="5"/>
        <v>56538412.7505541</v>
      </c>
      <c r="E32" s="203">
        <f t="shared" si="5"/>
        <v>56771920.093077496</v>
      </c>
      <c r="F32" s="203">
        <f t="shared" si="5"/>
        <v>70651579.158231303</v>
      </c>
      <c r="G32" s="203">
        <f t="shared" si="5"/>
        <v>75625738.031831801</v>
      </c>
      <c r="H32" s="203">
        <f t="shared" si="5"/>
        <v>80592065.980565503</v>
      </c>
      <c r="I32" s="203">
        <f t="shared" si="5"/>
        <v>98653217.043077201</v>
      </c>
      <c r="J32" s="203">
        <f t="shared" si="5"/>
        <v>100048366.0370912</v>
      </c>
      <c r="K32" s="203">
        <f t="shared" si="5"/>
        <v>104437834.20801991</v>
      </c>
      <c r="L32" s="203">
        <f t="shared" si="5"/>
        <v>96136556.476059094</v>
      </c>
      <c r="M32" s="203">
        <f t="shared" si="5"/>
        <v>96229228.455342501</v>
      </c>
      <c r="N32" s="203">
        <f t="shared" si="5"/>
        <v>98718163.986006901</v>
      </c>
      <c r="O32" s="203">
        <f t="shared" ref="O32:P32" si="6">O31+O29</f>
        <v>124797977</v>
      </c>
      <c r="P32" s="203">
        <f t="shared" si="6"/>
        <v>131003917.14998859</v>
      </c>
    </row>
    <row r="33" spans="1:16" ht="13.35" customHeight="1">
      <c r="A33" s="94" t="s">
        <v>1021</v>
      </c>
      <c r="B33" s="203">
        <f t="shared" ref="B33:N33" si="7">B28+B30</f>
        <v>33241781.387348652</v>
      </c>
      <c r="C33" s="203">
        <f t="shared" si="7"/>
        <v>29428623.521191441</v>
      </c>
      <c r="D33" s="203">
        <f t="shared" si="7"/>
        <v>31499708.833968699</v>
      </c>
      <c r="E33" s="203">
        <f t="shared" si="7"/>
        <v>35005645.179458097</v>
      </c>
      <c r="F33" s="203">
        <f t="shared" si="7"/>
        <v>30559602.425041411</v>
      </c>
      <c r="G33" s="203">
        <f t="shared" si="7"/>
        <v>36948855.687590189</v>
      </c>
      <c r="H33" s="203">
        <f t="shared" si="7"/>
        <v>52111725.036031596</v>
      </c>
      <c r="I33" s="203">
        <f t="shared" si="7"/>
        <v>43936954.722460985</v>
      </c>
      <c r="J33" s="203">
        <f t="shared" si="7"/>
        <v>33655147.969711214</v>
      </c>
      <c r="K33" s="203">
        <f t="shared" si="7"/>
        <v>23991096.760742728</v>
      </c>
      <c r="L33" s="203">
        <f t="shared" si="7"/>
        <v>24334891.09831062</v>
      </c>
      <c r="M33" s="203">
        <f t="shared" si="7"/>
        <v>24898998.787176751</v>
      </c>
      <c r="N33" s="203">
        <f t="shared" si="7"/>
        <v>34506046.211056031</v>
      </c>
      <c r="O33" s="203">
        <f t="shared" ref="O33:P33" si="8">O30+O28</f>
        <v>23181178</v>
      </c>
      <c r="P33" s="203">
        <f t="shared" si="8"/>
        <v>23009622.127506837</v>
      </c>
    </row>
    <row r="34" spans="1:16" ht="13.35" customHeight="1">
      <c r="A34" s="94" t="s">
        <v>1022</v>
      </c>
      <c r="B34" s="203">
        <f t="shared" ref="B34:P34" si="9">B32+B33</f>
        <v>87478244.248249456</v>
      </c>
      <c r="C34" s="203">
        <f t="shared" si="9"/>
        <v>81387229.121209443</v>
      </c>
      <c r="D34" s="203">
        <f t="shared" si="9"/>
        <v>88038121.584522799</v>
      </c>
      <c r="E34" s="203">
        <f t="shared" si="9"/>
        <v>91777565.272535592</v>
      </c>
      <c r="F34" s="203">
        <f t="shared" si="9"/>
        <v>101211181.58327271</v>
      </c>
      <c r="G34" s="203">
        <f t="shared" si="9"/>
        <v>112574593.71942198</v>
      </c>
      <c r="H34" s="203">
        <f t="shared" si="9"/>
        <v>132703791.01659709</v>
      </c>
      <c r="I34" s="203">
        <f t="shared" si="9"/>
        <v>142590171.76553819</v>
      </c>
      <c r="J34" s="203">
        <f t="shared" si="9"/>
        <v>133703514.00680241</v>
      </c>
      <c r="K34" s="203">
        <f t="shared" si="9"/>
        <v>128428930.96876264</v>
      </c>
      <c r="L34" s="203">
        <f t="shared" si="9"/>
        <v>120471447.57436971</v>
      </c>
      <c r="M34" s="203">
        <f t="shared" si="9"/>
        <v>121128227.24251926</v>
      </c>
      <c r="N34" s="203">
        <f t="shared" si="9"/>
        <v>133224210.19706294</v>
      </c>
      <c r="O34" s="203">
        <f t="shared" si="9"/>
        <v>147979155</v>
      </c>
      <c r="P34" s="203">
        <f t="shared" si="9"/>
        <v>154013539.27749544</v>
      </c>
    </row>
    <row r="35" spans="1:16" ht="13.35" customHeight="1">
      <c r="A35" s="94" t="s">
        <v>1023</v>
      </c>
      <c r="B35" s="204">
        <f t="shared" ref="B35:N35" si="10">(B31+B30)/B34</f>
        <v>0.65927446390343492</v>
      </c>
      <c r="C35" s="204">
        <f t="shared" si="10"/>
        <v>0.62868664852784883</v>
      </c>
      <c r="D35" s="204">
        <f t="shared" si="10"/>
        <v>0.64840284198848197</v>
      </c>
      <c r="E35" s="204">
        <f t="shared" si="10"/>
        <v>0.64812339292447785</v>
      </c>
      <c r="F35" s="204">
        <f t="shared" si="10"/>
        <v>0.69251003824703916</v>
      </c>
      <c r="G35" s="204">
        <f t="shared" si="10"/>
        <v>0.69426755727154843</v>
      </c>
      <c r="H35" s="204">
        <f t="shared" si="10"/>
        <v>0.67828102703604687</v>
      </c>
      <c r="I35" s="204">
        <f t="shared" si="10"/>
        <v>0.77950093186156899</v>
      </c>
      <c r="J35" s="204">
        <f t="shared" si="10"/>
        <v>0.73689763960172516</v>
      </c>
      <c r="K35" s="204">
        <f t="shared" si="10"/>
        <v>0.73686151115804754</v>
      </c>
      <c r="L35" s="204">
        <f t="shared" si="10"/>
        <v>0.75068652208652065</v>
      </c>
      <c r="M35" s="204">
        <f t="shared" si="10"/>
        <v>0.78474085238371505</v>
      </c>
      <c r="N35" s="204">
        <f t="shared" si="10"/>
        <v>0.7713533244258528</v>
      </c>
      <c r="O35" s="204">
        <f t="shared" ref="O35:P35" si="11">(O30+O31)/O34</f>
        <v>0.79665152162816444</v>
      </c>
      <c r="P35" s="204">
        <f t="shared" si="11"/>
        <v>0.81013552880103179</v>
      </c>
    </row>
    <row r="36" spans="1:16" ht="13.35" customHeight="1">
      <c r="A36" s="94" t="s">
        <v>1024</v>
      </c>
      <c r="B36" s="204">
        <f t="shared" ref="B36:P36" si="12">B30/B33</f>
        <v>0.76533077466165711</v>
      </c>
      <c r="C36" s="204">
        <f t="shared" si="12"/>
        <v>0.69376042316006103</v>
      </c>
      <c r="D36" s="204">
        <f t="shared" si="12"/>
        <v>0.64396889054578854</v>
      </c>
      <c r="E36" s="204">
        <f t="shared" si="12"/>
        <v>0.58121634695931523</v>
      </c>
      <c r="F36" s="204">
        <f t="shared" si="12"/>
        <v>0.74030056940575351</v>
      </c>
      <c r="G36" s="204">
        <f t="shared" si="12"/>
        <v>0.76136684171384283</v>
      </c>
      <c r="H36" s="204">
        <f t="shared" si="12"/>
        <v>0.77004034053329673</v>
      </c>
      <c r="I36" s="204">
        <f t="shared" si="12"/>
        <v>0.84120941291467821</v>
      </c>
      <c r="J36" s="204">
        <f t="shared" si="12"/>
        <v>0.82437708454111336</v>
      </c>
      <c r="K36" s="204">
        <f t="shared" si="12"/>
        <v>0.87067562639238527</v>
      </c>
      <c r="L36" s="204">
        <f t="shared" si="12"/>
        <v>0.8907685191509177</v>
      </c>
      <c r="M36" s="204">
        <f t="shared" si="12"/>
        <v>0.93901159174577253</v>
      </c>
      <c r="N36" s="204">
        <f t="shared" si="12"/>
        <v>0.89341652147971562</v>
      </c>
      <c r="O36" s="204">
        <f t="shared" si="12"/>
        <v>0.89884694384383745</v>
      </c>
      <c r="P36" s="204">
        <f t="shared" si="12"/>
        <v>0.90498306216230773</v>
      </c>
    </row>
    <row r="37" spans="1:16" ht="13.35" customHeight="1">
      <c r="A37" s="94"/>
      <c r="B37" s="94"/>
      <c r="C37" s="94"/>
      <c r="D37" s="94"/>
      <c r="E37" s="94"/>
      <c r="F37" s="94"/>
      <c r="G37" s="94"/>
      <c r="H37" s="94"/>
      <c r="I37" s="94"/>
      <c r="J37" s="94"/>
      <c r="K37" s="94"/>
      <c r="L37" s="94"/>
      <c r="M37" s="94"/>
    </row>
    <row r="38" spans="1:16" ht="13.35" customHeight="1">
      <c r="A38" s="201" t="s">
        <v>1025</v>
      </c>
      <c r="B38" s="201">
        <v>2009</v>
      </c>
      <c r="C38" s="201">
        <v>2010</v>
      </c>
      <c r="D38" s="201">
        <v>2011</v>
      </c>
      <c r="E38" s="201">
        <v>2012</v>
      </c>
      <c r="F38" s="201">
        <v>2013</v>
      </c>
      <c r="G38" s="201">
        <v>2014</v>
      </c>
      <c r="H38" s="201">
        <v>2015</v>
      </c>
      <c r="I38" s="201">
        <v>2016</v>
      </c>
      <c r="J38" s="201">
        <v>2017</v>
      </c>
      <c r="K38" s="201">
        <v>2018</v>
      </c>
      <c r="L38" s="201">
        <v>2019</v>
      </c>
      <c r="M38" s="201">
        <v>2020</v>
      </c>
      <c r="N38" s="201">
        <v>2021</v>
      </c>
      <c r="O38" s="201">
        <v>2022</v>
      </c>
      <c r="P38" s="201">
        <v>2023</v>
      </c>
    </row>
    <row r="39" spans="1:16" ht="13.35" customHeight="1">
      <c r="A39" s="94" t="s">
        <v>1016</v>
      </c>
      <c r="B39" s="202">
        <v>12378745.836201999</v>
      </c>
      <c r="C39" s="202">
        <v>12017909.209442399</v>
      </c>
      <c r="D39" s="202">
        <v>13803610.272112399</v>
      </c>
      <c r="E39" s="202">
        <v>14930537.59</v>
      </c>
      <c r="F39" s="202">
        <v>15557834.300000001</v>
      </c>
      <c r="G39" s="202">
        <v>18289329.41</v>
      </c>
      <c r="H39" s="202">
        <v>17883082.5614185</v>
      </c>
      <c r="I39" s="202">
        <v>0</v>
      </c>
      <c r="J39" s="202">
        <v>0</v>
      </c>
      <c r="K39" s="202">
        <v>0</v>
      </c>
      <c r="L39" s="202">
        <v>0</v>
      </c>
      <c r="M39" s="202">
        <v>0</v>
      </c>
      <c r="N39" s="202">
        <v>0</v>
      </c>
      <c r="O39" s="202">
        <v>0</v>
      </c>
      <c r="P39" s="202">
        <v>0</v>
      </c>
    </row>
    <row r="40" spans="1:16" ht="13.35" customHeight="1">
      <c r="A40" s="94" t="s">
        <v>1017</v>
      </c>
      <c r="B40" s="202">
        <v>14364918.869999999</v>
      </c>
      <c r="C40" s="202">
        <v>14314288.630000001</v>
      </c>
      <c r="D40" s="202">
        <v>15107854.75</v>
      </c>
      <c r="E40" s="202">
        <v>11721535.01</v>
      </c>
      <c r="F40" s="202">
        <v>13897704.83</v>
      </c>
      <c r="G40" s="202">
        <v>15414141.58</v>
      </c>
      <c r="H40" s="202">
        <v>14335092.2070216</v>
      </c>
      <c r="I40" s="202">
        <v>16688223</v>
      </c>
      <c r="J40" s="202">
        <v>17421557.32</v>
      </c>
      <c r="K40" s="202">
        <v>17928329.163672201</v>
      </c>
      <c r="L40" s="202">
        <v>20291819.289999999</v>
      </c>
      <c r="M40" s="202">
        <v>20856554.82</v>
      </c>
      <c r="N40" s="202">
        <v>21269692.309999999</v>
      </c>
      <c r="O40" s="202">
        <v>17446122</v>
      </c>
      <c r="P40" s="203">
        <f>O40*(POWER($O40/$K40,1/4))</f>
        <v>17327610.502523534</v>
      </c>
    </row>
    <row r="41" spans="1:16" ht="13.35" customHeight="1">
      <c r="A41" s="94" t="s">
        <v>1018</v>
      </c>
      <c r="B41" s="202">
        <v>8121737.5665408103</v>
      </c>
      <c r="C41" s="202">
        <v>8918988.3293632809</v>
      </c>
      <c r="D41" s="202">
        <v>5452269.5475516301</v>
      </c>
      <c r="E41" s="202">
        <v>7358008.2086575096</v>
      </c>
      <c r="F41" s="202">
        <v>8225106.4180495897</v>
      </c>
      <c r="G41" s="202">
        <v>8171649.1308867596</v>
      </c>
      <c r="H41" s="202">
        <v>8145897.1619483596</v>
      </c>
      <c r="I41" s="202">
        <v>31880074</v>
      </c>
      <c r="J41" s="202">
        <v>33445487</v>
      </c>
      <c r="K41" s="202">
        <v>33137593.2749484</v>
      </c>
      <c r="L41" s="202">
        <v>31665204.59</v>
      </c>
      <c r="M41" s="202">
        <v>34216232.340000004</v>
      </c>
      <c r="N41" s="202">
        <v>34334164.030000001</v>
      </c>
      <c r="O41" s="202">
        <v>35972451</v>
      </c>
      <c r="P41" s="203">
        <f t="shared" ref="P41:P42" si="13">O41*(POWER($O41/$K41,1/4))</f>
        <v>36718277.21245271</v>
      </c>
    </row>
    <row r="42" spans="1:16" ht="13.35" customHeight="1">
      <c r="A42" s="94" t="s">
        <v>1019</v>
      </c>
      <c r="B42" s="202">
        <v>15843481.5564229</v>
      </c>
      <c r="C42" s="202">
        <v>16629361.869981</v>
      </c>
      <c r="D42" s="202">
        <v>17519316.893408701</v>
      </c>
      <c r="E42" s="202">
        <v>22765819.5929024</v>
      </c>
      <c r="F42" s="202">
        <v>22010521.521160498</v>
      </c>
      <c r="G42" s="202">
        <v>23921523.6387797</v>
      </c>
      <c r="H42" s="202">
        <v>27073192.449597999</v>
      </c>
      <c r="I42" s="202">
        <v>20026511</v>
      </c>
      <c r="J42" s="202">
        <v>15102699.68</v>
      </c>
      <c r="K42" s="202">
        <v>13261953.829303499</v>
      </c>
      <c r="L42" s="202">
        <v>12521036.390000001</v>
      </c>
      <c r="M42" s="202">
        <v>11102041.449999999</v>
      </c>
      <c r="N42" s="202">
        <v>6194909.3300000001</v>
      </c>
      <c r="O42" s="202">
        <v>7055441</v>
      </c>
      <c r="P42" s="203">
        <f t="shared" si="13"/>
        <v>6025642.0311397333</v>
      </c>
    </row>
    <row r="43" spans="1:16" ht="13.35" customHeight="1">
      <c r="A43" s="94" t="s">
        <v>1020</v>
      </c>
      <c r="B43" s="203">
        <f t="shared" ref="B43:N43" si="14">B40+B42</f>
        <v>30208400.426422901</v>
      </c>
      <c r="C43" s="203">
        <f t="shared" si="14"/>
        <v>30943650.499981001</v>
      </c>
      <c r="D43" s="203">
        <f t="shared" si="14"/>
        <v>32627171.643408701</v>
      </c>
      <c r="E43" s="203">
        <f t="shared" si="14"/>
        <v>34487354.602902398</v>
      </c>
      <c r="F43" s="203">
        <f t="shared" si="14"/>
        <v>35908226.351160496</v>
      </c>
      <c r="G43" s="203">
        <f t="shared" si="14"/>
        <v>39335665.218779698</v>
      </c>
      <c r="H43" s="203">
        <f t="shared" si="14"/>
        <v>41408284.656619601</v>
      </c>
      <c r="I43" s="203">
        <f t="shared" si="14"/>
        <v>36714734</v>
      </c>
      <c r="J43" s="203">
        <f t="shared" si="14"/>
        <v>32524257</v>
      </c>
      <c r="K43" s="203">
        <f t="shared" si="14"/>
        <v>31190282.992975701</v>
      </c>
      <c r="L43" s="203">
        <f t="shared" si="14"/>
        <v>32812855.68</v>
      </c>
      <c r="M43" s="203">
        <f t="shared" si="14"/>
        <v>31958596.27</v>
      </c>
      <c r="N43" s="203">
        <f t="shared" si="14"/>
        <v>27464601.640000001</v>
      </c>
      <c r="O43" s="203">
        <f t="shared" ref="O43:P43" si="15">O42+O40</f>
        <v>24501563</v>
      </c>
      <c r="P43" s="203">
        <f t="shared" si="15"/>
        <v>23353252.533663265</v>
      </c>
    </row>
    <row r="44" spans="1:16" ht="13.35" customHeight="1">
      <c r="A44" s="94" t="s">
        <v>1021</v>
      </c>
      <c r="B44" s="203">
        <f t="shared" ref="B44:P44" si="16">B41+B39</f>
        <v>20500483.402742811</v>
      </c>
      <c r="C44" s="203">
        <f t="shared" si="16"/>
        <v>20936897.538805678</v>
      </c>
      <c r="D44" s="203">
        <f t="shared" si="16"/>
        <v>19255879.819664031</v>
      </c>
      <c r="E44" s="203">
        <f t="shared" si="16"/>
        <v>22288545.79865751</v>
      </c>
      <c r="F44" s="203">
        <f t="shared" si="16"/>
        <v>23782940.71804959</v>
      </c>
      <c r="G44" s="203">
        <f t="shared" si="16"/>
        <v>26460978.54088676</v>
      </c>
      <c r="H44" s="203">
        <f t="shared" si="16"/>
        <v>26028979.72336686</v>
      </c>
      <c r="I44" s="203">
        <f t="shared" si="16"/>
        <v>31880074</v>
      </c>
      <c r="J44" s="203">
        <f t="shared" si="16"/>
        <v>33445487</v>
      </c>
      <c r="K44" s="203">
        <f t="shared" si="16"/>
        <v>33137593.2749484</v>
      </c>
      <c r="L44" s="203">
        <f t="shared" si="16"/>
        <v>31665204.59</v>
      </c>
      <c r="M44" s="203">
        <f t="shared" si="16"/>
        <v>34216232.340000004</v>
      </c>
      <c r="N44" s="203">
        <f t="shared" si="16"/>
        <v>34334164.030000001</v>
      </c>
      <c r="O44" s="203">
        <f t="shared" si="16"/>
        <v>35972451</v>
      </c>
      <c r="P44" s="203">
        <f t="shared" si="16"/>
        <v>36718277.21245271</v>
      </c>
    </row>
    <row r="45" spans="1:16" ht="13.35" customHeight="1">
      <c r="A45" s="94" t="s">
        <v>1022</v>
      </c>
      <c r="B45" s="203">
        <f t="shared" ref="B45:N45" si="17">B44+B43</f>
        <v>50708883.829165712</v>
      </c>
      <c r="C45" s="203">
        <f t="shared" si="17"/>
        <v>51880548.03878668</v>
      </c>
      <c r="D45" s="203">
        <f t="shared" si="17"/>
        <v>51883051.463072732</v>
      </c>
      <c r="E45" s="203">
        <f t="shared" si="17"/>
        <v>56775900.401559904</v>
      </c>
      <c r="F45" s="203">
        <f t="shared" si="17"/>
        <v>59691167.069210082</v>
      </c>
      <c r="G45" s="203">
        <f t="shared" si="17"/>
        <v>65796643.759666458</v>
      </c>
      <c r="H45" s="203">
        <f t="shared" si="17"/>
        <v>67437264.379986465</v>
      </c>
      <c r="I45" s="203">
        <f t="shared" si="17"/>
        <v>68594808</v>
      </c>
      <c r="J45" s="203">
        <f t="shared" si="17"/>
        <v>65969744</v>
      </c>
      <c r="K45" s="203">
        <f t="shared" si="17"/>
        <v>64327876.2679241</v>
      </c>
      <c r="L45" s="203">
        <f t="shared" si="17"/>
        <v>64478060.269999996</v>
      </c>
      <c r="M45" s="203">
        <f t="shared" si="17"/>
        <v>66174828.609999999</v>
      </c>
      <c r="N45" s="203">
        <f t="shared" si="17"/>
        <v>61798765.670000002</v>
      </c>
      <c r="O45" s="203">
        <f t="shared" ref="O45:P45" si="18">O43+O44</f>
        <v>60474014</v>
      </c>
      <c r="P45" s="203">
        <f t="shared" si="18"/>
        <v>60071529.746115975</v>
      </c>
    </row>
    <row r="46" spans="1:16" ht="13.35" customHeight="1">
      <c r="A46" s="94" t="s">
        <v>1023</v>
      </c>
      <c r="B46" s="204">
        <f t="shared" ref="B46:N46" si="19">(B42+B41)/B45</f>
        <v>0.47260395641325242</v>
      </c>
      <c r="C46" s="204">
        <f t="shared" si="19"/>
        <v>0.49244564996198475</v>
      </c>
      <c r="D46" s="204">
        <f t="shared" si="19"/>
        <v>0.44275704287189316</v>
      </c>
      <c r="E46" s="204">
        <f t="shared" si="19"/>
        <v>0.53057419765257063</v>
      </c>
      <c r="F46" s="204">
        <f t="shared" si="19"/>
        <v>0.50653437390749623</v>
      </c>
      <c r="G46" s="204">
        <f t="shared" si="19"/>
        <v>0.48776306716938761</v>
      </c>
      <c r="H46" s="204">
        <f t="shared" si="19"/>
        <v>0.52224967805779532</v>
      </c>
      <c r="I46" s="204">
        <f t="shared" si="19"/>
        <v>0.75671302994244116</v>
      </c>
      <c r="J46" s="204">
        <f t="shared" si="19"/>
        <v>0.73591594777145108</v>
      </c>
      <c r="K46" s="204">
        <f t="shared" si="19"/>
        <v>0.72129766745289192</v>
      </c>
      <c r="L46" s="204">
        <f t="shared" si="19"/>
        <v>0.6852911020426391</v>
      </c>
      <c r="M46" s="204">
        <f t="shared" si="19"/>
        <v>0.68482646259777002</v>
      </c>
      <c r="N46" s="204">
        <f t="shared" si="19"/>
        <v>0.65582334728854785</v>
      </c>
      <c r="O46" s="204">
        <f t="shared" ref="O46:P46" si="20">(O41+O42)/O45</f>
        <v>0.71151043487869026</v>
      </c>
      <c r="P46" s="204">
        <f t="shared" si="20"/>
        <v>0.71155037043743874</v>
      </c>
    </row>
    <row r="47" spans="1:16" ht="13.35" customHeight="1">
      <c r="A47" s="94" t="s">
        <v>1024</v>
      </c>
      <c r="B47" s="204">
        <f t="shared" ref="B47:P47" si="21">B41/B44</f>
        <v>0.39617297831397397</v>
      </c>
      <c r="C47" s="204">
        <f t="shared" si="21"/>
        <v>0.42599378980731517</v>
      </c>
      <c r="D47" s="204">
        <f t="shared" si="21"/>
        <v>0.28314829540968539</v>
      </c>
      <c r="E47" s="204">
        <f t="shared" si="21"/>
        <v>0.33012509093799647</v>
      </c>
      <c r="F47" s="204">
        <f t="shared" si="21"/>
        <v>0.34584059707163584</v>
      </c>
      <c r="G47" s="204">
        <f t="shared" si="21"/>
        <v>0.30881885634955475</v>
      </c>
      <c r="H47" s="204">
        <f t="shared" si="21"/>
        <v>0.31295491596374736</v>
      </c>
      <c r="I47" s="204">
        <f t="shared" si="21"/>
        <v>1</v>
      </c>
      <c r="J47" s="204">
        <f t="shared" si="21"/>
        <v>1</v>
      </c>
      <c r="K47" s="204">
        <f t="shared" si="21"/>
        <v>1</v>
      </c>
      <c r="L47" s="204">
        <f t="shared" si="21"/>
        <v>1</v>
      </c>
      <c r="M47" s="204">
        <f t="shared" si="21"/>
        <v>1</v>
      </c>
      <c r="N47" s="204">
        <f t="shared" si="21"/>
        <v>1</v>
      </c>
      <c r="O47" s="204">
        <f t="shared" si="21"/>
        <v>1</v>
      </c>
      <c r="P47" s="204">
        <f t="shared" si="21"/>
        <v>1</v>
      </c>
    </row>
    <row r="48" spans="1:16" ht="13.35" customHeight="1">
      <c r="A48" s="94"/>
      <c r="B48" s="94"/>
      <c r="C48" s="94"/>
      <c r="D48" s="94"/>
      <c r="E48" s="94"/>
      <c r="F48" s="94"/>
      <c r="G48" s="94"/>
      <c r="H48" s="94"/>
      <c r="I48" s="94"/>
      <c r="J48" s="94"/>
      <c r="K48" s="94"/>
      <c r="L48" s="94"/>
      <c r="M48" s="94"/>
    </row>
    <row r="49" spans="1:16" ht="13.35" customHeight="1">
      <c r="A49" s="201" t="s">
        <v>100</v>
      </c>
      <c r="B49" s="201">
        <v>2009</v>
      </c>
      <c r="C49" s="201">
        <v>2010</v>
      </c>
      <c r="D49" s="201">
        <v>2011</v>
      </c>
      <c r="E49" s="201">
        <v>2012</v>
      </c>
      <c r="F49" s="201">
        <v>2013</v>
      </c>
      <c r="G49" s="201">
        <v>2014</v>
      </c>
      <c r="H49" s="201">
        <v>2015</v>
      </c>
      <c r="I49" s="201">
        <v>2016</v>
      </c>
      <c r="J49" s="201">
        <v>2017</v>
      </c>
      <c r="K49" s="201">
        <v>2018</v>
      </c>
      <c r="L49" s="201">
        <v>2019</v>
      </c>
      <c r="M49" s="201">
        <v>2020</v>
      </c>
      <c r="N49" s="201">
        <v>2021</v>
      </c>
      <c r="O49" s="201">
        <v>2022</v>
      </c>
      <c r="P49" s="201">
        <v>2023</v>
      </c>
    </row>
    <row r="50" spans="1:16" ht="13.35" customHeight="1">
      <c r="A50" s="94" t="s">
        <v>1016</v>
      </c>
      <c r="B50" s="202">
        <v>14944664.4326513</v>
      </c>
      <c r="C50" s="202">
        <v>17612453.140969299</v>
      </c>
      <c r="D50" s="202">
        <v>14962809.1462608</v>
      </c>
      <c r="E50" s="202">
        <v>35351022.182204597</v>
      </c>
      <c r="F50" s="202">
        <v>25586953.615594201</v>
      </c>
      <c r="G50" s="202">
        <v>37675527.184707001</v>
      </c>
      <c r="H50" s="202">
        <v>29575604.3384449</v>
      </c>
      <c r="I50" s="202">
        <v>21157649</v>
      </c>
      <c r="J50" s="202">
        <v>14512736.6806791</v>
      </c>
      <c r="K50" s="202">
        <v>21189589</v>
      </c>
      <c r="L50" s="202">
        <v>42839232.780000001</v>
      </c>
      <c r="M50" s="202">
        <v>33197368.987711001</v>
      </c>
      <c r="N50" s="202">
        <v>27362593</v>
      </c>
      <c r="O50" s="202">
        <v>30749359</v>
      </c>
      <c r="P50" s="202">
        <v>31103842.479614612</v>
      </c>
    </row>
    <row r="51" spans="1:16" ht="13.35" customHeight="1">
      <c r="A51" s="94" t="s">
        <v>1017</v>
      </c>
      <c r="B51" s="202">
        <v>34033233.218713798</v>
      </c>
      <c r="C51" s="202">
        <v>41811294.355587699</v>
      </c>
      <c r="D51" s="202">
        <v>40181262.197458498</v>
      </c>
      <c r="E51" s="202">
        <v>46675880.783131301</v>
      </c>
      <c r="F51" s="202">
        <v>39254794.490141802</v>
      </c>
      <c r="G51" s="202">
        <v>34694663.661223203</v>
      </c>
      <c r="H51" s="202">
        <v>29909756.924456399</v>
      </c>
      <c r="I51" s="202">
        <v>26995066</v>
      </c>
      <c r="J51" s="202">
        <v>24749628.349246301</v>
      </c>
      <c r="K51" s="202">
        <v>31867425</v>
      </c>
      <c r="L51" s="202">
        <v>58457986.229999997</v>
      </c>
      <c r="M51" s="202">
        <v>51899095.245312698</v>
      </c>
      <c r="N51" s="202">
        <v>62440503</v>
      </c>
      <c r="O51" s="202">
        <v>60060202</v>
      </c>
      <c r="P51" s="202">
        <v>59407998.007974207</v>
      </c>
    </row>
    <row r="52" spans="1:16" ht="13.35" customHeight="1">
      <c r="A52" s="94" t="s">
        <v>1018</v>
      </c>
      <c r="B52" s="202">
        <v>49804905.483486302</v>
      </c>
      <c r="C52" s="202">
        <v>47173536.620696299</v>
      </c>
      <c r="D52" s="202">
        <v>45236975.345664397</v>
      </c>
      <c r="E52" s="202">
        <v>79370628.970376194</v>
      </c>
      <c r="F52" s="202">
        <v>63230336.547232904</v>
      </c>
      <c r="G52" s="202">
        <v>81811713.596704304</v>
      </c>
      <c r="H52" s="202">
        <v>77624219.702650294</v>
      </c>
      <c r="I52" s="202">
        <v>114310288.936847</v>
      </c>
      <c r="J52" s="202">
        <v>116760924.372086</v>
      </c>
      <c r="K52" s="202">
        <v>93398203</v>
      </c>
      <c r="L52" s="202">
        <v>38348039.986529298</v>
      </c>
      <c r="M52" s="202">
        <v>6329358.9221452503</v>
      </c>
      <c r="N52" s="202">
        <v>44859608.168369003</v>
      </c>
      <c r="O52" s="202">
        <v>31679905</v>
      </c>
      <c r="P52" s="202">
        <v>33304052.516924471</v>
      </c>
    </row>
    <row r="53" spans="1:16" ht="13.35" customHeight="1">
      <c r="A53" s="94" t="s">
        <v>1019</v>
      </c>
      <c r="B53" s="202">
        <v>113419874.457147</v>
      </c>
      <c r="C53" s="202">
        <v>111988183.00069501</v>
      </c>
      <c r="D53" s="202">
        <v>121479780.27497201</v>
      </c>
      <c r="E53" s="202">
        <v>104797366.152777</v>
      </c>
      <c r="F53" s="202">
        <v>97006228.408191204</v>
      </c>
      <c r="G53" s="202">
        <v>104225884.58492699</v>
      </c>
      <c r="H53" s="202">
        <v>75976557.437074795</v>
      </c>
      <c r="I53" s="202">
        <v>64595106.250316598</v>
      </c>
      <c r="J53" s="202">
        <v>66844195.591181301</v>
      </c>
      <c r="K53" s="202">
        <v>57147991</v>
      </c>
      <c r="L53" s="202">
        <v>43571532.887019098</v>
      </c>
      <c r="M53" s="202">
        <v>47899457.611295998</v>
      </c>
      <c r="N53" s="202">
        <v>21416471.181800399</v>
      </c>
      <c r="O53" s="202">
        <v>37191722</v>
      </c>
      <c r="P53" s="202">
        <v>46255010.625792265</v>
      </c>
    </row>
    <row r="54" spans="1:16" ht="13.35" customHeight="1">
      <c r="A54" s="94" t="s">
        <v>1020</v>
      </c>
      <c r="B54" s="203">
        <f t="shared" ref="B54:P54" si="22">B53+B51</f>
        <v>147453107.67586079</v>
      </c>
      <c r="C54" s="203">
        <f t="shared" si="22"/>
        <v>153799477.35628271</v>
      </c>
      <c r="D54" s="203">
        <f t="shared" si="22"/>
        <v>161661042.4724305</v>
      </c>
      <c r="E54" s="203">
        <f t="shared" si="22"/>
        <v>151473246.93590832</v>
      </c>
      <c r="F54" s="203">
        <f t="shared" si="22"/>
        <v>136261022.89833301</v>
      </c>
      <c r="G54" s="203">
        <f t="shared" si="22"/>
        <v>138920548.2461502</v>
      </c>
      <c r="H54" s="203">
        <f t="shared" si="22"/>
        <v>105886314.3615312</v>
      </c>
      <c r="I54" s="203">
        <f t="shared" si="22"/>
        <v>91590172.25031659</v>
      </c>
      <c r="J54" s="203">
        <f t="shared" si="22"/>
        <v>91593823.940427601</v>
      </c>
      <c r="K54" s="203">
        <f t="shared" si="22"/>
        <v>89015416</v>
      </c>
      <c r="L54" s="203">
        <f t="shared" si="22"/>
        <v>102029519.11701909</v>
      </c>
      <c r="M54" s="203">
        <f t="shared" si="22"/>
        <v>99798552.856608689</v>
      </c>
      <c r="N54" s="203">
        <f t="shared" si="22"/>
        <v>83856974.181800395</v>
      </c>
      <c r="O54" s="203">
        <f t="shared" si="22"/>
        <v>97251924</v>
      </c>
      <c r="P54" s="203">
        <f t="shared" si="22"/>
        <v>105663008.63376647</v>
      </c>
    </row>
    <row r="55" spans="1:16" ht="13.35" customHeight="1">
      <c r="A55" s="94" t="s">
        <v>1021</v>
      </c>
      <c r="B55" s="203">
        <f t="shared" ref="B55:P55" si="23">B52+B50</f>
        <v>64749569.916137606</v>
      </c>
      <c r="C55" s="203">
        <f t="shared" si="23"/>
        <v>64785989.761665598</v>
      </c>
      <c r="D55" s="203">
        <f t="shared" si="23"/>
        <v>60199784.491925195</v>
      </c>
      <c r="E55" s="203">
        <f t="shared" si="23"/>
        <v>114721651.1525808</v>
      </c>
      <c r="F55" s="203">
        <f t="shared" si="23"/>
        <v>88817290.162827104</v>
      </c>
      <c r="G55" s="203">
        <f t="shared" si="23"/>
        <v>119487240.78141131</v>
      </c>
      <c r="H55" s="203">
        <f t="shared" si="23"/>
        <v>107199824.0410952</v>
      </c>
      <c r="I55" s="203">
        <f t="shared" si="23"/>
        <v>135467937.936847</v>
      </c>
      <c r="J55" s="203">
        <f t="shared" si="23"/>
        <v>131273661.0527651</v>
      </c>
      <c r="K55" s="203">
        <f t="shared" si="23"/>
        <v>114587792</v>
      </c>
      <c r="L55" s="203">
        <f t="shared" si="23"/>
        <v>81187272.766529292</v>
      </c>
      <c r="M55" s="203">
        <f t="shared" si="23"/>
        <v>39526727.909856252</v>
      </c>
      <c r="N55" s="203">
        <f t="shared" si="23"/>
        <v>72222201.168368995</v>
      </c>
      <c r="O55" s="203">
        <f t="shared" si="23"/>
        <v>62429264</v>
      </c>
      <c r="P55" s="203">
        <f t="shared" si="23"/>
        <v>64407894.996539086</v>
      </c>
    </row>
    <row r="56" spans="1:16" ht="13.35" customHeight="1">
      <c r="A56" s="94" t="s">
        <v>1022</v>
      </c>
      <c r="B56" s="203">
        <f t="shared" ref="B56:P56" si="24">B54+B55</f>
        <v>212202677.5919984</v>
      </c>
      <c r="C56" s="203">
        <f t="shared" si="24"/>
        <v>218585467.11794829</v>
      </c>
      <c r="D56" s="203">
        <f t="shared" si="24"/>
        <v>221860826.96435571</v>
      </c>
      <c r="E56" s="203">
        <f t="shared" si="24"/>
        <v>266194898.08848912</v>
      </c>
      <c r="F56" s="203">
        <f t="shared" si="24"/>
        <v>225078313.06116012</v>
      </c>
      <c r="G56" s="203">
        <f t="shared" si="24"/>
        <v>258407789.02756149</v>
      </c>
      <c r="H56" s="203">
        <f t="shared" si="24"/>
        <v>213086138.4026264</v>
      </c>
      <c r="I56" s="203">
        <f t="shared" si="24"/>
        <v>227058110.18716359</v>
      </c>
      <c r="J56" s="203">
        <f t="shared" si="24"/>
        <v>222867484.9931927</v>
      </c>
      <c r="K56" s="203">
        <f t="shared" si="24"/>
        <v>203603208</v>
      </c>
      <c r="L56" s="203">
        <f t="shared" si="24"/>
        <v>183216791.88354838</v>
      </c>
      <c r="M56" s="203">
        <f t="shared" si="24"/>
        <v>139325280.76646495</v>
      </c>
      <c r="N56" s="203">
        <f t="shared" si="24"/>
        <v>156079175.35016939</v>
      </c>
      <c r="O56" s="203">
        <f t="shared" si="24"/>
        <v>159681188</v>
      </c>
      <c r="P56" s="203">
        <f t="shared" si="24"/>
        <v>170070903.63030556</v>
      </c>
    </row>
    <row r="57" spans="1:16" ht="13.35" customHeight="1">
      <c r="A57" s="94" t="s">
        <v>1023</v>
      </c>
      <c r="B57" s="204">
        <f t="shared" ref="B57:N57" si="25">(B53+B52)/B56</f>
        <v>0.76919283862414412</v>
      </c>
      <c r="C57" s="204">
        <f t="shared" si="25"/>
        <v>0.72814410637605631</v>
      </c>
      <c r="D57" s="204">
        <f t="shared" si="25"/>
        <v>0.7514474632667858</v>
      </c>
      <c r="E57" s="204">
        <f t="shared" si="25"/>
        <v>0.69185396281311018</v>
      </c>
      <c r="F57" s="204">
        <f t="shared" si="25"/>
        <v>0.71191472326293526</v>
      </c>
      <c r="G57" s="204">
        <f t="shared" si="25"/>
        <v>0.71993804397973749</v>
      </c>
      <c r="H57" s="204">
        <f t="shared" si="25"/>
        <v>0.72083889778647314</v>
      </c>
      <c r="I57" s="204">
        <f t="shared" si="25"/>
        <v>0.78792779099452648</v>
      </c>
      <c r="J57" s="204">
        <f t="shared" si="25"/>
        <v>0.82383089650280461</v>
      </c>
      <c r="K57" s="204">
        <f t="shared" si="25"/>
        <v>0.73940973464425963</v>
      </c>
      <c r="L57" s="204">
        <f t="shared" si="25"/>
        <v>0.44711825827414353</v>
      </c>
      <c r="M57" s="204">
        <f t="shared" si="25"/>
        <v>0.38922452720076561</v>
      </c>
      <c r="N57" s="204">
        <f t="shared" si="25"/>
        <v>0.42463114763053161</v>
      </c>
      <c r="O57" s="204">
        <f t="shared" ref="O57:P57" si="26">(O52+O53)/O56</f>
        <v>0.43130708045583932</v>
      </c>
      <c r="P57" s="204">
        <f t="shared" si="26"/>
        <v>0.46779937922632298</v>
      </c>
    </row>
    <row r="58" spans="1:16" ht="13.35" customHeight="1">
      <c r="A58" s="94" t="s">
        <v>1024</v>
      </c>
      <c r="B58" s="204">
        <f t="shared" ref="B58:P58" si="27">B52/B55</f>
        <v>0.76919283862414312</v>
      </c>
      <c r="C58" s="204">
        <f t="shared" si="27"/>
        <v>0.72814410637605587</v>
      </c>
      <c r="D58" s="204">
        <f t="shared" si="27"/>
        <v>0.75144746326678613</v>
      </c>
      <c r="E58" s="204">
        <f t="shared" si="27"/>
        <v>0.69185396281310985</v>
      </c>
      <c r="F58" s="204">
        <f t="shared" si="27"/>
        <v>0.71191472326293548</v>
      </c>
      <c r="G58" s="204">
        <f t="shared" si="27"/>
        <v>0.68468995569468194</v>
      </c>
      <c r="H58" s="204">
        <f t="shared" si="27"/>
        <v>0.72410771563293741</v>
      </c>
      <c r="I58" s="204">
        <f t="shared" si="27"/>
        <v>0.84381803309161341</v>
      </c>
      <c r="J58" s="204">
        <f t="shared" si="27"/>
        <v>0.8894466981091832</v>
      </c>
      <c r="K58" s="204">
        <f t="shared" si="27"/>
        <v>0.81507987343014687</v>
      </c>
      <c r="L58" s="204">
        <f t="shared" si="27"/>
        <v>0.47234053663567416</v>
      </c>
      <c r="M58" s="204">
        <f t="shared" si="27"/>
        <v>0.1601285827802352</v>
      </c>
      <c r="N58" s="204">
        <f t="shared" si="27"/>
        <v>0.62113321724699899</v>
      </c>
      <c r="O58" s="204">
        <f t="shared" si="27"/>
        <v>0.50745280290345884</v>
      </c>
      <c r="P58" s="204">
        <f t="shared" si="27"/>
        <v>0.51708028214109525</v>
      </c>
    </row>
    <row r="59" spans="1:16" ht="13.35" customHeight="1">
      <c r="A59" s="94"/>
      <c r="B59" s="94"/>
      <c r="C59" s="94"/>
      <c r="D59" s="94"/>
      <c r="E59" s="94"/>
      <c r="F59" s="94"/>
      <c r="G59" s="94"/>
      <c r="H59" s="94"/>
      <c r="I59" s="94"/>
      <c r="J59" s="94"/>
      <c r="K59" s="94"/>
      <c r="L59" s="94"/>
      <c r="M59" s="94"/>
    </row>
    <row r="60" spans="1:16" ht="13.35" customHeight="1">
      <c r="A60" s="201" t="s">
        <v>83</v>
      </c>
      <c r="B60" s="201">
        <v>2009</v>
      </c>
      <c r="C60" s="201">
        <v>2010</v>
      </c>
      <c r="D60" s="201">
        <v>2011</v>
      </c>
      <c r="E60" s="201">
        <v>2012</v>
      </c>
      <c r="F60" s="201">
        <v>2013</v>
      </c>
      <c r="G60" s="201">
        <v>2014</v>
      </c>
      <c r="H60" s="201">
        <v>2015</v>
      </c>
      <c r="I60" s="201">
        <v>2016</v>
      </c>
      <c r="J60" s="201">
        <v>2017</v>
      </c>
      <c r="K60" s="201">
        <v>2018</v>
      </c>
      <c r="L60" s="201">
        <v>2019</v>
      </c>
      <c r="M60" s="201">
        <v>2020</v>
      </c>
      <c r="N60" s="201">
        <v>2021</v>
      </c>
      <c r="O60" s="201">
        <v>2022</v>
      </c>
      <c r="P60" s="201">
        <v>2023</v>
      </c>
    </row>
    <row r="61" spans="1:16" ht="13.35" customHeight="1">
      <c r="A61" s="94" t="s">
        <v>1016</v>
      </c>
      <c r="B61" s="202">
        <v>95466523.803884402</v>
      </c>
      <c r="C61" s="202">
        <v>140546007.74487799</v>
      </c>
      <c r="D61" s="202">
        <v>148344472.926662</v>
      </c>
      <c r="E61" s="202">
        <v>162928558.31153399</v>
      </c>
      <c r="F61" s="202">
        <v>155043771.505402</v>
      </c>
      <c r="G61" s="202">
        <v>124824807.537191</v>
      </c>
      <c r="H61" s="202">
        <v>135127223.73899999</v>
      </c>
      <c r="I61" s="202">
        <v>107859046.687517</v>
      </c>
      <c r="J61" s="202">
        <v>101007388.879419</v>
      </c>
      <c r="K61" s="202">
        <v>100481622.514312</v>
      </c>
      <c r="L61" s="202">
        <v>100279193.90000001</v>
      </c>
      <c r="M61" s="202">
        <v>113516217.09999999</v>
      </c>
      <c r="N61" s="202">
        <v>46774620.399999999</v>
      </c>
      <c r="O61" s="202">
        <v>41693460</v>
      </c>
      <c r="P61" s="203">
        <f>O61*(POWER($O61/$K61,1/4))</f>
        <v>33462875.821563825</v>
      </c>
    </row>
    <row r="62" spans="1:16" ht="13.35" customHeight="1">
      <c r="A62" s="94" t="s">
        <v>1017</v>
      </c>
      <c r="B62" s="202">
        <v>79907088.588870496</v>
      </c>
      <c r="C62" s="202">
        <v>90537261.712468401</v>
      </c>
      <c r="D62" s="202">
        <v>118549973.150471</v>
      </c>
      <c r="E62" s="202">
        <v>131038014.994285</v>
      </c>
      <c r="F62" s="202">
        <v>114455282.848106</v>
      </c>
      <c r="G62" s="202">
        <v>91513611.317886993</v>
      </c>
      <c r="H62" s="202">
        <v>60316148.103558399</v>
      </c>
      <c r="I62" s="202">
        <v>76244540.012482896</v>
      </c>
      <c r="J62" s="202">
        <v>70335406.154780895</v>
      </c>
      <c r="K62" s="202">
        <v>71717247.107244596</v>
      </c>
      <c r="L62" s="202">
        <v>60231519.100000001</v>
      </c>
      <c r="M62" s="202">
        <v>53713146.799999997</v>
      </c>
      <c r="N62" s="202">
        <v>49431683.600000001</v>
      </c>
      <c r="O62" s="202">
        <v>57167380</v>
      </c>
      <c r="P62" s="203">
        <f t="shared" ref="P62:P64" si="28">O62*(POWER($O62/$K62,1/4))</f>
        <v>54016875.335951038</v>
      </c>
    </row>
    <row r="63" spans="1:16" ht="13.35" customHeight="1">
      <c r="A63" s="94" t="s">
        <v>1018</v>
      </c>
      <c r="B63" s="202">
        <v>87511400.373503804</v>
      </c>
      <c r="C63" s="202">
        <v>81384915.901997194</v>
      </c>
      <c r="D63" s="202">
        <v>83814434.915592998</v>
      </c>
      <c r="E63" s="202">
        <v>100446220.014964</v>
      </c>
      <c r="F63" s="202">
        <v>138155019.99058899</v>
      </c>
      <c r="G63" s="202">
        <v>121703471.584457</v>
      </c>
      <c r="H63" s="202">
        <v>72129304.822425902</v>
      </c>
      <c r="I63" s="202">
        <v>116096443.675798</v>
      </c>
      <c r="J63" s="202">
        <v>117678808.97134399</v>
      </c>
      <c r="K63" s="202">
        <v>125624012.051805</v>
      </c>
      <c r="L63" s="202">
        <v>115499306.09999999</v>
      </c>
      <c r="M63" s="202">
        <v>94799354.799999997</v>
      </c>
      <c r="N63" s="202">
        <v>99120039.599999994</v>
      </c>
      <c r="O63" s="202">
        <v>104624890</v>
      </c>
      <c r="P63" s="203">
        <f t="shared" si="28"/>
        <v>99948344.0639029</v>
      </c>
    </row>
    <row r="64" spans="1:16" ht="13.35" customHeight="1">
      <c r="A64" s="94" t="s">
        <v>1019</v>
      </c>
      <c r="B64" s="202">
        <v>80196056.600965396</v>
      </c>
      <c r="C64" s="202">
        <v>98157705.903169498</v>
      </c>
      <c r="D64" s="202">
        <v>121168318.606664</v>
      </c>
      <c r="E64" s="202">
        <v>189167601.414285</v>
      </c>
      <c r="F64" s="202">
        <v>289769732.90611398</v>
      </c>
      <c r="G64" s="202">
        <v>102874911.85399599</v>
      </c>
      <c r="H64" s="202">
        <v>303551893.50442702</v>
      </c>
      <c r="I64" s="202">
        <v>91600404.097189307</v>
      </c>
      <c r="J64" s="202">
        <v>96049533.288655996</v>
      </c>
      <c r="K64" s="202">
        <v>104518685.798195</v>
      </c>
      <c r="L64" s="202">
        <v>99549252.099999994</v>
      </c>
      <c r="M64" s="202">
        <v>99169760.099999994</v>
      </c>
      <c r="N64" s="202">
        <v>125195092.09999999</v>
      </c>
      <c r="O64" s="202">
        <v>133249035</v>
      </c>
      <c r="P64" s="203">
        <f t="shared" si="28"/>
        <v>141589681.73767668</v>
      </c>
    </row>
    <row r="65" spans="1:16" ht="13.35" customHeight="1">
      <c r="A65" s="94" t="s">
        <v>1020</v>
      </c>
      <c r="B65" s="203">
        <f t="shared" ref="B65:N65" si="29">B62+B64</f>
        <v>160103145.18983591</v>
      </c>
      <c r="C65" s="203">
        <f t="shared" si="29"/>
        <v>188694967.6156379</v>
      </c>
      <c r="D65" s="203">
        <f t="shared" si="29"/>
        <v>239718291.757135</v>
      </c>
      <c r="E65" s="203">
        <f t="shared" si="29"/>
        <v>320205616.40856999</v>
      </c>
      <c r="F65" s="203">
        <f t="shared" si="29"/>
        <v>404225015.75422001</v>
      </c>
      <c r="G65" s="203">
        <f t="shared" si="29"/>
        <v>194388523.17188299</v>
      </c>
      <c r="H65" s="203">
        <f t="shared" si="29"/>
        <v>363868041.60798544</v>
      </c>
      <c r="I65" s="203">
        <f t="shared" si="29"/>
        <v>167844944.10967219</v>
      </c>
      <c r="J65" s="203">
        <f t="shared" si="29"/>
        <v>166384939.44343689</v>
      </c>
      <c r="K65" s="203">
        <f t="shared" si="29"/>
        <v>176235932.90543962</v>
      </c>
      <c r="L65" s="203">
        <f t="shared" si="29"/>
        <v>159780771.19999999</v>
      </c>
      <c r="M65" s="203">
        <f t="shared" si="29"/>
        <v>152882906.89999998</v>
      </c>
      <c r="N65" s="203">
        <f t="shared" si="29"/>
        <v>174626775.69999999</v>
      </c>
      <c r="O65" s="203">
        <f t="shared" ref="O65:P65" si="30">O64+O62</f>
        <v>190416415</v>
      </c>
      <c r="P65" s="203">
        <f t="shared" si="30"/>
        <v>195606557.07362771</v>
      </c>
    </row>
    <row r="66" spans="1:16" ht="13.35" customHeight="1">
      <c r="A66" s="94" t="s">
        <v>1021</v>
      </c>
      <c r="B66" s="203">
        <f t="shared" ref="B66:N66" si="31">B61+B63</f>
        <v>182977924.17738819</v>
      </c>
      <c r="C66" s="203">
        <f t="shared" si="31"/>
        <v>221930923.6468752</v>
      </c>
      <c r="D66" s="203">
        <f t="shared" si="31"/>
        <v>232158907.842255</v>
      </c>
      <c r="E66" s="203">
        <f t="shared" si="31"/>
        <v>263374778.32649797</v>
      </c>
      <c r="F66" s="203">
        <f t="shared" si="31"/>
        <v>293198791.49599099</v>
      </c>
      <c r="G66" s="203">
        <f t="shared" si="31"/>
        <v>246528279.12164801</v>
      </c>
      <c r="H66" s="203">
        <f t="shared" si="31"/>
        <v>207256528.56142589</v>
      </c>
      <c r="I66" s="203">
        <f t="shared" si="31"/>
        <v>223955490.36331499</v>
      </c>
      <c r="J66" s="203">
        <f t="shared" si="31"/>
        <v>218686197.85076299</v>
      </c>
      <c r="K66" s="203">
        <f t="shared" si="31"/>
        <v>226105634.56611699</v>
      </c>
      <c r="L66" s="203">
        <f t="shared" si="31"/>
        <v>215778500</v>
      </c>
      <c r="M66" s="203">
        <f t="shared" si="31"/>
        <v>208315571.89999998</v>
      </c>
      <c r="N66" s="203">
        <f t="shared" si="31"/>
        <v>145894660</v>
      </c>
      <c r="O66" s="203">
        <f t="shared" ref="O66:P66" si="32">O63+O61</f>
        <v>146318350</v>
      </c>
      <c r="P66" s="203">
        <f t="shared" si="32"/>
        <v>133411219.88546672</v>
      </c>
    </row>
    <row r="67" spans="1:16" ht="13.35" customHeight="1">
      <c r="A67" s="94" t="s">
        <v>1022</v>
      </c>
      <c r="B67" s="203">
        <f t="shared" ref="B67:P67" si="33">B65+B66</f>
        <v>343081069.3672241</v>
      </c>
      <c r="C67" s="203">
        <f t="shared" si="33"/>
        <v>410625891.2625131</v>
      </c>
      <c r="D67" s="203">
        <f t="shared" si="33"/>
        <v>471877199.59939003</v>
      </c>
      <c r="E67" s="203">
        <f t="shared" si="33"/>
        <v>583580394.73506796</v>
      </c>
      <c r="F67" s="203">
        <f t="shared" si="33"/>
        <v>697423807.250211</v>
      </c>
      <c r="G67" s="203">
        <f t="shared" si="33"/>
        <v>440916802.293531</v>
      </c>
      <c r="H67" s="203">
        <f t="shared" si="33"/>
        <v>571124570.1694113</v>
      </c>
      <c r="I67" s="203">
        <f t="shared" si="33"/>
        <v>391800434.47298717</v>
      </c>
      <c r="J67" s="203">
        <f t="shared" si="33"/>
        <v>385071137.29419988</v>
      </c>
      <c r="K67" s="203">
        <f t="shared" si="33"/>
        <v>402341567.4715566</v>
      </c>
      <c r="L67" s="203">
        <f t="shared" si="33"/>
        <v>375559271.19999999</v>
      </c>
      <c r="M67" s="203">
        <f t="shared" si="33"/>
        <v>361198478.79999995</v>
      </c>
      <c r="N67" s="203">
        <f t="shared" si="33"/>
        <v>320521435.69999999</v>
      </c>
      <c r="O67" s="203">
        <f t="shared" si="33"/>
        <v>336734765</v>
      </c>
      <c r="P67" s="203">
        <f t="shared" si="33"/>
        <v>329017776.95909441</v>
      </c>
    </row>
    <row r="68" spans="1:16" ht="13.35" customHeight="1">
      <c r="A68" s="94" t="s">
        <v>1023</v>
      </c>
      <c r="B68" s="204">
        <f t="shared" ref="B68:N68" si="34">(B64+B63)/B67</f>
        <v>0.48882748699538403</v>
      </c>
      <c r="C68" s="204">
        <f t="shared" si="34"/>
        <v>0.43724135673263015</v>
      </c>
      <c r="D68" s="204">
        <f t="shared" si="34"/>
        <v>0.43439851235932014</v>
      </c>
      <c r="E68" s="204">
        <f t="shared" si="34"/>
        <v>0.49627064932626291</v>
      </c>
      <c r="F68" s="204">
        <f t="shared" si="34"/>
        <v>0.61357921603496213</v>
      </c>
      <c r="G68" s="204">
        <f t="shared" si="34"/>
        <v>0.50934412630740411</v>
      </c>
      <c r="H68" s="204">
        <f t="shared" si="34"/>
        <v>0.65779204388880608</v>
      </c>
      <c r="I68" s="204">
        <f t="shared" si="34"/>
        <v>0.53010877349424446</v>
      </c>
      <c r="J68" s="204">
        <f t="shared" si="34"/>
        <v>0.55503599610663223</v>
      </c>
      <c r="K68" s="204">
        <f t="shared" si="34"/>
        <v>0.57200825481764295</v>
      </c>
      <c r="L68" s="204">
        <f t="shared" si="34"/>
        <v>0.57260883884684666</v>
      </c>
      <c r="M68" s="204">
        <f t="shared" si="34"/>
        <v>0.53701531508221845</v>
      </c>
      <c r="N68" s="204">
        <f t="shared" si="34"/>
        <v>0.6998443995176451</v>
      </c>
      <c r="O68" s="204">
        <f t="shared" ref="O68:P68" si="35">(O63+O64)/O67</f>
        <v>0.70641332503936738</v>
      </c>
      <c r="P68" s="204">
        <f t="shared" si="35"/>
        <v>0.73411846628460187</v>
      </c>
    </row>
    <row r="69" spans="1:16" ht="13.35" customHeight="1">
      <c r="A69" s="94" t="s">
        <v>1024</v>
      </c>
      <c r="B69" s="204">
        <f t="shared" ref="B69:P69" si="36">B63/B66</f>
        <v>0.47826206777089547</v>
      </c>
      <c r="C69" s="204">
        <f t="shared" si="36"/>
        <v>0.36671282471429079</v>
      </c>
      <c r="D69" s="204">
        <f t="shared" si="36"/>
        <v>0.36102183497754214</v>
      </c>
      <c r="E69" s="204">
        <f t="shared" si="36"/>
        <v>0.38138131772983885</v>
      </c>
      <c r="F69" s="204">
        <f t="shared" si="36"/>
        <v>0.47119914541829899</v>
      </c>
      <c r="G69" s="204">
        <f t="shared" si="36"/>
        <v>0.49366941601212044</v>
      </c>
      <c r="H69" s="204">
        <f t="shared" si="36"/>
        <v>0.348019458412614</v>
      </c>
      <c r="I69" s="204">
        <f t="shared" si="36"/>
        <v>0.51839070114985297</v>
      </c>
      <c r="J69" s="204">
        <f t="shared" si="36"/>
        <v>0.53811722060141631</v>
      </c>
      <c r="K69" s="204">
        <f t="shared" si="36"/>
        <v>0.55559876821676679</v>
      </c>
      <c r="L69" s="204">
        <f t="shared" si="36"/>
        <v>0.53526790713625316</v>
      </c>
      <c r="M69" s="204">
        <f t="shared" si="36"/>
        <v>0.45507570046423401</v>
      </c>
      <c r="N69" s="204">
        <f t="shared" si="36"/>
        <v>0.67939456865659098</v>
      </c>
      <c r="O69" s="204">
        <f t="shared" si="36"/>
        <v>0.71504968447224837</v>
      </c>
      <c r="P69" s="204">
        <f t="shared" si="36"/>
        <v>0.74917495057543404</v>
      </c>
    </row>
    <row r="70" spans="1:16" ht="13.35" customHeight="1">
      <c r="A70" s="94"/>
      <c r="B70" s="94"/>
      <c r="C70" s="94"/>
      <c r="D70" s="94"/>
      <c r="E70" s="94"/>
      <c r="F70" s="94"/>
      <c r="G70" s="94"/>
      <c r="H70" s="94"/>
      <c r="I70" s="94"/>
      <c r="J70" s="94"/>
      <c r="K70" s="94"/>
      <c r="L70" s="94"/>
      <c r="M70" s="94"/>
    </row>
    <row r="71" spans="1:16" ht="13.35" customHeight="1">
      <c r="A71" s="201" t="s">
        <v>101</v>
      </c>
      <c r="B71" s="201">
        <v>2009</v>
      </c>
      <c r="C71" s="201">
        <v>2010</v>
      </c>
      <c r="D71" s="201">
        <v>2011</v>
      </c>
      <c r="E71" s="201">
        <v>2012</v>
      </c>
      <c r="F71" s="201">
        <v>2013</v>
      </c>
      <c r="G71" s="201">
        <v>2014</v>
      </c>
      <c r="H71" s="201">
        <v>2015</v>
      </c>
      <c r="I71" s="201">
        <v>2016</v>
      </c>
      <c r="J71" s="201">
        <v>2017</v>
      </c>
      <c r="K71" s="201">
        <v>2018</v>
      </c>
      <c r="L71" s="201">
        <v>2019</v>
      </c>
      <c r="M71" s="201">
        <v>2020</v>
      </c>
      <c r="N71" s="201">
        <v>2021</v>
      </c>
      <c r="O71" s="201">
        <v>2022</v>
      </c>
      <c r="P71" s="201">
        <v>2023</v>
      </c>
    </row>
    <row r="72" spans="1:16" ht="13.35" customHeight="1">
      <c r="A72" s="94" t="s">
        <v>1016</v>
      </c>
      <c r="B72" s="202">
        <v>107001926.252168</v>
      </c>
      <c r="C72" s="202">
        <v>103759965.830734</v>
      </c>
      <c r="D72" s="202">
        <v>134879390.742172</v>
      </c>
      <c r="E72" s="202">
        <v>146218759.43187901</v>
      </c>
      <c r="F72" s="202">
        <v>100303397.92816</v>
      </c>
      <c r="G72" s="202">
        <v>113897117</v>
      </c>
      <c r="H72" s="202">
        <v>127431347.467053</v>
      </c>
      <c r="I72" s="202">
        <v>88128130.701286405</v>
      </c>
      <c r="J72" s="202">
        <v>98403839.361770704</v>
      </c>
      <c r="K72" s="202">
        <v>101093054</v>
      </c>
      <c r="L72" s="202">
        <v>106691945</v>
      </c>
      <c r="M72" s="202">
        <v>133243041</v>
      </c>
      <c r="N72" s="202">
        <v>62726848</v>
      </c>
      <c r="O72" s="202">
        <v>65815177</v>
      </c>
      <c r="P72" s="203">
        <f>O72*(POWER($O72/$K72,1/4))</f>
        <v>59119021.574737221</v>
      </c>
    </row>
    <row r="73" spans="1:16" ht="13.35" customHeight="1">
      <c r="A73" s="94" t="s">
        <v>1017</v>
      </c>
      <c r="B73" s="202">
        <v>90744073.747831807</v>
      </c>
      <c r="C73" s="202">
        <v>85209034.169266</v>
      </c>
      <c r="D73" s="202">
        <v>105840609.257828</v>
      </c>
      <c r="E73" s="202">
        <v>107126240.568121</v>
      </c>
      <c r="F73" s="202">
        <v>135738602.07183999</v>
      </c>
      <c r="G73" s="202">
        <v>126098136</v>
      </c>
      <c r="H73" s="202">
        <v>135935993.20294699</v>
      </c>
      <c r="I73" s="202">
        <v>105152535.59875099</v>
      </c>
      <c r="J73" s="202">
        <v>91203314.518229604</v>
      </c>
      <c r="K73" s="202">
        <v>77626243</v>
      </c>
      <c r="L73" s="202">
        <v>74688423</v>
      </c>
      <c r="M73" s="202">
        <v>80565480</v>
      </c>
      <c r="N73" s="202">
        <v>68736933</v>
      </c>
      <c r="O73" s="202">
        <v>85320755</v>
      </c>
      <c r="P73" s="203">
        <f t="shared" ref="P73:P75" si="37">O73*(POWER($O73/$K73,1/4))</f>
        <v>87360723.169516176</v>
      </c>
    </row>
    <row r="74" spans="1:16" ht="13.35" customHeight="1">
      <c r="A74" s="94" t="s">
        <v>1018</v>
      </c>
      <c r="B74" s="202">
        <v>64302168.5324554</v>
      </c>
      <c r="C74" s="202">
        <v>71407721.313748896</v>
      </c>
      <c r="D74" s="202">
        <v>63578037.480701797</v>
      </c>
      <c r="E74" s="202">
        <v>79952011.5626847</v>
      </c>
      <c r="F74" s="202">
        <v>39281760.437869102</v>
      </c>
      <c r="G74" s="202">
        <v>52768860</v>
      </c>
      <c r="H74" s="202">
        <v>61839225.147037603</v>
      </c>
      <c r="I74" s="202">
        <v>91905711.456735402</v>
      </c>
      <c r="J74" s="202">
        <v>72274964.192427993</v>
      </c>
      <c r="K74" s="202">
        <v>86554213</v>
      </c>
      <c r="L74" s="202">
        <v>82034783</v>
      </c>
      <c r="M74" s="202">
        <v>78107403</v>
      </c>
      <c r="N74" s="202">
        <v>81275054</v>
      </c>
      <c r="O74" s="202">
        <v>87133146</v>
      </c>
      <c r="P74" s="203">
        <f t="shared" si="37"/>
        <v>87278483.287254393</v>
      </c>
    </row>
    <row r="75" spans="1:16" ht="13.35" customHeight="1">
      <c r="A75" s="94" t="s">
        <v>1019</v>
      </c>
      <c r="B75" s="202">
        <v>96379831.4675446</v>
      </c>
      <c r="C75" s="202">
        <v>103678278.686251</v>
      </c>
      <c r="D75" s="202">
        <v>135843962.51929799</v>
      </c>
      <c r="E75" s="202">
        <v>167661988.43731499</v>
      </c>
      <c r="F75" s="202">
        <v>203442239.56213099</v>
      </c>
      <c r="G75" s="202">
        <v>249168512</v>
      </c>
      <c r="H75" s="202">
        <v>254997684.32006699</v>
      </c>
      <c r="I75" s="202">
        <v>236039735.323284</v>
      </c>
      <c r="J75" s="202">
        <v>113600116.27757201</v>
      </c>
      <c r="K75" s="202">
        <v>118237899</v>
      </c>
      <c r="L75" s="202">
        <v>123590013</v>
      </c>
      <c r="M75" s="202">
        <v>135572999</v>
      </c>
      <c r="N75" s="202">
        <v>114883327</v>
      </c>
      <c r="O75" s="202">
        <v>122232107</v>
      </c>
      <c r="P75" s="203">
        <f t="shared" si="37"/>
        <v>123251566.15953335</v>
      </c>
    </row>
    <row r="76" spans="1:16" ht="13.35" customHeight="1">
      <c r="A76" s="94" t="s">
        <v>1020</v>
      </c>
      <c r="B76" s="203">
        <f t="shared" ref="B76:P76" si="38">B75+B73</f>
        <v>187123905.21537641</v>
      </c>
      <c r="C76" s="203">
        <f t="shared" si="38"/>
        <v>188887312.855517</v>
      </c>
      <c r="D76" s="203">
        <f t="shared" si="38"/>
        <v>241684571.77712598</v>
      </c>
      <c r="E76" s="203">
        <f t="shared" si="38"/>
        <v>274788229.005436</v>
      </c>
      <c r="F76" s="203">
        <f t="shared" si="38"/>
        <v>339180841.63397098</v>
      </c>
      <c r="G76" s="203">
        <f t="shared" si="38"/>
        <v>375266648</v>
      </c>
      <c r="H76" s="203">
        <f t="shared" si="38"/>
        <v>390933677.52301395</v>
      </c>
      <c r="I76" s="203">
        <f t="shared" si="38"/>
        <v>341192270.92203498</v>
      </c>
      <c r="J76" s="203">
        <f t="shared" si="38"/>
        <v>204803430.79580161</v>
      </c>
      <c r="K76" s="203">
        <f t="shared" si="38"/>
        <v>195864142</v>
      </c>
      <c r="L76" s="203">
        <f t="shared" si="38"/>
        <v>198278436</v>
      </c>
      <c r="M76" s="203">
        <f t="shared" si="38"/>
        <v>216138479</v>
      </c>
      <c r="N76" s="203">
        <f t="shared" si="38"/>
        <v>183620260</v>
      </c>
      <c r="O76" s="203">
        <f t="shared" si="38"/>
        <v>207552862</v>
      </c>
      <c r="P76" s="203">
        <f t="shared" si="38"/>
        <v>210612289.32904953</v>
      </c>
    </row>
    <row r="77" spans="1:16" ht="13.35" customHeight="1">
      <c r="A77" s="94" t="s">
        <v>1021</v>
      </c>
      <c r="B77" s="203">
        <f t="shared" ref="B77:P77" si="39">B74+B72</f>
        <v>171304094.78462338</v>
      </c>
      <c r="C77" s="203">
        <f t="shared" si="39"/>
        <v>175167687.14448291</v>
      </c>
      <c r="D77" s="203">
        <f t="shared" si="39"/>
        <v>198457428.22287381</v>
      </c>
      <c r="E77" s="203">
        <f t="shared" si="39"/>
        <v>226170770.9945637</v>
      </c>
      <c r="F77" s="203">
        <f t="shared" si="39"/>
        <v>139585158.36602908</v>
      </c>
      <c r="G77" s="203">
        <f t="shared" si="39"/>
        <v>166665977</v>
      </c>
      <c r="H77" s="203">
        <f t="shared" si="39"/>
        <v>189270572.61409059</v>
      </c>
      <c r="I77" s="203">
        <f t="shared" si="39"/>
        <v>180033842.15802181</v>
      </c>
      <c r="J77" s="203">
        <f t="shared" si="39"/>
        <v>170678803.55419868</v>
      </c>
      <c r="K77" s="203">
        <f t="shared" si="39"/>
        <v>187647267</v>
      </c>
      <c r="L77" s="203">
        <f t="shared" si="39"/>
        <v>188726728</v>
      </c>
      <c r="M77" s="203">
        <f t="shared" si="39"/>
        <v>211350444</v>
      </c>
      <c r="N77" s="203">
        <f t="shared" si="39"/>
        <v>144001902</v>
      </c>
      <c r="O77" s="203">
        <f t="shared" si="39"/>
        <v>152948323</v>
      </c>
      <c r="P77" s="203">
        <f t="shared" si="39"/>
        <v>146397504.86199161</v>
      </c>
    </row>
    <row r="78" spans="1:16" ht="13.35" customHeight="1">
      <c r="A78" s="94" t="s">
        <v>1022</v>
      </c>
      <c r="B78" s="203">
        <f t="shared" ref="B78:N78" si="40">B77+B76</f>
        <v>358427999.99999976</v>
      </c>
      <c r="C78" s="203">
        <f t="shared" si="40"/>
        <v>364054999.99999988</v>
      </c>
      <c r="D78" s="203">
        <f t="shared" si="40"/>
        <v>440141999.99999976</v>
      </c>
      <c r="E78" s="203">
        <f t="shared" si="40"/>
        <v>500958999.9999997</v>
      </c>
      <c r="F78" s="203">
        <f t="shared" si="40"/>
        <v>478766000.00000006</v>
      </c>
      <c r="G78" s="203">
        <f t="shared" si="40"/>
        <v>541932625</v>
      </c>
      <c r="H78" s="203">
        <f t="shared" si="40"/>
        <v>580204250.13710451</v>
      </c>
      <c r="I78" s="203">
        <f t="shared" si="40"/>
        <v>521226113.08005679</v>
      </c>
      <c r="J78" s="203">
        <f t="shared" si="40"/>
        <v>375482234.35000026</v>
      </c>
      <c r="K78" s="203">
        <f t="shared" si="40"/>
        <v>383511409</v>
      </c>
      <c r="L78" s="203">
        <f t="shared" si="40"/>
        <v>387005164</v>
      </c>
      <c r="M78" s="203">
        <f t="shared" si="40"/>
        <v>427488923</v>
      </c>
      <c r="N78" s="203">
        <f t="shared" si="40"/>
        <v>327622162</v>
      </c>
      <c r="O78" s="203">
        <f t="shared" ref="O78:P78" si="41">O76+O77</f>
        <v>360501185</v>
      </c>
      <c r="P78" s="203">
        <f t="shared" si="41"/>
        <v>357009794.19104111</v>
      </c>
    </row>
    <row r="79" spans="1:16" ht="13.35" customHeight="1">
      <c r="A79" s="94" t="s">
        <v>1023</v>
      </c>
      <c r="B79" s="204">
        <f t="shared" ref="B79:N79" si="42">(B75+B74)/B78</f>
        <v>0.44829645005412555</v>
      </c>
      <c r="C79" s="204">
        <f t="shared" si="42"/>
        <v>0.48093282608397064</v>
      </c>
      <c r="D79" s="204">
        <f t="shared" si="42"/>
        <v>0.45308559510339824</v>
      </c>
      <c r="E79" s="204">
        <f t="shared" si="42"/>
        <v>0.49427997101559179</v>
      </c>
      <c r="F79" s="204">
        <f t="shared" si="42"/>
        <v>0.50697835685909209</v>
      </c>
      <c r="G79" s="204">
        <f t="shared" si="42"/>
        <v>0.55714928031874811</v>
      </c>
      <c r="H79" s="204">
        <f t="shared" si="42"/>
        <v>0.54607822916194571</v>
      </c>
      <c r="I79" s="204">
        <f t="shared" si="42"/>
        <v>0.62918076924831512</v>
      </c>
      <c r="J79" s="204">
        <f t="shared" si="42"/>
        <v>0.49503029295585599</v>
      </c>
      <c r="K79" s="204">
        <f t="shared" si="42"/>
        <v>0.53399222863797513</v>
      </c>
      <c r="L79" s="204">
        <f t="shared" si="42"/>
        <v>0.53132313242207796</v>
      </c>
      <c r="M79" s="204">
        <f t="shared" si="42"/>
        <v>0.49985014933357702</v>
      </c>
      <c r="N79" s="204">
        <f t="shared" si="42"/>
        <v>0.5987335527075851</v>
      </c>
      <c r="O79" s="204">
        <f t="shared" ref="O79:P79" si="43">(O74+O75)/O78</f>
        <v>0.58076162218440419</v>
      </c>
      <c r="P79" s="204">
        <f t="shared" si="43"/>
        <v>0.58970384810824006</v>
      </c>
    </row>
    <row r="80" spans="1:16" ht="13.35" customHeight="1">
      <c r="A80" s="94" t="s">
        <v>1024</v>
      </c>
      <c r="B80" s="204">
        <f t="shared" ref="B80:P80" si="44">B74/B77</f>
        <v>0.37536854336903624</v>
      </c>
      <c r="C80" s="204">
        <f t="shared" si="44"/>
        <v>0.40765350321061172</v>
      </c>
      <c r="D80" s="204">
        <f t="shared" si="44"/>
        <v>0.32036108726200818</v>
      </c>
      <c r="E80" s="204">
        <f t="shared" si="44"/>
        <v>0.35350284747716781</v>
      </c>
      <c r="F80" s="204">
        <f t="shared" si="44"/>
        <v>0.2814178878162818</v>
      </c>
      <c r="G80" s="204">
        <f t="shared" si="44"/>
        <v>0.31661447015067751</v>
      </c>
      <c r="H80" s="204">
        <f t="shared" si="44"/>
        <v>0.32672392909764925</v>
      </c>
      <c r="I80" s="204">
        <f t="shared" si="44"/>
        <v>0.51049130738467852</v>
      </c>
      <c r="J80" s="204">
        <f t="shared" si="44"/>
        <v>0.42345600442106002</v>
      </c>
      <c r="K80" s="204">
        <f t="shared" si="44"/>
        <v>0.4612601845141715</v>
      </c>
      <c r="L80" s="204">
        <f t="shared" si="44"/>
        <v>0.4346749602949721</v>
      </c>
      <c r="M80" s="204">
        <f t="shared" si="44"/>
        <v>0.36956346777298466</v>
      </c>
      <c r="N80" s="204">
        <f t="shared" si="44"/>
        <v>0.56440264240398719</v>
      </c>
      <c r="O80" s="204">
        <f t="shared" si="44"/>
        <v>0.56969010376138618</v>
      </c>
      <c r="P80" s="204">
        <f t="shared" si="44"/>
        <v>0.59617466410736641</v>
      </c>
    </row>
    <row r="81" spans="1:16" ht="13.35" customHeight="1">
      <c r="A81" s="94"/>
      <c r="B81" s="94"/>
      <c r="C81" s="94"/>
      <c r="D81" s="94"/>
      <c r="E81" s="94"/>
      <c r="F81" s="94"/>
      <c r="G81" s="94"/>
      <c r="H81" s="94"/>
      <c r="I81" s="94"/>
      <c r="J81" s="94"/>
      <c r="K81" s="94"/>
      <c r="L81" s="94"/>
      <c r="M81" s="94"/>
    </row>
    <row r="82" spans="1:16" ht="13.35" customHeight="1">
      <c r="A82" s="201" t="s">
        <v>102</v>
      </c>
      <c r="B82" s="201">
        <v>2009</v>
      </c>
      <c r="C82" s="201">
        <v>2010</v>
      </c>
      <c r="D82" s="201">
        <v>2011</v>
      </c>
      <c r="E82" s="201">
        <v>2012</v>
      </c>
      <c r="F82" s="201">
        <v>2013</v>
      </c>
      <c r="G82" s="201">
        <v>2014</v>
      </c>
      <c r="H82" s="201">
        <v>2015</v>
      </c>
      <c r="I82" s="201">
        <v>2016</v>
      </c>
      <c r="J82" s="201">
        <v>2017</v>
      </c>
      <c r="K82" s="201">
        <v>2018</v>
      </c>
      <c r="L82" s="201">
        <v>2019</v>
      </c>
      <c r="M82" s="201">
        <v>2020</v>
      </c>
      <c r="N82" s="201">
        <v>2021</v>
      </c>
      <c r="O82" s="201">
        <v>2022</v>
      </c>
      <c r="P82" s="201">
        <v>2023</v>
      </c>
    </row>
    <row r="83" spans="1:16" ht="13.35" customHeight="1">
      <c r="A83" s="94" t="s">
        <v>1016</v>
      </c>
      <c r="B83" s="202">
        <v>69567267.161352605</v>
      </c>
      <c r="C83" s="202">
        <v>83851221.137244806</v>
      </c>
      <c r="D83" s="202">
        <v>92779864.361390293</v>
      </c>
      <c r="E83" s="202">
        <v>116052757.557521</v>
      </c>
      <c r="F83" s="202">
        <v>97349137.760079205</v>
      </c>
      <c r="G83" s="202">
        <v>100934239.683781</v>
      </c>
      <c r="H83" s="202">
        <v>61969205.244284935</v>
      </c>
      <c r="I83" s="202">
        <v>51613869.744446099</v>
      </c>
      <c r="J83" s="202">
        <v>36432405.165045597</v>
      </c>
      <c r="K83" s="202">
        <v>35482920</v>
      </c>
      <c r="L83" s="202">
        <v>40413123</v>
      </c>
      <c r="M83" s="202">
        <v>36382783</v>
      </c>
      <c r="N83" s="202">
        <v>48565479</v>
      </c>
      <c r="O83" s="202">
        <v>53008988</v>
      </c>
      <c r="P83" s="202">
        <v>67860372.287816942</v>
      </c>
    </row>
    <row r="84" spans="1:16" ht="13.35" customHeight="1">
      <c r="A84" s="94" t="s">
        <v>1017</v>
      </c>
      <c r="B84" s="202">
        <v>71466507.614365205</v>
      </c>
      <c r="C84" s="202">
        <v>86140424.633610293</v>
      </c>
      <c r="D84" s="202">
        <v>103441276.193103</v>
      </c>
      <c r="E84" s="202">
        <v>80585444.823682204</v>
      </c>
      <c r="F84" s="202">
        <v>74553698.609491304</v>
      </c>
      <c r="G84" s="202">
        <v>61886638.5673398</v>
      </c>
      <c r="H84" s="202">
        <v>78934021.266094998</v>
      </c>
      <c r="I84" s="202">
        <v>90895263.853749603</v>
      </c>
      <c r="J84" s="202">
        <v>79954135.028593794</v>
      </c>
      <c r="K84" s="202">
        <v>85402063</v>
      </c>
      <c r="L84" s="202">
        <v>105100854</v>
      </c>
      <c r="M84" s="202">
        <v>104624789</v>
      </c>
      <c r="N84" s="202">
        <v>89511152</v>
      </c>
      <c r="O84" s="202">
        <v>109918031</v>
      </c>
      <c r="P84" s="202">
        <v>107886001.73461425</v>
      </c>
    </row>
    <row r="85" spans="1:16" ht="13.35" customHeight="1">
      <c r="A85" s="94" t="s">
        <v>1018</v>
      </c>
      <c r="B85" s="202">
        <v>112258946.682816</v>
      </c>
      <c r="C85" s="202">
        <v>56514251.144606598</v>
      </c>
      <c r="D85" s="202">
        <v>53237458.831262499</v>
      </c>
      <c r="E85" s="202">
        <v>80516753.375048101</v>
      </c>
      <c r="F85" s="202">
        <v>74683960.319342896</v>
      </c>
      <c r="G85" s="202">
        <v>91311789.055168897</v>
      </c>
      <c r="H85" s="202">
        <v>56497604.272768296</v>
      </c>
      <c r="I85" s="202">
        <v>66822167.006786697</v>
      </c>
      <c r="J85" s="202">
        <v>53349145.587562799</v>
      </c>
      <c r="K85" s="202">
        <v>49035501</v>
      </c>
      <c r="L85" s="202">
        <v>68984195</v>
      </c>
      <c r="M85" s="202">
        <v>56548054</v>
      </c>
      <c r="N85" s="202">
        <v>65498716</v>
      </c>
      <c r="O85" s="202">
        <v>67891876</v>
      </c>
      <c r="P85" s="202">
        <v>90699572</v>
      </c>
    </row>
    <row r="86" spans="1:16" ht="13.35" customHeight="1">
      <c r="A86" s="94" t="s">
        <v>1019</v>
      </c>
      <c r="B86" s="202">
        <v>59641983.684528798</v>
      </c>
      <c r="C86" s="202">
        <v>103454711.805315</v>
      </c>
      <c r="D86" s="202">
        <v>113630586.71015</v>
      </c>
      <c r="E86" s="202">
        <v>132903325.026684</v>
      </c>
      <c r="F86" s="202">
        <v>103340858.03999799</v>
      </c>
      <c r="G86" s="202">
        <v>94420799.2541814</v>
      </c>
      <c r="H86" s="202">
        <v>103064890.58731601</v>
      </c>
      <c r="I86" s="202">
        <v>78663085.957069293</v>
      </c>
      <c r="J86" s="202">
        <v>79330578.379999995</v>
      </c>
      <c r="K86" s="202">
        <v>98514629</v>
      </c>
      <c r="L86" s="202">
        <v>114093212</v>
      </c>
      <c r="M86" s="202">
        <v>105165450</v>
      </c>
      <c r="N86" s="202">
        <v>109969504</v>
      </c>
      <c r="O86" s="202">
        <v>99147223</v>
      </c>
      <c r="P86" s="202">
        <v>119004223</v>
      </c>
    </row>
    <row r="87" spans="1:16" ht="13.35" customHeight="1">
      <c r="A87" s="94" t="s">
        <v>1020</v>
      </c>
      <c r="B87" s="203">
        <f t="shared" ref="B87:N87" si="45">B84+B86</f>
        <v>131108491.298894</v>
      </c>
      <c r="C87" s="203">
        <f t="shared" si="45"/>
        <v>189595136.4389253</v>
      </c>
      <c r="D87" s="203">
        <f t="shared" si="45"/>
        <v>217071862.90325302</v>
      </c>
      <c r="E87" s="203">
        <f t="shared" si="45"/>
        <v>213488769.8503662</v>
      </c>
      <c r="F87" s="203">
        <f t="shared" si="45"/>
        <v>177894556.64948928</v>
      </c>
      <c r="G87" s="203">
        <f t="shared" si="45"/>
        <v>156307437.82152119</v>
      </c>
      <c r="H87" s="203">
        <f t="shared" si="45"/>
        <v>181998911.85341102</v>
      </c>
      <c r="I87" s="203">
        <f t="shared" si="45"/>
        <v>169558349.81081891</v>
      </c>
      <c r="J87" s="203">
        <f t="shared" si="45"/>
        <v>159284713.40859377</v>
      </c>
      <c r="K87" s="203">
        <f t="shared" si="45"/>
        <v>183916692</v>
      </c>
      <c r="L87" s="203">
        <f t="shared" si="45"/>
        <v>219194066</v>
      </c>
      <c r="M87" s="203">
        <f t="shared" si="45"/>
        <v>209790239</v>
      </c>
      <c r="N87" s="203">
        <f t="shared" si="45"/>
        <v>199480656</v>
      </c>
      <c r="O87" s="203">
        <f t="shared" ref="O87:P87" si="46">O86+O84</f>
        <v>209065254</v>
      </c>
      <c r="P87" s="203">
        <f t="shared" si="46"/>
        <v>226890224.73461425</v>
      </c>
    </row>
    <row r="88" spans="1:16" ht="13.35" customHeight="1">
      <c r="A88" s="94" t="s">
        <v>1021</v>
      </c>
      <c r="B88" s="203">
        <f t="shared" ref="B88:N88" si="47">B83+B85</f>
        <v>181826213.8441686</v>
      </c>
      <c r="C88" s="203">
        <f t="shared" si="47"/>
        <v>140365472.28185141</v>
      </c>
      <c r="D88" s="203">
        <f t="shared" si="47"/>
        <v>146017323.19265279</v>
      </c>
      <c r="E88" s="203">
        <f t="shared" si="47"/>
        <v>196569510.93256909</v>
      </c>
      <c r="F88" s="203">
        <f t="shared" si="47"/>
        <v>172033098.07942212</v>
      </c>
      <c r="G88" s="203">
        <f t="shared" si="47"/>
        <v>192246028.73894989</v>
      </c>
      <c r="H88" s="203">
        <f t="shared" si="47"/>
        <v>118466809.51705323</v>
      </c>
      <c r="I88" s="203">
        <f t="shared" si="47"/>
        <v>118436036.7512328</v>
      </c>
      <c r="J88" s="203">
        <f t="shared" si="47"/>
        <v>89781550.752608389</v>
      </c>
      <c r="K88" s="203">
        <f t="shared" si="47"/>
        <v>84518421</v>
      </c>
      <c r="L88" s="203">
        <f t="shared" si="47"/>
        <v>109397318</v>
      </c>
      <c r="M88" s="203">
        <f t="shared" si="47"/>
        <v>92930837</v>
      </c>
      <c r="N88" s="203">
        <f t="shared" si="47"/>
        <v>114064195</v>
      </c>
      <c r="O88" s="203">
        <f t="shared" ref="O88:P88" si="48">O85+O83</f>
        <v>120900864</v>
      </c>
      <c r="P88" s="203">
        <f t="shared" si="48"/>
        <v>158559944.28781694</v>
      </c>
    </row>
    <row r="89" spans="1:16" ht="13.35" customHeight="1">
      <c r="A89" s="94" t="s">
        <v>1022</v>
      </c>
      <c r="B89" s="203">
        <f t="shared" ref="B89:P89" si="49">B87+B88</f>
        <v>312934705.14306259</v>
      </c>
      <c r="C89" s="203">
        <f t="shared" si="49"/>
        <v>329960608.72077668</v>
      </c>
      <c r="D89" s="203">
        <f t="shared" si="49"/>
        <v>363089186.09590578</v>
      </c>
      <c r="E89" s="203">
        <f t="shared" si="49"/>
        <v>410058280.78293526</v>
      </c>
      <c r="F89" s="203">
        <f t="shared" si="49"/>
        <v>349927654.7289114</v>
      </c>
      <c r="G89" s="203">
        <f t="shared" si="49"/>
        <v>348553466.56047106</v>
      </c>
      <c r="H89" s="203">
        <f t="shared" si="49"/>
        <v>300465721.37046427</v>
      </c>
      <c r="I89" s="203">
        <f t="shared" si="49"/>
        <v>287994386.56205171</v>
      </c>
      <c r="J89" s="203">
        <f t="shared" si="49"/>
        <v>249066264.16120216</v>
      </c>
      <c r="K89" s="203">
        <f t="shared" si="49"/>
        <v>268435113</v>
      </c>
      <c r="L89" s="203">
        <f t="shared" si="49"/>
        <v>328591384</v>
      </c>
      <c r="M89" s="203">
        <f t="shared" si="49"/>
        <v>302721076</v>
      </c>
      <c r="N89" s="203">
        <f t="shared" si="49"/>
        <v>313544851</v>
      </c>
      <c r="O89" s="203">
        <f t="shared" si="49"/>
        <v>329966118</v>
      </c>
      <c r="P89" s="203">
        <f t="shared" si="49"/>
        <v>385450169.02243119</v>
      </c>
    </row>
    <row r="90" spans="1:16" ht="13.35" customHeight="1">
      <c r="A90" s="94" t="s">
        <v>1023</v>
      </c>
      <c r="B90" s="204">
        <f t="shared" ref="B90:N90" si="50">(B86+B85)/B89</f>
        <v>0.54931884365065176</v>
      </c>
      <c r="C90" s="204">
        <f t="shared" si="50"/>
        <v>0.48481230402048542</v>
      </c>
      <c r="D90" s="204">
        <f t="shared" si="50"/>
        <v>0.45957867083746262</v>
      </c>
      <c r="E90" s="204">
        <f t="shared" si="50"/>
        <v>0.52046279371372139</v>
      </c>
      <c r="F90" s="204">
        <f t="shared" si="50"/>
        <v>0.50874749667115204</v>
      </c>
      <c r="G90" s="204">
        <f t="shared" si="50"/>
        <v>0.53286685151107882</v>
      </c>
      <c r="H90" s="204">
        <f t="shared" si="50"/>
        <v>0.53105057752444595</v>
      </c>
      <c r="I90" s="204">
        <f t="shared" si="50"/>
        <v>0.50516697460875515</v>
      </c>
      <c r="J90" s="204">
        <f t="shared" si="50"/>
        <v>0.53270853206233115</v>
      </c>
      <c r="K90" s="204">
        <f t="shared" si="50"/>
        <v>0.54966777017729418</v>
      </c>
      <c r="L90" s="204">
        <f t="shared" si="50"/>
        <v>0.55715826985895645</v>
      </c>
      <c r="M90" s="204">
        <f t="shared" si="50"/>
        <v>0.53419968684307928</v>
      </c>
      <c r="N90" s="204">
        <f t="shared" si="50"/>
        <v>0.55962717754851599</v>
      </c>
      <c r="O90" s="204">
        <f t="shared" ref="O90:P90" si="51">(O85+O86)/O89</f>
        <v>0.50623106400275919</v>
      </c>
      <c r="P90" s="204">
        <f t="shared" si="51"/>
        <v>0.54404904149308164</v>
      </c>
    </row>
    <row r="91" spans="1:16" ht="13.35" customHeight="1">
      <c r="A91" s="94" t="s">
        <v>1024</v>
      </c>
      <c r="B91" s="204">
        <f t="shared" ref="B91:P91" si="52">B85/B88</f>
        <v>0.61739693254035322</v>
      </c>
      <c r="C91" s="204">
        <f t="shared" si="52"/>
        <v>0.40262217072249057</v>
      </c>
      <c r="D91" s="204">
        <f t="shared" si="52"/>
        <v>0.36459686883193915</v>
      </c>
      <c r="E91" s="204">
        <f t="shared" si="52"/>
        <v>0.40960957268021309</v>
      </c>
      <c r="F91" s="204">
        <f t="shared" si="52"/>
        <v>0.43412553254643899</v>
      </c>
      <c r="G91" s="204">
        <f t="shared" si="52"/>
        <v>0.47497360363766372</v>
      </c>
      <c r="H91" s="204">
        <f t="shared" si="52"/>
        <v>0.47690660787682898</v>
      </c>
      <c r="I91" s="204">
        <f t="shared" si="52"/>
        <v>0.56420468667946322</v>
      </c>
      <c r="J91" s="204">
        <f t="shared" si="52"/>
        <v>0.59421056041419362</v>
      </c>
      <c r="K91" s="204">
        <f t="shared" si="52"/>
        <v>0.58017530876493772</v>
      </c>
      <c r="L91" s="204">
        <f t="shared" si="52"/>
        <v>0.63058396916092585</v>
      </c>
      <c r="M91" s="204">
        <f t="shared" si="52"/>
        <v>0.60849612276708542</v>
      </c>
      <c r="N91" s="204">
        <f t="shared" si="52"/>
        <v>0.57422678518881409</v>
      </c>
      <c r="O91" s="204">
        <f t="shared" si="52"/>
        <v>0.56154996543283597</v>
      </c>
      <c r="P91" s="204">
        <f t="shared" si="52"/>
        <v>0.57202071057342674</v>
      </c>
    </row>
    <row r="92" spans="1:16" ht="13.35" customHeight="1">
      <c r="A92" s="94"/>
      <c r="B92" s="94"/>
      <c r="C92" s="94"/>
      <c r="D92" s="94"/>
      <c r="E92" s="94"/>
      <c r="F92" s="94"/>
      <c r="G92" s="94"/>
      <c r="H92" s="94"/>
      <c r="I92" s="94"/>
      <c r="J92" s="94"/>
      <c r="K92" s="94"/>
      <c r="L92" s="94"/>
      <c r="M92" s="94"/>
    </row>
    <row r="93" spans="1:16" ht="13.35" customHeight="1">
      <c r="A93" s="201" t="s">
        <v>81</v>
      </c>
      <c r="B93" s="201">
        <v>2009</v>
      </c>
      <c r="C93" s="201">
        <v>2010</v>
      </c>
      <c r="D93" s="201">
        <v>2011</v>
      </c>
      <c r="E93" s="201">
        <v>2012</v>
      </c>
      <c r="F93" s="201">
        <v>2013</v>
      </c>
      <c r="G93" s="201">
        <v>2014</v>
      </c>
      <c r="H93" s="201">
        <v>2015</v>
      </c>
      <c r="I93" s="201">
        <v>2016</v>
      </c>
      <c r="J93" s="201">
        <v>2017</v>
      </c>
      <c r="K93" s="201">
        <v>2018</v>
      </c>
      <c r="L93" s="201">
        <v>2019</v>
      </c>
      <c r="M93" s="201">
        <v>2020</v>
      </c>
      <c r="N93" s="201">
        <v>2021</v>
      </c>
      <c r="O93" s="201">
        <v>2022</v>
      </c>
      <c r="P93" s="201">
        <v>2023</v>
      </c>
    </row>
    <row r="94" spans="1:16" ht="13.35" customHeight="1">
      <c r="A94" s="94" t="s">
        <v>1016</v>
      </c>
      <c r="B94" s="202">
        <v>1596769.2383377601</v>
      </c>
      <c r="C94" s="202">
        <v>1828747.55058157</v>
      </c>
      <c r="D94" s="202">
        <v>1591873.0384583401</v>
      </c>
      <c r="E94" s="202">
        <v>2081259.3859820699</v>
      </c>
      <c r="F94" s="202">
        <v>2610898.06</v>
      </c>
      <c r="G94" s="202">
        <v>2377840.9500000002</v>
      </c>
      <c r="H94" s="202">
        <v>12968249.9624353</v>
      </c>
      <c r="I94" s="202">
        <v>11935542.659473401</v>
      </c>
      <c r="J94" s="202">
        <v>11335652.036</v>
      </c>
      <c r="K94" s="202">
        <v>16221804.840504801</v>
      </c>
      <c r="L94" s="202">
        <v>15672538.359999999</v>
      </c>
      <c r="M94" s="202">
        <v>15679677</v>
      </c>
      <c r="N94" s="202">
        <v>11420018</v>
      </c>
      <c r="O94" s="202">
        <v>11534218</v>
      </c>
      <c r="P94" s="202">
        <v>19368205</v>
      </c>
    </row>
    <row r="95" spans="1:16" ht="13.35" customHeight="1">
      <c r="A95" s="94" t="s">
        <v>1017</v>
      </c>
      <c r="B95" s="202">
        <v>0</v>
      </c>
      <c r="C95" s="202">
        <v>0</v>
      </c>
      <c r="D95" s="202">
        <v>0</v>
      </c>
      <c r="E95" s="202">
        <v>0</v>
      </c>
      <c r="F95" s="202">
        <v>0</v>
      </c>
      <c r="G95" s="202">
        <v>0</v>
      </c>
      <c r="H95" s="202">
        <v>0</v>
      </c>
      <c r="I95" s="202">
        <v>0</v>
      </c>
      <c r="J95" s="202">
        <v>0</v>
      </c>
      <c r="K95" s="202">
        <v>0</v>
      </c>
      <c r="L95" s="202">
        <v>0</v>
      </c>
      <c r="M95" s="202">
        <v>0</v>
      </c>
      <c r="N95" s="202">
        <v>0</v>
      </c>
      <c r="O95" s="202">
        <v>0</v>
      </c>
      <c r="P95" s="202">
        <v>0</v>
      </c>
    </row>
    <row r="96" spans="1:16" ht="13.35" customHeight="1">
      <c r="A96" s="94" t="s">
        <v>1018</v>
      </c>
      <c r="B96" s="202">
        <v>12374201.619999999</v>
      </c>
      <c r="C96" s="202">
        <v>12576515.83</v>
      </c>
      <c r="D96" s="202">
        <v>15626149.2959143</v>
      </c>
      <c r="E96" s="202">
        <v>15039538.448327299</v>
      </c>
      <c r="F96" s="202">
        <v>13289697.625048099</v>
      </c>
      <c r="G96" s="202">
        <v>16207436.8568443</v>
      </c>
      <c r="H96" s="202">
        <v>7195724.6296457201</v>
      </c>
      <c r="I96" s="202">
        <v>4167859.8440189301</v>
      </c>
      <c r="J96" s="202">
        <v>7224708</v>
      </c>
      <c r="K96" s="202">
        <v>8037264.0303419204</v>
      </c>
      <c r="L96" s="202">
        <v>10406493</v>
      </c>
      <c r="M96" s="202">
        <v>8280339</v>
      </c>
      <c r="N96" s="202">
        <v>9082250</v>
      </c>
      <c r="O96" s="202">
        <v>8129944</v>
      </c>
      <c r="P96" s="202">
        <v>10529652</v>
      </c>
    </row>
    <row r="97" spans="1:16" ht="13.35" customHeight="1">
      <c r="A97" s="94" t="s">
        <v>1019</v>
      </c>
      <c r="B97" s="202">
        <v>20370182.829999998</v>
      </c>
      <c r="C97" s="202">
        <v>23919682.530000001</v>
      </c>
      <c r="D97" s="202">
        <v>28500052.629999999</v>
      </c>
      <c r="E97" s="202">
        <v>31619645.559999999</v>
      </c>
      <c r="F97" s="202">
        <v>35602565.850000001</v>
      </c>
      <c r="G97" s="202">
        <v>43522386</v>
      </c>
      <c r="H97" s="202">
        <v>39859901.359283701</v>
      </c>
      <c r="I97" s="202">
        <v>15326207.8269956</v>
      </c>
      <c r="J97" s="202">
        <v>18058980</v>
      </c>
      <c r="K97" s="202">
        <v>22250667.528283801</v>
      </c>
      <c r="L97" s="202">
        <v>20399290</v>
      </c>
      <c r="M97" s="202">
        <v>19263699</v>
      </c>
      <c r="N97" s="202">
        <v>21413302</v>
      </c>
      <c r="O97" s="202">
        <v>26443319</v>
      </c>
      <c r="P97" s="202">
        <v>29432510</v>
      </c>
    </row>
    <row r="98" spans="1:16" ht="13.35" customHeight="1">
      <c r="A98" s="94" t="s">
        <v>1020</v>
      </c>
      <c r="B98" s="203">
        <f t="shared" ref="B98:P98" si="53">B97+B95</f>
        <v>20370182.829999998</v>
      </c>
      <c r="C98" s="203">
        <f t="shared" si="53"/>
        <v>23919682.530000001</v>
      </c>
      <c r="D98" s="203">
        <f t="shared" si="53"/>
        <v>28500052.629999999</v>
      </c>
      <c r="E98" s="203">
        <f t="shared" si="53"/>
        <v>31619645.559999999</v>
      </c>
      <c r="F98" s="203">
        <f t="shared" si="53"/>
        <v>35602565.850000001</v>
      </c>
      <c r="G98" s="203">
        <f t="shared" si="53"/>
        <v>43522386</v>
      </c>
      <c r="H98" s="203">
        <f t="shared" si="53"/>
        <v>39859901.359283701</v>
      </c>
      <c r="I98" s="203">
        <f t="shared" si="53"/>
        <v>15326207.8269956</v>
      </c>
      <c r="J98" s="203">
        <f t="shared" si="53"/>
        <v>18058980</v>
      </c>
      <c r="K98" s="203">
        <f t="shared" si="53"/>
        <v>22250667.528283801</v>
      </c>
      <c r="L98" s="203">
        <f t="shared" si="53"/>
        <v>20399290</v>
      </c>
      <c r="M98" s="203">
        <f t="shared" si="53"/>
        <v>19263699</v>
      </c>
      <c r="N98" s="203">
        <f t="shared" si="53"/>
        <v>21413302</v>
      </c>
      <c r="O98" s="203">
        <f t="shared" si="53"/>
        <v>26443319</v>
      </c>
      <c r="P98" s="203">
        <f t="shared" si="53"/>
        <v>29432510</v>
      </c>
    </row>
    <row r="99" spans="1:16" ht="13.35" customHeight="1">
      <c r="A99" s="94" t="s">
        <v>1021</v>
      </c>
      <c r="B99" s="203">
        <f t="shared" ref="B99:P99" si="54">B96+B94</f>
        <v>13970970.85833776</v>
      </c>
      <c r="C99" s="203">
        <f t="shared" si="54"/>
        <v>14405263.380581571</v>
      </c>
      <c r="D99" s="203">
        <f t="shared" si="54"/>
        <v>17218022.33437264</v>
      </c>
      <c r="E99" s="203">
        <f t="shared" si="54"/>
        <v>17120797.834309369</v>
      </c>
      <c r="F99" s="203">
        <f t="shared" si="54"/>
        <v>15900595.6850481</v>
      </c>
      <c r="G99" s="203">
        <f t="shared" si="54"/>
        <v>18585277.806844302</v>
      </c>
      <c r="H99" s="203">
        <f t="shared" si="54"/>
        <v>20163974.592081018</v>
      </c>
      <c r="I99" s="203">
        <f t="shared" si="54"/>
        <v>16103402.503492331</v>
      </c>
      <c r="J99" s="203">
        <f t="shared" si="54"/>
        <v>18560360.035999998</v>
      </c>
      <c r="K99" s="203">
        <f t="shared" si="54"/>
        <v>24259068.870846722</v>
      </c>
      <c r="L99" s="203">
        <f t="shared" si="54"/>
        <v>26079031.359999999</v>
      </c>
      <c r="M99" s="203">
        <f t="shared" si="54"/>
        <v>23960016</v>
      </c>
      <c r="N99" s="203">
        <f t="shared" si="54"/>
        <v>20502268</v>
      </c>
      <c r="O99" s="203">
        <f t="shared" si="54"/>
        <v>19664162</v>
      </c>
      <c r="P99" s="203">
        <f t="shared" si="54"/>
        <v>29897857</v>
      </c>
    </row>
    <row r="100" spans="1:16" ht="13.35" customHeight="1">
      <c r="A100" s="94" t="s">
        <v>1022</v>
      </c>
      <c r="B100" s="203">
        <f t="shared" ref="B100:P100" si="55">B98+B99</f>
        <v>34341153.688337758</v>
      </c>
      <c r="C100" s="203">
        <f t="shared" si="55"/>
        <v>38324945.910581574</v>
      </c>
      <c r="D100" s="203">
        <f t="shared" si="55"/>
        <v>45718074.964372635</v>
      </c>
      <c r="E100" s="203">
        <f t="shared" si="55"/>
        <v>48740443.394309372</v>
      </c>
      <c r="F100" s="203">
        <f t="shared" si="55"/>
        <v>51503161.535048097</v>
      </c>
      <c r="G100" s="203">
        <f t="shared" si="55"/>
        <v>62107663.806844302</v>
      </c>
      <c r="H100" s="203">
        <f t="shared" si="55"/>
        <v>60023875.951364718</v>
      </c>
      <c r="I100" s="203">
        <f t="shared" si="55"/>
        <v>31429610.330487929</v>
      </c>
      <c r="J100" s="203">
        <f t="shared" si="55"/>
        <v>36619340.035999998</v>
      </c>
      <c r="K100" s="203">
        <f t="shared" si="55"/>
        <v>46509736.399130523</v>
      </c>
      <c r="L100" s="203">
        <f t="shared" si="55"/>
        <v>46478321.359999999</v>
      </c>
      <c r="M100" s="203">
        <f t="shared" si="55"/>
        <v>43223715</v>
      </c>
      <c r="N100" s="203">
        <f t="shared" si="55"/>
        <v>41915570</v>
      </c>
      <c r="O100" s="203">
        <f t="shared" si="55"/>
        <v>46107481</v>
      </c>
      <c r="P100" s="203">
        <f t="shared" si="55"/>
        <v>59330367</v>
      </c>
    </row>
    <row r="101" spans="1:16" ht="13.35" customHeight="1">
      <c r="A101" s="94" t="s">
        <v>1023</v>
      </c>
      <c r="B101" s="204">
        <f t="shared" ref="B101:P101" si="56">(B96+B97)/B100</f>
        <v>0.95350274912633393</v>
      </c>
      <c r="C101" s="204">
        <f t="shared" si="56"/>
        <v>0.95228310159006235</v>
      </c>
      <c r="D101" s="204">
        <f t="shared" si="56"/>
        <v>0.96518066345315601</v>
      </c>
      <c r="E101" s="204">
        <f t="shared" si="56"/>
        <v>0.9572991289975612</v>
      </c>
      <c r="F101" s="204">
        <f t="shared" si="56"/>
        <v>0.94930606234292492</v>
      </c>
      <c r="G101" s="204">
        <f t="shared" si="56"/>
        <v>0.96171421038480664</v>
      </c>
      <c r="H101" s="204">
        <f t="shared" si="56"/>
        <v>0.78394847455464178</v>
      </c>
      <c r="I101" s="204">
        <f t="shared" si="56"/>
        <v>0.62024528672264623</v>
      </c>
      <c r="J101" s="204">
        <f t="shared" si="56"/>
        <v>0.69044630447036826</v>
      </c>
      <c r="K101" s="204">
        <f t="shared" si="56"/>
        <v>0.65121701182533343</v>
      </c>
      <c r="L101" s="204">
        <f t="shared" si="56"/>
        <v>0.66279895871006989</v>
      </c>
      <c r="M101" s="204">
        <f t="shared" si="56"/>
        <v>0.63724365200908806</v>
      </c>
      <c r="N101" s="204">
        <f t="shared" si="56"/>
        <v>0.72754711435392627</v>
      </c>
      <c r="O101" s="204">
        <f t="shared" si="56"/>
        <v>0.74984063865904971</v>
      </c>
      <c r="P101" s="204">
        <f t="shared" si="56"/>
        <v>0.67355325814856326</v>
      </c>
    </row>
    <row r="102" spans="1:16" ht="13.35" customHeight="1">
      <c r="A102" s="94" t="s">
        <v>1024</v>
      </c>
      <c r="B102" s="204">
        <f t="shared" ref="B102:P102" si="57">B96/B99</f>
        <v>0.88570806892888032</v>
      </c>
      <c r="C102" s="204">
        <f t="shared" si="57"/>
        <v>0.87305004412159937</v>
      </c>
      <c r="D102" s="204">
        <f t="shared" si="57"/>
        <v>0.90754611606697388</v>
      </c>
      <c r="E102" s="204">
        <f t="shared" si="57"/>
        <v>0.87843677577856139</v>
      </c>
      <c r="F102" s="204">
        <f t="shared" si="57"/>
        <v>0.83579872655619303</v>
      </c>
      <c r="G102" s="204">
        <f t="shared" si="57"/>
        <v>0.87205782045806568</v>
      </c>
      <c r="H102" s="204">
        <f t="shared" si="57"/>
        <v>0.35686042931593909</v>
      </c>
      <c r="I102" s="204">
        <f t="shared" si="57"/>
        <v>0.25881858465097979</v>
      </c>
      <c r="J102" s="204">
        <f t="shared" si="57"/>
        <v>0.38925473352816597</v>
      </c>
      <c r="K102" s="204">
        <f t="shared" si="57"/>
        <v>0.33130966704170095</v>
      </c>
      <c r="L102" s="204">
        <f t="shared" si="57"/>
        <v>0.39903679152598709</v>
      </c>
      <c r="M102" s="204">
        <f t="shared" si="57"/>
        <v>0.34558987773630867</v>
      </c>
      <c r="N102" s="204">
        <f t="shared" si="57"/>
        <v>0.44298757581356363</v>
      </c>
      <c r="O102" s="204">
        <f t="shared" si="57"/>
        <v>0.41343963704123265</v>
      </c>
      <c r="P102" s="204">
        <f t="shared" si="57"/>
        <v>0.35218751631596873</v>
      </c>
    </row>
    <row r="103" spans="1:16" ht="13.35" customHeight="1">
      <c r="A103" s="94"/>
      <c r="B103" s="94"/>
      <c r="C103" s="94"/>
      <c r="D103" s="94"/>
      <c r="E103" s="94"/>
      <c r="F103" s="94"/>
      <c r="G103" s="94"/>
      <c r="H103" s="94"/>
      <c r="I103" s="94"/>
      <c r="J103" s="94"/>
      <c r="K103" s="94"/>
      <c r="L103" s="94"/>
      <c r="M103" s="94"/>
    </row>
    <row r="104" spans="1:16" ht="13.35" customHeight="1">
      <c r="A104" s="201" t="s">
        <v>77</v>
      </c>
      <c r="B104" s="201">
        <v>2009</v>
      </c>
      <c r="C104" s="201">
        <v>2010</v>
      </c>
      <c r="D104" s="201">
        <v>2011</v>
      </c>
      <c r="E104" s="201">
        <v>2012</v>
      </c>
      <c r="F104" s="201">
        <v>2013</v>
      </c>
      <c r="G104" s="201">
        <v>2014</v>
      </c>
      <c r="H104" s="201">
        <v>2015</v>
      </c>
      <c r="I104" s="201">
        <v>2016</v>
      </c>
      <c r="J104" s="201">
        <v>2017</v>
      </c>
      <c r="K104" s="201">
        <v>2018</v>
      </c>
      <c r="L104" s="201">
        <v>2019</v>
      </c>
      <c r="M104" s="201">
        <v>2020</v>
      </c>
      <c r="N104" s="201">
        <v>2021</v>
      </c>
      <c r="O104" s="201">
        <v>2022</v>
      </c>
      <c r="P104" s="201">
        <v>2023</v>
      </c>
    </row>
    <row r="105" spans="1:16" ht="13.35" customHeight="1">
      <c r="A105" s="94" t="s">
        <v>1016</v>
      </c>
      <c r="B105" s="202">
        <v>0</v>
      </c>
      <c r="C105" s="202">
        <v>0</v>
      </c>
      <c r="D105" s="202">
        <v>6337089.7072153296</v>
      </c>
      <c r="E105" s="202">
        <v>12763108.336563099</v>
      </c>
      <c r="F105" s="202">
        <v>14145485.630000001</v>
      </c>
      <c r="G105" s="202">
        <v>11921334.1377474</v>
      </c>
      <c r="H105" s="202">
        <v>10730945.119999999</v>
      </c>
      <c r="I105" s="202">
        <v>11238894.77</v>
      </c>
      <c r="J105" s="202">
        <v>11085802.1135484</v>
      </c>
      <c r="K105" s="202">
        <v>11155755.58</v>
      </c>
      <c r="L105" s="202">
        <v>7981008.71</v>
      </c>
      <c r="M105" s="202">
        <v>9721935.2799999993</v>
      </c>
      <c r="N105" s="202">
        <v>7012724.5999999996</v>
      </c>
      <c r="O105" s="202">
        <v>0</v>
      </c>
      <c r="P105" s="203">
        <f>O105*(POWER($O105/$K105,1/4))</f>
        <v>0</v>
      </c>
    </row>
    <row r="106" spans="1:16" ht="13.35" customHeight="1">
      <c r="A106" s="94" t="s">
        <v>1017</v>
      </c>
      <c r="B106" s="202">
        <v>13232290.4950682</v>
      </c>
      <c r="C106" s="202">
        <v>15578015.443692699</v>
      </c>
      <c r="D106" s="202">
        <v>17345624.113403901</v>
      </c>
      <c r="E106" s="202">
        <v>6748504.4844384603</v>
      </c>
      <c r="F106" s="202">
        <v>12520601.692552499</v>
      </c>
      <c r="G106" s="202">
        <v>17815636.620000001</v>
      </c>
      <c r="H106" s="202">
        <v>17575940.390000001</v>
      </c>
      <c r="I106" s="202">
        <v>16750081.869999999</v>
      </c>
      <c r="J106" s="202">
        <v>15298570.2823656</v>
      </c>
      <c r="K106" s="202">
        <v>15193039.539999999</v>
      </c>
      <c r="L106" s="202">
        <v>15000326.09</v>
      </c>
      <c r="M106" s="202">
        <v>16026987.210000001</v>
      </c>
      <c r="N106" s="202">
        <v>22147383.399999999</v>
      </c>
      <c r="O106" s="202">
        <v>21204223</v>
      </c>
      <c r="P106" s="203">
        <f t="shared" ref="P106:P108" si="58">O106*(POWER($O106/$K106,1/4))</f>
        <v>23047126.558818828</v>
      </c>
    </row>
    <row r="107" spans="1:16" ht="13.35" customHeight="1">
      <c r="A107" s="94" t="s">
        <v>1018</v>
      </c>
      <c r="B107" s="202">
        <v>12117967.3470715</v>
      </c>
      <c r="C107" s="202">
        <v>11066136.5730325</v>
      </c>
      <c r="D107" s="202">
        <v>12393137.410825601</v>
      </c>
      <c r="E107" s="202">
        <v>21050073.632828299</v>
      </c>
      <c r="F107" s="202">
        <v>19499503.902601399</v>
      </c>
      <c r="G107" s="202">
        <v>19282020.016782001</v>
      </c>
      <c r="H107" s="202">
        <v>26595213.213927999</v>
      </c>
      <c r="I107" s="202">
        <v>27420983.089853201</v>
      </c>
      <c r="J107" s="202">
        <v>30425200.5827347</v>
      </c>
      <c r="K107" s="202">
        <v>28207992.989999998</v>
      </c>
      <c r="L107" s="202">
        <v>34619835.140000001</v>
      </c>
      <c r="M107" s="202">
        <v>25124837.030000001</v>
      </c>
      <c r="N107" s="202">
        <v>25150018.02</v>
      </c>
      <c r="O107" s="202">
        <v>30930252</v>
      </c>
      <c r="P107" s="203">
        <f t="shared" si="58"/>
        <v>31650915.481278185</v>
      </c>
    </row>
    <row r="108" spans="1:16" ht="13.35" customHeight="1">
      <c r="A108" s="94" t="s">
        <v>1019</v>
      </c>
      <c r="B108" s="202">
        <v>15522439.6428372</v>
      </c>
      <c r="C108" s="202">
        <v>25482883.864305101</v>
      </c>
      <c r="D108" s="202">
        <v>23968520.1373358</v>
      </c>
      <c r="E108" s="202">
        <v>23924204.168930799</v>
      </c>
      <c r="F108" s="202">
        <v>21121326.493361499</v>
      </c>
      <c r="G108" s="202">
        <v>29644027.520838499</v>
      </c>
      <c r="H108" s="202">
        <v>28522574.282155499</v>
      </c>
      <c r="I108" s="202">
        <v>31954954.879999999</v>
      </c>
      <c r="J108" s="202">
        <v>32136421.1322686</v>
      </c>
      <c r="K108" s="202">
        <v>28910031.260000002</v>
      </c>
      <c r="L108" s="202">
        <v>28096121.489999998</v>
      </c>
      <c r="M108" s="202">
        <v>27697583.789999999</v>
      </c>
      <c r="N108" s="202">
        <v>22993833.949999999</v>
      </c>
      <c r="O108" s="202">
        <v>26299522</v>
      </c>
      <c r="P108" s="203">
        <f t="shared" si="58"/>
        <v>25684592.430935599</v>
      </c>
    </row>
    <row r="109" spans="1:16" ht="13.35" customHeight="1">
      <c r="A109" s="94" t="s">
        <v>1020</v>
      </c>
      <c r="B109" s="203">
        <f t="shared" ref="B109:N109" si="59">B106+B108</f>
        <v>28754730.1379054</v>
      </c>
      <c r="C109" s="203">
        <f t="shared" si="59"/>
        <v>41060899.3079978</v>
      </c>
      <c r="D109" s="203">
        <f t="shared" si="59"/>
        <v>41314144.250739701</v>
      </c>
      <c r="E109" s="203">
        <f t="shared" si="59"/>
        <v>30672708.653369259</v>
      </c>
      <c r="F109" s="203">
        <f t="shared" si="59"/>
        <v>33641928.185913995</v>
      </c>
      <c r="G109" s="203">
        <f t="shared" si="59"/>
        <v>47459664.140838504</v>
      </c>
      <c r="H109" s="203">
        <f t="shared" si="59"/>
        <v>46098514.672155499</v>
      </c>
      <c r="I109" s="203">
        <f t="shared" si="59"/>
        <v>48705036.75</v>
      </c>
      <c r="J109" s="203">
        <f t="shared" si="59"/>
        <v>47434991.414634198</v>
      </c>
      <c r="K109" s="203">
        <f t="shared" si="59"/>
        <v>44103070.799999997</v>
      </c>
      <c r="L109" s="203">
        <f t="shared" si="59"/>
        <v>43096447.579999998</v>
      </c>
      <c r="M109" s="203">
        <f t="shared" si="59"/>
        <v>43724571</v>
      </c>
      <c r="N109" s="203">
        <f t="shared" si="59"/>
        <v>45141217.349999994</v>
      </c>
      <c r="O109" s="203">
        <f t="shared" ref="O109:P109" si="60">O108+O106</f>
        <v>47503745</v>
      </c>
      <c r="P109" s="203">
        <f t="shared" si="60"/>
        <v>48731718.989754423</v>
      </c>
    </row>
    <row r="110" spans="1:16" ht="13.35" customHeight="1">
      <c r="A110" s="94" t="s">
        <v>1021</v>
      </c>
      <c r="B110" s="203">
        <f t="shared" ref="B110:N110" si="61">B105+B107</f>
        <v>12117967.3470715</v>
      </c>
      <c r="C110" s="203">
        <f t="shared" si="61"/>
        <v>11066136.5730325</v>
      </c>
      <c r="D110" s="203">
        <f t="shared" si="61"/>
        <v>18730227.11804093</v>
      </c>
      <c r="E110" s="203">
        <f t="shared" si="61"/>
        <v>33813181.969391398</v>
      </c>
      <c r="F110" s="203">
        <f t="shared" si="61"/>
        <v>33644989.532601401</v>
      </c>
      <c r="G110" s="203">
        <f t="shared" si="61"/>
        <v>31203354.1545294</v>
      </c>
      <c r="H110" s="203">
        <f t="shared" si="61"/>
        <v>37326158.333927996</v>
      </c>
      <c r="I110" s="203">
        <f t="shared" si="61"/>
        <v>38659877.859853201</v>
      </c>
      <c r="J110" s="203">
        <f t="shared" si="61"/>
        <v>41511002.696283102</v>
      </c>
      <c r="K110" s="203">
        <f t="shared" si="61"/>
        <v>39363748.57</v>
      </c>
      <c r="L110" s="203">
        <f t="shared" si="61"/>
        <v>42600843.850000001</v>
      </c>
      <c r="M110" s="203">
        <f t="shared" si="61"/>
        <v>34846772.310000002</v>
      </c>
      <c r="N110" s="203">
        <f t="shared" si="61"/>
        <v>32162742.619999997</v>
      </c>
      <c r="O110" s="203">
        <f t="shared" ref="O110:P110" si="62">O107+O105</f>
        <v>30930252</v>
      </c>
      <c r="P110" s="203">
        <f t="shared" si="62"/>
        <v>31650915.481278185</v>
      </c>
    </row>
    <row r="111" spans="1:16" ht="13.35" customHeight="1">
      <c r="A111" s="94" t="s">
        <v>1022</v>
      </c>
      <c r="B111" s="203">
        <f t="shared" ref="B111:P111" si="63">B109+B110</f>
        <v>40872697.484976903</v>
      </c>
      <c r="C111" s="203">
        <f t="shared" si="63"/>
        <v>52127035.881030299</v>
      </c>
      <c r="D111" s="203">
        <f t="shared" si="63"/>
        <v>60044371.368780628</v>
      </c>
      <c r="E111" s="203">
        <f t="shared" si="63"/>
        <v>64485890.622760653</v>
      </c>
      <c r="F111" s="203">
        <f t="shared" si="63"/>
        <v>67286917.718515396</v>
      </c>
      <c r="G111" s="203">
        <f t="shared" si="63"/>
        <v>78663018.295367897</v>
      </c>
      <c r="H111" s="203">
        <f t="shared" si="63"/>
        <v>83424673.006083488</v>
      </c>
      <c r="I111" s="203">
        <f t="shared" si="63"/>
        <v>87364914.609853208</v>
      </c>
      <c r="J111" s="203">
        <f t="shared" si="63"/>
        <v>88945994.1109173</v>
      </c>
      <c r="K111" s="203">
        <f t="shared" si="63"/>
        <v>83466819.370000005</v>
      </c>
      <c r="L111" s="203">
        <f t="shared" si="63"/>
        <v>85697291.430000007</v>
      </c>
      <c r="M111" s="203">
        <f t="shared" si="63"/>
        <v>78571343.310000002</v>
      </c>
      <c r="N111" s="203">
        <f t="shared" si="63"/>
        <v>77303959.969999999</v>
      </c>
      <c r="O111" s="203">
        <f t="shared" si="63"/>
        <v>78433997</v>
      </c>
      <c r="P111" s="203">
        <f t="shared" si="63"/>
        <v>80382634.471032605</v>
      </c>
    </row>
    <row r="112" spans="1:16" ht="13.35" customHeight="1">
      <c r="A112" s="94" t="s">
        <v>1023</v>
      </c>
      <c r="B112" s="204">
        <f t="shared" ref="B112:P112" si="64">(B107+B108)/B111</f>
        <v>0.67625600194526336</v>
      </c>
      <c r="C112" s="204">
        <f t="shared" si="64"/>
        <v>0.70115286280143663</v>
      </c>
      <c r="D112" s="204">
        <f t="shared" si="64"/>
        <v>0.60557978573604021</v>
      </c>
      <c r="E112" s="204">
        <f t="shared" si="64"/>
        <v>0.69742818727365419</v>
      </c>
      <c r="F112" s="204">
        <f t="shared" si="64"/>
        <v>0.6036958115081742</v>
      </c>
      <c r="G112" s="204">
        <f t="shared" si="64"/>
        <v>0.6219701277404649</v>
      </c>
      <c r="H112" s="204">
        <f t="shared" si="64"/>
        <v>0.66068928423686124</v>
      </c>
      <c r="I112" s="204">
        <f t="shared" si="64"/>
        <v>0.67963138560838987</v>
      </c>
      <c r="J112" s="204">
        <f t="shared" si="64"/>
        <v>0.70336637799548118</v>
      </c>
      <c r="K112" s="204">
        <f t="shared" si="64"/>
        <v>0.68432012482471094</v>
      </c>
      <c r="L112" s="204">
        <f t="shared" si="64"/>
        <v>0.7318312584153045</v>
      </c>
      <c r="M112" s="204">
        <f t="shared" si="64"/>
        <v>0.67228608541909884</v>
      </c>
      <c r="N112" s="204">
        <f t="shared" si="64"/>
        <v>0.62278636163895862</v>
      </c>
      <c r="O112" s="204">
        <f t="shared" si="64"/>
        <v>0.72965520296001241</v>
      </c>
      <c r="P112" s="204">
        <f t="shared" si="64"/>
        <v>0.71328226910596859</v>
      </c>
    </row>
    <row r="113" spans="1:16" ht="13.35" customHeight="1">
      <c r="A113" s="94" t="s">
        <v>1024</v>
      </c>
      <c r="B113" s="204">
        <f t="shared" ref="B113:P113" si="65">B107/B110</f>
        <v>1</v>
      </c>
      <c r="C113" s="204">
        <f t="shared" si="65"/>
        <v>1</v>
      </c>
      <c r="D113" s="204">
        <f t="shared" si="65"/>
        <v>0.66166508994909878</v>
      </c>
      <c r="E113" s="204">
        <f t="shared" si="65"/>
        <v>0.62254045336175079</v>
      </c>
      <c r="F113" s="204">
        <f t="shared" si="65"/>
        <v>0.57956635366780906</v>
      </c>
      <c r="G113" s="204">
        <f t="shared" si="65"/>
        <v>0.61794702971004389</v>
      </c>
      <c r="H113" s="204">
        <f t="shared" si="65"/>
        <v>0.71250871777377656</v>
      </c>
      <c r="I113" s="204">
        <f t="shared" si="65"/>
        <v>0.70928788728349401</v>
      </c>
      <c r="J113" s="204">
        <f t="shared" si="65"/>
        <v>0.73294304176032288</v>
      </c>
      <c r="K113" s="204">
        <f t="shared" si="65"/>
        <v>0.7165982411415448</v>
      </c>
      <c r="L113" s="204">
        <f t="shared" si="65"/>
        <v>0.81265608873613893</v>
      </c>
      <c r="M113" s="204">
        <f t="shared" si="65"/>
        <v>0.72100901645889048</v>
      </c>
      <c r="N113" s="204">
        <f t="shared" si="65"/>
        <v>0.78196123748354651</v>
      </c>
      <c r="O113" s="204">
        <f t="shared" si="65"/>
        <v>1</v>
      </c>
      <c r="P113" s="204">
        <f t="shared" si="65"/>
        <v>1</v>
      </c>
    </row>
    <row r="114" spans="1:16" ht="13.35" customHeight="1">
      <c r="A114" s="94"/>
      <c r="B114" s="94"/>
      <c r="C114" s="94"/>
      <c r="D114" s="94"/>
      <c r="E114" s="94"/>
      <c r="F114" s="94"/>
      <c r="G114" s="94"/>
      <c r="H114" s="94"/>
      <c r="I114" s="94"/>
      <c r="J114" s="94"/>
      <c r="K114" s="94"/>
      <c r="L114" s="94"/>
      <c r="M114" s="94"/>
    </row>
    <row r="115" spans="1:16" ht="13.35" customHeight="1">
      <c r="A115" s="201" t="s">
        <v>76</v>
      </c>
      <c r="B115" s="201">
        <v>2009</v>
      </c>
      <c r="C115" s="201">
        <v>2010</v>
      </c>
      <c r="D115" s="201">
        <v>2011</v>
      </c>
      <c r="E115" s="201">
        <v>2012</v>
      </c>
      <c r="F115" s="201">
        <v>2013</v>
      </c>
      <c r="G115" s="201">
        <v>2014</v>
      </c>
      <c r="H115" s="201">
        <v>2015</v>
      </c>
      <c r="I115" s="201">
        <v>2016</v>
      </c>
      <c r="J115" s="201">
        <v>2017</v>
      </c>
      <c r="K115" s="201">
        <v>2018</v>
      </c>
      <c r="L115" s="201">
        <v>2019</v>
      </c>
      <c r="M115" s="201">
        <v>2020</v>
      </c>
      <c r="N115" s="201">
        <v>2021</v>
      </c>
      <c r="O115" s="201">
        <v>2022</v>
      </c>
      <c r="P115" s="201">
        <v>2023</v>
      </c>
    </row>
    <row r="116" spans="1:16" ht="13.35" customHeight="1">
      <c r="A116" s="94" t="s">
        <v>1016</v>
      </c>
      <c r="B116" s="202">
        <v>20819936.41</v>
      </c>
      <c r="C116" s="202">
        <v>25096130.399999999</v>
      </c>
      <c r="D116" s="202">
        <v>21036742.949999999</v>
      </c>
      <c r="E116" s="202">
        <v>26117344.661373299</v>
      </c>
      <c r="F116" s="202">
        <v>27750169.0659291</v>
      </c>
      <c r="G116" s="202">
        <v>33473651.170000002</v>
      </c>
      <c r="H116" s="202">
        <v>31990239.641582102</v>
      </c>
      <c r="I116" s="202">
        <v>0</v>
      </c>
      <c r="J116" s="202">
        <v>0</v>
      </c>
      <c r="K116" s="202">
        <v>0</v>
      </c>
      <c r="L116" s="202">
        <v>0</v>
      </c>
      <c r="M116" s="202">
        <v>0</v>
      </c>
      <c r="N116" s="202">
        <v>0</v>
      </c>
      <c r="O116" s="202">
        <v>0</v>
      </c>
      <c r="P116" s="202">
        <v>0</v>
      </c>
    </row>
    <row r="117" spans="1:16" ht="13.35" customHeight="1">
      <c r="A117" s="94" t="s">
        <v>1017</v>
      </c>
      <c r="B117" s="202">
        <v>18214581.581273299</v>
      </c>
      <c r="C117" s="202">
        <v>20551681.393983498</v>
      </c>
      <c r="D117" s="202">
        <v>26601493.890000001</v>
      </c>
      <c r="E117" s="202">
        <v>28842412.016442299</v>
      </c>
      <c r="F117" s="202">
        <v>30175380.424836099</v>
      </c>
      <c r="G117" s="202">
        <v>33844853.869999997</v>
      </c>
      <c r="H117" s="202">
        <v>31986209.595992599</v>
      </c>
      <c r="I117" s="202">
        <v>32907586</v>
      </c>
      <c r="J117" s="202">
        <v>44038606.280000001</v>
      </c>
      <c r="K117" s="202">
        <v>43006165.6515617</v>
      </c>
      <c r="L117" s="202">
        <v>53002408.289999999</v>
      </c>
      <c r="M117" s="202">
        <v>44551152.82</v>
      </c>
      <c r="N117" s="202">
        <v>41518317.590000004</v>
      </c>
      <c r="O117" s="202">
        <v>52031605</v>
      </c>
      <c r="P117" s="213">
        <f t="shared" ref="P117:P119" si="66">O117*(POWER($O117/$K117,1/4))</f>
        <v>54569672.507573068</v>
      </c>
    </row>
    <row r="118" spans="1:16" ht="13.35" customHeight="1">
      <c r="A118" s="94" t="s">
        <v>1018</v>
      </c>
      <c r="B118" s="202">
        <v>22449708.5618871</v>
      </c>
      <c r="C118" s="202">
        <v>17149298.577390999</v>
      </c>
      <c r="D118" s="202">
        <v>17180282.535514198</v>
      </c>
      <c r="E118" s="202">
        <v>25466898.369798899</v>
      </c>
      <c r="F118" s="202">
        <v>30035922.3473574</v>
      </c>
      <c r="G118" s="202">
        <v>24911327.4990541</v>
      </c>
      <c r="H118" s="202">
        <v>41557962.778393798</v>
      </c>
      <c r="I118" s="202">
        <v>63015557</v>
      </c>
      <c r="J118" s="202">
        <v>79395327</v>
      </c>
      <c r="K118" s="202">
        <v>79342897.735650703</v>
      </c>
      <c r="L118" s="202">
        <v>80588285.299999997</v>
      </c>
      <c r="M118" s="202">
        <v>69053027.969999999</v>
      </c>
      <c r="N118" s="202">
        <v>73716215.510000005</v>
      </c>
      <c r="O118" s="202">
        <v>83161809</v>
      </c>
      <c r="P118" s="213">
        <f t="shared" si="66"/>
        <v>84144918.7561481</v>
      </c>
    </row>
    <row r="119" spans="1:16" ht="13.35" customHeight="1">
      <c r="A119" s="94" t="s">
        <v>1019</v>
      </c>
      <c r="B119" s="202">
        <v>45046384.134488001</v>
      </c>
      <c r="C119" s="202">
        <v>46426017.648255304</v>
      </c>
      <c r="D119" s="202">
        <v>39318452.993538402</v>
      </c>
      <c r="E119" s="202">
        <v>45716040.468089998</v>
      </c>
      <c r="F119" s="202">
        <v>44579406.948894098</v>
      </c>
      <c r="G119" s="202">
        <v>46689599.427910097</v>
      </c>
      <c r="H119" s="202">
        <v>48986702.671579398</v>
      </c>
      <c r="I119" s="202">
        <v>43628229</v>
      </c>
      <c r="J119" s="202">
        <v>32080560.719999999</v>
      </c>
      <c r="K119" s="202">
        <v>29151860.068475399</v>
      </c>
      <c r="L119" s="202">
        <v>25383014.68</v>
      </c>
      <c r="M119" s="202">
        <v>29469386.84</v>
      </c>
      <c r="N119" s="202">
        <v>33671961.979999997</v>
      </c>
      <c r="O119" s="202">
        <v>31433377</v>
      </c>
      <c r="P119" s="213">
        <f t="shared" si="66"/>
        <v>32031128.07870689</v>
      </c>
    </row>
    <row r="120" spans="1:16" ht="13.35" customHeight="1">
      <c r="A120" s="94" t="s">
        <v>1020</v>
      </c>
      <c r="B120" s="203">
        <f t="shared" ref="B120:P120" si="67">B119+B117</f>
        <v>63260965.715761304</v>
      </c>
      <c r="C120" s="203">
        <f t="shared" si="67"/>
        <v>66977699.042238802</v>
      </c>
      <c r="D120" s="203">
        <f t="shared" si="67"/>
        <v>65919946.883538403</v>
      </c>
      <c r="E120" s="203">
        <f t="shared" si="67"/>
        <v>74558452.484532297</v>
      </c>
      <c r="F120" s="203">
        <f t="shared" si="67"/>
        <v>74754787.373730198</v>
      </c>
      <c r="G120" s="203">
        <f t="shared" si="67"/>
        <v>80534453.297910094</v>
      </c>
      <c r="H120" s="203">
        <f t="shared" si="67"/>
        <v>80972912.267572001</v>
      </c>
      <c r="I120" s="203">
        <f t="shared" si="67"/>
        <v>76535815</v>
      </c>
      <c r="J120" s="203">
        <f t="shared" si="67"/>
        <v>76119167</v>
      </c>
      <c r="K120" s="203">
        <f t="shared" si="67"/>
        <v>72158025.720037103</v>
      </c>
      <c r="L120" s="203">
        <f t="shared" si="67"/>
        <v>78385422.969999999</v>
      </c>
      <c r="M120" s="203">
        <f t="shared" si="67"/>
        <v>74020539.659999996</v>
      </c>
      <c r="N120" s="203">
        <f t="shared" si="67"/>
        <v>75190279.569999993</v>
      </c>
      <c r="O120" s="203">
        <f t="shared" si="67"/>
        <v>83464982</v>
      </c>
      <c r="P120" s="203">
        <f t="shared" si="67"/>
        <v>86600800.586279958</v>
      </c>
    </row>
    <row r="121" spans="1:16" ht="13.35" customHeight="1">
      <c r="A121" s="94" t="s">
        <v>1021</v>
      </c>
      <c r="B121" s="203">
        <f t="shared" ref="B121:N121" si="68">B116+B118</f>
        <v>43269644.971887097</v>
      </c>
      <c r="C121" s="203">
        <f t="shared" si="68"/>
        <v>42245428.977390997</v>
      </c>
      <c r="D121" s="203">
        <f t="shared" si="68"/>
        <v>38217025.485514194</v>
      </c>
      <c r="E121" s="203">
        <f t="shared" si="68"/>
        <v>51584243.031172201</v>
      </c>
      <c r="F121" s="203">
        <f t="shared" si="68"/>
        <v>57786091.4132865</v>
      </c>
      <c r="G121" s="203">
        <f t="shared" si="68"/>
        <v>58384978.669054106</v>
      </c>
      <c r="H121" s="203">
        <f t="shared" si="68"/>
        <v>73548202.419975907</v>
      </c>
      <c r="I121" s="203">
        <f t="shared" si="68"/>
        <v>63015557</v>
      </c>
      <c r="J121" s="203">
        <f t="shared" si="68"/>
        <v>79395327</v>
      </c>
      <c r="K121" s="203">
        <f t="shared" si="68"/>
        <v>79342897.735650703</v>
      </c>
      <c r="L121" s="203">
        <f t="shared" si="68"/>
        <v>80588285.299999997</v>
      </c>
      <c r="M121" s="203">
        <f t="shared" si="68"/>
        <v>69053027.969999999</v>
      </c>
      <c r="N121" s="203">
        <f t="shared" si="68"/>
        <v>73716215.510000005</v>
      </c>
      <c r="O121" s="203">
        <f t="shared" ref="O121:P121" si="69">O118+O116</f>
        <v>83161809</v>
      </c>
      <c r="P121" s="203">
        <f t="shared" si="69"/>
        <v>84144918.7561481</v>
      </c>
    </row>
    <row r="122" spans="1:16" ht="13.35" customHeight="1">
      <c r="A122" s="94" t="s">
        <v>1022</v>
      </c>
      <c r="B122" s="203">
        <f t="shared" ref="B122:P122" si="70">B120+B121</f>
        <v>106530610.6876484</v>
      </c>
      <c r="C122" s="203">
        <f t="shared" si="70"/>
        <v>109223128.01962981</v>
      </c>
      <c r="D122" s="203">
        <f t="shared" si="70"/>
        <v>104136972.36905259</v>
      </c>
      <c r="E122" s="203">
        <f t="shared" si="70"/>
        <v>126142695.5157045</v>
      </c>
      <c r="F122" s="203">
        <f t="shared" si="70"/>
        <v>132540878.78701669</v>
      </c>
      <c r="G122" s="203">
        <f t="shared" si="70"/>
        <v>138919431.96696419</v>
      </c>
      <c r="H122" s="203">
        <f t="shared" si="70"/>
        <v>154521114.68754792</v>
      </c>
      <c r="I122" s="203">
        <f t="shared" si="70"/>
        <v>139551372</v>
      </c>
      <c r="J122" s="203">
        <f t="shared" si="70"/>
        <v>155514494</v>
      </c>
      <c r="K122" s="203">
        <f t="shared" si="70"/>
        <v>151500923.45568782</v>
      </c>
      <c r="L122" s="203">
        <f t="shared" si="70"/>
        <v>158973708.26999998</v>
      </c>
      <c r="M122" s="203">
        <f t="shared" si="70"/>
        <v>143073567.63</v>
      </c>
      <c r="N122" s="203">
        <f t="shared" si="70"/>
        <v>148906495.07999998</v>
      </c>
      <c r="O122" s="203">
        <f t="shared" si="70"/>
        <v>166626791</v>
      </c>
      <c r="P122" s="203">
        <f t="shared" si="70"/>
        <v>170745719.34242806</v>
      </c>
    </row>
    <row r="123" spans="1:16" ht="13.35" customHeight="1">
      <c r="A123" s="94" t="s">
        <v>1023</v>
      </c>
      <c r="B123" s="204">
        <f t="shared" ref="B123:N123" si="71">(B119+B118)/B122</f>
        <v>0.63358402116248147</v>
      </c>
      <c r="C123" s="204">
        <f t="shared" si="71"/>
        <v>0.58206826135047529</v>
      </c>
      <c r="D123" s="204">
        <f t="shared" si="71"/>
        <v>0.54254252110216805</v>
      </c>
      <c r="E123" s="204">
        <f t="shared" si="71"/>
        <v>0.56430488144299062</v>
      </c>
      <c r="F123" s="204">
        <f t="shared" si="71"/>
        <v>0.56296087651684257</v>
      </c>
      <c r="G123" s="204">
        <f t="shared" si="71"/>
        <v>0.51541332924533767</v>
      </c>
      <c r="H123" s="204">
        <f t="shared" si="71"/>
        <v>0.58596953324508816</v>
      </c>
      <c r="I123" s="204">
        <f t="shared" si="71"/>
        <v>0.7641901650382914</v>
      </c>
      <c r="J123" s="204">
        <f t="shared" si="71"/>
        <v>0.71681992367862513</v>
      </c>
      <c r="K123" s="204">
        <f t="shared" si="71"/>
        <v>0.71613265008156535</v>
      </c>
      <c r="L123" s="204">
        <f t="shared" si="71"/>
        <v>0.66659638963707746</v>
      </c>
      <c r="M123" s="204">
        <f t="shared" si="71"/>
        <v>0.68861367226675341</v>
      </c>
      <c r="N123" s="204">
        <f t="shared" si="71"/>
        <v>0.72117859890735947</v>
      </c>
      <c r="O123" s="204">
        <f t="shared" ref="O123:P123" si="72">(O118+O119)/O122</f>
        <v>0.68773565950747984</v>
      </c>
      <c r="P123" s="204">
        <f t="shared" si="72"/>
        <v>0.68040386184947699</v>
      </c>
    </row>
    <row r="124" spans="1:16" ht="13.35" customHeight="1">
      <c r="A124" s="94" t="s">
        <v>1024</v>
      </c>
      <c r="B124" s="204">
        <f t="shared" ref="B124:P124" si="73">B118/B121</f>
        <v>0.51883274236414456</v>
      </c>
      <c r="C124" s="204">
        <f t="shared" si="73"/>
        <v>0.40594447713074466</v>
      </c>
      <c r="D124" s="204">
        <f t="shared" si="73"/>
        <v>0.44954525678682722</v>
      </c>
      <c r="E124" s="204">
        <f t="shared" si="73"/>
        <v>0.49369530060583289</v>
      </c>
      <c r="F124" s="204">
        <f t="shared" si="73"/>
        <v>0.51977771143129048</v>
      </c>
      <c r="G124" s="204">
        <f t="shared" si="73"/>
        <v>0.42667357369880987</v>
      </c>
      <c r="H124" s="204">
        <f t="shared" si="73"/>
        <v>0.56504389517352138</v>
      </c>
      <c r="I124" s="204">
        <f t="shared" si="73"/>
        <v>1</v>
      </c>
      <c r="J124" s="204">
        <f t="shared" si="73"/>
        <v>1</v>
      </c>
      <c r="K124" s="204">
        <f t="shared" si="73"/>
        <v>1</v>
      </c>
      <c r="L124" s="204">
        <f t="shared" si="73"/>
        <v>1</v>
      </c>
      <c r="M124" s="204">
        <f t="shared" si="73"/>
        <v>1</v>
      </c>
      <c r="N124" s="204">
        <f t="shared" si="73"/>
        <v>1</v>
      </c>
      <c r="O124" s="204">
        <f t="shared" si="73"/>
        <v>1</v>
      </c>
      <c r="P124" s="204">
        <f t="shared" si="73"/>
        <v>1</v>
      </c>
    </row>
    <row r="125" spans="1:16" ht="13.35" customHeight="1">
      <c r="A125" s="94"/>
      <c r="B125" s="94"/>
      <c r="C125" s="94"/>
      <c r="D125" s="94"/>
      <c r="E125" s="94"/>
      <c r="F125" s="94"/>
      <c r="G125" s="94"/>
      <c r="H125" s="94"/>
      <c r="I125" s="94"/>
      <c r="J125" s="94"/>
      <c r="K125" s="94"/>
      <c r="L125" s="94"/>
      <c r="M125" s="94"/>
    </row>
    <row r="126" spans="1:16" ht="13.35" customHeight="1">
      <c r="A126" s="201" t="s">
        <v>975</v>
      </c>
      <c r="B126" s="201">
        <v>2009</v>
      </c>
      <c r="C126" s="201">
        <v>2010</v>
      </c>
      <c r="D126" s="201">
        <v>2011</v>
      </c>
      <c r="E126" s="201">
        <v>2012</v>
      </c>
      <c r="F126" s="201">
        <v>2013</v>
      </c>
      <c r="G126" s="201">
        <v>2014</v>
      </c>
      <c r="H126" s="201">
        <v>2015</v>
      </c>
      <c r="I126" s="201">
        <v>2016</v>
      </c>
      <c r="J126" s="201">
        <v>2017</v>
      </c>
      <c r="K126" s="201">
        <v>2018</v>
      </c>
      <c r="L126" s="201">
        <v>2019</v>
      </c>
      <c r="M126" s="201">
        <v>2020</v>
      </c>
      <c r="N126" s="201">
        <v>2021</v>
      </c>
      <c r="O126" s="201">
        <v>2022</v>
      </c>
      <c r="P126" s="201">
        <v>2023</v>
      </c>
    </row>
    <row r="127" spans="1:16" ht="13.35" customHeight="1">
      <c r="A127" s="94" t="s">
        <v>1016</v>
      </c>
      <c r="B127" s="202">
        <v>3827000</v>
      </c>
      <c r="C127" s="202">
        <v>3192000</v>
      </c>
      <c r="D127" s="202">
        <v>3767000</v>
      </c>
      <c r="E127" s="202">
        <v>-44000</v>
      </c>
      <c r="F127" s="202">
        <v>-3730000</v>
      </c>
      <c r="G127" s="202">
        <v>-7267000</v>
      </c>
      <c r="H127" s="202">
        <v>-18253075.6238361</v>
      </c>
      <c r="I127" s="202">
        <v>-13251556.65</v>
      </c>
      <c r="J127" s="202">
        <v>-9361715.3000000007</v>
      </c>
      <c r="K127" s="202">
        <v>-6939995.2400000002</v>
      </c>
      <c r="L127" s="202">
        <v>-6271515.8899999997</v>
      </c>
      <c r="M127" s="202">
        <v>-4389001.04</v>
      </c>
      <c r="N127" s="202">
        <v>-5441104.21</v>
      </c>
      <c r="O127" s="202">
        <v>-5922460</v>
      </c>
      <c r="P127" s="203">
        <f>O127*(POWER($O127/$K127,1/4))</f>
        <v>-5692301.2657057913</v>
      </c>
    </row>
    <row r="128" spans="1:16" ht="13.35" customHeight="1">
      <c r="A128" s="94" t="s">
        <v>1017</v>
      </c>
      <c r="B128" s="202">
        <v>13222310.81157884</v>
      </c>
      <c r="C128" s="202">
        <v>16336253.924987558</v>
      </c>
      <c r="D128" s="202">
        <v>13036929.97455897</v>
      </c>
      <c r="E128" s="202">
        <v>11308214.603939129</v>
      </c>
      <c r="F128" s="202">
        <v>13700249.624739619</v>
      </c>
      <c r="G128" s="202">
        <v>11494000</v>
      </c>
      <c r="H128" s="202">
        <v>9073957.6199999992</v>
      </c>
      <c r="I128" s="202">
        <v>7889275.0800000001</v>
      </c>
      <c r="J128" s="202">
        <v>11307921.5</v>
      </c>
      <c r="K128" s="202">
        <v>6904976.3499999996</v>
      </c>
      <c r="L128" s="202">
        <v>4531405.78</v>
      </c>
      <c r="M128" s="202">
        <v>4600593.6100000003</v>
      </c>
      <c r="N128" s="202">
        <v>5393889.1900000004</v>
      </c>
      <c r="O128" s="202">
        <v>4646757</v>
      </c>
      <c r="P128" s="203">
        <f t="shared" ref="P128:P130" si="74">O128*(POWER($O128/$K128,1/4))</f>
        <v>4208689.6647377694</v>
      </c>
    </row>
    <row r="129" spans="1:16" ht="13.35" customHeight="1">
      <c r="A129" s="94" t="s">
        <v>1018</v>
      </c>
      <c r="B129" s="202">
        <v>36262960.152080998</v>
      </c>
      <c r="C129" s="202">
        <v>36615216.764517203</v>
      </c>
      <c r="D129" s="202">
        <v>55498211.432698101</v>
      </c>
      <c r="E129" s="202">
        <v>58888731.512199499</v>
      </c>
      <c r="F129" s="202">
        <v>56320348.194933303</v>
      </c>
      <c r="G129" s="202">
        <v>63047000</v>
      </c>
      <c r="H129" s="202">
        <v>65880082.842469603</v>
      </c>
      <c r="I129" s="202">
        <v>52874705.793141998</v>
      </c>
      <c r="J129" s="202">
        <v>58995611.8775215</v>
      </c>
      <c r="K129" s="202">
        <v>72593463.510000005</v>
      </c>
      <c r="L129" s="202">
        <v>78563015.569999993</v>
      </c>
      <c r="M129" s="202">
        <v>67786334.010000005</v>
      </c>
      <c r="N129" s="202">
        <v>71173105.469999999</v>
      </c>
      <c r="O129" s="202">
        <v>81411116</v>
      </c>
      <c r="P129" s="203">
        <f t="shared" si="74"/>
        <v>83778051.589994088</v>
      </c>
    </row>
    <row r="130" spans="1:16" ht="13.35" customHeight="1">
      <c r="A130" s="94" t="s">
        <v>1019</v>
      </c>
      <c r="B130" s="202">
        <v>55402632.597683303</v>
      </c>
      <c r="C130" s="202">
        <v>57861008.8626258</v>
      </c>
      <c r="D130" s="202">
        <v>70568200.334260702</v>
      </c>
      <c r="E130" s="202">
        <v>65596180.816378497</v>
      </c>
      <c r="F130" s="202">
        <v>74174236.462423801</v>
      </c>
      <c r="G130" s="202">
        <v>84619000</v>
      </c>
      <c r="H130" s="202">
        <v>79171915.528561801</v>
      </c>
      <c r="I130" s="202">
        <v>70242299.976854503</v>
      </c>
      <c r="J130" s="202">
        <v>93624261.638176695</v>
      </c>
      <c r="K130" s="202">
        <v>80106719.629999995</v>
      </c>
      <c r="L130" s="202">
        <v>82520278.359999999</v>
      </c>
      <c r="M130" s="202">
        <v>76686199.109999999</v>
      </c>
      <c r="N130" s="202">
        <v>78109113.049999997</v>
      </c>
      <c r="O130" s="202">
        <v>79872924</v>
      </c>
      <c r="P130" s="203">
        <f t="shared" si="74"/>
        <v>79814581.786752224</v>
      </c>
    </row>
    <row r="131" spans="1:16" ht="13.35" customHeight="1">
      <c r="A131" s="94" t="s">
        <v>1020</v>
      </c>
      <c r="B131" s="203">
        <f t="shared" ref="B131:P131" si="75">B130+B128</f>
        <v>68624943.409262151</v>
      </c>
      <c r="C131" s="203">
        <f t="shared" si="75"/>
        <v>74197262.787613362</v>
      </c>
      <c r="D131" s="203">
        <f t="shared" si="75"/>
        <v>83605130.308819667</v>
      </c>
      <c r="E131" s="203">
        <f t="shared" si="75"/>
        <v>76904395.42031762</v>
      </c>
      <c r="F131" s="203">
        <f t="shared" si="75"/>
        <v>87874486.087163419</v>
      </c>
      <c r="G131" s="203">
        <f t="shared" si="75"/>
        <v>96113000</v>
      </c>
      <c r="H131" s="203">
        <f t="shared" si="75"/>
        <v>88245873.148561805</v>
      </c>
      <c r="I131" s="203">
        <f t="shared" si="75"/>
        <v>78131575.056854501</v>
      </c>
      <c r="J131" s="203">
        <f t="shared" si="75"/>
        <v>104932183.13817669</v>
      </c>
      <c r="K131" s="203">
        <f t="shared" si="75"/>
        <v>87011695.979999989</v>
      </c>
      <c r="L131" s="203">
        <f t="shared" si="75"/>
        <v>87051684.140000001</v>
      </c>
      <c r="M131" s="203">
        <f t="shared" si="75"/>
        <v>81286792.719999999</v>
      </c>
      <c r="N131" s="203">
        <f t="shared" si="75"/>
        <v>83503002.239999995</v>
      </c>
      <c r="O131" s="203">
        <f t="shared" si="75"/>
        <v>84519681</v>
      </c>
      <c r="P131" s="203">
        <f t="shared" si="75"/>
        <v>84023271.45149</v>
      </c>
    </row>
    <row r="132" spans="1:16" ht="13.35" customHeight="1">
      <c r="A132" s="94" t="s">
        <v>1021</v>
      </c>
      <c r="B132" s="203">
        <f t="shared" ref="B132:P132" si="76">B129+B127</f>
        <v>40089960.152080998</v>
      </c>
      <c r="C132" s="203">
        <f t="shared" si="76"/>
        <v>39807216.764517203</v>
      </c>
      <c r="D132" s="203">
        <f t="shared" si="76"/>
        <v>59265211.432698101</v>
      </c>
      <c r="E132" s="203">
        <f t="shared" si="76"/>
        <v>58844731.512199499</v>
      </c>
      <c r="F132" s="203">
        <f t="shared" si="76"/>
        <v>52590348.194933303</v>
      </c>
      <c r="G132" s="203">
        <f t="shared" si="76"/>
        <v>55780000</v>
      </c>
      <c r="H132" s="203">
        <f t="shared" si="76"/>
        <v>47627007.218633503</v>
      </c>
      <c r="I132" s="203">
        <f t="shared" si="76"/>
        <v>39623149.143142</v>
      </c>
      <c r="J132" s="203">
        <f t="shared" si="76"/>
        <v>49633896.577521503</v>
      </c>
      <c r="K132" s="203">
        <f t="shared" si="76"/>
        <v>65653468.270000003</v>
      </c>
      <c r="L132" s="203">
        <f t="shared" si="76"/>
        <v>72291499.679999992</v>
      </c>
      <c r="M132" s="203">
        <f t="shared" si="76"/>
        <v>63397332.970000006</v>
      </c>
      <c r="N132" s="203">
        <f t="shared" si="76"/>
        <v>65732001.259999998</v>
      </c>
      <c r="O132" s="203">
        <f t="shared" si="76"/>
        <v>75488656</v>
      </c>
      <c r="P132" s="203">
        <f t="shared" si="76"/>
        <v>78085750.324288294</v>
      </c>
    </row>
    <row r="133" spans="1:16" ht="13.35" customHeight="1">
      <c r="A133" s="94" t="s">
        <v>1022</v>
      </c>
      <c r="B133" s="203">
        <f t="shared" ref="B133:P133" si="77">B131+B132</f>
        <v>108714903.56134315</v>
      </c>
      <c r="C133" s="203">
        <f t="shared" si="77"/>
        <v>114004479.55213057</v>
      </c>
      <c r="D133" s="203">
        <f t="shared" si="77"/>
        <v>142870341.74151778</v>
      </c>
      <c r="E133" s="203">
        <f t="shared" si="77"/>
        <v>135749126.93251711</v>
      </c>
      <c r="F133" s="203">
        <f t="shared" si="77"/>
        <v>140464834.28209671</v>
      </c>
      <c r="G133" s="203">
        <f t="shared" si="77"/>
        <v>151893000</v>
      </c>
      <c r="H133" s="203">
        <f t="shared" si="77"/>
        <v>135872880.36719531</v>
      </c>
      <c r="I133" s="203">
        <f t="shared" si="77"/>
        <v>117754724.1999965</v>
      </c>
      <c r="J133" s="203">
        <f t="shared" si="77"/>
        <v>154566079.71569818</v>
      </c>
      <c r="K133" s="203">
        <f t="shared" si="77"/>
        <v>152665164.25</v>
      </c>
      <c r="L133" s="203">
        <f t="shared" si="77"/>
        <v>159343183.81999999</v>
      </c>
      <c r="M133" s="203">
        <f t="shared" si="77"/>
        <v>144684125.69</v>
      </c>
      <c r="N133" s="203">
        <f t="shared" si="77"/>
        <v>149235003.5</v>
      </c>
      <c r="O133" s="203">
        <f t="shared" si="77"/>
        <v>160008337</v>
      </c>
      <c r="P133" s="203">
        <f t="shared" si="77"/>
        <v>162109021.77577829</v>
      </c>
    </row>
    <row r="134" spans="1:16" ht="13.35" customHeight="1">
      <c r="A134" s="94" t="s">
        <v>1023</v>
      </c>
      <c r="B134" s="204">
        <f t="shared" ref="B134:P134" si="78">(B129+B130)/B133</f>
        <v>0.84317411639924178</v>
      </c>
      <c r="C134" s="204">
        <f t="shared" si="78"/>
        <v>0.82870625784438645</v>
      </c>
      <c r="D134" s="204">
        <f t="shared" si="78"/>
        <v>0.88238335703738435</v>
      </c>
      <c r="E134" s="204">
        <f t="shared" si="78"/>
        <v>0.91702182652313691</v>
      </c>
      <c r="F134" s="204">
        <f t="shared" si="78"/>
        <v>0.92901960354919666</v>
      </c>
      <c r="G134" s="204">
        <f t="shared" si="78"/>
        <v>0.97217119946277974</v>
      </c>
      <c r="H134" s="204">
        <f t="shared" si="78"/>
        <v>1.0675566601593314</v>
      </c>
      <c r="I134" s="204">
        <f t="shared" si="78"/>
        <v>1.0455377192416724</v>
      </c>
      <c r="J134" s="204">
        <f t="shared" si="78"/>
        <v>0.98740858147156385</v>
      </c>
      <c r="K134" s="204">
        <f t="shared" si="78"/>
        <v>1.0002293836329461</v>
      </c>
      <c r="L134" s="204">
        <f t="shared" si="78"/>
        <v>1.0109205180183025</v>
      </c>
      <c r="M134" s="204">
        <f t="shared" si="78"/>
        <v>0.99853755504281549</v>
      </c>
      <c r="N134" s="204">
        <f t="shared" si="78"/>
        <v>1.0003163803323125</v>
      </c>
      <c r="O134" s="204">
        <f t="shared" si="78"/>
        <v>1.0079727283210249</v>
      </c>
      <c r="P134" s="204">
        <f t="shared" si="78"/>
        <v>1.0091519372871183</v>
      </c>
    </row>
    <row r="135" spans="1:16" ht="13.35" customHeight="1">
      <c r="A135" s="94" t="s">
        <v>1024</v>
      </c>
      <c r="B135" s="204">
        <f t="shared" ref="B135:P135" si="79">B129/B132</f>
        <v>0.90453969059878581</v>
      </c>
      <c r="C135" s="204">
        <f t="shared" si="79"/>
        <v>0.91981353484513795</v>
      </c>
      <c r="D135" s="204">
        <f t="shared" si="79"/>
        <v>0.93643825932726443</v>
      </c>
      <c r="E135" s="204">
        <f t="shared" si="79"/>
        <v>1.0007477304912316</v>
      </c>
      <c r="F135" s="204">
        <f t="shared" si="79"/>
        <v>1.0709255619714524</v>
      </c>
      <c r="G135" s="204">
        <f t="shared" si="79"/>
        <v>1.1302796701326641</v>
      </c>
      <c r="H135" s="204">
        <f t="shared" si="79"/>
        <v>1.3832505271650746</v>
      </c>
      <c r="I135" s="204">
        <f t="shared" si="79"/>
        <v>1.3344397640411574</v>
      </c>
      <c r="J135" s="204">
        <f t="shared" si="79"/>
        <v>1.188615360580813</v>
      </c>
      <c r="K135" s="204">
        <f t="shared" si="79"/>
        <v>1.1057064527262941</v>
      </c>
      <c r="L135" s="204">
        <f t="shared" si="79"/>
        <v>1.0867531579474905</v>
      </c>
      <c r="M135" s="204">
        <f t="shared" si="79"/>
        <v>1.069230058022739</v>
      </c>
      <c r="N135" s="204">
        <f t="shared" si="79"/>
        <v>1.0827770964781365</v>
      </c>
      <c r="O135" s="204">
        <f t="shared" si="79"/>
        <v>1.0784549667966006</v>
      </c>
      <c r="P135" s="204">
        <f t="shared" si="79"/>
        <v>1.0728980798937808</v>
      </c>
    </row>
    <row r="136" spans="1:16" ht="13.35" customHeight="1">
      <c r="A136" s="94"/>
      <c r="B136" s="94"/>
      <c r="C136" s="94"/>
      <c r="D136" s="94"/>
      <c r="E136" s="94"/>
      <c r="F136" s="94"/>
      <c r="G136" s="94"/>
      <c r="H136" s="94"/>
      <c r="I136" s="94"/>
      <c r="J136" s="94"/>
      <c r="K136" s="94"/>
      <c r="L136" s="94"/>
      <c r="M136" s="94"/>
    </row>
    <row r="137" spans="1:16" ht="13.35" customHeight="1">
      <c r="A137" s="201" t="s">
        <v>84</v>
      </c>
      <c r="B137" s="201">
        <v>2009</v>
      </c>
      <c r="C137" s="201">
        <v>2010</v>
      </c>
      <c r="D137" s="201">
        <v>2011</v>
      </c>
      <c r="E137" s="201">
        <v>2012</v>
      </c>
      <c r="F137" s="201">
        <v>2013</v>
      </c>
      <c r="G137" s="201">
        <v>2014</v>
      </c>
      <c r="H137" s="201">
        <v>2015</v>
      </c>
      <c r="I137" s="201">
        <v>2016</v>
      </c>
      <c r="J137" s="201">
        <v>2017</v>
      </c>
      <c r="K137" s="201">
        <v>2018</v>
      </c>
      <c r="L137" s="201">
        <v>2019</v>
      </c>
      <c r="M137" s="201">
        <v>2020</v>
      </c>
      <c r="N137" s="201">
        <v>2021</v>
      </c>
      <c r="O137" s="201">
        <v>2022</v>
      </c>
      <c r="P137" s="201">
        <v>2023</v>
      </c>
    </row>
    <row r="138" spans="1:16" ht="13.35" customHeight="1">
      <c r="A138" s="94" t="s">
        <v>1016</v>
      </c>
      <c r="B138" s="202">
        <v>5220754.62950774</v>
      </c>
      <c r="C138" s="202">
        <v>6507118.6362891598</v>
      </c>
      <c r="D138" s="202">
        <v>6732707.0078473901</v>
      </c>
      <c r="E138" s="202">
        <v>9507981.87686483</v>
      </c>
      <c r="F138" s="202">
        <v>4282109.6365736304</v>
      </c>
      <c r="G138" s="202">
        <v>4118048.2721407101</v>
      </c>
      <c r="H138" s="202">
        <v>1514270.9209865299</v>
      </c>
      <c r="I138" s="202">
        <v>2990293.7172534699</v>
      </c>
      <c r="J138" s="202">
        <v>4771043.8140579304</v>
      </c>
      <c r="K138" s="202">
        <v>10621012.7565205</v>
      </c>
      <c r="L138" s="202">
        <v>12703369.34619</v>
      </c>
      <c r="M138" s="202">
        <v>15849999.2171584</v>
      </c>
      <c r="N138" s="202">
        <v>14052982.9765129</v>
      </c>
      <c r="O138" s="202">
        <v>13924776</v>
      </c>
      <c r="P138" s="202">
        <v>19643636.130944334</v>
      </c>
    </row>
    <row r="139" spans="1:16" ht="13.35" customHeight="1">
      <c r="A139" s="94" t="s">
        <v>1017</v>
      </c>
      <c r="B139" s="202">
        <v>12933630.726208501</v>
      </c>
      <c r="C139" s="202">
        <v>21492919.442710299</v>
      </c>
      <c r="D139" s="202">
        <v>19846777.336366002</v>
      </c>
      <c r="E139" s="202">
        <v>16743814.3669012</v>
      </c>
      <c r="F139" s="202">
        <v>23045675.9215644</v>
      </c>
      <c r="G139" s="202">
        <v>21604475.028512798</v>
      </c>
      <c r="H139" s="202">
        <v>19979562.4175325</v>
      </c>
      <c r="I139" s="202">
        <v>13586263.6322915</v>
      </c>
      <c r="J139" s="202">
        <v>17351617.498628501</v>
      </c>
      <c r="K139" s="202">
        <v>25171425.363479499</v>
      </c>
      <c r="L139" s="202">
        <v>21604272.82381</v>
      </c>
      <c r="M139" s="202">
        <v>24957176.382841598</v>
      </c>
      <c r="N139" s="202">
        <v>23759117.411717799</v>
      </c>
      <c r="O139" s="202">
        <v>22566117</v>
      </c>
      <c r="P139" s="202">
        <v>23550126.974467743</v>
      </c>
    </row>
    <row r="140" spans="1:16" ht="13.35" customHeight="1">
      <c r="A140" s="94" t="s">
        <v>1018</v>
      </c>
      <c r="B140" s="202">
        <v>21678007.037925102</v>
      </c>
      <c r="C140" s="202">
        <v>22713834.6011126</v>
      </c>
      <c r="D140" s="202">
        <v>26646427.8546229</v>
      </c>
      <c r="E140" s="202">
        <v>25236441.746572901</v>
      </c>
      <c r="F140" s="202">
        <v>13015269.752838099</v>
      </c>
      <c r="G140" s="202">
        <v>11283146.613411101</v>
      </c>
      <c r="H140" s="202">
        <v>12907124.4971548</v>
      </c>
      <c r="I140" s="202">
        <v>18975537.200034901</v>
      </c>
      <c r="J140" s="202">
        <v>10672569.459387301</v>
      </c>
      <c r="K140" s="202">
        <v>16870356.189646401</v>
      </c>
      <c r="L140" s="202">
        <v>17937696.993652198</v>
      </c>
      <c r="M140" s="202">
        <v>21030036.678213201</v>
      </c>
      <c r="N140" s="202">
        <v>17447027.275360901</v>
      </c>
      <c r="O140" s="202">
        <v>17053362</v>
      </c>
      <c r="P140" s="202">
        <v>18889088.623740066</v>
      </c>
    </row>
    <row r="141" spans="1:16" ht="13.35" customHeight="1">
      <c r="A141" s="94" t="s">
        <v>1019</v>
      </c>
      <c r="B141" s="202">
        <v>24907704.542917501</v>
      </c>
      <c r="C141" s="202">
        <v>30721870.520250801</v>
      </c>
      <c r="D141" s="202">
        <v>29151979.434658401</v>
      </c>
      <c r="E141" s="202">
        <v>26496813.6885783</v>
      </c>
      <c r="F141" s="202">
        <v>27520592.2700097</v>
      </c>
      <c r="G141" s="202">
        <v>31000092.1175409</v>
      </c>
      <c r="H141" s="202">
        <v>33988436.534106903</v>
      </c>
      <c r="I141" s="202">
        <v>44861553.298164003</v>
      </c>
      <c r="J141" s="202">
        <v>35074621.278205998</v>
      </c>
      <c r="K141" s="202">
        <v>26409369.439848799</v>
      </c>
      <c r="L141" s="202">
        <v>16400458.501343001</v>
      </c>
      <c r="M141" s="202">
        <v>17700474.077544801</v>
      </c>
      <c r="N141" s="202">
        <v>22005898.1113148</v>
      </c>
      <c r="O141" s="202">
        <v>22048560</v>
      </c>
      <c r="P141" s="202">
        <v>24421999.455052335</v>
      </c>
    </row>
    <row r="142" spans="1:16" ht="13.35" customHeight="1">
      <c r="A142" s="94" t="s">
        <v>1020</v>
      </c>
      <c r="B142" s="203">
        <f t="shared" ref="B142:P142" si="80">B141+B139</f>
        <v>37841335.269125998</v>
      </c>
      <c r="C142" s="203">
        <f t="shared" si="80"/>
        <v>52214789.9629611</v>
      </c>
      <c r="D142" s="203">
        <f t="shared" si="80"/>
        <v>48998756.771024406</v>
      </c>
      <c r="E142" s="203">
        <f t="shared" si="80"/>
        <v>43240628.055479497</v>
      </c>
      <c r="F142" s="203">
        <f t="shared" si="80"/>
        <v>50566268.191574097</v>
      </c>
      <c r="G142" s="203">
        <f t="shared" si="80"/>
        <v>52604567.146053702</v>
      </c>
      <c r="H142" s="203">
        <f t="shared" si="80"/>
        <v>53967998.951639399</v>
      </c>
      <c r="I142" s="203">
        <f t="shared" si="80"/>
        <v>58447816.930455506</v>
      </c>
      <c r="J142" s="203">
        <f t="shared" si="80"/>
        <v>52426238.776834503</v>
      </c>
      <c r="K142" s="203">
        <f t="shared" si="80"/>
        <v>51580794.803328298</v>
      </c>
      <c r="L142" s="203">
        <f t="shared" si="80"/>
        <v>38004731.325153001</v>
      </c>
      <c r="M142" s="203">
        <f t="shared" si="80"/>
        <v>42657650.460386395</v>
      </c>
      <c r="N142" s="203">
        <f t="shared" si="80"/>
        <v>45765015.523032598</v>
      </c>
      <c r="O142" s="203">
        <f t="shared" si="80"/>
        <v>44614677</v>
      </c>
      <c r="P142" s="203">
        <f t="shared" si="80"/>
        <v>47972126.429520078</v>
      </c>
    </row>
    <row r="143" spans="1:16" ht="13.35" customHeight="1">
      <c r="A143" s="94" t="s">
        <v>1021</v>
      </c>
      <c r="B143" s="203">
        <f t="shared" ref="B143:P143" si="81">B140+B138</f>
        <v>26898761.667432841</v>
      </c>
      <c r="C143" s="203">
        <f t="shared" si="81"/>
        <v>29220953.237401761</v>
      </c>
      <c r="D143" s="203">
        <f t="shared" si="81"/>
        <v>33379134.862470292</v>
      </c>
      <c r="E143" s="203">
        <f t="shared" si="81"/>
        <v>34744423.623437732</v>
      </c>
      <c r="F143" s="203">
        <f t="shared" si="81"/>
        <v>17297379.389411729</v>
      </c>
      <c r="G143" s="203">
        <f t="shared" si="81"/>
        <v>15401194.88555181</v>
      </c>
      <c r="H143" s="203">
        <f t="shared" si="81"/>
        <v>14421395.41814133</v>
      </c>
      <c r="I143" s="203">
        <f t="shared" si="81"/>
        <v>21965830.91728837</v>
      </c>
      <c r="J143" s="203">
        <f t="shared" si="81"/>
        <v>15443613.27344523</v>
      </c>
      <c r="K143" s="203">
        <f t="shared" si="81"/>
        <v>27491368.946166903</v>
      </c>
      <c r="L143" s="203">
        <f t="shared" si="81"/>
        <v>30641066.3398422</v>
      </c>
      <c r="M143" s="203">
        <f t="shared" si="81"/>
        <v>36880035.895371601</v>
      </c>
      <c r="N143" s="203">
        <f t="shared" si="81"/>
        <v>31500010.251873799</v>
      </c>
      <c r="O143" s="203">
        <f t="shared" si="81"/>
        <v>30978138</v>
      </c>
      <c r="P143" s="203">
        <f t="shared" si="81"/>
        <v>38532724.754684404</v>
      </c>
    </row>
    <row r="144" spans="1:16" ht="13.35" customHeight="1">
      <c r="A144" s="94" t="s">
        <v>1022</v>
      </c>
      <c r="B144" s="203">
        <f t="shared" ref="B144:N144" si="82">B143+B142</f>
        <v>64740096.936558843</v>
      </c>
      <c r="C144" s="203">
        <f t="shared" si="82"/>
        <v>81435743.200362861</v>
      </c>
      <c r="D144" s="203">
        <f t="shared" si="82"/>
        <v>82377891.633494705</v>
      </c>
      <c r="E144" s="203">
        <f t="shared" si="82"/>
        <v>77985051.678917229</v>
      </c>
      <c r="F144" s="203">
        <f t="shared" si="82"/>
        <v>67863647.580985829</v>
      </c>
      <c r="G144" s="203">
        <f t="shared" si="82"/>
        <v>68005762.031605512</v>
      </c>
      <c r="H144" s="203">
        <f t="shared" si="82"/>
        <v>68389394.369780734</v>
      </c>
      <c r="I144" s="203">
        <f t="shared" si="82"/>
        <v>80413647.847743869</v>
      </c>
      <c r="J144" s="203">
        <f t="shared" si="82"/>
        <v>67869852.050279737</v>
      </c>
      <c r="K144" s="203">
        <f t="shared" si="82"/>
        <v>79072163.749495208</v>
      </c>
      <c r="L144" s="203">
        <f t="shared" si="82"/>
        <v>68645797.664995193</v>
      </c>
      <c r="M144" s="203">
        <f t="shared" si="82"/>
        <v>79537686.355757996</v>
      </c>
      <c r="N144" s="203">
        <f t="shared" si="82"/>
        <v>77265025.774906397</v>
      </c>
      <c r="O144" s="203">
        <f t="shared" ref="O144:P144" si="83">O142+O143</f>
        <v>75592815</v>
      </c>
      <c r="P144" s="203">
        <f t="shared" si="83"/>
        <v>86504851.184204489</v>
      </c>
    </row>
    <row r="145" spans="1:16" ht="13.35" customHeight="1">
      <c r="A145" s="94" t="s">
        <v>1023</v>
      </c>
      <c r="B145" s="204">
        <f t="shared" ref="B145:N145" si="84">(B141+B140)/B144</f>
        <v>0.71958050397257856</v>
      </c>
      <c r="C145" s="204">
        <f t="shared" si="84"/>
        <v>0.65617016584340948</v>
      </c>
      <c r="D145" s="204">
        <f t="shared" si="84"/>
        <v>0.67734687284220041</v>
      </c>
      <c r="E145" s="204">
        <f t="shared" si="84"/>
        <v>0.66337399695712407</v>
      </c>
      <c r="F145" s="204">
        <f t="shared" si="84"/>
        <v>0.59731334031926131</v>
      </c>
      <c r="G145" s="204">
        <f t="shared" si="84"/>
        <v>0.62175964900299141</v>
      </c>
      <c r="H145" s="204">
        <f t="shared" si="84"/>
        <v>0.68571393946988179</v>
      </c>
      <c r="I145" s="204">
        <f t="shared" si="84"/>
        <v>0.79385890587961871</v>
      </c>
      <c r="J145" s="204">
        <f t="shared" si="84"/>
        <v>0.67404288289449343</v>
      </c>
      <c r="K145" s="204">
        <f t="shared" si="84"/>
        <v>0.54734464794219695</v>
      </c>
      <c r="L145" s="204">
        <f t="shared" si="84"/>
        <v>0.50022225195156245</v>
      </c>
      <c r="M145" s="204">
        <f t="shared" si="84"/>
        <v>0.48694540324599439</v>
      </c>
      <c r="N145" s="204">
        <f t="shared" si="84"/>
        <v>0.51061816120546677</v>
      </c>
      <c r="O145" s="204">
        <f t="shared" ref="O145:P145" si="85">(O140+O141)/O144</f>
        <v>0.51727035168620195</v>
      </c>
      <c r="P145" s="204">
        <f t="shared" si="85"/>
        <v>0.50067814100466157</v>
      </c>
    </row>
    <row r="146" spans="1:16" ht="13.35" customHeight="1">
      <c r="A146" s="94" t="s">
        <v>1024</v>
      </c>
      <c r="B146" s="204">
        <f t="shared" ref="B146:P146" si="86">B140/B143</f>
        <v>0.80591096742462065</v>
      </c>
      <c r="C146" s="204">
        <f t="shared" si="86"/>
        <v>0.77731326615449747</v>
      </c>
      <c r="D146" s="204">
        <f t="shared" si="86"/>
        <v>0.79829594039546881</v>
      </c>
      <c r="E146" s="204">
        <f t="shared" si="86"/>
        <v>0.72634509698842775</v>
      </c>
      <c r="F146" s="204">
        <f t="shared" si="86"/>
        <v>0.75244171153493666</v>
      </c>
      <c r="G146" s="204">
        <f t="shared" si="86"/>
        <v>0.73261501443605925</v>
      </c>
      <c r="H146" s="204">
        <f t="shared" si="86"/>
        <v>0.89499830792506674</v>
      </c>
      <c r="I146" s="204">
        <f t="shared" si="86"/>
        <v>0.86386612332065549</v>
      </c>
      <c r="J146" s="204">
        <f t="shared" si="86"/>
        <v>0.69106686825280861</v>
      </c>
      <c r="K146" s="204">
        <f t="shared" si="86"/>
        <v>0.61366009901804541</v>
      </c>
      <c r="L146" s="204">
        <f t="shared" si="86"/>
        <v>0.58541360129911768</v>
      </c>
      <c r="M146" s="204">
        <f t="shared" si="86"/>
        <v>0.5702282052510812</v>
      </c>
      <c r="N146" s="204">
        <f t="shared" si="86"/>
        <v>0.55387370149579718</v>
      </c>
      <c r="O146" s="204">
        <f t="shared" si="86"/>
        <v>0.55049667607523733</v>
      </c>
      <c r="P146" s="204">
        <f t="shared" si="86"/>
        <v>0.49020900400882572</v>
      </c>
    </row>
    <row r="147" spans="1:16" ht="13.35" customHeight="1">
      <c r="A147" s="94"/>
      <c r="B147" s="94"/>
      <c r="C147" s="94"/>
      <c r="D147" s="94"/>
      <c r="E147" s="94"/>
      <c r="F147" s="94"/>
      <c r="G147" s="94"/>
      <c r="H147" s="94"/>
      <c r="I147" s="94"/>
      <c r="J147" s="94"/>
      <c r="K147" s="94"/>
      <c r="L147" s="94"/>
      <c r="M147" s="94"/>
    </row>
    <row r="148" spans="1:16" ht="13.35" customHeight="1">
      <c r="A148" s="205" t="s">
        <v>78</v>
      </c>
      <c r="B148" s="201">
        <v>2009</v>
      </c>
      <c r="C148" s="201">
        <v>2010</v>
      </c>
      <c r="D148" s="201">
        <v>2011</v>
      </c>
      <c r="E148" s="201">
        <v>2012</v>
      </c>
      <c r="F148" s="201">
        <v>2013</v>
      </c>
      <c r="G148" s="201">
        <v>2014</v>
      </c>
      <c r="H148" s="201">
        <v>2015</v>
      </c>
      <c r="I148" s="201">
        <v>2016</v>
      </c>
      <c r="J148" s="201">
        <v>2017</v>
      </c>
      <c r="K148" s="201">
        <v>2018</v>
      </c>
      <c r="L148" s="201">
        <v>2019</v>
      </c>
      <c r="M148" s="201">
        <v>2020</v>
      </c>
      <c r="N148" s="201">
        <v>2021</v>
      </c>
      <c r="O148" s="201">
        <v>2022</v>
      </c>
      <c r="P148" s="201">
        <v>2023</v>
      </c>
    </row>
    <row r="149" spans="1:16" ht="13.35" customHeight="1">
      <c r="A149" s="94" t="s">
        <v>1016</v>
      </c>
      <c r="B149" s="202">
        <v>0</v>
      </c>
      <c r="C149" s="202">
        <v>0</v>
      </c>
      <c r="D149" s="202">
        <v>0</v>
      </c>
      <c r="E149" s="202">
        <v>0</v>
      </c>
      <c r="F149" s="202">
        <v>0</v>
      </c>
      <c r="G149" s="202">
        <v>0</v>
      </c>
      <c r="H149" s="202">
        <v>0</v>
      </c>
      <c r="I149" s="202">
        <v>0</v>
      </c>
      <c r="J149" s="202">
        <v>0</v>
      </c>
      <c r="K149" s="202">
        <v>0</v>
      </c>
      <c r="L149" s="202">
        <v>0</v>
      </c>
      <c r="M149" s="202">
        <v>0</v>
      </c>
      <c r="N149" s="202">
        <v>0</v>
      </c>
      <c r="O149" s="202">
        <v>0</v>
      </c>
      <c r="P149" s="202">
        <v>0</v>
      </c>
    </row>
    <row r="150" spans="1:16" ht="13.35" customHeight="1">
      <c r="A150" s="94" t="s">
        <v>1017</v>
      </c>
      <c r="B150" s="202">
        <v>0</v>
      </c>
      <c r="C150" s="202">
        <v>0</v>
      </c>
      <c r="D150" s="202">
        <v>0</v>
      </c>
      <c r="E150" s="202">
        <v>0</v>
      </c>
      <c r="F150" s="202">
        <v>0</v>
      </c>
      <c r="G150" s="202">
        <v>0</v>
      </c>
      <c r="H150" s="202">
        <v>16157649</v>
      </c>
      <c r="I150" s="202">
        <v>18648280</v>
      </c>
      <c r="J150" s="202">
        <v>14544337</v>
      </c>
      <c r="K150" s="202">
        <v>20671990.600000098</v>
      </c>
      <c r="L150" s="202">
        <v>20137682</v>
      </c>
      <c r="M150" s="202">
        <v>24454846</v>
      </c>
      <c r="N150" s="202">
        <v>24388256</v>
      </c>
      <c r="O150" s="202">
        <v>25983422</v>
      </c>
      <c r="P150" s="203">
        <f>O150*(POWER($O150/$K150,1/4))</f>
        <v>27512170.787942089</v>
      </c>
    </row>
    <row r="151" spans="1:16" ht="13.35" customHeight="1">
      <c r="A151" s="94" t="s">
        <v>1018</v>
      </c>
      <c r="B151" s="202">
        <v>40215847.783791304</v>
      </c>
      <c r="C151" s="202">
        <v>44588491.3313393</v>
      </c>
      <c r="D151" s="202">
        <v>46475153.757533997</v>
      </c>
      <c r="E151" s="202">
        <v>42077873.602923997</v>
      </c>
      <c r="F151" s="202">
        <v>40283404.300583802</v>
      </c>
      <c r="G151" s="202">
        <v>36316221.045000002</v>
      </c>
      <c r="H151" s="202">
        <v>38068160.935734697</v>
      </c>
      <c r="I151" s="202">
        <v>45098382.366241299</v>
      </c>
      <c r="J151" s="202">
        <v>64404932</v>
      </c>
      <c r="K151" s="202">
        <v>50568246.847540997</v>
      </c>
      <c r="L151" s="202">
        <v>53863801</v>
      </c>
      <c r="M151" s="202">
        <v>60474487</v>
      </c>
      <c r="N151" s="202">
        <v>60864843</v>
      </c>
      <c r="O151" s="202">
        <v>73262707</v>
      </c>
      <c r="P151" s="203">
        <f t="shared" ref="P151:P152" si="87">O151*(POWER($O151/$K151,1/4))</f>
        <v>80377450.65882425</v>
      </c>
    </row>
    <row r="152" spans="1:16" ht="13.35" customHeight="1">
      <c r="A152" s="94" t="s">
        <v>1019</v>
      </c>
      <c r="B152" s="202">
        <v>29278754.969837502</v>
      </c>
      <c r="C152" s="202">
        <v>25512298.128937401</v>
      </c>
      <c r="D152" s="202">
        <v>24180000</v>
      </c>
      <c r="E152" s="202">
        <v>11866721.050000001</v>
      </c>
      <c r="F152" s="202">
        <v>11917700</v>
      </c>
      <c r="G152" s="202">
        <v>19614239.555</v>
      </c>
      <c r="H152" s="202">
        <v>17432243.769532301</v>
      </c>
      <c r="I152" s="202">
        <v>19102033.002500001</v>
      </c>
      <c r="J152" s="202">
        <v>23324936</v>
      </c>
      <c r="K152" s="202">
        <v>14994502.249249</v>
      </c>
      <c r="L152" s="202">
        <v>14657071</v>
      </c>
      <c r="M152" s="202">
        <v>14297297</v>
      </c>
      <c r="N152" s="202">
        <v>15109112</v>
      </c>
      <c r="O152" s="202">
        <v>12856990</v>
      </c>
      <c r="P152" s="203">
        <f t="shared" si="87"/>
        <v>12372034.409932189</v>
      </c>
    </row>
    <row r="153" spans="1:16" ht="13.35" customHeight="1">
      <c r="A153" s="94" t="s">
        <v>1020</v>
      </c>
      <c r="B153" s="203">
        <f t="shared" ref="B153:P153" si="88">B152+B150</f>
        <v>29278754.969837502</v>
      </c>
      <c r="C153" s="203">
        <f t="shared" si="88"/>
        <v>25512298.128937401</v>
      </c>
      <c r="D153" s="203">
        <f t="shared" si="88"/>
        <v>24180000</v>
      </c>
      <c r="E153" s="203">
        <f t="shared" si="88"/>
        <v>11866721.050000001</v>
      </c>
      <c r="F153" s="203">
        <f t="shared" si="88"/>
        <v>11917700</v>
      </c>
      <c r="G153" s="203">
        <f t="shared" si="88"/>
        <v>19614239.555</v>
      </c>
      <c r="H153" s="203">
        <f t="shared" si="88"/>
        <v>33589892.769532301</v>
      </c>
      <c r="I153" s="203">
        <f t="shared" si="88"/>
        <v>37750313.002499998</v>
      </c>
      <c r="J153" s="203">
        <f t="shared" si="88"/>
        <v>37869273</v>
      </c>
      <c r="K153" s="203">
        <f t="shared" si="88"/>
        <v>35666492.849249095</v>
      </c>
      <c r="L153" s="203">
        <f t="shared" si="88"/>
        <v>34794753</v>
      </c>
      <c r="M153" s="203">
        <f t="shared" si="88"/>
        <v>38752143</v>
      </c>
      <c r="N153" s="203">
        <f t="shared" si="88"/>
        <v>39497368</v>
      </c>
      <c r="O153" s="203">
        <f t="shared" si="88"/>
        <v>38840412</v>
      </c>
      <c r="P153" s="203">
        <f t="shared" si="88"/>
        <v>39884205.197874278</v>
      </c>
    </row>
    <row r="154" spans="1:16" ht="13.35" customHeight="1">
      <c r="A154" s="94" t="s">
        <v>1021</v>
      </c>
      <c r="B154" s="203">
        <f t="shared" ref="B154:N154" si="89">B149+B151</f>
        <v>40215847.783791304</v>
      </c>
      <c r="C154" s="203">
        <f t="shared" si="89"/>
        <v>44588491.3313393</v>
      </c>
      <c r="D154" s="203">
        <f t="shared" si="89"/>
        <v>46475153.757533997</v>
      </c>
      <c r="E154" s="203">
        <f t="shared" si="89"/>
        <v>42077873.602923997</v>
      </c>
      <c r="F154" s="203">
        <f t="shared" si="89"/>
        <v>40283404.300583802</v>
      </c>
      <c r="G154" s="203">
        <f t="shared" si="89"/>
        <v>36316221.045000002</v>
      </c>
      <c r="H154" s="203">
        <f t="shared" si="89"/>
        <v>38068160.935734697</v>
      </c>
      <c r="I154" s="203">
        <f t="shared" si="89"/>
        <v>45098382.366241299</v>
      </c>
      <c r="J154" s="203">
        <f t="shared" si="89"/>
        <v>64404932</v>
      </c>
      <c r="K154" s="203">
        <f t="shared" si="89"/>
        <v>50568246.847540997</v>
      </c>
      <c r="L154" s="203">
        <f t="shared" si="89"/>
        <v>53863801</v>
      </c>
      <c r="M154" s="203">
        <f t="shared" si="89"/>
        <v>60474487</v>
      </c>
      <c r="N154" s="203">
        <f t="shared" si="89"/>
        <v>60864843</v>
      </c>
      <c r="O154" s="203">
        <f t="shared" ref="O154:P154" si="90">O151+O149</f>
        <v>73262707</v>
      </c>
      <c r="P154" s="203">
        <f t="shared" si="90"/>
        <v>80377450.65882425</v>
      </c>
    </row>
    <row r="155" spans="1:16" ht="13.35" customHeight="1">
      <c r="A155" s="94" t="s">
        <v>1022</v>
      </c>
      <c r="B155" s="203">
        <f t="shared" ref="B155:N155" si="91">B154+B153</f>
        <v>69494602.753628805</v>
      </c>
      <c r="C155" s="203">
        <f t="shared" si="91"/>
        <v>70100789.460276693</v>
      </c>
      <c r="D155" s="203">
        <f t="shared" si="91"/>
        <v>70655153.757533997</v>
      </c>
      <c r="E155" s="203">
        <f t="shared" si="91"/>
        <v>53944594.652924001</v>
      </c>
      <c r="F155" s="203">
        <f t="shared" si="91"/>
        <v>52201104.300583802</v>
      </c>
      <c r="G155" s="203">
        <f t="shared" si="91"/>
        <v>55930460.600000001</v>
      </c>
      <c r="H155" s="203">
        <f t="shared" si="91"/>
        <v>71658053.705266997</v>
      </c>
      <c r="I155" s="203">
        <f t="shared" si="91"/>
        <v>82848695.368741304</v>
      </c>
      <c r="J155" s="203">
        <f t="shared" si="91"/>
        <v>102274205</v>
      </c>
      <c r="K155" s="203">
        <f t="shared" si="91"/>
        <v>86234739.696790099</v>
      </c>
      <c r="L155" s="203">
        <f t="shared" si="91"/>
        <v>88658554</v>
      </c>
      <c r="M155" s="203">
        <f t="shared" si="91"/>
        <v>99226630</v>
      </c>
      <c r="N155" s="203">
        <f t="shared" si="91"/>
        <v>100362211</v>
      </c>
      <c r="O155" s="203">
        <f t="shared" ref="O155:P155" si="92">O153+O154</f>
        <v>112103119</v>
      </c>
      <c r="P155" s="203">
        <f t="shared" si="92"/>
        <v>120261655.85669853</v>
      </c>
    </row>
    <row r="156" spans="1:16" ht="13.35" customHeight="1">
      <c r="A156" s="94" t="s">
        <v>1023</v>
      </c>
      <c r="B156" s="204">
        <f t="shared" ref="B156:N156" si="93">(B152+B151)/B155</f>
        <v>1</v>
      </c>
      <c r="C156" s="204">
        <f t="shared" si="93"/>
        <v>1</v>
      </c>
      <c r="D156" s="204">
        <f t="shared" si="93"/>
        <v>1</v>
      </c>
      <c r="E156" s="204">
        <f t="shared" si="93"/>
        <v>1</v>
      </c>
      <c r="F156" s="204">
        <f t="shared" si="93"/>
        <v>1</v>
      </c>
      <c r="G156" s="204">
        <f t="shared" si="93"/>
        <v>1</v>
      </c>
      <c r="H156" s="204">
        <f t="shared" si="93"/>
        <v>0.7745173338581427</v>
      </c>
      <c r="I156" s="204">
        <f t="shared" si="93"/>
        <v>0.77491160341148868</v>
      </c>
      <c r="J156" s="204">
        <f t="shared" si="93"/>
        <v>0.85779075965440166</v>
      </c>
      <c r="K156" s="204">
        <f t="shared" si="93"/>
        <v>0.76028233316775962</v>
      </c>
      <c r="L156" s="204">
        <f t="shared" si="93"/>
        <v>0.77286250348725516</v>
      </c>
      <c r="M156" s="204">
        <f t="shared" si="93"/>
        <v>0.75354553510484035</v>
      </c>
      <c r="N156" s="204">
        <f t="shared" si="93"/>
        <v>0.75699762134574733</v>
      </c>
      <c r="O156" s="204">
        <f t="shared" ref="O156:P156" si="94">(O151+O152)/O155</f>
        <v>0.76821856312490289</v>
      </c>
      <c r="P156" s="204">
        <f t="shared" si="94"/>
        <v>0.77123073358706229</v>
      </c>
    </row>
    <row r="157" spans="1:16" ht="13.35" customHeight="1">
      <c r="A157" s="94" t="s">
        <v>1024</v>
      </c>
      <c r="B157" s="204">
        <f t="shared" ref="B157:P157" si="95">B151/B154</f>
        <v>1</v>
      </c>
      <c r="C157" s="204">
        <f t="shared" si="95"/>
        <v>1</v>
      </c>
      <c r="D157" s="204">
        <f t="shared" si="95"/>
        <v>1</v>
      </c>
      <c r="E157" s="204">
        <f t="shared" si="95"/>
        <v>1</v>
      </c>
      <c r="F157" s="204">
        <f t="shared" si="95"/>
        <v>1</v>
      </c>
      <c r="G157" s="204">
        <f t="shared" si="95"/>
        <v>1</v>
      </c>
      <c r="H157" s="204">
        <f t="shared" si="95"/>
        <v>1</v>
      </c>
      <c r="I157" s="204">
        <f t="shared" si="95"/>
        <v>1</v>
      </c>
      <c r="J157" s="204">
        <f t="shared" si="95"/>
        <v>1</v>
      </c>
      <c r="K157" s="204">
        <f t="shared" si="95"/>
        <v>1</v>
      </c>
      <c r="L157" s="204">
        <f t="shared" si="95"/>
        <v>1</v>
      </c>
      <c r="M157" s="204">
        <f t="shared" si="95"/>
        <v>1</v>
      </c>
      <c r="N157" s="204">
        <f t="shared" si="95"/>
        <v>1</v>
      </c>
      <c r="O157" s="204">
        <f t="shared" si="95"/>
        <v>1</v>
      </c>
      <c r="P157" s="204">
        <f t="shared" si="95"/>
        <v>1</v>
      </c>
    </row>
    <row r="159" spans="1:16" s="200" customFormat="1" ht="13.35" customHeight="1">
      <c r="A159" s="2" t="s">
        <v>106</v>
      </c>
      <c r="B159" s="4"/>
      <c r="C159" s="4"/>
    </row>
  </sheetData>
  <hyperlinks>
    <hyperlink ref="A2" location="Index!A1" display="Index"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sheetPr>
  <dimension ref="A1:HS117"/>
  <sheetViews>
    <sheetView topLeftCell="A10" workbookViewId="0">
      <selection activeCell="B35" sqref="B35"/>
    </sheetView>
  </sheetViews>
  <sheetFormatPr defaultColWidth="8.85546875" defaultRowHeight="13.35" customHeight="1"/>
  <cols>
    <col min="1" max="1" width="45.85546875" style="23" bestFit="1" customWidth="1"/>
    <col min="2" max="2" width="24.42578125" style="23" bestFit="1" customWidth="1"/>
    <col min="3" max="16" width="8.85546875" style="23" customWidth="1"/>
    <col min="17" max="17" width="8.85546875" style="23" bestFit="1" customWidth="1"/>
    <col min="18" max="18" width="8.85546875" style="23" customWidth="1"/>
    <col min="19" max="32" width="10" style="23" customWidth="1"/>
    <col min="33" max="33" width="10" style="23" bestFit="1" customWidth="1"/>
    <col min="34" max="34" width="10" style="23" customWidth="1"/>
    <col min="35" max="48" width="8.85546875" style="23" customWidth="1"/>
    <col min="49" max="49" width="8.85546875" style="23" bestFit="1" customWidth="1"/>
    <col min="50" max="62" width="8.85546875" style="23" customWidth="1"/>
    <col min="63" max="64" width="10" style="23" customWidth="1"/>
    <col min="65" max="65" width="10" style="23" bestFit="1" customWidth="1"/>
    <col min="66" max="80" width="10" style="23" customWidth="1"/>
    <col min="81" max="81" width="10" style="23" bestFit="1" customWidth="1"/>
    <col min="82" max="82" width="10" style="23" customWidth="1"/>
    <col min="83" max="96" width="8.85546875" style="23" customWidth="1"/>
    <col min="97" max="97" width="8.85546875" style="23" bestFit="1" customWidth="1"/>
    <col min="98" max="112" width="8.85546875" style="23" customWidth="1"/>
    <col min="113" max="113" width="8.85546875" style="23" bestFit="1" customWidth="1"/>
    <col min="114" max="128" width="8.85546875" style="23" customWidth="1"/>
    <col min="129" max="129" width="8.85546875" style="23" bestFit="1" customWidth="1"/>
    <col min="130" max="144" width="8.85546875" style="23" customWidth="1"/>
    <col min="145" max="145" width="8.85546875" style="23" bestFit="1" customWidth="1"/>
    <col min="146" max="160" width="8.85546875" style="23" customWidth="1"/>
    <col min="161" max="161" width="8.85546875" style="23" bestFit="1" customWidth="1"/>
    <col min="162" max="176" width="8.85546875" style="23" customWidth="1"/>
    <col min="177" max="177" width="8.85546875" style="23" bestFit="1" customWidth="1"/>
    <col min="178" max="192" width="8.85546875" style="23" customWidth="1"/>
    <col min="193" max="193" width="8.85546875" style="23" bestFit="1" customWidth="1"/>
    <col min="194" max="197" width="8.85546875" style="23" customWidth="1"/>
    <col min="198" max="201" width="9.5703125" style="23" customWidth="1"/>
    <col min="202" max="202" width="8.85546875" style="23" customWidth="1"/>
    <col min="203" max="203" width="9.5703125" style="23" customWidth="1"/>
    <col min="204" max="204" width="8.85546875" style="23" customWidth="1"/>
    <col min="205" max="205" width="9.5703125" style="23" customWidth="1"/>
    <col min="206" max="206" width="8.85546875" style="23" customWidth="1"/>
    <col min="207" max="208" width="9.5703125" style="23" customWidth="1"/>
    <col min="209" max="210" width="8.85546875" style="23" bestFit="1" customWidth="1"/>
    <col min="211" max="229" width="9.140625" style="23" bestFit="1" customWidth="1"/>
    <col min="230" max="16384" width="8.85546875" style="23"/>
  </cols>
  <sheetData>
    <row r="1" spans="1:227" s="7" customFormat="1" ht="15.6" customHeight="1">
      <c r="A1" s="1" t="s">
        <v>894</v>
      </c>
    </row>
    <row r="2" spans="1:227" s="16" customFormat="1" ht="13.35" customHeight="1">
      <c r="A2" s="90" t="s">
        <v>86</v>
      </c>
      <c r="C2" s="15"/>
      <c r="E2" s="89"/>
    </row>
    <row r="3" spans="1:227" s="9" customFormat="1" ht="13.35" customHeight="1" thickBot="1">
      <c r="A3" s="8" t="s">
        <v>158</v>
      </c>
    </row>
    <row r="4" spans="1:227" s="9" customFormat="1" ht="13.35" customHeight="1"/>
    <row r="5" spans="1:227" s="4" customFormat="1" ht="13.35" customHeight="1">
      <c r="A5" s="2" t="s">
        <v>159</v>
      </c>
      <c r="C5" s="3"/>
      <c r="D5" s="3"/>
      <c r="E5" s="3"/>
      <c r="F5" s="3"/>
      <c r="G5" s="5"/>
      <c r="H5" s="6"/>
      <c r="I5" s="5"/>
      <c r="J5" s="6"/>
      <c r="K5" s="5"/>
      <c r="L5" s="5"/>
      <c r="M5" s="5"/>
      <c r="N5" s="5"/>
      <c r="O5" s="5"/>
      <c r="P5" s="5"/>
      <c r="Q5" s="5"/>
      <c r="R5" s="5"/>
      <c r="S5" s="5"/>
      <c r="T5" s="6"/>
      <c r="U5" s="6"/>
      <c r="V5" s="5"/>
      <c r="W5" s="5"/>
      <c r="X5" s="5"/>
      <c r="Y5" s="5"/>
      <c r="Z5" s="5"/>
    </row>
    <row r="6" spans="1:227" ht="13.35" customHeight="1">
      <c r="A6" s="65"/>
    </row>
    <row r="7" spans="1:227" s="21" customFormat="1" ht="13.35" customHeight="1">
      <c r="A7" s="98" t="s">
        <v>1007</v>
      </c>
      <c r="B7" s="23" t="s">
        <v>1008</v>
      </c>
      <c r="C7" s="133"/>
    </row>
    <row r="8" spans="1:227" s="21" customFormat="1" ht="13.35" customHeight="1">
      <c r="B8" s="195" t="s">
        <v>1009</v>
      </c>
      <c r="C8" s="133"/>
    </row>
    <row r="9" spans="1:227" s="21" customFormat="1" ht="13.35" customHeight="1">
      <c r="A9" s="98"/>
      <c r="C9" s="133"/>
    </row>
    <row r="10" spans="1:227" s="24" customFormat="1" ht="13.35" customHeight="1">
      <c r="A10" s="24" t="s">
        <v>160</v>
      </c>
      <c r="B10" s="24" t="s">
        <v>358</v>
      </c>
      <c r="C10" s="77" t="s">
        <v>163</v>
      </c>
      <c r="D10" s="77" t="s">
        <v>164</v>
      </c>
      <c r="E10" s="77" t="s">
        <v>165</v>
      </c>
      <c r="F10" s="77" t="s">
        <v>166</v>
      </c>
      <c r="G10" s="77" t="s">
        <v>167</v>
      </c>
      <c r="H10" s="77" t="s">
        <v>168</v>
      </c>
      <c r="I10" s="77" t="s">
        <v>169</v>
      </c>
      <c r="J10" s="77" t="s">
        <v>170</v>
      </c>
      <c r="K10" s="77" t="s">
        <v>171</v>
      </c>
      <c r="L10" s="77" t="s">
        <v>172</v>
      </c>
      <c r="M10" s="77" t="s">
        <v>173</v>
      </c>
      <c r="N10" s="77" t="s">
        <v>174</v>
      </c>
      <c r="O10" s="77" t="s">
        <v>175</v>
      </c>
      <c r="P10" s="77" t="s">
        <v>176</v>
      </c>
      <c r="Q10" s="77" t="s">
        <v>177</v>
      </c>
      <c r="R10" s="77" t="s">
        <v>704</v>
      </c>
      <c r="S10" s="77" t="s">
        <v>178</v>
      </c>
      <c r="T10" s="77" t="s">
        <v>179</v>
      </c>
      <c r="U10" s="77" t="s">
        <v>180</v>
      </c>
      <c r="V10" s="77" t="s">
        <v>181</v>
      </c>
      <c r="W10" s="77" t="s">
        <v>182</v>
      </c>
      <c r="X10" s="77" t="s">
        <v>183</v>
      </c>
      <c r="Y10" s="77" t="s">
        <v>184</v>
      </c>
      <c r="Z10" s="77" t="s">
        <v>185</v>
      </c>
      <c r="AA10" s="77" t="s">
        <v>186</v>
      </c>
      <c r="AB10" s="77" t="s">
        <v>187</v>
      </c>
      <c r="AC10" s="77" t="s">
        <v>188</v>
      </c>
      <c r="AD10" s="77" t="s">
        <v>189</v>
      </c>
      <c r="AE10" s="77" t="s">
        <v>190</v>
      </c>
      <c r="AF10" s="77" t="s">
        <v>191</v>
      </c>
      <c r="AG10" s="77" t="s">
        <v>192</v>
      </c>
      <c r="AH10" s="77" t="s">
        <v>364</v>
      </c>
      <c r="AI10" s="77" t="s">
        <v>193</v>
      </c>
      <c r="AJ10" s="77" t="s">
        <v>194</v>
      </c>
      <c r="AK10" s="77" t="s">
        <v>195</v>
      </c>
      <c r="AL10" s="77" t="s">
        <v>196</v>
      </c>
      <c r="AM10" s="77" t="s">
        <v>197</v>
      </c>
      <c r="AN10" s="77" t="s">
        <v>198</v>
      </c>
      <c r="AO10" s="77" t="s">
        <v>199</v>
      </c>
      <c r="AP10" s="77" t="s">
        <v>200</v>
      </c>
      <c r="AQ10" s="77" t="s">
        <v>201</v>
      </c>
      <c r="AR10" s="77" t="s">
        <v>202</v>
      </c>
      <c r="AS10" s="77" t="s">
        <v>203</v>
      </c>
      <c r="AT10" s="77" t="s">
        <v>204</v>
      </c>
      <c r="AU10" s="77" t="s">
        <v>205</v>
      </c>
      <c r="AV10" s="77" t="s">
        <v>206</v>
      </c>
      <c r="AW10" s="77" t="s">
        <v>207</v>
      </c>
      <c r="AX10" s="77" t="s">
        <v>707</v>
      </c>
      <c r="AY10" s="77" t="s">
        <v>208</v>
      </c>
      <c r="AZ10" s="77" t="s">
        <v>209</v>
      </c>
      <c r="BA10" s="77" t="s">
        <v>210</v>
      </c>
      <c r="BB10" s="77" t="s">
        <v>211</v>
      </c>
      <c r="BC10" s="77" t="s">
        <v>212</v>
      </c>
      <c r="BD10" s="77" t="s">
        <v>213</v>
      </c>
      <c r="BE10" s="77" t="s">
        <v>214</v>
      </c>
      <c r="BF10" s="77" t="s">
        <v>215</v>
      </c>
      <c r="BG10" s="77" t="s">
        <v>216</v>
      </c>
      <c r="BH10" s="77" t="s">
        <v>217</v>
      </c>
      <c r="BI10" s="77" t="s">
        <v>218</v>
      </c>
      <c r="BJ10" s="77" t="s">
        <v>219</v>
      </c>
      <c r="BK10" s="77" t="s">
        <v>220</v>
      </c>
      <c r="BL10" s="77" t="s">
        <v>221</v>
      </c>
      <c r="BM10" s="77" t="s">
        <v>222</v>
      </c>
      <c r="BN10" s="77" t="s">
        <v>710</v>
      </c>
      <c r="BO10" s="77" t="s">
        <v>223</v>
      </c>
      <c r="BP10" s="77" t="s">
        <v>224</v>
      </c>
      <c r="BQ10" s="77" t="s">
        <v>225</v>
      </c>
      <c r="BR10" s="77" t="s">
        <v>226</v>
      </c>
      <c r="BS10" s="77" t="s">
        <v>227</v>
      </c>
      <c r="BT10" s="77" t="s">
        <v>228</v>
      </c>
      <c r="BU10" s="77" t="s">
        <v>229</v>
      </c>
      <c r="BV10" s="77" t="s">
        <v>230</v>
      </c>
      <c r="BW10" s="77" t="s">
        <v>231</v>
      </c>
      <c r="BX10" s="77" t="s">
        <v>232</v>
      </c>
      <c r="BY10" s="77" t="s">
        <v>233</v>
      </c>
      <c r="BZ10" s="77" t="s">
        <v>234</v>
      </c>
      <c r="CA10" s="77" t="s">
        <v>235</v>
      </c>
      <c r="CB10" s="77" t="s">
        <v>236</v>
      </c>
      <c r="CC10" s="77" t="s">
        <v>237</v>
      </c>
      <c r="CD10" s="77" t="s">
        <v>713</v>
      </c>
      <c r="CE10" s="77" t="s">
        <v>238</v>
      </c>
      <c r="CF10" s="77" t="s">
        <v>239</v>
      </c>
      <c r="CG10" s="77" t="s">
        <v>240</v>
      </c>
      <c r="CH10" s="77" t="s">
        <v>241</v>
      </c>
      <c r="CI10" s="77" t="s">
        <v>242</v>
      </c>
      <c r="CJ10" s="77" t="s">
        <v>243</v>
      </c>
      <c r="CK10" s="77" t="s">
        <v>244</v>
      </c>
      <c r="CL10" s="77" t="s">
        <v>245</v>
      </c>
      <c r="CM10" s="77" t="s">
        <v>246</v>
      </c>
      <c r="CN10" s="77" t="s">
        <v>247</v>
      </c>
      <c r="CO10" s="77" t="s">
        <v>248</v>
      </c>
      <c r="CP10" s="77" t="s">
        <v>249</v>
      </c>
      <c r="CQ10" s="77" t="s">
        <v>250</v>
      </c>
      <c r="CR10" s="77" t="s">
        <v>251</v>
      </c>
      <c r="CS10" s="77" t="s">
        <v>252</v>
      </c>
      <c r="CT10" s="77" t="s">
        <v>716</v>
      </c>
      <c r="CU10" s="77" t="s">
        <v>253</v>
      </c>
      <c r="CV10" s="77" t="s">
        <v>254</v>
      </c>
      <c r="CW10" s="77" t="s">
        <v>255</v>
      </c>
      <c r="CX10" s="77" t="s">
        <v>256</v>
      </c>
      <c r="CY10" s="77" t="s">
        <v>257</v>
      </c>
      <c r="CZ10" s="77" t="s">
        <v>258</v>
      </c>
      <c r="DA10" s="77" t="s">
        <v>259</v>
      </c>
      <c r="DB10" s="77" t="s">
        <v>260</v>
      </c>
      <c r="DC10" s="77" t="s">
        <v>261</v>
      </c>
      <c r="DD10" s="77" t="s">
        <v>262</v>
      </c>
      <c r="DE10" s="77" t="s">
        <v>263</v>
      </c>
      <c r="DF10" s="77" t="s">
        <v>264</v>
      </c>
      <c r="DG10" s="77" t="s">
        <v>265</v>
      </c>
      <c r="DH10" s="77" t="s">
        <v>266</v>
      </c>
      <c r="DI10" s="77" t="s">
        <v>267</v>
      </c>
      <c r="DJ10" s="77" t="s">
        <v>719</v>
      </c>
      <c r="DK10" s="77" t="s">
        <v>268</v>
      </c>
      <c r="DL10" s="77" t="s">
        <v>269</v>
      </c>
      <c r="DM10" s="77" t="s">
        <v>270</v>
      </c>
      <c r="DN10" s="77" t="s">
        <v>271</v>
      </c>
      <c r="DO10" s="77" t="s">
        <v>272</v>
      </c>
      <c r="DP10" s="77" t="s">
        <v>273</v>
      </c>
      <c r="DQ10" s="77" t="s">
        <v>274</v>
      </c>
      <c r="DR10" s="77" t="s">
        <v>275</v>
      </c>
      <c r="DS10" s="77" t="s">
        <v>276</v>
      </c>
      <c r="DT10" s="77" t="s">
        <v>277</v>
      </c>
      <c r="DU10" s="77" t="s">
        <v>278</v>
      </c>
      <c r="DV10" s="77" t="s">
        <v>279</v>
      </c>
      <c r="DW10" s="77" t="s">
        <v>280</v>
      </c>
      <c r="DX10" s="77" t="s">
        <v>281</v>
      </c>
      <c r="DY10" s="77" t="s">
        <v>282</v>
      </c>
      <c r="DZ10" s="77" t="s">
        <v>722</v>
      </c>
      <c r="EA10" s="77" t="s">
        <v>283</v>
      </c>
      <c r="EB10" s="77" t="s">
        <v>284</v>
      </c>
      <c r="EC10" s="77" t="s">
        <v>285</v>
      </c>
      <c r="ED10" s="77" t="s">
        <v>286</v>
      </c>
      <c r="EE10" s="77" t="s">
        <v>287</v>
      </c>
      <c r="EF10" s="77" t="s">
        <v>288</v>
      </c>
      <c r="EG10" s="77" t="s">
        <v>289</v>
      </c>
      <c r="EH10" s="77" t="s">
        <v>290</v>
      </c>
      <c r="EI10" s="77" t="s">
        <v>291</v>
      </c>
      <c r="EJ10" s="77" t="s">
        <v>292</v>
      </c>
      <c r="EK10" s="77" t="s">
        <v>293</v>
      </c>
      <c r="EL10" s="77" t="s">
        <v>294</v>
      </c>
      <c r="EM10" s="77" t="s">
        <v>295</v>
      </c>
      <c r="EN10" s="77" t="s">
        <v>296</v>
      </c>
      <c r="EO10" s="77" t="s">
        <v>297</v>
      </c>
      <c r="EP10" s="77" t="s">
        <v>725</v>
      </c>
      <c r="EQ10" s="77" t="s">
        <v>298</v>
      </c>
      <c r="ER10" s="77" t="s">
        <v>299</v>
      </c>
      <c r="ES10" s="77" t="s">
        <v>300</v>
      </c>
      <c r="ET10" s="77" t="s">
        <v>301</v>
      </c>
      <c r="EU10" s="77" t="s">
        <v>302</v>
      </c>
      <c r="EV10" s="77" t="s">
        <v>303</v>
      </c>
      <c r="EW10" s="77" t="s">
        <v>304</v>
      </c>
      <c r="EX10" s="77" t="s">
        <v>305</v>
      </c>
      <c r="EY10" s="77" t="s">
        <v>306</v>
      </c>
      <c r="EZ10" s="77" t="s">
        <v>307</v>
      </c>
      <c r="FA10" s="77" t="s">
        <v>308</v>
      </c>
      <c r="FB10" s="77" t="s">
        <v>309</v>
      </c>
      <c r="FC10" s="77" t="s">
        <v>310</v>
      </c>
      <c r="FD10" s="77" t="s">
        <v>311</v>
      </c>
      <c r="FE10" s="77" t="s">
        <v>312</v>
      </c>
      <c r="FF10" s="77" t="s">
        <v>728</v>
      </c>
      <c r="FG10" s="77" t="s">
        <v>313</v>
      </c>
      <c r="FH10" s="77" t="s">
        <v>314</v>
      </c>
      <c r="FI10" s="77" t="s">
        <v>315</v>
      </c>
      <c r="FJ10" s="77" t="s">
        <v>316</v>
      </c>
      <c r="FK10" s="77" t="s">
        <v>317</v>
      </c>
      <c r="FL10" s="77" t="s">
        <v>318</v>
      </c>
      <c r="FM10" s="77" t="s">
        <v>319</v>
      </c>
      <c r="FN10" s="77" t="s">
        <v>320</v>
      </c>
      <c r="FO10" s="77" t="s">
        <v>321</v>
      </c>
      <c r="FP10" s="77" t="s">
        <v>322</v>
      </c>
      <c r="FQ10" s="77" t="s">
        <v>323</v>
      </c>
      <c r="FR10" s="77" t="s">
        <v>324</v>
      </c>
      <c r="FS10" s="77" t="s">
        <v>325</v>
      </c>
      <c r="FT10" s="77" t="s">
        <v>326</v>
      </c>
      <c r="FU10" s="77" t="s">
        <v>327</v>
      </c>
      <c r="FV10" s="77" t="s">
        <v>731</v>
      </c>
      <c r="FW10" s="77" t="s">
        <v>328</v>
      </c>
      <c r="FX10" s="77" t="s">
        <v>329</v>
      </c>
      <c r="FY10" s="77" t="s">
        <v>330</v>
      </c>
      <c r="FZ10" s="77" t="s">
        <v>331</v>
      </c>
      <c r="GA10" s="77" t="s">
        <v>332</v>
      </c>
      <c r="GB10" s="77" t="s">
        <v>333</v>
      </c>
      <c r="GC10" s="77" t="s">
        <v>334</v>
      </c>
      <c r="GD10" s="77" t="s">
        <v>335</v>
      </c>
      <c r="GE10" s="77" t="s">
        <v>336</v>
      </c>
      <c r="GF10" s="77" t="s">
        <v>337</v>
      </c>
      <c r="GG10" s="77" t="s">
        <v>338</v>
      </c>
      <c r="GH10" s="77" t="s">
        <v>339</v>
      </c>
      <c r="GI10" s="77" t="s">
        <v>340</v>
      </c>
      <c r="GJ10" s="77" t="s">
        <v>341</v>
      </c>
      <c r="GK10" s="77" t="s">
        <v>342</v>
      </c>
      <c r="GL10" s="77" t="s">
        <v>734</v>
      </c>
      <c r="GM10" s="77" t="s">
        <v>343</v>
      </c>
      <c r="GN10" s="77" t="s">
        <v>344</v>
      </c>
      <c r="GO10" s="77" t="s">
        <v>345</v>
      </c>
      <c r="GP10" s="77" t="s">
        <v>346</v>
      </c>
      <c r="GQ10" s="77" t="s">
        <v>347</v>
      </c>
      <c r="GR10" s="77" t="s">
        <v>348</v>
      </c>
      <c r="GS10" s="77" t="s">
        <v>349</v>
      </c>
      <c r="GT10" s="77" t="s">
        <v>350</v>
      </c>
      <c r="GU10" s="77" t="s">
        <v>351</v>
      </c>
      <c r="GV10" s="77" t="s">
        <v>352</v>
      </c>
      <c r="GW10" s="77" t="s">
        <v>353</v>
      </c>
      <c r="GX10" s="77" t="s">
        <v>354</v>
      </c>
      <c r="GY10" s="77" t="s">
        <v>355</v>
      </c>
      <c r="GZ10" s="77" t="s">
        <v>356</v>
      </c>
      <c r="HA10" s="77" t="s">
        <v>357</v>
      </c>
      <c r="HB10" s="77" t="s">
        <v>737</v>
      </c>
    </row>
    <row r="11" spans="1:227" s="69" customFormat="1" ht="13.35" customHeight="1">
      <c r="A11" s="69" t="s">
        <v>68</v>
      </c>
      <c r="B11" s="69" t="s">
        <v>69</v>
      </c>
      <c r="C11" s="72">
        <v>2347.6863600571855</v>
      </c>
      <c r="D11" s="72">
        <v>2341.5709032417249</v>
      </c>
      <c r="E11" s="72">
        <v>2335.5356935592044</v>
      </c>
      <c r="F11" s="72">
        <v>2329.581382067935</v>
      </c>
      <c r="G11" s="72">
        <v>2323.7086344791646</v>
      </c>
      <c r="H11" s="72">
        <v>2317.918131402751</v>
      </c>
      <c r="I11" s="72">
        <v>2312.2105685972292</v>
      </c>
      <c r="J11" s="72">
        <v>2306.5866572243467</v>
      </c>
      <c r="K11" s="72">
        <v>2301.0471241081536</v>
      </c>
      <c r="L11" s="72">
        <v>2295.5927119987255</v>
      </c>
      <c r="M11" s="72">
        <v>2290.2241798405903</v>
      </c>
      <c r="N11" s="72">
        <v>2287.5641186519815</v>
      </c>
      <c r="O11" s="72">
        <v>2285.1540552983311</v>
      </c>
      <c r="P11" s="72">
        <v>2280.9639249855368</v>
      </c>
      <c r="Q11" s="146">
        <v>2302.81</v>
      </c>
      <c r="R11" s="72">
        <v>2303.87</v>
      </c>
      <c r="S11" s="147">
        <v>26108.799999999999</v>
      </c>
      <c r="T11" s="72">
        <v>25884.5</v>
      </c>
      <c r="U11" s="72">
        <v>25986.1</v>
      </c>
      <c r="V11" s="72">
        <v>25934</v>
      </c>
      <c r="W11" s="72">
        <v>25966.7</v>
      </c>
      <c r="X11" s="72">
        <v>26138.7</v>
      </c>
      <c r="Y11" s="72">
        <v>26084.7</v>
      </c>
      <c r="Z11" s="72">
        <v>26071.9</v>
      </c>
      <c r="AA11" s="72">
        <v>26044.1</v>
      </c>
      <c r="AB11" s="72">
        <v>26005.77200452</v>
      </c>
      <c r="AC11" s="72">
        <v>25933.963453240001</v>
      </c>
      <c r="AD11" s="72">
        <v>25890.157595699999</v>
      </c>
      <c r="AE11" s="72">
        <v>25892</v>
      </c>
      <c r="AF11" s="72">
        <v>25868</v>
      </c>
      <c r="AG11" s="72">
        <v>25897.040000000001</v>
      </c>
      <c r="AH11" s="72">
        <v>25915.29</v>
      </c>
      <c r="AI11" s="72">
        <v>2260.8736773800001</v>
      </c>
      <c r="AJ11" s="72">
        <v>2292.1840148800002</v>
      </c>
      <c r="AK11" s="72">
        <v>2193.02731653</v>
      </c>
      <c r="AL11" s="72">
        <v>2191.9999999800002</v>
      </c>
      <c r="AM11" s="72">
        <v>2185.29349516</v>
      </c>
      <c r="AN11" s="72">
        <v>2223</v>
      </c>
      <c r="AO11" s="72">
        <v>2230</v>
      </c>
      <c r="AP11" s="72">
        <v>2233</v>
      </c>
      <c r="AQ11" s="72">
        <v>2270.3383899999999</v>
      </c>
      <c r="AR11" s="72">
        <v>2272.2336599999999</v>
      </c>
      <c r="AS11" s="72">
        <v>2274.4</v>
      </c>
      <c r="AT11" s="72">
        <v>2275.09</v>
      </c>
      <c r="AU11" s="72">
        <v>2267.8393000000001</v>
      </c>
      <c r="AV11" s="72">
        <v>2267.58</v>
      </c>
      <c r="AW11" s="72">
        <v>2259</v>
      </c>
      <c r="AX11" s="72">
        <v>2258.7268300000005</v>
      </c>
      <c r="AY11" s="72">
        <v>23387</v>
      </c>
      <c r="AZ11" s="72">
        <v>23409</v>
      </c>
      <c r="BA11" s="72">
        <v>23440</v>
      </c>
      <c r="BB11" s="72">
        <v>23443</v>
      </c>
      <c r="BC11" s="72">
        <v>23431</v>
      </c>
      <c r="BD11" s="72">
        <v>23411</v>
      </c>
      <c r="BE11" s="72">
        <v>23417</v>
      </c>
      <c r="BF11" s="72">
        <v>23412</v>
      </c>
      <c r="BG11" s="72">
        <v>23387.319</v>
      </c>
      <c r="BH11" s="72">
        <v>23369.325000000001</v>
      </c>
      <c r="BI11" s="72">
        <v>23294.758999999998</v>
      </c>
      <c r="BJ11" s="72">
        <v>23226.554247</v>
      </c>
      <c r="BK11" s="72">
        <v>23165.13191800001</v>
      </c>
      <c r="BL11" s="72">
        <v>23048.506835</v>
      </c>
      <c r="BM11" s="72">
        <v>22935.277536878282</v>
      </c>
      <c r="BN11" s="72">
        <v>22869.528205860333</v>
      </c>
      <c r="BO11" s="72">
        <v>34457</v>
      </c>
      <c r="BP11" s="72">
        <v>34623</v>
      </c>
      <c r="BQ11" s="72">
        <v>34659</v>
      </c>
      <c r="BR11" s="72">
        <v>34731</v>
      </c>
      <c r="BS11" s="72">
        <v>34780</v>
      </c>
      <c r="BT11" s="72">
        <v>34900</v>
      </c>
      <c r="BU11" s="72">
        <v>34992</v>
      </c>
      <c r="BV11" s="72">
        <v>35033</v>
      </c>
      <c r="BW11" s="72">
        <v>35102.33</v>
      </c>
      <c r="BX11" s="72">
        <v>35122.370000000003</v>
      </c>
      <c r="BY11" s="72">
        <v>35129.32</v>
      </c>
      <c r="BZ11" s="72">
        <v>35119</v>
      </c>
      <c r="CA11" s="72">
        <v>35090</v>
      </c>
      <c r="CB11" s="72">
        <v>35075</v>
      </c>
      <c r="CC11" s="72">
        <v>35073</v>
      </c>
      <c r="CD11" s="72">
        <v>35064</v>
      </c>
      <c r="CE11" s="72">
        <v>144395.92893726</v>
      </c>
      <c r="CF11" s="72">
        <v>145654.05244104</v>
      </c>
      <c r="CG11" s="72">
        <v>145367.16225174</v>
      </c>
      <c r="CH11" s="72">
        <v>145424.03933771999</v>
      </c>
      <c r="CI11" s="72">
        <v>145684.85145786</v>
      </c>
      <c r="CJ11" s="72">
        <v>145390.19746679999</v>
      </c>
      <c r="CK11" s="72">
        <v>146022.96540546001</v>
      </c>
      <c r="CL11" s="72">
        <v>142293.05232774999</v>
      </c>
      <c r="CM11" s="72">
        <v>142618.25899999999</v>
      </c>
      <c r="CN11" s="72">
        <v>143546.25599999999</v>
      </c>
      <c r="CO11" s="72">
        <v>143113.90362376999</v>
      </c>
      <c r="CP11" s="72">
        <v>143176.15728404</v>
      </c>
      <c r="CQ11" s="72">
        <v>143165.93242243686</v>
      </c>
      <c r="CR11" s="72">
        <v>143300.01298971489</v>
      </c>
      <c r="CS11" s="72">
        <v>143805.99000000002</v>
      </c>
      <c r="CT11" s="72">
        <v>144560.57</v>
      </c>
      <c r="CU11" s="72">
        <v>194385</v>
      </c>
      <c r="CV11" s="72">
        <v>183413</v>
      </c>
      <c r="CW11" s="72">
        <v>179875</v>
      </c>
      <c r="CX11" s="72">
        <v>181761</v>
      </c>
      <c r="CY11" s="72">
        <v>182431</v>
      </c>
      <c r="CZ11" s="72">
        <v>183526</v>
      </c>
      <c r="DA11" s="72">
        <v>183454</v>
      </c>
      <c r="DB11" s="72">
        <v>183500</v>
      </c>
      <c r="DC11" s="72">
        <v>183490.17199999999</v>
      </c>
      <c r="DD11" s="72">
        <v>183529.791</v>
      </c>
      <c r="DE11" s="72">
        <v>183611.89977582</v>
      </c>
      <c r="DF11" s="72">
        <v>183385.67778557999</v>
      </c>
      <c r="DG11" s="72">
        <v>183246.85</v>
      </c>
      <c r="DH11" s="72">
        <v>183323.85368500001</v>
      </c>
      <c r="DI11" s="72">
        <v>183200</v>
      </c>
      <c r="DJ11" s="72">
        <v>183098.64</v>
      </c>
      <c r="DK11" s="72">
        <v>4417.8421802299999</v>
      </c>
      <c r="DL11" s="72">
        <v>4425.5257642099996</v>
      </c>
      <c r="DM11" s="72">
        <v>4452.4119258199999</v>
      </c>
      <c r="DN11" s="72">
        <v>4463.4639299999999</v>
      </c>
      <c r="DO11" s="72">
        <v>4463.8128200000001</v>
      </c>
      <c r="DP11" s="72">
        <v>4475.9594627899996</v>
      </c>
      <c r="DQ11" s="72">
        <v>4472.42910665</v>
      </c>
      <c r="DR11" s="72">
        <v>4455.5649999999996</v>
      </c>
      <c r="DS11" s="72">
        <v>4435.5072043299997</v>
      </c>
      <c r="DT11" s="72">
        <v>4450.8945199999998</v>
      </c>
      <c r="DU11" s="72">
        <v>4449.6114974000002</v>
      </c>
      <c r="DV11" s="72">
        <v>4452.81440492</v>
      </c>
      <c r="DW11" s="72">
        <v>4489.5</v>
      </c>
      <c r="DX11" s="72">
        <v>4477.6352799999995</v>
      </c>
      <c r="DY11" s="72">
        <v>4473</v>
      </c>
      <c r="DZ11" s="72">
        <v>4506.5504559999999</v>
      </c>
      <c r="EA11" s="72">
        <v>68353.062800719999</v>
      </c>
      <c r="EB11" s="72">
        <v>68417.999999969994</v>
      </c>
      <c r="EC11" s="72">
        <v>68578.999999959997</v>
      </c>
      <c r="ED11" s="72">
        <v>68354.524061849996</v>
      </c>
      <c r="EE11" s="72">
        <v>68369.84576358</v>
      </c>
      <c r="EF11" s="72">
        <v>68445</v>
      </c>
      <c r="EG11" s="72">
        <v>68767</v>
      </c>
      <c r="EH11" s="72">
        <v>68824</v>
      </c>
      <c r="EI11" s="72">
        <v>68933.032789999997</v>
      </c>
      <c r="EJ11" s="72">
        <v>68875.04699997</v>
      </c>
      <c r="EK11" s="72">
        <v>68814.3</v>
      </c>
      <c r="EL11" s="72">
        <v>68795.070000000007</v>
      </c>
      <c r="EM11" s="72">
        <v>68728.801619999998</v>
      </c>
      <c r="EN11" s="72">
        <v>68682.540000000008</v>
      </c>
      <c r="EO11" s="72">
        <v>68633</v>
      </c>
      <c r="EP11" s="72">
        <v>68621.926630000016</v>
      </c>
      <c r="EQ11" s="72">
        <v>71068.558037230003</v>
      </c>
      <c r="ER11" s="72">
        <v>71025.263198860004</v>
      </c>
      <c r="ES11" s="72">
        <v>70981.968360490006</v>
      </c>
      <c r="ET11" s="72">
        <v>71135.774468539996</v>
      </c>
      <c r="EU11" s="72">
        <v>71323.338505370004</v>
      </c>
      <c r="EV11" s="72">
        <v>71065.690537839997</v>
      </c>
      <c r="EW11" s="72">
        <v>71147.812197070001</v>
      </c>
      <c r="EX11" s="72">
        <v>71152.820000000007</v>
      </c>
      <c r="EY11" s="72">
        <v>71159.672000000006</v>
      </c>
      <c r="EZ11" s="72">
        <v>71230</v>
      </c>
      <c r="FA11" s="72">
        <v>71322</v>
      </c>
      <c r="FB11" s="72">
        <v>71217</v>
      </c>
      <c r="FC11" s="72">
        <v>71247</v>
      </c>
      <c r="FD11" s="72">
        <v>71233</v>
      </c>
      <c r="FE11" s="72">
        <v>71128</v>
      </c>
      <c r="FF11" s="72">
        <v>70984</v>
      </c>
      <c r="FG11" s="72">
        <v>37642.311000000002</v>
      </c>
      <c r="FH11" s="72">
        <v>37724.491999999998</v>
      </c>
      <c r="FI11" s="72">
        <v>37820.120999999999</v>
      </c>
      <c r="FJ11" s="72">
        <v>38099.014999999999</v>
      </c>
      <c r="FK11" s="72">
        <v>38175.800999999999</v>
      </c>
      <c r="FL11" s="72">
        <v>38144.855000000003</v>
      </c>
      <c r="FM11" s="72">
        <v>38379.735999999997</v>
      </c>
      <c r="FN11" s="72">
        <v>38319.654999999999</v>
      </c>
      <c r="FO11" s="72">
        <v>38526.894997039999</v>
      </c>
      <c r="FP11" s="72">
        <v>38383.269155980001</v>
      </c>
      <c r="FQ11" s="72">
        <v>38436.254718999997</v>
      </c>
      <c r="FR11" s="72">
        <v>38332.55537799</v>
      </c>
      <c r="FS11" s="72">
        <v>38206</v>
      </c>
      <c r="FT11" s="72">
        <v>38188.899999999994</v>
      </c>
      <c r="FU11" s="72">
        <v>38149.629999999997</v>
      </c>
      <c r="FV11" s="72">
        <v>38146.635058999702</v>
      </c>
      <c r="FW11" s="72">
        <v>19307.599999999999</v>
      </c>
      <c r="FX11" s="72">
        <v>19307.599999999999</v>
      </c>
      <c r="FY11" s="72">
        <v>19307.599999999999</v>
      </c>
      <c r="FZ11" s="72">
        <v>19337.2</v>
      </c>
      <c r="GA11" s="72">
        <v>19536.5</v>
      </c>
      <c r="GB11" s="72">
        <v>19752.2</v>
      </c>
      <c r="GC11" s="72">
        <v>19882.8</v>
      </c>
      <c r="GD11" s="72">
        <v>19962.2</v>
      </c>
      <c r="GE11" s="72">
        <v>20063.099999999999</v>
      </c>
      <c r="GF11" s="72">
        <v>20163.955999999998</v>
      </c>
      <c r="GG11" s="72">
        <v>20178.813999999998</v>
      </c>
      <c r="GH11" s="72">
        <v>20200.591</v>
      </c>
      <c r="GI11" s="72">
        <v>20206.821</v>
      </c>
      <c r="GJ11" s="72">
        <v>20254.668700000002</v>
      </c>
      <c r="GK11" s="72">
        <v>20263.525000000001</v>
      </c>
      <c r="GL11" s="72">
        <v>19977.224999999999</v>
      </c>
      <c r="GM11" s="72">
        <v>10108</v>
      </c>
      <c r="GN11" s="72">
        <v>10157.9</v>
      </c>
      <c r="GO11" s="72">
        <v>10196.6</v>
      </c>
      <c r="GP11" s="72">
        <v>10113.200000000001</v>
      </c>
      <c r="GQ11" s="72">
        <v>10147.6</v>
      </c>
      <c r="GR11" s="72">
        <v>10130</v>
      </c>
      <c r="GS11" s="72">
        <v>10185.700000000001</v>
      </c>
      <c r="GT11" s="72">
        <v>10143.9</v>
      </c>
      <c r="GU11" s="72">
        <v>10085.316999999999</v>
      </c>
      <c r="GV11" s="72">
        <v>10080.0742228</v>
      </c>
      <c r="GW11" s="72">
        <v>10041.109358129999</v>
      </c>
      <c r="GX11" s="72">
        <v>10045.58</v>
      </c>
      <c r="GY11" s="72">
        <v>10042.39</v>
      </c>
      <c r="GZ11" s="72">
        <v>10034.17</v>
      </c>
      <c r="HA11" s="72">
        <v>10022.17</v>
      </c>
      <c r="HB11" s="72">
        <v>10024.16</v>
      </c>
      <c r="HC11" s="70"/>
      <c r="HD11" s="70"/>
      <c r="HE11" s="70"/>
      <c r="HF11" s="70"/>
      <c r="HG11" s="70"/>
      <c r="HH11" s="70"/>
      <c r="HI11" s="70"/>
      <c r="HJ11" s="70"/>
      <c r="HK11" s="70"/>
      <c r="HL11" s="70"/>
      <c r="HM11" s="70"/>
      <c r="HN11" s="70"/>
      <c r="HO11" s="70"/>
      <c r="HP11" s="70"/>
      <c r="HQ11" s="70"/>
      <c r="HR11" s="70"/>
      <c r="HS11" s="70"/>
    </row>
    <row r="12" spans="1:227" s="69" customFormat="1" ht="13.35" customHeight="1">
      <c r="A12" s="69" t="s">
        <v>70</v>
      </c>
      <c r="B12" s="69" t="s">
        <v>69</v>
      </c>
      <c r="C12" s="72">
        <v>1736.84582472181</v>
      </c>
      <c r="D12" s="72">
        <v>1786.3845746249256</v>
      </c>
      <c r="E12" s="72">
        <v>1837.3769311302806</v>
      </c>
      <c r="F12" s="72">
        <v>1889.8668654623268</v>
      </c>
      <c r="G12" s="72">
        <v>1943.8997274433566</v>
      </c>
      <c r="H12" s="72">
        <v>1999.5222908777287</v>
      </c>
      <c r="I12" s="72">
        <v>2056.7828005463839</v>
      </c>
      <c r="J12" s="72">
        <v>2115.7310208757394</v>
      </c>
      <c r="K12" s="72">
        <v>2176.4182863479991</v>
      </c>
      <c r="L12" s="72">
        <v>2238.9975537230653</v>
      </c>
      <c r="M12" s="72">
        <v>2303.2234561455298</v>
      </c>
      <c r="N12" s="72">
        <v>2331.5310246297154</v>
      </c>
      <c r="O12" s="72">
        <v>2379.3211406998435</v>
      </c>
      <c r="P12" s="72">
        <v>2417.6835221160723</v>
      </c>
      <c r="Q12" s="146">
        <v>2471.2599999999998</v>
      </c>
      <c r="R12" s="72">
        <v>2508.67</v>
      </c>
      <c r="S12" s="147">
        <v>12633.594999999999</v>
      </c>
      <c r="T12" s="72">
        <v>12990.440199999999</v>
      </c>
      <c r="U12" s="72">
        <v>13237.806200000001</v>
      </c>
      <c r="V12" s="72">
        <v>13528.306200000001</v>
      </c>
      <c r="W12" s="72">
        <v>13778.575500000001</v>
      </c>
      <c r="X12" s="72">
        <v>14133.723</v>
      </c>
      <c r="Y12" s="72">
        <v>14541.593000000001</v>
      </c>
      <c r="Z12" s="72">
        <v>14891.606</v>
      </c>
      <c r="AA12" s="72">
        <v>15227.388000000001</v>
      </c>
      <c r="AB12" s="72">
        <v>15317.811933929999</v>
      </c>
      <c r="AC12" s="72">
        <v>15519.247282660001</v>
      </c>
      <c r="AD12" s="72">
        <v>15752.11791787</v>
      </c>
      <c r="AE12" s="72">
        <v>15955</v>
      </c>
      <c r="AF12" s="72">
        <v>16139</v>
      </c>
      <c r="AG12" s="72">
        <v>16397.48</v>
      </c>
      <c r="AH12" s="72">
        <v>16569.5</v>
      </c>
      <c r="AI12" s="72">
        <v>1690.75167663</v>
      </c>
      <c r="AJ12" s="72">
        <v>1783.5898276099999</v>
      </c>
      <c r="AK12" s="72">
        <v>1843.3371883</v>
      </c>
      <c r="AL12" s="72">
        <v>1877.7536800600001</v>
      </c>
      <c r="AM12" s="72">
        <v>1914.11747464</v>
      </c>
      <c r="AN12" s="72">
        <v>2061</v>
      </c>
      <c r="AO12" s="72">
        <v>2073</v>
      </c>
      <c r="AP12" s="72">
        <v>2114</v>
      </c>
      <c r="AQ12" s="72">
        <v>2211.136571</v>
      </c>
      <c r="AR12" s="72">
        <v>2233.2444599999999</v>
      </c>
      <c r="AS12" s="72">
        <v>2266.8000000000002</v>
      </c>
      <c r="AT12" s="72">
        <v>2274.46</v>
      </c>
      <c r="AU12" s="72">
        <v>2268.151539</v>
      </c>
      <c r="AV12" s="72">
        <v>2289.9399999999996</v>
      </c>
      <c r="AW12" s="72">
        <v>2310.1410000000001</v>
      </c>
      <c r="AX12" s="72">
        <v>2324</v>
      </c>
      <c r="AY12" s="72">
        <v>9045</v>
      </c>
      <c r="AZ12" s="72">
        <v>9423</v>
      </c>
      <c r="BA12" s="72">
        <v>9859</v>
      </c>
      <c r="BB12" s="72">
        <v>10136</v>
      </c>
      <c r="BC12" s="72">
        <v>10386</v>
      </c>
      <c r="BD12" s="72">
        <v>10761</v>
      </c>
      <c r="BE12" s="72">
        <v>11151</v>
      </c>
      <c r="BF12" s="72">
        <v>11617</v>
      </c>
      <c r="BG12" s="72">
        <v>12104.67</v>
      </c>
      <c r="BH12" s="72">
        <v>12635.856619</v>
      </c>
      <c r="BI12" s="72">
        <v>13173.102000000001</v>
      </c>
      <c r="BJ12" s="72">
        <v>13766.485129999999</v>
      </c>
      <c r="BK12" s="72">
        <v>14377.942891999999</v>
      </c>
      <c r="BL12" s="72">
        <v>15235.793936</v>
      </c>
      <c r="BM12" s="72">
        <v>15789.728300373552</v>
      </c>
      <c r="BN12" s="72">
        <v>16276.799716602198</v>
      </c>
      <c r="BO12" s="72">
        <v>12201</v>
      </c>
      <c r="BP12" s="72">
        <v>13022</v>
      </c>
      <c r="BQ12" s="72">
        <v>13827</v>
      </c>
      <c r="BR12" s="72">
        <v>14696</v>
      </c>
      <c r="BS12" s="72">
        <v>15337</v>
      </c>
      <c r="BT12" s="72">
        <v>15871</v>
      </c>
      <c r="BU12" s="72">
        <v>16350</v>
      </c>
      <c r="BV12" s="72">
        <v>16748</v>
      </c>
      <c r="BW12" s="72">
        <v>16994.710999999999</v>
      </c>
      <c r="BX12" s="72">
        <v>17442.34</v>
      </c>
      <c r="BY12" s="72">
        <v>18072.560000000001</v>
      </c>
      <c r="BZ12" s="72">
        <v>18638</v>
      </c>
      <c r="CA12" s="72">
        <v>19176</v>
      </c>
      <c r="CB12" s="72">
        <v>19702</v>
      </c>
      <c r="CC12" s="72">
        <v>20117</v>
      </c>
      <c r="CD12" s="72">
        <v>20466</v>
      </c>
      <c r="CE12" s="72">
        <v>3957.51</v>
      </c>
      <c r="CF12" s="72">
        <v>4482.4459999999999</v>
      </c>
      <c r="CG12" s="72">
        <v>5292.8770000000004</v>
      </c>
      <c r="CH12" s="72">
        <v>6346.0159999999996</v>
      </c>
      <c r="CI12" s="72">
        <v>6894.8040000000001</v>
      </c>
      <c r="CJ12" s="72">
        <v>7339.335</v>
      </c>
      <c r="CK12" s="72">
        <v>7724.8860000000004</v>
      </c>
      <c r="CL12" s="72">
        <v>8179.3249999999998</v>
      </c>
      <c r="CM12" s="72">
        <v>8503.5529999999999</v>
      </c>
      <c r="CN12" s="72">
        <v>8913.2440000000006</v>
      </c>
      <c r="CO12" s="72">
        <v>9140.7352653100006</v>
      </c>
      <c r="CP12" s="72">
        <v>9315.2168051000008</v>
      </c>
      <c r="CQ12" s="72">
        <v>8810.0411045853289</v>
      </c>
      <c r="CR12" s="72">
        <v>8979.17</v>
      </c>
      <c r="CS12" s="72">
        <v>9090.2199999999993</v>
      </c>
      <c r="CT12" s="72">
        <v>9237.9500000000007</v>
      </c>
      <c r="CU12" s="72">
        <v>5166</v>
      </c>
      <c r="CV12" s="72">
        <v>6039</v>
      </c>
      <c r="CW12" s="72">
        <v>5954</v>
      </c>
      <c r="CX12" s="72">
        <v>5989</v>
      </c>
      <c r="CY12" s="72">
        <v>6203</v>
      </c>
      <c r="CZ12" s="72">
        <v>7066</v>
      </c>
      <c r="DA12" s="72">
        <v>7365</v>
      </c>
      <c r="DB12" s="72">
        <v>7607</v>
      </c>
      <c r="DC12" s="72">
        <v>7665.9</v>
      </c>
      <c r="DD12" s="72">
        <v>7945.5014970700004</v>
      </c>
      <c r="DE12" s="72">
        <v>8333.4244197299995</v>
      </c>
      <c r="DF12" s="72">
        <v>8717.4465928099999</v>
      </c>
      <c r="DG12" s="72">
        <v>8956.75</v>
      </c>
      <c r="DH12" s="72">
        <v>9214.0861430000004</v>
      </c>
      <c r="DI12" s="72">
        <v>9485.01</v>
      </c>
      <c r="DJ12" s="72">
        <v>9784.08</v>
      </c>
      <c r="DK12" s="72">
        <v>1300.89040548</v>
      </c>
      <c r="DL12" s="72">
        <v>1344.330316</v>
      </c>
      <c r="DM12" s="72">
        <v>1415.67628883</v>
      </c>
      <c r="DN12" s="72">
        <v>1463.26622</v>
      </c>
      <c r="DO12" s="72">
        <v>1507.1591800000001</v>
      </c>
      <c r="DP12" s="72">
        <v>1565.6344853400001</v>
      </c>
      <c r="DQ12" s="72">
        <v>1630.01</v>
      </c>
      <c r="DR12" s="72">
        <v>1679.2797602400001</v>
      </c>
      <c r="DS12" s="72">
        <v>1725.0657418599999</v>
      </c>
      <c r="DT12" s="72">
        <v>1795.4201599999999</v>
      </c>
      <c r="DU12" s="72">
        <v>1851.3087937099999</v>
      </c>
      <c r="DV12" s="72">
        <v>1956.1763526899999</v>
      </c>
      <c r="DW12" s="72">
        <v>2078.1</v>
      </c>
      <c r="DX12" s="72">
        <v>2150.291635</v>
      </c>
      <c r="DY12" s="72">
        <v>2225.6166149999999</v>
      </c>
      <c r="DZ12" s="72">
        <v>2249.2909690000001</v>
      </c>
      <c r="EA12" s="72">
        <v>3323.7991023</v>
      </c>
      <c r="EB12" s="72">
        <v>3512.4999999699999</v>
      </c>
      <c r="EC12" s="72">
        <v>3541.49999996</v>
      </c>
      <c r="ED12" s="72">
        <v>4584.7061214100004</v>
      </c>
      <c r="EE12" s="72">
        <v>5128.6620489899997</v>
      </c>
      <c r="EF12" s="72">
        <v>4688</v>
      </c>
      <c r="EG12" s="72">
        <v>4830</v>
      </c>
      <c r="EH12" s="72">
        <v>5065</v>
      </c>
      <c r="EI12" s="72">
        <v>5248.4063489999999</v>
      </c>
      <c r="EJ12" s="72">
        <v>5576.7225399999998</v>
      </c>
      <c r="EK12" s="72">
        <v>5860.8</v>
      </c>
      <c r="EL12" s="72">
        <v>6325.54</v>
      </c>
      <c r="EM12" s="72">
        <v>6683.3673369999997</v>
      </c>
      <c r="EN12" s="72">
        <v>7132.61</v>
      </c>
      <c r="EO12" s="72">
        <v>7673.47</v>
      </c>
      <c r="EP12" s="72">
        <v>7923</v>
      </c>
      <c r="EQ12" s="72">
        <v>13761.84765616</v>
      </c>
      <c r="ER12" s="72">
        <v>14300.85742265</v>
      </c>
      <c r="ES12" s="72">
        <v>14839.86718913</v>
      </c>
      <c r="ET12" s="72">
        <v>15488.94356643</v>
      </c>
      <c r="EU12" s="72">
        <v>15885.212371170001</v>
      </c>
      <c r="EV12" s="72">
        <v>16127.9908681</v>
      </c>
      <c r="EW12" s="72">
        <v>16499.884838459999</v>
      </c>
      <c r="EX12" s="72">
        <v>16729.45</v>
      </c>
      <c r="EY12" s="72">
        <v>16922.971000000001</v>
      </c>
      <c r="EZ12" s="72">
        <v>16971</v>
      </c>
      <c r="FA12" s="72">
        <v>17486</v>
      </c>
      <c r="FB12" s="72">
        <v>17754</v>
      </c>
      <c r="FC12" s="72">
        <v>18064</v>
      </c>
      <c r="FD12" s="72">
        <v>18065</v>
      </c>
      <c r="FE12" s="72">
        <v>18288</v>
      </c>
      <c r="FF12" s="72">
        <v>18624</v>
      </c>
      <c r="FG12" s="72">
        <v>3864.759</v>
      </c>
      <c r="FH12" s="72">
        <v>4111.4009999999998</v>
      </c>
      <c r="FI12" s="72">
        <v>4290.7219999999998</v>
      </c>
      <c r="FJ12" s="72">
        <v>4612.5159999999996</v>
      </c>
      <c r="FK12" s="72">
        <v>4792.9139999999998</v>
      </c>
      <c r="FL12" s="72">
        <v>5069.076</v>
      </c>
      <c r="FM12" s="72">
        <v>5322.3950000000004</v>
      </c>
      <c r="FN12" s="72">
        <v>5502.2719999999999</v>
      </c>
      <c r="FO12" s="72">
        <v>5728.1507942199996</v>
      </c>
      <c r="FP12" s="72">
        <v>5965.9348250000003</v>
      </c>
      <c r="FQ12" s="72">
        <v>6267.0513379800004</v>
      </c>
      <c r="FR12" s="72">
        <v>6574.8889099799999</v>
      </c>
      <c r="FS12" s="72">
        <v>6908.59</v>
      </c>
      <c r="FT12" s="72">
        <v>7305.5300000000007</v>
      </c>
      <c r="FU12" s="72">
        <v>7584.46</v>
      </c>
      <c r="FV12" s="72">
        <v>7732.0847200000608</v>
      </c>
      <c r="FW12" s="72">
        <v>1902.3</v>
      </c>
      <c r="FX12" s="72">
        <v>1902.5</v>
      </c>
      <c r="FY12" s="72">
        <v>1902.5</v>
      </c>
      <c r="FZ12" s="72">
        <v>1930.6</v>
      </c>
      <c r="GA12" s="72">
        <v>2095.1999999999998</v>
      </c>
      <c r="GB12" s="72">
        <v>2274.9</v>
      </c>
      <c r="GC12" s="72">
        <v>2339.3000000000002</v>
      </c>
      <c r="GD12" s="72">
        <v>2373.6999999999998</v>
      </c>
      <c r="GE12" s="72">
        <v>2432.8000000000002</v>
      </c>
      <c r="GF12" s="72">
        <v>2465.2890000000002</v>
      </c>
      <c r="GG12" s="72">
        <v>2502.2689999999998</v>
      </c>
      <c r="GH12" s="72">
        <v>2524.422</v>
      </c>
      <c r="GI12" s="72">
        <v>2560.431</v>
      </c>
      <c r="GJ12" s="72">
        <v>2607.6256999999832</v>
      </c>
      <c r="GK12" s="72">
        <v>2648.2089999999998</v>
      </c>
      <c r="GL12" s="72">
        <v>2680.0572750000092</v>
      </c>
      <c r="GM12" s="72">
        <v>2276</v>
      </c>
      <c r="GN12" s="72">
        <v>2318.4</v>
      </c>
      <c r="GO12" s="72">
        <v>2386.1</v>
      </c>
      <c r="GP12" s="72">
        <v>2424.3000000000002</v>
      </c>
      <c r="GQ12" s="72">
        <v>2496.8000000000002</v>
      </c>
      <c r="GR12" s="72">
        <v>2595.4</v>
      </c>
      <c r="GS12" s="72">
        <v>2631.9</v>
      </c>
      <c r="GT12" s="72">
        <v>2690.8</v>
      </c>
      <c r="GU12" s="72">
        <v>2738.098</v>
      </c>
      <c r="GV12" s="72">
        <v>2793.1475427</v>
      </c>
      <c r="GW12" s="72">
        <v>2834.3576012600001</v>
      </c>
      <c r="GX12" s="72">
        <v>3296.67</v>
      </c>
      <c r="GY12" s="72">
        <v>3339.4</v>
      </c>
      <c r="GZ12" s="72">
        <v>3373.6400000000003</v>
      </c>
      <c r="HA12" s="72">
        <v>3404.02</v>
      </c>
      <c r="HB12" s="72">
        <v>3428.34</v>
      </c>
      <c r="HC12" s="70"/>
      <c r="HD12" s="70"/>
      <c r="HE12" s="70"/>
      <c r="HF12" s="70"/>
      <c r="HG12" s="70"/>
      <c r="HH12" s="70"/>
      <c r="HI12" s="70"/>
      <c r="HJ12" s="70"/>
      <c r="HK12" s="70"/>
      <c r="HL12" s="70"/>
      <c r="HM12" s="70"/>
      <c r="HN12" s="70"/>
      <c r="HO12" s="70"/>
      <c r="HP12" s="70"/>
      <c r="HQ12" s="70"/>
      <c r="HR12" s="70"/>
      <c r="HS12" s="70"/>
    </row>
    <row r="13" spans="1:227" s="69" customFormat="1" ht="13.35" customHeight="1">
      <c r="A13" s="69" t="s">
        <v>75</v>
      </c>
      <c r="B13" s="69" t="s">
        <v>69</v>
      </c>
      <c r="C13" s="73">
        <f t="shared" ref="C13:AJ13" si="0">C12+C11</f>
        <v>4084.5321847789955</v>
      </c>
      <c r="D13" s="73">
        <f t="shared" si="0"/>
        <v>4127.9554778666507</v>
      </c>
      <c r="E13" s="73">
        <f t="shared" si="0"/>
        <v>4172.9126246894848</v>
      </c>
      <c r="F13" s="73">
        <f t="shared" si="0"/>
        <v>4219.4482475302621</v>
      </c>
      <c r="G13" s="73">
        <f t="shared" si="0"/>
        <v>4267.608361922521</v>
      </c>
      <c r="H13" s="73">
        <f t="shared" si="0"/>
        <v>4317.4404222804797</v>
      </c>
      <c r="I13" s="73">
        <f t="shared" si="0"/>
        <v>4368.9933691436127</v>
      </c>
      <c r="J13" s="73">
        <f t="shared" si="0"/>
        <v>4422.3176781000857</v>
      </c>
      <c r="K13" s="73">
        <f t="shared" si="0"/>
        <v>4477.4654104561523</v>
      </c>
      <c r="L13" s="73">
        <f t="shared" si="0"/>
        <v>4534.5902657217903</v>
      </c>
      <c r="M13" s="73">
        <f t="shared" si="0"/>
        <v>4593.4476359861201</v>
      </c>
      <c r="N13" s="73">
        <f t="shared" si="0"/>
        <v>4619.0951432816964</v>
      </c>
      <c r="O13" s="73">
        <f t="shared" si="0"/>
        <v>4664.475195998175</v>
      </c>
      <c r="P13" s="73">
        <f t="shared" si="0"/>
        <v>4698.647447101609</v>
      </c>
      <c r="Q13" s="73">
        <f t="shared" si="0"/>
        <v>4774.07</v>
      </c>
      <c r="R13" s="148">
        <f t="shared" si="0"/>
        <v>4812.54</v>
      </c>
      <c r="S13" s="73">
        <f t="shared" si="0"/>
        <v>38742.394999999997</v>
      </c>
      <c r="T13" s="73">
        <f t="shared" si="0"/>
        <v>38874.940199999997</v>
      </c>
      <c r="U13" s="73">
        <f t="shared" si="0"/>
        <v>39223.906199999998</v>
      </c>
      <c r="V13" s="73">
        <f t="shared" si="0"/>
        <v>39462.306199999999</v>
      </c>
      <c r="W13" s="73">
        <f t="shared" si="0"/>
        <v>39745.275500000003</v>
      </c>
      <c r="X13" s="73">
        <f t="shared" si="0"/>
        <v>40272.423000000003</v>
      </c>
      <c r="Y13" s="73">
        <f t="shared" si="0"/>
        <v>40626.293000000005</v>
      </c>
      <c r="Z13" s="73">
        <f t="shared" si="0"/>
        <v>40963.506000000001</v>
      </c>
      <c r="AA13" s="73">
        <f t="shared" si="0"/>
        <v>41271.487999999998</v>
      </c>
      <c r="AB13" s="73">
        <f t="shared" si="0"/>
        <v>41323.58393845</v>
      </c>
      <c r="AC13" s="73">
        <f t="shared" si="0"/>
        <v>41453.2107359</v>
      </c>
      <c r="AD13" s="73">
        <f t="shared" si="0"/>
        <v>41642.275513569999</v>
      </c>
      <c r="AE13" s="73">
        <f t="shared" si="0"/>
        <v>41847</v>
      </c>
      <c r="AF13" s="73">
        <f t="shared" si="0"/>
        <v>42007</v>
      </c>
      <c r="AG13" s="73">
        <f t="shared" si="0"/>
        <v>42294.520000000004</v>
      </c>
      <c r="AH13" s="73">
        <f t="shared" si="0"/>
        <v>42484.79</v>
      </c>
      <c r="AI13" s="73">
        <f t="shared" si="0"/>
        <v>3951.6253540100001</v>
      </c>
      <c r="AJ13" s="73">
        <f t="shared" si="0"/>
        <v>4075.7738424899999</v>
      </c>
      <c r="AK13" s="73">
        <f t="shared" ref="AK13:BR13" si="1">AK12+AK11</f>
        <v>4036.36450483</v>
      </c>
      <c r="AL13" s="73">
        <f t="shared" si="1"/>
        <v>4069.7536800400003</v>
      </c>
      <c r="AM13" s="73">
        <f t="shared" si="1"/>
        <v>4099.4109698000002</v>
      </c>
      <c r="AN13" s="73">
        <f t="shared" si="1"/>
        <v>4284</v>
      </c>
      <c r="AO13" s="73">
        <f t="shared" si="1"/>
        <v>4303</v>
      </c>
      <c r="AP13" s="73">
        <f t="shared" si="1"/>
        <v>4347</v>
      </c>
      <c r="AQ13" s="73">
        <f t="shared" si="1"/>
        <v>4481.4749609999999</v>
      </c>
      <c r="AR13" s="73">
        <f t="shared" si="1"/>
        <v>4505.4781199999998</v>
      </c>
      <c r="AS13" s="73">
        <f t="shared" si="1"/>
        <v>4541.2000000000007</v>
      </c>
      <c r="AT13" s="73">
        <f t="shared" si="1"/>
        <v>4549.55</v>
      </c>
      <c r="AU13" s="73">
        <f t="shared" si="1"/>
        <v>4535.9908390000001</v>
      </c>
      <c r="AV13" s="73">
        <f t="shared" si="1"/>
        <v>4557.5199999999995</v>
      </c>
      <c r="AW13" s="73">
        <f t="shared" si="1"/>
        <v>4569.1409999999996</v>
      </c>
      <c r="AX13" s="73">
        <f t="shared" si="1"/>
        <v>4582.7268300000005</v>
      </c>
      <c r="AY13" s="73">
        <f t="shared" si="1"/>
        <v>32432</v>
      </c>
      <c r="AZ13" s="73">
        <f t="shared" si="1"/>
        <v>32832</v>
      </c>
      <c r="BA13" s="73">
        <f t="shared" si="1"/>
        <v>33299</v>
      </c>
      <c r="BB13" s="73">
        <f t="shared" si="1"/>
        <v>33579</v>
      </c>
      <c r="BC13" s="73">
        <f t="shared" si="1"/>
        <v>33817</v>
      </c>
      <c r="BD13" s="73">
        <f t="shared" si="1"/>
        <v>34172</v>
      </c>
      <c r="BE13" s="73">
        <f t="shared" si="1"/>
        <v>34568</v>
      </c>
      <c r="BF13" s="73">
        <f t="shared" si="1"/>
        <v>35029</v>
      </c>
      <c r="BG13" s="73">
        <f t="shared" si="1"/>
        <v>35491.989000000001</v>
      </c>
      <c r="BH13" s="73">
        <f t="shared" si="1"/>
        <v>36005.181619000003</v>
      </c>
      <c r="BI13" s="73">
        <f t="shared" si="1"/>
        <v>36467.860999999997</v>
      </c>
      <c r="BJ13" s="73">
        <f t="shared" si="1"/>
        <v>36993.039377000001</v>
      </c>
      <c r="BK13" s="73">
        <f t="shared" si="1"/>
        <v>37543.074810000006</v>
      </c>
      <c r="BL13" s="73">
        <f t="shared" si="1"/>
        <v>38284.300771000002</v>
      </c>
      <c r="BM13" s="73">
        <f t="shared" si="1"/>
        <v>38725.005837251832</v>
      </c>
      <c r="BN13" s="73">
        <f t="shared" si="1"/>
        <v>39146.327922462529</v>
      </c>
      <c r="BO13" s="73">
        <f t="shared" si="1"/>
        <v>46658</v>
      </c>
      <c r="BP13" s="73">
        <f t="shared" si="1"/>
        <v>47645</v>
      </c>
      <c r="BQ13" s="73">
        <f t="shared" si="1"/>
        <v>48486</v>
      </c>
      <c r="BR13" s="73">
        <f t="shared" si="1"/>
        <v>49427</v>
      </c>
      <c r="BS13" s="73">
        <f t="shared" ref="BS13:CZ13" si="2">BS12+BS11</f>
        <v>50117</v>
      </c>
      <c r="BT13" s="73">
        <f t="shared" si="2"/>
        <v>50771</v>
      </c>
      <c r="BU13" s="73">
        <f t="shared" si="2"/>
        <v>51342</v>
      </c>
      <c r="BV13" s="73">
        <f t="shared" si="2"/>
        <v>51781</v>
      </c>
      <c r="BW13" s="73">
        <f t="shared" si="2"/>
        <v>52097.040999999997</v>
      </c>
      <c r="BX13" s="73">
        <f t="shared" si="2"/>
        <v>52564.710000000006</v>
      </c>
      <c r="BY13" s="73">
        <f t="shared" si="2"/>
        <v>53201.880000000005</v>
      </c>
      <c r="BZ13" s="73">
        <f t="shared" si="2"/>
        <v>53757</v>
      </c>
      <c r="CA13" s="73">
        <f t="shared" si="2"/>
        <v>54266</v>
      </c>
      <c r="CB13" s="73">
        <f t="shared" si="2"/>
        <v>54777</v>
      </c>
      <c r="CC13" s="73">
        <f t="shared" si="2"/>
        <v>55190</v>
      </c>
      <c r="CD13" s="73">
        <f t="shared" si="2"/>
        <v>55530</v>
      </c>
      <c r="CE13" s="73">
        <f t="shared" si="2"/>
        <v>148353.43893726001</v>
      </c>
      <c r="CF13" s="73">
        <f t="shared" si="2"/>
        <v>150136.49844103999</v>
      </c>
      <c r="CG13" s="73">
        <f t="shared" si="2"/>
        <v>150660.03925174</v>
      </c>
      <c r="CH13" s="73">
        <f t="shared" si="2"/>
        <v>151770.05533772</v>
      </c>
      <c r="CI13" s="73">
        <f t="shared" si="2"/>
        <v>152579.65545786</v>
      </c>
      <c r="CJ13" s="73">
        <f t="shared" si="2"/>
        <v>152729.53246679998</v>
      </c>
      <c r="CK13" s="73">
        <f t="shared" si="2"/>
        <v>153747.85140546001</v>
      </c>
      <c r="CL13" s="73">
        <f t="shared" si="2"/>
        <v>150472.37732775</v>
      </c>
      <c r="CM13" s="73">
        <f t="shared" si="2"/>
        <v>151121.81199999998</v>
      </c>
      <c r="CN13" s="73">
        <f t="shared" si="2"/>
        <v>152459.5</v>
      </c>
      <c r="CO13" s="73">
        <f t="shared" si="2"/>
        <v>152254.63888908</v>
      </c>
      <c r="CP13" s="73">
        <f t="shared" si="2"/>
        <v>152491.37408914001</v>
      </c>
      <c r="CQ13" s="73">
        <f t="shared" si="2"/>
        <v>151975.9735270222</v>
      </c>
      <c r="CR13" s="73">
        <f t="shared" si="2"/>
        <v>152279.1829897149</v>
      </c>
      <c r="CS13" s="73">
        <f t="shared" si="2"/>
        <v>152896.21000000002</v>
      </c>
      <c r="CT13" s="73">
        <f t="shared" si="2"/>
        <v>153798.52000000002</v>
      </c>
      <c r="CU13" s="73">
        <f t="shared" si="2"/>
        <v>199551</v>
      </c>
      <c r="CV13" s="73">
        <f t="shared" si="2"/>
        <v>189452</v>
      </c>
      <c r="CW13" s="73">
        <f t="shared" si="2"/>
        <v>185829</v>
      </c>
      <c r="CX13" s="73">
        <f t="shared" si="2"/>
        <v>187750</v>
      </c>
      <c r="CY13" s="73">
        <f t="shared" si="2"/>
        <v>188634</v>
      </c>
      <c r="CZ13" s="73">
        <f t="shared" si="2"/>
        <v>190592</v>
      </c>
      <c r="DA13" s="73">
        <f t="shared" ref="DA13:EH13" si="3">DA12+DA11</f>
        <v>190819</v>
      </c>
      <c r="DB13" s="73">
        <f t="shared" si="3"/>
        <v>191107</v>
      </c>
      <c r="DC13" s="73">
        <f t="shared" si="3"/>
        <v>191156.07199999999</v>
      </c>
      <c r="DD13" s="73">
        <f t="shared" si="3"/>
        <v>191475.29249707001</v>
      </c>
      <c r="DE13" s="73">
        <f t="shared" si="3"/>
        <v>191945.32419555</v>
      </c>
      <c r="DF13" s="73">
        <f t="shared" si="3"/>
        <v>192103.12437839</v>
      </c>
      <c r="DG13" s="73">
        <f t="shared" si="3"/>
        <v>192203.6</v>
      </c>
      <c r="DH13" s="73">
        <f t="shared" si="3"/>
        <v>192537.939828</v>
      </c>
      <c r="DI13" s="73">
        <f t="shared" si="3"/>
        <v>192685.01</v>
      </c>
      <c r="DJ13" s="73">
        <f t="shared" si="3"/>
        <v>192882.72</v>
      </c>
      <c r="DK13" s="73">
        <f t="shared" si="3"/>
        <v>5718.7325857100004</v>
      </c>
      <c r="DL13" s="73">
        <f t="shared" si="3"/>
        <v>5769.8560802100001</v>
      </c>
      <c r="DM13" s="73">
        <f t="shared" si="3"/>
        <v>5868.0882146499998</v>
      </c>
      <c r="DN13" s="73">
        <f t="shared" si="3"/>
        <v>5926.7301499999994</v>
      </c>
      <c r="DO13" s="73">
        <f t="shared" si="3"/>
        <v>5970.9719999999998</v>
      </c>
      <c r="DP13" s="73">
        <f t="shared" si="3"/>
        <v>6041.5939481299993</v>
      </c>
      <c r="DQ13" s="73">
        <f t="shared" si="3"/>
        <v>6102.4391066500002</v>
      </c>
      <c r="DR13" s="73">
        <f t="shared" si="3"/>
        <v>6134.8447602399992</v>
      </c>
      <c r="DS13" s="73">
        <f t="shared" si="3"/>
        <v>6160.5729461899991</v>
      </c>
      <c r="DT13" s="73">
        <f t="shared" si="3"/>
        <v>6246.3146799999995</v>
      </c>
      <c r="DU13" s="73">
        <f t="shared" si="3"/>
        <v>6300.9202911100001</v>
      </c>
      <c r="DV13" s="73">
        <f t="shared" si="3"/>
        <v>6408.9907576099995</v>
      </c>
      <c r="DW13" s="73">
        <f t="shared" si="3"/>
        <v>6567.6</v>
      </c>
      <c r="DX13" s="73">
        <f t="shared" si="3"/>
        <v>6627.926915</v>
      </c>
      <c r="DY13" s="73">
        <f t="shared" si="3"/>
        <v>6698.6166149999999</v>
      </c>
      <c r="DZ13" s="73">
        <f t="shared" si="3"/>
        <v>6755.8414250000005</v>
      </c>
      <c r="EA13" s="73">
        <f t="shared" si="3"/>
        <v>71676.861903020006</v>
      </c>
      <c r="EB13" s="73">
        <f t="shared" si="3"/>
        <v>71930.499999939988</v>
      </c>
      <c r="EC13" s="73">
        <f t="shared" si="3"/>
        <v>72120.499999919994</v>
      </c>
      <c r="ED13" s="73">
        <f t="shared" si="3"/>
        <v>72939.230183259991</v>
      </c>
      <c r="EE13" s="73">
        <f t="shared" si="3"/>
        <v>73498.507812569995</v>
      </c>
      <c r="EF13" s="73">
        <f t="shared" si="3"/>
        <v>73133</v>
      </c>
      <c r="EG13" s="73">
        <f t="shared" si="3"/>
        <v>73597</v>
      </c>
      <c r="EH13" s="73">
        <f t="shared" si="3"/>
        <v>73889</v>
      </c>
      <c r="EI13" s="73">
        <f t="shared" ref="EI13:FP13" si="4">EI12+EI11</f>
        <v>74181.439138999995</v>
      </c>
      <c r="EJ13" s="73">
        <f t="shared" si="4"/>
        <v>74451.769539970002</v>
      </c>
      <c r="EK13" s="73">
        <f t="shared" si="4"/>
        <v>74675.100000000006</v>
      </c>
      <c r="EL13" s="73">
        <f t="shared" si="4"/>
        <v>75120.61</v>
      </c>
      <c r="EM13" s="73">
        <f t="shared" si="4"/>
        <v>75412.168957000002</v>
      </c>
      <c r="EN13" s="73">
        <f t="shared" si="4"/>
        <v>75815.150000000009</v>
      </c>
      <c r="EO13" s="73">
        <f t="shared" si="4"/>
        <v>76306.47</v>
      </c>
      <c r="EP13" s="73">
        <f t="shared" si="4"/>
        <v>76544.926630000016</v>
      </c>
      <c r="EQ13" s="73">
        <f t="shared" si="4"/>
        <v>84830.405693389999</v>
      </c>
      <c r="ER13" s="73">
        <f t="shared" si="4"/>
        <v>85326.12062151001</v>
      </c>
      <c r="ES13" s="73">
        <f t="shared" si="4"/>
        <v>85821.835549620009</v>
      </c>
      <c r="ET13" s="73">
        <f t="shared" si="4"/>
        <v>86624.718034969992</v>
      </c>
      <c r="EU13" s="73">
        <f t="shared" si="4"/>
        <v>87208.550876540001</v>
      </c>
      <c r="EV13" s="73">
        <f t="shared" si="4"/>
        <v>87193.681405939991</v>
      </c>
      <c r="EW13" s="73">
        <f t="shared" si="4"/>
        <v>87647.69703553</v>
      </c>
      <c r="EX13" s="73">
        <f t="shared" si="4"/>
        <v>87882.27</v>
      </c>
      <c r="EY13" s="73">
        <f t="shared" si="4"/>
        <v>88082.643000000011</v>
      </c>
      <c r="EZ13" s="73">
        <f t="shared" si="4"/>
        <v>88201</v>
      </c>
      <c r="FA13" s="73">
        <f t="shared" si="4"/>
        <v>88808</v>
      </c>
      <c r="FB13" s="73">
        <f t="shared" si="4"/>
        <v>88971</v>
      </c>
      <c r="FC13" s="73">
        <f t="shared" si="4"/>
        <v>89311</v>
      </c>
      <c r="FD13" s="73">
        <f t="shared" si="4"/>
        <v>89298</v>
      </c>
      <c r="FE13" s="73">
        <f t="shared" si="4"/>
        <v>89416</v>
      </c>
      <c r="FF13" s="73">
        <f t="shared" si="4"/>
        <v>89608</v>
      </c>
      <c r="FG13" s="73">
        <f t="shared" si="4"/>
        <v>41507.07</v>
      </c>
      <c r="FH13" s="73">
        <f t="shared" si="4"/>
        <v>41835.892999999996</v>
      </c>
      <c r="FI13" s="73">
        <f t="shared" si="4"/>
        <v>42110.843000000001</v>
      </c>
      <c r="FJ13" s="73">
        <f t="shared" si="4"/>
        <v>42711.531000000003</v>
      </c>
      <c r="FK13" s="73">
        <f t="shared" si="4"/>
        <v>42968.714999999997</v>
      </c>
      <c r="FL13" s="73">
        <f t="shared" si="4"/>
        <v>43213.931000000004</v>
      </c>
      <c r="FM13" s="73">
        <f t="shared" si="4"/>
        <v>43702.130999999994</v>
      </c>
      <c r="FN13" s="73">
        <f t="shared" si="4"/>
        <v>43821.926999999996</v>
      </c>
      <c r="FO13" s="73">
        <f t="shared" si="4"/>
        <v>44255.045791259996</v>
      </c>
      <c r="FP13" s="73">
        <f t="shared" si="4"/>
        <v>44349.203980980004</v>
      </c>
      <c r="FQ13" s="73">
        <f t="shared" ref="FQ13:GX13" si="5">FQ12+FQ11</f>
        <v>44703.30605698</v>
      </c>
      <c r="FR13" s="73">
        <f t="shared" si="5"/>
        <v>44907.44428797</v>
      </c>
      <c r="FS13" s="73">
        <f t="shared" si="5"/>
        <v>45114.59</v>
      </c>
      <c r="FT13" s="73">
        <f t="shared" si="5"/>
        <v>45494.429999999993</v>
      </c>
      <c r="FU13" s="73">
        <f t="shared" si="5"/>
        <v>45734.09</v>
      </c>
      <c r="FV13" s="73">
        <f t="shared" si="5"/>
        <v>45878.719778999759</v>
      </c>
      <c r="FW13" s="73">
        <f t="shared" si="5"/>
        <v>21209.899999999998</v>
      </c>
      <c r="FX13" s="73">
        <f t="shared" si="5"/>
        <v>21210.1</v>
      </c>
      <c r="FY13" s="73">
        <f t="shared" si="5"/>
        <v>21210.1</v>
      </c>
      <c r="FZ13" s="73">
        <f t="shared" si="5"/>
        <v>21267.8</v>
      </c>
      <c r="GA13" s="73">
        <f t="shared" si="5"/>
        <v>21631.7</v>
      </c>
      <c r="GB13" s="73">
        <f t="shared" si="5"/>
        <v>22027.100000000002</v>
      </c>
      <c r="GC13" s="73">
        <f t="shared" si="5"/>
        <v>22222.1</v>
      </c>
      <c r="GD13" s="73">
        <f t="shared" si="5"/>
        <v>22335.9</v>
      </c>
      <c r="GE13" s="73">
        <f t="shared" si="5"/>
        <v>22495.899999999998</v>
      </c>
      <c r="GF13" s="73">
        <f t="shared" si="5"/>
        <v>22629.244999999999</v>
      </c>
      <c r="GG13" s="73">
        <f t="shared" si="5"/>
        <v>22681.082999999999</v>
      </c>
      <c r="GH13" s="73">
        <f t="shared" si="5"/>
        <v>22725.012999999999</v>
      </c>
      <c r="GI13" s="73">
        <f t="shared" si="5"/>
        <v>22767.252</v>
      </c>
      <c r="GJ13" s="73">
        <f t="shared" si="5"/>
        <v>22862.294399999984</v>
      </c>
      <c r="GK13" s="73">
        <f t="shared" si="5"/>
        <v>22911.734</v>
      </c>
      <c r="GL13" s="73">
        <f t="shared" si="5"/>
        <v>22657.282275000009</v>
      </c>
      <c r="GM13" s="73">
        <f t="shared" si="5"/>
        <v>12384</v>
      </c>
      <c r="GN13" s="73">
        <f t="shared" si="5"/>
        <v>12476.3</v>
      </c>
      <c r="GO13" s="73">
        <f t="shared" si="5"/>
        <v>12582.7</v>
      </c>
      <c r="GP13" s="73">
        <f t="shared" si="5"/>
        <v>12537.5</v>
      </c>
      <c r="GQ13" s="73">
        <f t="shared" si="5"/>
        <v>12644.400000000001</v>
      </c>
      <c r="GR13" s="73">
        <f t="shared" si="5"/>
        <v>12725.4</v>
      </c>
      <c r="GS13" s="73">
        <f t="shared" si="5"/>
        <v>12817.6</v>
      </c>
      <c r="GT13" s="73">
        <f t="shared" si="5"/>
        <v>12834.7</v>
      </c>
      <c r="GU13" s="73">
        <f t="shared" si="5"/>
        <v>12823.414999999999</v>
      </c>
      <c r="GV13" s="73">
        <f t="shared" si="5"/>
        <v>12873.2217655</v>
      </c>
      <c r="GW13" s="73">
        <f t="shared" si="5"/>
        <v>12875.46695939</v>
      </c>
      <c r="GX13" s="73">
        <f t="shared" si="5"/>
        <v>13342.25</v>
      </c>
      <c r="GY13" s="73">
        <f t="shared" ref="GY13:HB13" si="6">GY12+GY11</f>
        <v>13381.789999999999</v>
      </c>
      <c r="GZ13" s="73">
        <f t="shared" si="6"/>
        <v>13407.810000000001</v>
      </c>
      <c r="HA13" s="73">
        <f t="shared" si="6"/>
        <v>13426.19</v>
      </c>
      <c r="HB13" s="73">
        <f t="shared" si="6"/>
        <v>13452.5</v>
      </c>
      <c r="HC13" s="70"/>
      <c r="HD13" s="70"/>
      <c r="HE13" s="70"/>
      <c r="HF13" s="70"/>
      <c r="HG13" s="70"/>
      <c r="HH13" s="70"/>
      <c r="HI13" s="70"/>
      <c r="HJ13" s="70"/>
      <c r="HK13" s="70"/>
      <c r="HL13" s="70"/>
      <c r="HM13" s="70"/>
      <c r="HN13" s="70"/>
      <c r="HO13" s="70"/>
      <c r="HP13" s="70"/>
      <c r="HQ13" s="70"/>
      <c r="HR13" s="70"/>
      <c r="HS13" s="70"/>
    </row>
    <row r="14" spans="1:227" s="69" customFormat="1" ht="13.35" customHeight="1">
      <c r="A14" s="69" t="s">
        <v>71</v>
      </c>
      <c r="B14" s="69" t="s">
        <v>51</v>
      </c>
      <c r="C14" s="72">
        <v>154510</v>
      </c>
      <c r="D14" s="72">
        <v>156360</v>
      </c>
      <c r="E14" s="72">
        <v>158455</v>
      </c>
      <c r="F14" s="72">
        <v>161092</v>
      </c>
      <c r="G14" s="72">
        <v>164900</v>
      </c>
      <c r="H14" s="72">
        <v>168937</v>
      </c>
      <c r="I14" s="72">
        <v>173186</v>
      </c>
      <c r="J14" s="72">
        <v>177255</v>
      </c>
      <c r="K14" s="72">
        <v>178710</v>
      </c>
      <c r="L14" s="72">
        <v>181851</v>
      </c>
      <c r="M14" s="72">
        <v>184961.5</v>
      </c>
      <c r="N14" s="72">
        <v>191482</v>
      </c>
      <c r="O14" s="72">
        <v>197537</v>
      </c>
      <c r="P14" s="72">
        <v>203157</v>
      </c>
      <c r="Q14" s="72">
        <v>207237.00000000399</v>
      </c>
      <c r="R14" s="72">
        <v>212505</v>
      </c>
      <c r="S14" s="72">
        <v>1546194.5</v>
      </c>
      <c r="T14" s="72">
        <v>1561613.99999999</v>
      </c>
      <c r="U14" s="72">
        <v>1574317.99999999</v>
      </c>
      <c r="V14" s="72">
        <v>1586138</v>
      </c>
      <c r="W14" s="72">
        <v>1596897.5</v>
      </c>
      <c r="X14" s="72">
        <v>1608734.5</v>
      </c>
      <c r="Y14" s="72">
        <v>1621658.49999999</v>
      </c>
      <c r="Z14" s="72">
        <v>1635052.5</v>
      </c>
      <c r="AA14" s="72">
        <v>1651159.5</v>
      </c>
      <c r="AB14" s="72">
        <v>1669558.5</v>
      </c>
      <c r="AC14" s="72">
        <v>1688281.7206584599</v>
      </c>
      <c r="AD14" s="72">
        <v>1706913.49999999</v>
      </c>
      <c r="AE14" s="72">
        <v>1727294</v>
      </c>
      <c r="AF14" s="72">
        <v>1746274</v>
      </c>
      <c r="AG14" s="72">
        <v>1762079</v>
      </c>
      <c r="AH14" s="72">
        <v>1774204</v>
      </c>
      <c r="AI14" s="72">
        <v>294971.65817282</v>
      </c>
      <c r="AJ14" s="72">
        <v>299951.29418557999</v>
      </c>
      <c r="AK14" s="72">
        <v>303151.80398685997</v>
      </c>
      <c r="AL14" s="72">
        <v>305984.98426971998</v>
      </c>
      <c r="AM14" s="72">
        <v>310174.96273257001</v>
      </c>
      <c r="AN14" s="72">
        <v>314439.61807552999</v>
      </c>
      <c r="AO14" s="72">
        <v>318643.22002328001</v>
      </c>
      <c r="AP14" s="72">
        <v>322735.81579785002</v>
      </c>
      <c r="AQ14" s="72">
        <v>325917.15180559002</v>
      </c>
      <c r="AR14" s="72">
        <v>327907.17472150002</v>
      </c>
      <c r="AS14" s="72">
        <v>336070</v>
      </c>
      <c r="AT14" s="72">
        <v>339400</v>
      </c>
      <c r="AU14" s="72">
        <v>342668.99999999994</v>
      </c>
      <c r="AV14" s="72">
        <v>345009</v>
      </c>
      <c r="AW14" s="72">
        <v>346468</v>
      </c>
      <c r="AX14" s="72">
        <v>346855</v>
      </c>
      <c r="AY14" s="72">
        <v>849548.29330194998</v>
      </c>
      <c r="AZ14" s="72">
        <v>859722.30529924994</v>
      </c>
      <c r="BA14" s="72">
        <v>869654.53679640999</v>
      </c>
      <c r="BB14" s="72">
        <v>878612.20779661997</v>
      </c>
      <c r="BC14" s="72">
        <v>886064.29272154998</v>
      </c>
      <c r="BD14" s="72">
        <v>895088.26980019</v>
      </c>
      <c r="BE14" s="72">
        <v>903746.68839344999</v>
      </c>
      <c r="BF14" s="72">
        <v>919384.82389899995</v>
      </c>
      <c r="BG14" s="72">
        <v>940028.5</v>
      </c>
      <c r="BH14" s="72">
        <v>955832.5</v>
      </c>
      <c r="BI14" s="72">
        <v>968354.5</v>
      </c>
      <c r="BJ14" s="72">
        <v>984229.5</v>
      </c>
      <c r="BK14" s="72">
        <v>1005561.9999999999</v>
      </c>
      <c r="BL14" s="72">
        <v>1027585.5</v>
      </c>
      <c r="BM14" s="72">
        <v>1049164.5</v>
      </c>
      <c r="BN14" s="72">
        <v>1067349</v>
      </c>
      <c r="BO14" s="72">
        <v>1212063.56238094</v>
      </c>
      <c r="BP14" s="72">
        <v>1236100.97666665</v>
      </c>
      <c r="BQ14" s="72">
        <v>1263762.9433333301</v>
      </c>
      <c r="BR14" s="72">
        <v>1287435.6833333101</v>
      </c>
      <c r="BS14" s="72">
        <v>1307554.33333332</v>
      </c>
      <c r="BT14" s="72">
        <v>1326563.49999999</v>
      </c>
      <c r="BU14" s="72">
        <v>1343864.49999999</v>
      </c>
      <c r="BV14" s="72">
        <v>1359711.49999999</v>
      </c>
      <c r="BW14" s="72">
        <v>1376483</v>
      </c>
      <c r="BX14" s="72">
        <v>1397191</v>
      </c>
      <c r="BY14" s="72">
        <v>1421522</v>
      </c>
      <c r="BZ14" s="72">
        <v>1448247</v>
      </c>
      <c r="CA14" s="72">
        <v>1473805</v>
      </c>
      <c r="CB14" s="72">
        <v>1496317</v>
      </c>
      <c r="CC14" s="72">
        <v>1516198</v>
      </c>
      <c r="CD14" s="72">
        <v>1535400</v>
      </c>
      <c r="CE14" s="72">
        <v>624130</v>
      </c>
      <c r="CF14" s="72">
        <v>635123</v>
      </c>
      <c r="CG14" s="72">
        <v>647729</v>
      </c>
      <c r="CH14" s="72">
        <v>663216</v>
      </c>
      <c r="CI14" s="72">
        <v>676960</v>
      </c>
      <c r="CJ14" s="72">
        <v>688959</v>
      </c>
      <c r="CK14" s="72">
        <v>699264</v>
      </c>
      <c r="CL14" s="72">
        <v>710431</v>
      </c>
      <c r="CM14" s="72">
        <v>721930</v>
      </c>
      <c r="CN14" s="72">
        <v>728290.5</v>
      </c>
      <c r="CO14" s="72">
        <v>739353.5</v>
      </c>
      <c r="CP14" s="72">
        <v>745501</v>
      </c>
      <c r="CQ14" s="72">
        <v>752141</v>
      </c>
      <c r="CR14" s="72">
        <v>757726</v>
      </c>
      <c r="CS14" s="72">
        <v>762303</v>
      </c>
      <c r="CT14" s="72">
        <v>767583</v>
      </c>
      <c r="CU14" s="72">
        <v>799028</v>
      </c>
      <c r="CV14" s="72">
        <v>805190</v>
      </c>
      <c r="CW14" s="72">
        <v>814865</v>
      </c>
      <c r="CX14" s="72">
        <v>821578</v>
      </c>
      <c r="CY14" s="72">
        <v>825215</v>
      </c>
      <c r="CZ14" s="72">
        <v>834417</v>
      </c>
      <c r="DA14" s="72">
        <v>838385</v>
      </c>
      <c r="DB14" s="72">
        <v>844244</v>
      </c>
      <c r="DC14" s="72">
        <v>854231</v>
      </c>
      <c r="DD14" s="72">
        <v>867001</v>
      </c>
      <c r="DE14" s="72">
        <v>879064.5</v>
      </c>
      <c r="DF14" s="72">
        <v>891934.5</v>
      </c>
      <c r="DG14" s="72">
        <v>905969.99999999988</v>
      </c>
      <c r="DH14" s="72">
        <v>916470.5</v>
      </c>
      <c r="DI14" s="72">
        <v>925966.00000000012</v>
      </c>
      <c r="DJ14" s="72">
        <v>935178.5</v>
      </c>
      <c r="DK14" s="72">
        <v>293175.49999997998</v>
      </c>
      <c r="DL14" s="72">
        <v>299118.49999998999</v>
      </c>
      <c r="DM14" s="72">
        <v>302627.49999998999</v>
      </c>
      <c r="DN14" s="72">
        <v>305242.99999997998</v>
      </c>
      <c r="DO14" s="72">
        <v>309597.99999998999</v>
      </c>
      <c r="DP14" s="72">
        <v>307191</v>
      </c>
      <c r="DQ14" s="72">
        <v>312839</v>
      </c>
      <c r="DR14" s="72">
        <v>319591</v>
      </c>
      <c r="DS14" s="72">
        <v>325927.00000000006</v>
      </c>
      <c r="DT14" s="72">
        <v>332267</v>
      </c>
      <c r="DU14" s="72">
        <v>339467</v>
      </c>
      <c r="DV14" s="72">
        <v>346887</v>
      </c>
      <c r="DW14" s="72">
        <v>353729</v>
      </c>
      <c r="DX14" s="72">
        <v>360430.99999999994</v>
      </c>
      <c r="DY14" s="72">
        <v>366841.00000000012</v>
      </c>
      <c r="DZ14" s="72">
        <v>369331.49999999994</v>
      </c>
      <c r="EA14" s="72">
        <v>663966.35730240005</v>
      </c>
      <c r="EB14" s="72">
        <v>675821.59009509999</v>
      </c>
      <c r="EC14" s="72">
        <v>688356.43188220996</v>
      </c>
      <c r="ED14" s="72">
        <v>701004.54183501995</v>
      </c>
      <c r="EE14" s="72">
        <v>715219.69663429004</v>
      </c>
      <c r="EF14" s="72">
        <v>731281.52706412005</v>
      </c>
      <c r="EG14" s="72">
        <v>743561.51547831995</v>
      </c>
      <c r="EH14" s="72">
        <v>753913.41676781001</v>
      </c>
      <c r="EI14" s="72">
        <v>765240.73900238005</v>
      </c>
      <c r="EJ14" s="72">
        <v>777161.00874875998</v>
      </c>
      <c r="EK14" s="72">
        <v>799540</v>
      </c>
      <c r="EL14" s="72">
        <v>816349</v>
      </c>
      <c r="EM14" s="72">
        <v>835781</v>
      </c>
      <c r="EN14" s="72">
        <v>853771</v>
      </c>
      <c r="EO14" s="72">
        <v>863408</v>
      </c>
      <c r="EP14" s="72">
        <v>877935</v>
      </c>
      <c r="EQ14" s="72">
        <v>778839</v>
      </c>
      <c r="ER14" s="72">
        <v>779426</v>
      </c>
      <c r="ES14" s="72">
        <v>781110</v>
      </c>
      <c r="ET14" s="72">
        <v>814467</v>
      </c>
      <c r="EU14" s="72">
        <v>826964</v>
      </c>
      <c r="EV14" s="72">
        <v>836055</v>
      </c>
      <c r="EW14" s="72">
        <v>844153</v>
      </c>
      <c r="EX14" s="72">
        <v>847766</v>
      </c>
      <c r="EY14" s="72">
        <v>851766.5</v>
      </c>
      <c r="EZ14" s="72">
        <v>853939</v>
      </c>
      <c r="FA14" s="72">
        <v>858646.5</v>
      </c>
      <c r="FB14" s="72">
        <v>878299.5</v>
      </c>
      <c r="FC14" s="72">
        <v>894397</v>
      </c>
      <c r="FD14" s="72">
        <v>906197.49999999977</v>
      </c>
      <c r="FE14" s="72">
        <v>914602.99999999965</v>
      </c>
      <c r="FF14" s="72">
        <v>920841</v>
      </c>
      <c r="FG14" s="72">
        <v>605407.99999997998</v>
      </c>
      <c r="FH14" s="72">
        <v>616585.49999997998</v>
      </c>
      <c r="FI14" s="72">
        <v>627552.49999997998</v>
      </c>
      <c r="FJ14" s="72">
        <v>638613.49999996996</v>
      </c>
      <c r="FK14" s="72">
        <v>645694.49999998999</v>
      </c>
      <c r="FL14" s="72">
        <v>654640.99999997998</v>
      </c>
      <c r="FM14" s="72">
        <v>668702.99999996996</v>
      </c>
      <c r="FN14" s="72">
        <v>681298.99999996996</v>
      </c>
      <c r="FO14" s="72">
        <v>685193.99999998999</v>
      </c>
      <c r="FP14" s="72">
        <v>706424</v>
      </c>
      <c r="FQ14" s="72">
        <v>712767</v>
      </c>
      <c r="FR14" s="72">
        <v>734644</v>
      </c>
      <c r="FS14" s="72">
        <v>741836</v>
      </c>
      <c r="FT14" s="72">
        <v>762382</v>
      </c>
      <c r="FU14" s="72">
        <v>776854.00000000012</v>
      </c>
      <c r="FV14" s="72">
        <v>784245.5</v>
      </c>
      <c r="FW14" s="72">
        <v>250642.5242013</v>
      </c>
      <c r="FX14" s="72">
        <v>255484.38545674999</v>
      </c>
      <c r="FY14" s="72">
        <v>260424.25945124001</v>
      </c>
      <c r="FZ14" s="72">
        <v>265464.13023523003</v>
      </c>
      <c r="GA14" s="72">
        <v>270606.02202186</v>
      </c>
      <c r="GB14" s="72">
        <v>275851.99999998999</v>
      </c>
      <c r="GC14" s="72">
        <v>278391.99999998999</v>
      </c>
      <c r="GD14" s="72">
        <v>279867.99999998999</v>
      </c>
      <c r="GE14" s="72">
        <v>280750</v>
      </c>
      <c r="GF14" s="72">
        <v>283059</v>
      </c>
      <c r="GG14" s="72">
        <v>285325</v>
      </c>
      <c r="GH14" s="72">
        <v>287651.5001</v>
      </c>
      <c r="GI14" s="72">
        <v>287936</v>
      </c>
      <c r="GJ14" s="72">
        <v>290446</v>
      </c>
      <c r="GK14" s="72">
        <v>293949</v>
      </c>
      <c r="GL14" s="72">
        <v>297656</v>
      </c>
      <c r="GM14" s="72">
        <v>612728</v>
      </c>
      <c r="GN14" s="72">
        <v>618250</v>
      </c>
      <c r="GO14" s="72">
        <v>624094</v>
      </c>
      <c r="GP14" s="72">
        <v>628120</v>
      </c>
      <c r="GQ14" s="72">
        <v>633823</v>
      </c>
      <c r="GR14" s="72">
        <v>641129.77419353998</v>
      </c>
      <c r="GS14" s="72">
        <v>647892</v>
      </c>
      <c r="GT14" s="72">
        <v>656516</v>
      </c>
      <c r="GU14" s="72">
        <v>658453</v>
      </c>
      <c r="GV14" s="72">
        <v>664549</v>
      </c>
      <c r="GW14" s="72">
        <v>669826</v>
      </c>
      <c r="GX14" s="72">
        <v>676807</v>
      </c>
      <c r="GY14" s="72">
        <v>685025</v>
      </c>
      <c r="GZ14" s="72">
        <v>697594</v>
      </c>
      <c r="HA14" s="72">
        <v>703119</v>
      </c>
      <c r="HB14" s="72">
        <v>705367</v>
      </c>
      <c r="HC14" s="70"/>
      <c r="HD14" s="70"/>
      <c r="HE14" s="70"/>
      <c r="HF14" s="70"/>
      <c r="HG14" s="70"/>
      <c r="HH14" s="70"/>
      <c r="HI14" s="70"/>
      <c r="HJ14" s="70"/>
      <c r="HK14" s="70"/>
      <c r="HL14" s="70"/>
      <c r="HM14" s="70"/>
      <c r="HN14" s="70"/>
      <c r="HO14" s="70"/>
      <c r="HP14" s="70"/>
      <c r="HQ14" s="70"/>
      <c r="HR14" s="70"/>
      <c r="HS14" s="70"/>
    </row>
    <row r="15" spans="1:227" s="69" customFormat="1" ht="13.35" customHeight="1">
      <c r="A15" s="69" t="s">
        <v>72</v>
      </c>
      <c r="B15" s="69" t="s">
        <v>73</v>
      </c>
      <c r="C15" s="72">
        <v>630.12</v>
      </c>
      <c r="D15" s="72">
        <v>610.67999999999995</v>
      </c>
      <c r="E15" s="72">
        <v>625.12800000000004</v>
      </c>
      <c r="F15" s="72">
        <v>615.16800000000001</v>
      </c>
      <c r="G15" s="72">
        <v>617.76</v>
      </c>
      <c r="H15" s="72">
        <v>620.80999999999995</v>
      </c>
      <c r="I15" s="72">
        <v>701.69200000000001</v>
      </c>
      <c r="J15" s="72">
        <v>697.803</v>
      </c>
      <c r="K15" s="72">
        <v>669.9</v>
      </c>
      <c r="L15" s="73">
        <f t="shared" ref="L15:Q15" si="7">L22</f>
        <v>733</v>
      </c>
      <c r="M15" s="73">
        <f t="shared" si="7"/>
        <v>669</v>
      </c>
      <c r="N15" s="73">
        <f t="shared" si="7"/>
        <v>688</v>
      </c>
      <c r="O15" s="73">
        <f t="shared" si="7"/>
        <v>812</v>
      </c>
      <c r="P15" s="73">
        <f t="shared" si="7"/>
        <v>691</v>
      </c>
      <c r="Q15" s="73">
        <f t="shared" si="7"/>
        <v>779</v>
      </c>
      <c r="R15" s="73">
        <f>R22</f>
        <v>844</v>
      </c>
      <c r="S15" s="72">
        <v>6109.7635600000003</v>
      </c>
      <c r="T15" s="72">
        <v>6019.4088400000001</v>
      </c>
      <c r="U15" s="72">
        <v>6280.2569100000001</v>
      </c>
      <c r="V15" s="72">
        <v>6372.643</v>
      </c>
      <c r="W15" s="72">
        <v>6305.1046800000004</v>
      </c>
      <c r="X15" s="72">
        <v>6555.2656999999999</v>
      </c>
      <c r="Y15" s="72">
        <v>5958.1553700000004</v>
      </c>
      <c r="Z15" s="72">
        <v>6004.79190406</v>
      </c>
      <c r="AA15" s="72">
        <v>5165.4497899999997</v>
      </c>
      <c r="AB15" s="72">
        <v>5367.3402900000001</v>
      </c>
      <c r="AC15" s="72">
        <v>5798.3421600000001</v>
      </c>
      <c r="AD15" s="72">
        <v>6226.4351800000004</v>
      </c>
      <c r="AE15" s="72">
        <v>5767</v>
      </c>
      <c r="AF15" s="72">
        <v>5931</v>
      </c>
      <c r="AG15" s="72">
        <v>6011</v>
      </c>
      <c r="AH15" s="72">
        <v>5664</v>
      </c>
      <c r="AI15" s="72">
        <v>1311.96</v>
      </c>
      <c r="AJ15" s="72">
        <v>1348.64</v>
      </c>
      <c r="AK15" s="72">
        <v>1410.96</v>
      </c>
      <c r="AL15" s="72">
        <v>1448.8</v>
      </c>
      <c r="AM15" s="72">
        <v>1389.2</v>
      </c>
      <c r="AN15" s="72">
        <v>1432.5</v>
      </c>
      <c r="AO15" s="72">
        <v>1358.8</v>
      </c>
      <c r="AP15" s="72">
        <v>1447.9</v>
      </c>
      <c r="AQ15" s="72">
        <v>1439.32</v>
      </c>
      <c r="AR15" s="72">
        <v>1244.1674392</v>
      </c>
      <c r="AS15" s="72">
        <v>1373</v>
      </c>
      <c r="AT15" s="72">
        <v>1478</v>
      </c>
      <c r="AU15" s="72">
        <v>1527.7799520000001</v>
      </c>
      <c r="AV15" s="72">
        <v>1484</v>
      </c>
      <c r="AW15" s="72">
        <v>1542</v>
      </c>
      <c r="AX15" s="72">
        <v>1276</v>
      </c>
      <c r="AY15" s="72">
        <v>3779.0286552100001</v>
      </c>
      <c r="AZ15" s="72">
        <v>3704.4117377299999</v>
      </c>
      <c r="BA15" s="72">
        <v>3690.1265355</v>
      </c>
      <c r="BB15" s="72">
        <v>4004.2594068600001</v>
      </c>
      <c r="BC15" s="72">
        <v>3928.5643727000001</v>
      </c>
      <c r="BD15" s="72">
        <v>4162.0593220700002</v>
      </c>
      <c r="BE15" s="72">
        <v>3377.31322821</v>
      </c>
      <c r="BF15" s="72">
        <v>3825.0089998899998</v>
      </c>
      <c r="BG15" s="72">
        <v>3361.1572785799999</v>
      </c>
      <c r="BH15" s="72">
        <v>3592.95984146</v>
      </c>
      <c r="BI15" s="72">
        <v>4096.74707253</v>
      </c>
      <c r="BJ15" s="72">
        <v>4344.0417028000002</v>
      </c>
      <c r="BK15" s="72">
        <v>4007.2025363243602</v>
      </c>
      <c r="BL15" s="72">
        <v>4159.4866072986497</v>
      </c>
      <c r="BM15" s="72">
        <v>4260.7803490849383</v>
      </c>
      <c r="BN15" s="72">
        <v>3830.1281528971499</v>
      </c>
      <c r="BO15" s="72">
        <v>4225.3853993399998</v>
      </c>
      <c r="BP15" s="72">
        <v>4618</v>
      </c>
      <c r="BQ15" s="72">
        <v>4796.7614080399999</v>
      </c>
      <c r="BR15" s="72">
        <v>5027.5095144200004</v>
      </c>
      <c r="BS15" s="72">
        <v>5297.7098321900003</v>
      </c>
      <c r="BT15" s="72">
        <v>5048.7678794800004</v>
      </c>
      <c r="BU15" s="72">
        <v>4633.7388400999998</v>
      </c>
      <c r="BV15" s="72">
        <v>4685.88684844</v>
      </c>
      <c r="BW15" s="72">
        <v>4518.2367792100003</v>
      </c>
      <c r="BX15" s="72">
        <v>4744.3609999999999</v>
      </c>
      <c r="BY15" s="72">
        <v>4807.4521409600002</v>
      </c>
      <c r="BZ15" s="72">
        <v>5047.2200098000003</v>
      </c>
      <c r="CA15" s="72">
        <v>5083.9193487167395</v>
      </c>
      <c r="CB15" s="72">
        <v>5216.25</v>
      </c>
      <c r="CC15" s="72">
        <v>5336</v>
      </c>
      <c r="CD15" s="72">
        <v>4838</v>
      </c>
      <c r="CE15" s="72">
        <v>2804.212</v>
      </c>
      <c r="CF15" s="72">
        <v>2851.5990000000002</v>
      </c>
      <c r="CG15" s="72">
        <v>3078.596</v>
      </c>
      <c r="CH15" s="72">
        <v>3040.864</v>
      </c>
      <c r="CI15" s="72">
        <v>3238.0459999999998</v>
      </c>
      <c r="CJ15" s="72">
        <v>3057.3649999999998</v>
      </c>
      <c r="CK15" s="72">
        <v>3212.5889999999999</v>
      </c>
      <c r="CL15" s="72">
        <v>3149.4879999999998</v>
      </c>
      <c r="CM15" s="72">
        <v>3083.3670000000002</v>
      </c>
      <c r="CN15" s="72">
        <v>3113.0050005899998</v>
      </c>
      <c r="CO15" s="72">
        <v>3060.09299087</v>
      </c>
      <c r="CP15" s="72">
        <v>3152.9</v>
      </c>
      <c r="CQ15" s="72">
        <v>3091.36</v>
      </c>
      <c r="CR15" s="72">
        <v>3108.277</v>
      </c>
      <c r="CS15" s="72">
        <v>2976</v>
      </c>
      <c r="CT15" s="72">
        <v>2962</v>
      </c>
      <c r="CU15" s="72">
        <v>2473.79407167</v>
      </c>
      <c r="CV15" s="72">
        <v>2586.2495781600001</v>
      </c>
      <c r="CW15" s="72">
        <v>2558.21198774</v>
      </c>
      <c r="CX15" s="72">
        <v>2589.0927531799998</v>
      </c>
      <c r="CY15" s="72">
        <v>2589.9727824299998</v>
      </c>
      <c r="CZ15" s="72">
        <v>2541.78606124</v>
      </c>
      <c r="DA15" s="72">
        <v>2462.9661823699998</v>
      </c>
      <c r="DB15" s="72">
        <v>2562.8678676899999</v>
      </c>
      <c r="DC15" s="72">
        <v>2967.8844979999999</v>
      </c>
      <c r="DD15" s="72">
        <v>2724.0675080000001</v>
      </c>
      <c r="DE15" s="72">
        <v>2847.7780039999998</v>
      </c>
      <c r="DF15" s="72">
        <v>2964.6780480000002</v>
      </c>
      <c r="DG15" s="72">
        <v>2965</v>
      </c>
      <c r="DH15" s="72">
        <v>3031</v>
      </c>
      <c r="DI15" s="72">
        <v>2994</v>
      </c>
      <c r="DJ15" s="72">
        <v>3011</v>
      </c>
      <c r="DK15" s="72">
        <v>836.98500799999999</v>
      </c>
      <c r="DL15" s="72">
        <v>901.72535600000003</v>
      </c>
      <c r="DM15" s="72">
        <v>958.34431600000005</v>
      </c>
      <c r="DN15" s="72">
        <v>1019.66512</v>
      </c>
      <c r="DO15" s="72">
        <v>993.45596399999999</v>
      </c>
      <c r="DP15" s="72">
        <v>1017.041108</v>
      </c>
      <c r="DQ15" s="72">
        <v>892.449252</v>
      </c>
      <c r="DR15" s="72">
        <v>977</v>
      </c>
      <c r="DS15" s="72">
        <v>1013.2929901</v>
      </c>
      <c r="DT15" s="72">
        <v>876.42929976000005</v>
      </c>
      <c r="DU15" s="72">
        <v>987.00584000000003</v>
      </c>
      <c r="DV15" s="72">
        <v>956.53558655999996</v>
      </c>
      <c r="DW15" s="72">
        <v>982.80725600000005</v>
      </c>
      <c r="DX15" s="72">
        <v>1026.0431919615999</v>
      </c>
      <c r="DY15" s="72">
        <v>1050.4283640000001</v>
      </c>
      <c r="DZ15" s="72">
        <v>947.88464399999998</v>
      </c>
      <c r="EA15" s="72">
        <v>2069.6999999999998</v>
      </c>
      <c r="EB15" s="72">
        <v>2183.549</v>
      </c>
      <c r="EC15" s="72">
        <v>2313.63</v>
      </c>
      <c r="ED15" s="72">
        <v>2516.69</v>
      </c>
      <c r="EE15" s="72">
        <v>2446.64</v>
      </c>
      <c r="EF15" s="72">
        <v>2383.48</v>
      </c>
      <c r="EG15" s="72">
        <v>2267.0300000000002</v>
      </c>
      <c r="EH15" s="72">
        <v>2413.48</v>
      </c>
      <c r="EI15" s="72">
        <v>2571.31</v>
      </c>
      <c r="EJ15" s="72">
        <v>2301.43869</v>
      </c>
      <c r="EK15" s="72">
        <v>2524</v>
      </c>
      <c r="EL15" s="72">
        <v>2505</v>
      </c>
      <c r="EM15" s="72">
        <v>2614.17022</v>
      </c>
      <c r="EN15" s="72">
        <v>2626</v>
      </c>
      <c r="EO15" s="72">
        <v>2679</v>
      </c>
      <c r="EP15" s="72">
        <v>2349</v>
      </c>
      <c r="EQ15" s="72">
        <v>2765.2886760000001</v>
      </c>
      <c r="ER15" s="72">
        <v>2746.0278239999998</v>
      </c>
      <c r="ES15" s="72">
        <v>2959.9079360000001</v>
      </c>
      <c r="ET15" s="72">
        <v>3192.7919959999999</v>
      </c>
      <c r="EU15" s="72">
        <v>3096.2725460000001</v>
      </c>
      <c r="EV15" s="72">
        <v>3096.3392140000001</v>
      </c>
      <c r="EW15" s="72">
        <v>2768.2162320000002</v>
      </c>
      <c r="EX15" s="72">
        <v>2902.2357059999999</v>
      </c>
      <c r="EY15" s="72">
        <v>3048.9762519999999</v>
      </c>
      <c r="EZ15" s="72">
        <v>2746.4357559999999</v>
      </c>
      <c r="FA15" s="72">
        <v>2775.961812</v>
      </c>
      <c r="FB15" s="72">
        <v>2939.338526</v>
      </c>
      <c r="FC15" s="72">
        <v>2787.5683640000002</v>
      </c>
      <c r="FD15" s="72">
        <v>3118</v>
      </c>
      <c r="FE15" s="72">
        <v>2947.15663</v>
      </c>
      <c r="FF15" s="72">
        <v>2673</v>
      </c>
      <c r="FG15" s="72">
        <v>1616.768</v>
      </c>
      <c r="FH15" s="72">
        <v>1689.1969999999999</v>
      </c>
      <c r="FI15" s="72">
        <v>1801.394</v>
      </c>
      <c r="FJ15" s="72">
        <v>1930.99232807</v>
      </c>
      <c r="FK15" s="72">
        <v>1937.704264</v>
      </c>
      <c r="FL15" s="72">
        <v>1838.472352</v>
      </c>
      <c r="FM15" s="72">
        <v>1793.255484</v>
      </c>
      <c r="FN15" s="72">
        <v>1881.4148680000001</v>
      </c>
      <c r="FO15" s="72">
        <v>1942.955156</v>
      </c>
      <c r="FP15" s="72">
        <v>1816.759</v>
      </c>
      <c r="FQ15" s="72">
        <v>1951.7954540000001</v>
      </c>
      <c r="FR15" s="72">
        <v>1942.0717212</v>
      </c>
      <c r="FS15" s="72">
        <v>1942.1035879999999</v>
      </c>
      <c r="FT15" s="72">
        <v>2026.9370560000002</v>
      </c>
      <c r="FU15" s="72">
        <v>2114.9357599999998</v>
      </c>
      <c r="FV15" s="72">
        <v>1876.6215480000001</v>
      </c>
      <c r="FW15" s="72">
        <v>1063</v>
      </c>
      <c r="FX15" s="72">
        <v>1148</v>
      </c>
      <c r="FY15" s="72">
        <v>1154</v>
      </c>
      <c r="FZ15" s="72">
        <v>1134</v>
      </c>
      <c r="GA15" s="72">
        <v>1111</v>
      </c>
      <c r="GB15" s="72">
        <v>1082</v>
      </c>
      <c r="GC15" s="72">
        <v>1042</v>
      </c>
      <c r="GD15" s="72">
        <v>1022</v>
      </c>
      <c r="GE15" s="72">
        <v>1052.3589992</v>
      </c>
      <c r="GF15" s="72">
        <v>1044.250546</v>
      </c>
      <c r="GG15" s="72">
        <v>1075.038816</v>
      </c>
      <c r="GH15" s="72">
        <v>1064.268376</v>
      </c>
      <c r="GI15" s="72">
        <v>1064.7223899999999</v>
      </c>
      <c r="GJ15" s="72">
        <v>1026.4160747088699</v>
      </c>
      <c r="GK15" s="72">
        <v>1079.383921874</v>
      </c>
      <c r="GL15" s="72">
        <v>1096.5808899040001</v>
      </c>
      <c r="GM15" s="72">
        <v>1724.0199811800001</v>
      </c>
      <c r="GN15" s="72">
        <v>1819.64476949</v>
      </c>
      <c r="GO15" s="72">
        <v>1949.3399704399999</v>
      </c>
      <c r="GP15" s="72">
        <v>2136.74219451</v>
      </c>
      <c r="GQ15" s="72">
        <v>2038.7711396</v>
      </c>
      <c r="GR15" s="72">
        <v>1975.2444353599999</v>
      </c>
      <c r="GS15" s="72">
        <v>1814.848504</v>
      </c>
      <c r="GT15" s="72">
        <v>2037.0437320000001</v>
      </c>
      <c r="GU15" s="72">
        <v>2142.611222</v>
      </c>
      <c r="GV15" s="72">
        <v>1823.9849107800001</v>
      </c>
      <c r="GW15" s="72">
        <v>2008.7</v>
      </c>
      <c r="GX15" s="72">
        <v>1989.64</v>
      </c>
      <c r="GY15" s="72">
        <v>2060.1515262197099</v>
      </c>
      <c r="GZ15" s="72">
        <v>2103.748</v>
      </c>
      <c r="HA15" s="72">
        <v>2102.9459999999999</v>
      </c>
      <c r="HB15" s="72">
        <v>1797.973</v>
      </c>
      <c r="HC15" s="70"/>
      <c r="HD15" s="70"/>
      <c r="HE15" s="70"/>
      <c r="HF15" s="70"/>
      <c r="HG15" s="70"/>
      <c r="HH15" s="70"/>
      <c r="HI15" s="70"/>
      <c r="HJ15" s="70"/>
      <c r="HK15" s="70"/>
      <c r="HL15" s="70"/>
      <c r="HM15" s="70"/>
      <c r="HN15" s="70"/>
      <c r="HO15" s="70"/>
      <c r="HP15" s="70"/>
      <c r="HQ15" s="70"/>
      <c r="HR15" s="70"/>
      <c r="HS15" s="70"/>
    </row>
    <row r="16" spans="1:227" s="69" customFormat="1" ht="13.35" customHeight="1">
      <c r="A16" s="69" t="s">
        <v>74</v>
      </c>
      <c r="B16" s="69" t="s">
        <v>49</v>
      </c>
      <c r="C16" s="72">
        <v>32644.372461278101</v>
      </c>
      <c r="D16" s="72">
        <v>33989.78368583</v>
      </c>
      <c r="E16" s="72">
        <v>37658.377116216798</v>
      </c>
      <c r="F16" s="72">
        <v>39959.378599711999</v>
      </c>
      <c r="G16" s="72">
        <v>46087.463131805001</v>
      </c>
      <c r="H16" s="72">
        <v>53239.636389662104</v>
      </c>
      <c r="I16" s="72">
        <v>58764.115947737497</v>
      </c>
      <c r="J16" s="72">
        <v>66417.409985292601</v>
      </c>
      <c r="K16" s="72">
        <v>77223.594865233899</v>
      </c>
      <c r="L16" s="72">
        <v>73579.8426807426</v>
      </c>
      <c r="M16" s="72">
        <v>40562.178874851801</v>
      </c>
      <c r="N16" s="72">
        <v>46909.595999999998</v>
      </c>
      <c r="O16" s="72">
        <v>55849.335000000006</v>
      </c>
      <c r="P16" s="72">
        <v>55021.766000000003</v>
      </c>
      <c r="Q16" s="72">
        <v>53278.416409999998</v>
      </c>
      <c r="R16" s="72">
        <v>54940.209000000003</v>
      </c>
      <c r="S16" s="72">
        <v>357834.496219308</v>
      </c>
      <c r="T16" s="72">
        <v>316522.99188389303</v>
      </c>
      <c r="U16" s="72">
        <v>467809.12217390706</v>
      </c>
      <c r="V16" s="72">
        <v>441027.33814656798</v>
      </c>
      <c r="W16" s="72">
        <v>511184.26885726303</v>
      </c>
      <c r="X16" s="72">
        <v>506684.85404769296</v>
      </c>
      <c r="Y16" s="72">
        <v>577601.0955064391</v>
      </c>
      <c r="Z16" s="72">
        <v>471121.68333051505</v>
      </c>
      <c r="AA16" s="72">
        <v>539569.59182207996</v>
      </c>
      <c r="AB16" s="72">
        <v>647227.97580349504</v>
      </c>
      <c r="AC16" s="72">
        <v>588178.86646726506</v>
      </c>
      <c r="AD16" s="72">
        <v>529666.46092261001</v>
      </c>
      <c r="AE16" s="72">
        <v>463137.071</v>
      </c>
      <c r="AF16" s="72">
        <v>445750.647</v>
      </c>
      <c r="AG16" s="72">
        <v>403448.37900000002</v>
      </c>
      <c r="AH16" s="72">
        <v>387112.45299999998</v>
      </c>
      <c r="AI16" s="72">
        <v>26412.589009526593</v>
      </c>
      <c r="AJ16" s="72">
        <v>31329.710649259305</v>
      </c>
      <c r="AK16" s="72">
        <v>31120.531390019252</v>
      </c>
      <c r="AL16" s="72">
        <v>37629.540867755153</v>
      </c>
      <c r="AM16" s="72">
        <v>42279.50798262329</v>
      </c>
      <c r="AN16" s="72">
        <v>40682.50401969807</v>
      </c>
      <c r="AO16" s="72">
        <v>52808.972782802135</v>
      </c>
      <c r="AP16" s="72">
        <v>52531.24811007821</v>
      </c>
      <c r="AQ16" s="72">
        <v>55150.625983108068</v>
      </c>
      <c r="AR16" s="72">
        <v>54114.799686988088</v>
      </c>
      <c r="AS16" s="72">
        <v>55931.882749594763</v>
      </c>
      <c r="AT16" s="72">
        <v>55013.031827621628</v>
      </c>
      <c r="AU16" s="72">
        <v>48786.43161912472</v>
      </c>
      <c r="AV16" s="72">
        <v>55927.707030221893</v>
      </c>
      <c r="AW16" s="72">
        <v>53516.156825532875</v>
      </c>
      <c r="AX16" s="72">
        <v>46752.039703464063</v>
      </c>
      <c r="AY16" s="72">
        <v>156824.91789216301</v>
      </c>
      <c r="AZ16" s="72">
        <v>176841.394432931</v>
      </c>
      <c r="BA16" s="72">
        <v>224408.06001672801</v>
      </c>
      <c r="BB16" s="72">
        <v>214131.30026509601</v>
      </c>
      <c r="BC16" s="72">
        <v>210431.13798086398</v>
      </c>
      <c r="BD16" s="72">
        <v>229554.29065953402</v>
      </c>
      <c r="BE16" s="72">
        <v>240838.12724750797</v>
      </c>
      <c r="BF16" s="72">
        <v>222645.27398422701</v>
      </c>
      <c r="BG16" s="72">
        <v>258321.99304766802</v>
      </c>
      <c r="BH16" s="72">
        <v>270954.43519109796</v>
      </c>
      <c r="BI16" s="72">
        <v>295663.49812986702</v>
      </c>
      <c r="BJ16" s="72">
        <v>276143.80499999999</v>
      </c>
      <c r="BK16" s="72">
        <v>257322.89818438003</v>
      </c>
      <c r="BL16" s="72">
        <v>248955.63635370001</v>
      </c>
      <c r="BM16" s="72">
        <v>226772.79477854402</v>
      </c>
      <c r="BN16" s="72">
        <v>244843.380445277</v>
      </c>
      <c r="BO16" s="72">
        <v>189286.786515969</v>
      </c>
      <c r="BP16" s="72">
        <v>229999.82498122202</v>
      </c>
      <c r="BQ16" s="72">
        <v>249220.28103108701</v>
      </c>
      <c r="BR16" s="72">
        <v>269392.65438000002</v>
      </c>
      <c r="BS16" s="72">
        <v>278759.46135</v>
      </c>
      <c r="BT16" s="72">
        <v>317627.73702</v>
      </c>
      <c r="BU16" s="72">
        <v>350958.66492000007</v>
      </c>
      <c r="BV16" s="72">
        <v>387877.9989499998</v>
      </c>
      <c r="BW16" s="72">
        <v>365738.55767000001</v>
      </c>
      <c r="BX16" s="72">
        <v>381461.5461299998</v>
      </c>
      <c r="BY16" s="72">
        <v>344893.63842298696</v>
      </c>
      <c r="BZ16" s="72">
        <v>353346.31027999998</v>
      </c>
      <c r="CA16" s="72">
        <v>362234.78839999996</v>
      </c>
      <c r="CB16" s="72">
        <v>350114.929</v>
      </c>
      <c r="CC16" s="72">
        <v>338318.7</v>
      </c>
      <c r="CD16" s="72">
        <v>394441.64827462204</v>
      </c>
      <c r="CE16" s="72">
        <v>259957.891</v>
      </c>
      <c r="CF16" s="72">
        <v>241890.48055000001</v>
      </c>
      <c r="CG16" s="72">
        <v>269457.2365</v>
      </c>
      <c r="CH16" s="72">
        <v>270466.59799000004</v>
      </c>
      <c r="CI16" s="72">
        <v>270621.21470000001</v>
      </c>
      <c r="CJ16" s="72">
        <v>345122.06182</v>
      </c>
      <c r="CK16" s="72">
        <v>363976.48437000008</v>
      </c>
      <c r="CL16" s="72">
        <v>298481.04830000014</v>
      </c>
      <c r="CM16" s="72">
        <v>308046.36037000001</v>
      </c>
      <c r="CN16" s="72">
        <v>362830.15773000004</v>
      </c>
      <c r="CO16" s="72">
        <v>371607.978</v>
      </c>
      <c r="CP16" s="72">
        <v>341013.31</v>
      </c>
      <c r="CQ16" s="72">
        <v>357962.68099999998</v>
      </c>
      <c r="CR16" s="72">
        <v>368947.33100000001</v>
      </c>
      <c r="CS16" s="72">
        <v>390182.78992536996</v>
      </c>
      <c r="CT16" s="72">
        <v>345735.46599798696</v>
      </c>
      <c r="CU16" s="72">
        <v>198507.61938633298</v>
      </c>
      <c r="CV16" s="72">
        <v>249199.63407414002</v>
      </c>
      <c r="CW16" s="72">
        <v>304612.28626150603</v>
      </c>
      <c r="CX16" s="72">
        <v>296582.84979402204</v>
      </c>
      <c r="CY16" s="72">
        <v>324946.11772000004</v>
      </c>
      <c r="CZ16" s="72">
        <v>336208.00537622103</v>
      </c>
      <c r="DA16" s="72">
        <v>429455.71274000197</v>
      </c>
      <c r="DB16" s="72">
        <v>401260.42950844707</v>
      </c>
      <c r="DC16" s="72">
        <v>390948.49645502307</v>
      </c>
      <c r="DD16" s="72">
        <v>391299.86702397501</v>
      </c>
      <c r="DE16" s="72">
        <v>313936.839553856</v>
      </c>
      <c r="DF16" s="72">
        <v>321942.69254999899</v>
      </c>
      <c r="DG16" s="72">
        <v>345390.71399999998</v>
      </c>
      <c r="DH16" s="72">
        <v>401766.886</v>
      </c>
      <c r="DI16" s="72">
        <v>394653.58999999997</v>
      </c>
      <c r="DJ16" s="72">
        <v>401221.27100000001</v>
      </c>
      <c r="DK16" s="72">
        <v>46756.092287101899</v>
      </c>
      <c r="DL16" s="72">
        <v>51252.352222211397</v>
      </c>
      <c r="DM16" s="72">
        <v>43220.358648427202</v>
      </c>
      <c r="DN16" s="72">
        <v>48349.725749867001</v>
      </c>
      <c r="DO16" s="72">
        <v>58605.575110382997</v>
      </c>
      <c r="DP16" s="72">
        <v>59886.898408099398</v>
      </c>
      <c r="DQ16" s="72">
        <v>70098.067766092601</v>
      </c>
      <c r="DR16" s="72">
        <v>69150.303926688197</v>
      </c>
      <c r="DS16" s="72">
        <v>69918.556613006105</v>
      </c>
      <c r="DT16" s="72">
        <v>73079.730390022902</v>
      </c>
      <c r="DU16" s="72">
        <v>78683.548999999999</v>
      </c>
      <c r="DV16" s="72">
        <v>84039.021999999997</v>
      </c>
      <c r="DW16" s="72">
        <v>79198.771999999997</v>
      </c>
      <c r="DX16" s="72">
        <v>84456.982650000005</v>
      </c>
      <c r="DY16" s="72">
        <v>73865.819759999998</v>
      </c>
      <c r="DZ16" s="72">
        <v>63000.526098240101</v>
      </c>
      <c r="EA16" s="72">
        <v>116861.47857915258</v>
      </c>
      <c r="EB16" s="72">
        <v>106359.56772461215</v>
      </c>
      <c r="EC16" s="72">
        <v>113514.72915098233</v>
      </c>
      <c r="ED16" s="72">
        <v>128379.6119855967</v>
      </c>
      <c r="EE16" s="72">
        <v>127280.19704758523</v>
      </c>
      <c r="EF16" s="72">
        <v>137174.04028031268</v>
      </c>
      <c r="EG16" s="72">
        <v>167745.95206778086</v>
      </c>
      <c r="EH16" s="72">
        <v>183726.35284227453</v>
      </c>
      <c r="EI16" s="72">
        <v>171080.18289509552</v>
      </c>
      <c r="EJ16" s="72">
        <v>186774.27334163259</v>
      </c>
      <c r="EK16" s="72">
        <v>162437.30997135999</v>
      </c>
      <c r="EL16" s="72">
        <v>178539.1076349763</v>
      </c>
      <c r="EM16" s="72">
        <v>187773.30476145935</v>
      </c>
      <c r="EN16" s="72">
        <v>185804.42775924937</v>
      </c>
      <c r="EO16" s="72">
        <v>177630.56194133652</v>
      </c>
      <c r="EP16" s="72">
        <v>180705.20953499887</v>
      </c>
      <c r="EQ16" s="72">
        <v>116302.749904419</v>
      </c>
      <c r="ER16" s="72">
        <v>112914.640378019</v>
      </c>
      <c r="ES16" s="72">
        <v>130933.87803296199</v>
      </c>
      <c r="ET16" s="72">
        <v>149173.38508183201</v>
      </c>
      <c r="EU16" s="72">
        <v>152669.628414626</v>
      </c>
      <c r="EV16" s="72">
        <v>197231.65958920601</v>
      </c>
      <c r="EW16" s="72">
        <v>210494.32048673902</v>
      </c>
      <c r="EX16" s="72">
        <v>228733.33101324001</v>
      </c>
      <c r="EY16" s="72">
        <v>233849.701</v>
      </c>
      <c r="EZ16" s="72">
        <v>248377.486889666</v>
      </c>
      <c r="FA16" s="72">
        <v>211867.16309531001</v>
      </c>
      <c r="FB16" s="72">
        <v>248667.39895521599</v>
      </c>
      <c r="FC16" s="72">
        <v>249010.83126000001</v>
      </c>
      <c r="FD16" s="72">
        <v>261706.81672</v>
      </c>
      <c r="FE16" s="72">
        <v>237845.67388999998</v>
      </c>
      <c r="FF16" s="72">
        <v>245707.57653999998</v>
      </c>
      <c r="FG16" s="72">
        <v>82540.040999999997</v>
      </c>
      <c r="FH16" s="72">
        <v>104522.864</v>
      </c>
      <c r="FI16" s="72">
        <v>117354.963</v>
      </c>
      <c r="FJ16" s="72">
        <v>139244.32199999999</v>
      </c>
      <c r="FK16" s="72">
        <v>139237.07999999999</v>
      </c>
      <c r="FL16" s="72">
        <v>145236.239</v>
      </c>
      <c r="FM16" s="72">
        <v>158632.40400000001</v>
      </c>
      <c r="FN16" s="72">
        <v>181028.39600000001</v>
      </c>
      <c r="FO16" s="72">
        <v>189806.67514137062</v>
      </c>
      <c r="FP16" s="72">
        <v>204651.59938180444</v>
      </c>
      <c r="FQ16" s="72">
        <v>229428.02527883899</v>
      </c>
      <c r="FR16" s="72">
        <v>204947.924709871</v>
      </c>
      <c r="FS16" s="72">
        <v>193557.933375539</v>
      </c>
      <c r="FT16" s="72">
        <v>204177.44023405801</v>
      </c>
      <c r="FU16" s="72">
        <v>217757.13255408776</v>
      </c>
      <c r="FV16" s="72">
        <v>220893.56157667577</v>
      </c>
      <c r="FW16" s="72">
        <v>48648.823897879505</v>
      </c>
      <c r="FX16" s="72">
        <v>50748.109417397798</v>
      </c>
      <c r="FY16" s="72">
        <v>53289.0230297776</v>
      </c>
      <c r="FZ16" s="72">
        <v>61973.7059213752</v>
      </c>
      <c r="GA16" s="72">
        <v>75037.978098049192</v>
      </c>
      <c r="GB16" s="72">
        <v>74900.179665433403</v>
      </c>
      <c r="GC16" s="72">
        <v>84369.777789408996</v>
      </c>
      <c r="GD16" s="72">
        <v>70674.63604085501</v>
      </c>
      <c r="GE16" s="72">
        <v>74075.862810526407</v>
      </c>
      <c r="GF16" s="72">
        <v>64088.129960287195</v>
      </c>
      <c r="GG16" s="72">
        <v>69929.810763066795</v>
      </c>
      <c r="GH16" s="72">
        <v>93577.683630547996</v>
      </c>
      <c r="GI16" s="72">
        <v>86416.346934444198</v>
      </c>
      <c r="GJ16" s="72">
        <v>78404.001088851903</v>
      </c>
      <c r="GK16" s="72">
        <v>82673.057705970088</v>
      </c>
      <c r="GL16" s="72">
        <v>89966.613204571317</v>
      </c>
      <c r="GM16" s="72">
        <v>83237</v>
      </c>
      <c r="GN16" s="72">
        <v>81473</v>
      </c>
      <c r="GO16" s="72">
        <v>85413.886309046997</v>
      </c>
      <c r="GP16" s="72">
        <v>89047.922493129998</v>
      </c>
      <c r="GQ16" s="72">
        <v>96130.066559793398</v>
      </c>
      <c r="GR16" s="72">
        <v>121992.755514909</v>
      </c>
      <c r="GS16" s="72">
        <v>126519.882999029</v>
      </c>
      <c r="GT16" s="72">
        <v>116175.49106407601</v>
      </c>
      <c r="GU16" s="72">
        <v>121867.70902049799</v>
      </c>
      <c r="GV16" s="72">
        <v>117721.494565381</v>
      </c>
      <c r="GW16" s="72">
        <v>138427.94329502599</v>
      </c>
      <c r="GX16" s="72">
        <v>132835.09312937901</v>
      </c>
      <c r="GY16" s="72">
        <v>108242.14191396099</v>
      </c>
      <c r="GZ16" s="72">
        <v>110815.785</v>
      </c>
      <c r="HA16" s="72">
        <v>118042.307</v>
      </c>
      <c r="HB16" s="72">
        <v>118292.577</v>
      </c>
      <c r="HC16" s="70"/>
      <c r="HD16" s="70"/>
      <c r="HE16" s="70"/>
      <c r="HF16" s="70"/>
      <c r="HG16" s="70"/>
      <c r="HH16" s="70"/>
      <c r="HI16" s="70"/>
      <c r="HJ16" s="70"/>
      <c r="HK16" s="70"/>
      <c r="HL16" s="70"/>
      <c r="HM16" s="70"/>
      <c r="HN16" s="70"/>
      <c r="HO16" s="70"/>
      <c r="HP16" s="70"/>
      <c r="HQ16" s="70"/>
      <c r="HR16" s="70"/>
      <c r="HS16" s="70"/>
    </row>
    <row r="17" spans="1:227" s="159" customFormat="1" ht="13.35" customHeight="1">
      <c r="A17" s="159" t="s">
        <v>359</v>
      </c>
      <c r="B17" s="159" t="s">
        <v>86</v>
      </c>
      <c r="C17" s="160">
        <v>1</v>
      </c>
      <c r="D17" s="160">
        <v>1.0452706061118502</v>
      </c>
      <c r="E17" s="160">
        <v>1.0868513886863425</v>
      </c>
      <c r="F17" s="160">
        <v>1.1312938389976723</v>
      </c>
      <c r="G17" s="160">
        <v>1.1567726142472725</v>
      </c>
      <c r="H17" s="160">
        <v>1.1995563047985374</v>
      </c>
      <c r="I17" s="160">
        <v>1.2385017561810374</v>
      </c>
      <c r="J17" s="160">
        <v>1.2784871711292933</v>
      </c>
      <c r="K17" s="160">
        <v>1.31342981598297</v>
      </c>
      <c r="L17" s="160">
        <v>1.3426915893028719</v>
      </c>
      <c r="M17" s="160">
        <v>1.3656987165194989</v>
      </c>
      <c r="N17" s="160">
        <v>1.3915711944071918</v>
      </c>
      <c r="O17" s="160">
        <v>1.4221280831529757</v>
      </c>
      <c r="P17" s="160">
        <v>1.4566653831374401</v>
      </c>
      <c r="Q17" s="160">
        <v>1.4854493464845773</v>
      </c>
      <c r="R17" s="160">
        <v>1.5051094987398133</v>
      </c>
      <c r="S17" s="160">
        <v>1</v>
      </c>
      <c r="T17" s="160">
        <v>1.0452706061118502</v>
      </c>
      <c r="U17" s="160">
        <v>1.0868513886863425</v>
      </c>
      <c r="V17" s="160">
        <v>1.1312938389976723</v>
      </c>
      <c r="W17" s="160">
        <v>1.1567726142472725</v>
      </c>
      <c r="X17" s="160">
        <v>1.1995563047985374</v>
      </c>
      <c r="Y17" s="160">
        <v>1.2385017561810374</v>
      </c>
      <c r="Z17" s="160">
        <v>1.2784871711292933</v>
      </c>
      <c r="AA17" s="160">
        <v>1.31342981598297</v>
      </c>
      <c r="AB17" s="160">
        <v>1.3426915893028719</v>
      </c>
      <c r="AC17" s="160">
        <v>1.3656987165194989</v>
      </c>
      <c r="AD17" s="160">
        <v>1.3915711944071918</v>
      </c>
      <c r="AE17" s="160">
        <v>1.4221280831529757</v>
      </c>
      <c r="AF17" s="160">
        <v>1.4566653831374401</v>
      </c>
      <c r="AG17" s="160">
        <v>1.4854493464845773</v>
      </c>
      <c r="AH17" s="160">
        <v>1.5051094987398133</v>
      </c>
      <c r="AI17" s="160">
        <v>1.0258476465181641</v>
      </c>
      <c r="AJ17" s="160">
        <v>1.0650547188806361</v>
      </c>
      <c r="AK17" s="160">
        <v>1.1122878618798167</v>
      </c>
      <c r="AL17" s="160">
        <v>1.1400308454887336</v>
      </c>
      <c r="AM17" s="160">
        <v>1.178546598199947</v>
      </c>
      <c r="AN17" s="160">
        <v>1.2206323874885738</v>
      </c>
      <c r="AO17" s="160">
        <v>1.2580479670432216</v>
      </c>
      <c r="AP17" s="160">
        <v>1.2966368788866152</v>
      </c>
      <c r="AQ17" s="160">
        <v>1.3299716632564171</v>
      </c>
      <c r="AR17" s="160">
        <v>1.3538343217460784</v>
      </c>
      <c r="AS17" s="160">
        <v>1.3778751883264413</v>
      </c>
      <c r="AT17" s="160">
        <v>1.4051674292861043</v>
      </c>
      <c r="AU17" s="160">
        <v>1.4413653508395858</v>
      </c>
      <c r="AV17" s="160">
        <v>1.4719176204705369</v>
      </c>
      <c r="AW17" s="160">
        <v>1.495454244929719</v>
      </c>
      <c r="AX17" s="160">
        <v>1.5051094987398133</v>
      </c>
      <c r="AY17" s="160">
        <v>1</v>
      </c>
      <c r="AZ17" s="160">
        <v>1.0452706061118502</v>
      </c>
      <c r="BA17" s="160">
        <v>1.0868513886863425</v>
      </c>
      <c r="BB17" s="160">
        <v>1.1312938389976723</v>
      </c>
      <c r="BC17" s="160">
        <v>1.1567726142472725</v>
      </c>
      <c r="BD17" s="160">
        <v>1.1995563047985374</v>
      </c>
      <c r="BE17" s="160">
        <v>1.2385017561810374</v>
      </c>
      <c r="BF17" s="160">
        <v>1.2784871711292933</v>
      </c>
      <c r="BG17" s="160">
        <v>1.31342981598297</v>
      </c>
      <c r="BH17" s="160">
        <v>1.3426915893028719</v>
      </c>
      <c r="BI17" s="160">
        <v>1.3656987165194989</v>
      </c>
      <c r="BJ17" s="160">
        <v>1.3915711944071918</v>
      </c>
      <c r="BK17" s="160">
        <v>1.4221280831529757</v>
      </c>
      <c r="BL17" s="160">
        <v>1.4566653831374401</v>
      </c>
      <c r="BM17" s="160">
        <v>1.4854493464845773</v>
      </c>
      <c r="BN17" s="160">
        <v>1.5051094987398133</v>
      </c>
      <c r="BO17" s="160">
        <v>1</v>
      </c>
      <c r="BP17" s="160">
        <v>1.0452706061118502</v>
      </c>
      <c r="BQ17" s="160">
        <v>1.0868513886863425</v>
      </c>
      <c r="BR17" s="160">
        <v>1.1312938389976723</v>
      </c>
      <c r="BS17" s="160">
        <v>1.1567726142472725</v>
      </c>
      <c r="BT17" s="160">
        <v>1.1995563047985374</v>
      </c>
      <c r="BU17" s="160">
        <v>1.2385017561810374</v>
      </c>
      <c r="BV17" s="160">
        <v>1.2784871711292933</v>
      </c>
      <c r="BW17" s="160">
        <v>1.31342981598297</v>
      </c>
      <c r="BX17" s="160">
        <v>1.3426915893028719</v>
      </c>
      <c r="BY17" s="160">
        <v>1.3656987165194989</v>
      </c>
      <c r="BZ17" s="160">
        <v>1.3915711944071918</v>
      </c>
      <c r="CA17" s="160">
        <v>1.4221280831529757</v>
      </c>
      <c r="CB17" s="160">
        <v>1.4566653831374401</v>
      </c>
      <c r="CC17" s="160">
        <v>1.4854493464845773</v>
      </c>
      <c r="CD17" s="160">
        <v>1.5051094987398133</v>
      </c>
      <c r="CE17" s="160">
        <v>1</v>
      </c>
      <c r="CF17" s="160">
        <v>1.0452706061118502</v>
      </c>
      <c r="CG17" s="160">
        <v>1.0868513886863425</v>
      </c>
      <c r="CH17" s="160">
        <v>1.1312938389976723</v>
      </c>
      <c r="CI17" s="160">
        <v>1.1567726142472725</v>
      </c>
      <c r="CJ17" s="160">
        <v>1.1995563047985374</v>
      </c>
      <c r="CK17" s="160">
        <v>1.2385017561810374</v>
      </c>
      <c r="CL17" s="160">
        <v>1.2784871711292933</v>
      </c>
      <c r="CM17" s="160">
        <v>1.31342981598297</v>
      </c>
      <c r="CN17" s="160">
        <v>1.3426915893028719</v>
      </c>
      <c r="CO17" s="160">
        <v>1.3656987165194989</v>
      </c>
      <c r="CP17" s="160">
        <v>1.3915711944071918</v>
      </c>
      <c r="CQ17" s="160">
        <v>1.4221280831529757</v>
      </c>
      <c r="CR17" s="160">
        <v>1.4566653831374401</v>
      </c>
      <c r="CS17" s="160">
        <v>1.4854493464845773</v>
      </c>
      <c r="CT17" s="160">
        <v>1.5051094987398133</v>
      </c>
      <c r="CU17" s="160">
        <v>1</v>
      </c>
      <c r="CV17" s="160">
        <v>1.0452706061118502</v>
      </c>
      <c r="CW17" s="160">
        <v>1.0868513886863425</v>
      </c>
      <c r="CX17" s="160">
        <v>1.1312938389976723</v>
      </c>
      <c r="CY17" s="160">
        <v>1.1567726142472725</v>
      </c>
      <c r="CZ17" s="160">
        <v>1.1995563047985374</v>
      </c>
      <c r="DA17" s="160">
        <v>1.2385017561810374</v>
      </c>
      <c r="DB17" s="160">
        <v>1.2784871711292933</v>
      </c>
      <c r="DC17" s="160">
        <v>1.31342981598297</v>
      </c>
      <c r="DD17" s="160">
        <v>1.3426915893028719</v>
      </c>
      <c r="DE17" s="160">
        <v>1.3656987165194989</v>
      </c>
      <c r="DF17" s="160">
        <v>1.3915711944071918</v>
      </c>
      <c r="DG17" s="160">
        <v>1.4221280831529757</v>
      </c>
      <c r="DH17" s="160">
        <v>1.4566653831374401</v>
      </c>
      <c r="DI17" s="160">
        <v>1.4854493464845773</v>
      </c>
      <c r="DJ17" s="160">
        <v>1.5051094987398133</v>
      </c>
      <c r="DK17" s="160">
        <v>1.0258476465181641</v>
      </c>
      <c r="DL17" s="160">
        <v>1.0650547188806361</v>
      </c>
      <c r="DM17" s="160">
        <v>1.1122878618798167</v>
      </c>
      <c r="DN17" s="160">
        <v>1.1400308454887336</v>
      </c>
      <c r="DO17" s="160">
        <v>1.178546598199947</v>
      </c>
      <c r="DP17" s="160">
        <v>1.2206323874885738</v>
      </c>
      <c r="DQ17" s="160">
        <v>1.2580479670432216</v>
      </c>
      <c r="DR17" s="160">
        <v>1.2966368788866152</v>
      </c>
      <c r="DS17" s="160">
        <v>1.3299716632564171</v>
      </c>
      <c r="DT17" s="160">
        <v>1.3538343217460784</v>
      </c>
      <c r="DU17" s="160">
        <v>1.3778751883264413</v>
      </c>
      <c r="DV17" s="160">
        <v>1.4051674292861043</v>
      </c>
      <c r="DW17" s="160">
        <v>1.4413653508395858</v>
      </c>
      <c r="DX17" s="160">
        <v>1.4719176204705369</v>
      </c>
      <c r="DY17" s="160">
        <v>1.495454244929719</v>
      </c>
      <c r="DZ17" s="160">
        <v>1.5051094987398133</v>
      </c>
      <c r="EA17" s="160">
        <v>1.0258476465181641</v>
      </c>
      <c r="EB17" s="160">
        <v>1.0650547188806361</v>
      </c>
      <c r="EC17" s="160">
        <v>1.1122878618798167</v>
      </c>
      <c r="ED17" s="160">
        <v>1.1400308454887336</v>
      </c>
      <c r="EE17" s="160">
        <v>1.178546598199947</v>
      </c>
      <c r="EF17" s="160">
        <v>1.2206323874885738</v>
      </c>
      <c r="EG17" s="160">
        <v>1.2580479670432216</v>
      </c>
      <c r="EH17" s="160">
        <v>1.2966368788866152</v>
      </c>
      <c r="EI17" s="160">
        <v>1.3299716632564171</v>
      </c>
      <c r="EJ17" s="160">
        <v>1.3538343217460784</v>
      </c>
      <c r="EK17" s="160">
        <v>1.3778751883264413</v>
      </c>
      <c r="EL17" s="160">
        <v>1.4051674292861043</v>
      </c>
      <c r="EM17" s="160">
        <v>1.4413653508395858</v>
      </c>
      <c r="EN17" s="160">
        <v>1.4719176204705369</v>
      </c>
      <c r="EO17" s="160">
        <v>1.495454244929719</v>
      </c>
      <c r="EP17" s="160">
        <v>1.5051094987398133</v>
      </c>
      <c r="EQ17" s="160">
        <v>1</v>
      </c>
      <c r="ER17" s="160">
        <v>1.0452706061118502</v>
      </c>
      <c r="ES17" s="160">
        <v>1.0868513886863425</v>
      </c>
      <c r="ET17" s="160">
        <v>1.1312938389976723</v>
      </c>
      <c r="EU17" s="160">
        <v>1.1567726142472725</v>
      </c>
      <c r="EV17" s="160">
        <v>1.1995563047985374</v>
      </c>
      <c r="EW17" s="160">
        <v>1.2385017561810374</v>
      </c>
      <c r="EX17" s="160">
        <v>1.2784871711292933</v>
      </c>
      <c r="EY17" s="160">
        <v>1.31342981598297</v>
      </c>
      <c r="EZ17" s="160">
        <v>1.3426915893028719</v>
      </c>
      <c r="FA17" s="160">
        <v>1.3656987165194989</v>
      </c>
      <c r="FB17" s="160">
        <v>1.3915711944071918</v>
      </c>
      <c r="FC17" s="160">
        <v>1.4221280831529757</v>
      </c>
      <c r="FD17" s="160">
        <v>1.4566653831374401</v>
      </c>
      <c r="FE17" s="160">
        <v>1.4854493464845773</v>
      </c>
      <c r="FF17" s="160">
        <v>1.5051094987398133</v>
      </c>
      <c r="FG17" s="160">
        <v>1.0258476465181641</v>
      </c>
      <c r="FH17" s="160">
        <v>1.0650547188806361</v>
      </c>
      <c r="FI17" s="160">
        <v>1.1122878618798167</v>
      </c>
      <c r="FJ17" s="160">
        <v>1.1400308454887336</v>
      </c>
      <c r="FK17" s="160">
        <v>1.178546598199947</v>
      </c>
      <c r="FL17" s="160">
        <v>1.2206323874885738</v>
      </c>
      <c r="FM17" s="160">
        <v>1.2580479670432216</v>
      </c>
      <c r="FN17" s="160">
        <v>1.2966368788866152</v>
      </c>
      <c r="FO17" s="160">
        <v>1.3299716632564171</v>
      </c>
      <c r="FP17" s="160">
        <v>1.3538343217460784</v>
      </c>
      <c r="FQ17" s="160">
        <v>1.3778751883264413</v>
      </c>
      <c r="FR17" s="160">
        <v>1.4051674292861043</v>
      </c>
      <c r="FS17" s="160">
        <v>1.4413653508395858</v>
      </c>
      <c r="FT17" s="160">
        <v>1.4719176204705369</v>
      </c>
      <c r="FU17" s="160">
        <v>1.495454244929719</v>
      </c>
      <c r="FV17" s="160">
        <v>1.5051094987398133</v>
      </c>
      <c r="FW17" s="160">
        <v>1</v>
      </c>
      <c r="FX17" s="160">
        <v>1.0452706061118502</v>
      </c>
      <c r="FY17" s="160">
        <v>1.0868513886863425</v>
      </c>
      <c r="FZ17" s="160">
        <v>1.1312938389976723</v>
      </c>
      <c r="GA17" s="160">
        <v>1.1567726142472725</v>
      </c>
      <c r="GB17" s="160">
        <v>1.1995563047985374</v>
      </c>
      <c r="GC17" s="160">
        <v>1.2385017561810374</v>
      </c>
      <c r="GD17" s="160">
        <v>1.2784871711292933</v>
      </c>
      <c r="GE17" s="160">
        <v>1.31342981598297</v>
      </c>
      <c r="GF17" s="160">
        <v>1.3426915893028719</v>
      </c>
      <c r="GG17" s="160">
        <v>1.3656987165194989</v>
      </c>
      <c r="GH17" s="160">
        <v>1.3915711944071918</v>
      </c>
      <c r="GI17" s="160">
        <v>1.4221280831529757</v>
      </c>
      <c r="GJ17" s="160">
        <v>1.4566653831374401</v>
      </c>
      <c r="GK17" s="160">
        <v>1.4854493464845773</v>
      </c>
      <c r="GL17" s="160">
        <v>1.5051094987398133</v>
      </c>
      <c r="GM17" s="160">
        <v>1.0258476465181641</v>
      </c>
      <c r="GN17" s="160">
        <v>1.0650547188806361</v>
      </c>
      <c r="GO17" s="160">
        <v>1.1122878618798167</v>
      </c>
      <c r="GP17" s="160">
        <v>1.1400308454887336</v>
      </c>
      <c r="GQ17" s="160">
        <v>1.178546598199947</v>
      </c>
      <c r="GR17" s="160">
        <v>1.2206323874885738</v>
      </c>
      <c r="GS17" s="160">
        <v>1.2580479670432216</v>
      </c>
      <c r="GT17" s="160">
        <v>1.2966368788866152</v>
      </c>
      <c r="GU17" s="160">
        <v>1.3299716632564171</v>
      </c>
      <c r="GV17" s="160">
        <v>1.3538343217460784</v>
      </c>
      <c r="GW17" s="160">
        <v>1.3778751883264413</v>
      </c>
      <c r="GX17" s="160">
        <v>1.4051674292861043</v>
      </c>
      <c r="GY17" s="160">
        <v>1.4413653508395858</v>
      </c>
      <c r="GZ17" s="160">
        <v>1.4719176204705369</v>
      </c>
      <c r="HA17" s="160">
        <v>1.495454244929719</v>
      </c>
      <c r="HB17" s="160">
        <v>1.5051094987398133</v>
      </c>
      <c r="HC17" s="161"/>
      <c r="HD17" s="161"/>
      <c r="HE17" s="161"/>
      <c r="HF17" s="161"/>
      <c r="HG17" s="161"/>
      <c r="HH17" s="161"/>
      <c r="HI17" s="161"/>
      <c r="HJ17" s="161"/>
      <c r="HK17" s="161"/>
      <c r="HL17" s="161"/>
      <c r="HM17" s="161"/>
      <c r="HN17" s="161"/>
      <c r="HO17" s="161"/>
      <c r="HP17" s="161"/>
      <c r="HQ17" s="161"/>
      <c r="HR17" s="161"/>
      <c r="HS17" s="161"/>
    </row>
    <row r="18" spans="1:227" ht="13.35" customHeight="1">
      <c r="BW18" s="68"/>
      <c r="DP18" s="66"/>
      <c r="GD18" s="68"/>
      <c r="GE18" s="68"/>
      <c r="GF18" s="68"/>
      <c r="GG18" s="68"/>
      <c r="GH18" s="68"/>
      <c r="GI18" s="68"/>
      <c r="GJ18" s="68"/>
      <c r="GK18" s="68"/>
      <c r="GL18" s="68"/>
      <c r="GM18" s="68"/>
      <c r="GN18" s="68"/>
      <c r="GO18" s="68"/>
      <c r="GX18" s="67"/>
    </row>
    <row r="19" spans="1:227" s="4" customFormat="1" ht="13.35" customHeight="1">
      <c r="A19" s="2" t="s">
        <v>161</v>
      </c>
      <c r="C19" s="3"/>
      <c r="D19" s="3"/>
      <c r="E19" s="3"/>
      <c r="F19" s="3"/>
      <c r="G19" s="5"/>
      <c r="H19" s="6"/>
      <c r="I19" s="5"/>
      <c r="J19" s="6"/>
      <c r="K19" s="5"/>
      <c r="L19" s="5"/>
      <c r="M19" s="5"/>
      <c r="N19" s="5"/>
      <c r="O19" s="5"/>
      <c r="P19" s="5"/>
      <c r="Q19" s="5"/>
      <c r="R19" s="5"/>
      <c r="S19" s="5"/>
      <c r="T19" s="6"/>
      <c r="U19" s="6"/>
      <c r="V19" s="5"/>
      <c r="W19" s="5"/>
      <c r="X19" s="5"/>
      <c r="Y19" s="5"/>
      <c r="Z19" s="5"/>
    </row>
    <row r="20" spans="1:227" ht="13.35" customHeight="1">
      <c r="BW20" s="68"/>
      <c r="DP20" s="66"/>
      <c r="GD20" s="68"/>
      <c r="GE20" s="68"/>
      <c r="GF20" s="68"/>
      <c r="GG20" s="68"/>
      <c r="GH20" s="68"/>
      <c r="GI20" s="68"/>
      <c r="GJ20" s="68"/>
      <c r="GK20" s="68"/>
      <c r="GL20" s="68"/>
      <c r="GM20" s="68"/>
      <c r="GN20" s="68"/>
      <c r="GO20" s="68"/>
      <c r="GX20" s="67"/>
    </row>
    <row r="21" spans="1:227" s="21" customFormat="1" ht="13.35" customHeight="1">
      <c r="A21" s="98" t="s">
        <v>757</v>
      </c>
      <c r="B21" s="24" t="s">
        <v>981</v>
      </c>
      <c r="C21" s="133"/>
      <c r="L21" s="77" t="s">
        <v>172</v>
      </c>
      <c r="M21" s="77" t="s">
        <v>173</v>
      </c>
      <c r="N21" s="77" t="s">
        <v>174</v>
      </c>
      <c r="O21" s="77" t="s">
        <v>175</v>
      </c>
      <c r="P21" s="77" t="s">
        <v>176</v>
      </c>
      <c r="Q21" s="77" t="s">
        <v>177</v>
      </c>
      <c r="R21" s="77" t="s">
        <v>704</v>
      </c>
      <c r="S21" s="77" t="s">
        <v>705</v>
      </c>
    </row>
    <row r="22" spans="1:227" s="21" customFormat="1" ht="13.35" customHeight="1">
      <c r="B22" s="23" t="s">
        <v>1008</v>
      </c>
      <c r="C22" s="133"/>
      <c r="K22" s="23" t="s">
        <v>1031</v>
      </c>
      <c r="L22" s="214">
        <v>733</v>
      </c>
      <c r="M22" s="214">
        <v>669</v>
      </c>
      <c r="N22" s="214">
        <v>688</v>
      </c>
      <c r="O22" s="214">
        <v>812</v>
      </c>
      <c r="P22" s="214">
        <v>691</v>
      </c>
      <c r="Q22" s="214">
        <v>779</v>
      </c>
      <c r="R22" s="214">
        <v>844</v>
      </c>
      <c r="S22" s="223">
        <v>871</v>
      </c>
    </row>
    <row r="23" spans="1:227" s="21" customFormat="1" ht="13.35" customHeight="1">
      <c r="B23" s="195" t="s">
        <v>1009</v>
      </c>
      <c r="C23" s="133"/>
      <c r="K23" s="23" t="s">
        <v>1032</v>
      </c>
      <c r="L23" s="221">
        <v>723.98900000000003</v>
      </c>
      <c r="M23" s="221">
        <v>669.24199999999996</v>
      </c>
      <c r="N23" s="221">
        <v>682</v>
      </c>
      <c r="O23" s="221">
        <v>690.8768</v>
      </c>
      <c r="P23" s="221">
        <v>691</v>
      </c>
      <c r="Q23" s="221">
        <v>684</v>
      </c>
      <c r="R23" s="72">
        <v>664</v>
      </c>
      <c r="S23" s="72">
        <v>871</v>
      </c>
    </row>
    <row r="24" spans="1:227" ht="13.35" customHeight="1">
      <c r="B24" s="195"/>
      <c r="K24" s="21"/>
      <c r="L24" s="21"/>
      <c r="M24" s="21"/>
      <c r="N24" s="21"/>
      <c r="O24" s="21"/>
      <c r="P24" s="21"/>
      <c r="Q24" s="21"/>
      <c r="R24" s="21"/>
      <c r="S24" s="21"/>
      <c r="BW24" s="68"/>
      <c r="DP24" s="66"/>
      <c r="GD24" s="68"/>
      <c r="GE24" s="68"/>
      <c r="GF24" s="68"/>
      <c r="GG24" s="68"/>
      <c r="GH24" s="68"/>
      <c r="GI24" s="68"/>
      <c r="GJ24" s="68"/>
      <c r="GK24" s="68"/>
      <c r="GL24" s="68"/>
      <c r="GM24" s="68"/>
      <c r="GN24" s="68"/>
      <c r="GO24" s="68"/>
      <c r="GX24" s="67"/>
    </row>
    <row r="25" spans="1:227" s="21" customFormat="1" ht="13.35" customHeight="1">
      <c r="A25" s="98"/>
      <c r="B25" s="24"/>
      <c r="C25" s="133"/>
    </row>
    <row r="26" spans="1:227" s="21" customFormat="1" ht="13.35" customHeight="1">
      <c r="B26" s="195"/>
      <c r="C26" s="133"/>
    </row>
    <row r="27" spans="1:227" s="21" customFormat="1" ht="13.35" customHeight="1">
      <c r="B27" s="23"/>
      <c r="C27" s="133"/>
    </row>
    <row r="28" spans="1:227" s="21" customFormat="1" ht="13.35" customHeight="1">
      <c r="B28" s="24"/>
      <c r="C28" s="133"/>
    </row>
    <row r="29" spans="1:227" s="21" customFormat="1" ht="13.35" customHeight="1">
      <c r="B29" s="195"/>
      <c r="C29" s="133"/>
    </row>
    <row r="30" spans="1:227" s="21" customFormat="1" ht="13.35" customHeight="1">
      <c r="B30" s="23"/>
      <c r="C30" s="133"/>
    </row>
    <row r="31" spans="1:227" s="21" customFormat="1" ht="13.35" customHeight="1">
      <c r="B31" s="24" t="s">
        <v>1062</v>
      </c>
      <c r="C31" s="133"/>
    </row>
    <row r="32" spans="1:227" s="21" customFormat="1" ht="13.35" customHeight="1">
      <c r="B32" s="255" t="s">
        <v>1064</v>
      </c>
      <c r="C32" s="133"/>
    </row>
    <row r="33" spans="1:227" s="21" customFormat="1" ht="13.35" customHeight="1">
      <c r="B33" s="23"/>
      <c r="C33" s="133"/>
    </row>
    <row r="34" spans="1:227" s="21" customFormat="1" ht="13.35" customHeight="1">
      <c r="B34" s="24" t="s">
        <v>1063</v>
      </c>
      <c r="C34" s="133"/>
    </row>
    <row r="35" spans="1:227" s="21" customFormat="1" ht="13.35" customHeight="1">
      <c r="B35" s="255" t="s">
        <v>1064</v>
      </c>
      <c r="C35" s="133"/>
    </row>
    <row r="36" spans="1:227" s="21" customFormat="1" ht="13.35" customHeight="1">
      <c r="B36" s="23"/>
      <c r="C36" s="133"/>
    </row>
    <row r="37" spans="1:227" s="21" customFormat="1" ht="13.35" customHeight="1">
      <c r="A37" s="98"/>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237"/>
      <c r="BR37" s="237"/>
      <c r="BS37" s="237"/>
      <c r="BT37" s="237"/>
      <c r="BU37" s="237"/>
      <c r="BV37" s="237"/>
      <c r="BW37" s="237"/>
      <c r="BX37" s="237"/>
      <c r="BY37" s="237"/>
      <c r="BZ37" s="237"/>
      <c r="CA37" s="237"/>
      <c r="CB37" s="237"/>
      <c r="CC37" s="237"/>
      <c r="CD37" s="237"/>
      <c r="CE37" s="237"/>
      <c r="CF37" s="237"/>
      <c r="CG37" s="237"/>
      <c r="CH37" s="237"/>
      <c r="CI37" s="237"/>
      <c r="CJ37" s="237"/>
      <c r="CK37" s="237"/>
      <c r="CL37" s="237"/>
      <c r="CM37" s="237"/>
      <c r="CN37" s="237"/>
      <c r="CO37" s="237"/>
      <c r="CP37" s="237"/>
      <c r="CQ37" s="237"/>
      <c r="CR37" s="237"/>
      <c r="CS37" s="237"/>
      <c r="CT37" s="237"/>
      <c r="CU37" s="237"/>
      <c r="CV37" s="237"/>
      <c r="CW37" s="237"/>
      <c r="CX37" s="237"/>
      <c r="CY37" s="237"/>
      <c r="CZ37" s="237"/>
      <c r="DA37" s="237"/>
      <c r="DB37" s="237"/>
      <c r="DC37" s="237"/>
      <c r="DD37" s="237"/>
      <c r="DE37" s="237"/>
      <c r="DF37" s="237"/>
      <c r="DG37" s="237"/>
      <c r="DH37" s="237"/>
      <c r="DI37" s="237"/>
      <c r="DJ37" s="237"/>
      <c r="DK37" s="237"/>
      <c r="DL37" s="237"/>
      <c r="DM37" s="237"/>
      <c r="DN37" s="237"/>
      <c r="DO37" s="237"/>
      <c r="DP37" s="237"/>
      <c r="DQ37" s="237"/>
      <c r="DR37" s="237"/>
      <c r="DS37" s="237"/>
      <c r="DT37" s="237"/>
      <c r="DU37" s="237"/>
      <c r="DV37" s="237"/>
      <c r="DW37" s="237"/>
      <c r="DX37" s="237"/>
      <c r="DY37" s="237"/>
      <c r="DZ37" s="237"/>
      <c r="EA37" s="237"/>
      <c r="EB37" s="237"/>
      <c r="EC37" s="237"/>
      <c r="ED37" s="237"/>
      <c r="EE37" s="237"/>
      <c r="EF37" s="237"/>
      <c r="EG37" s="237"/>
      <c r="EH37" s="237"/>
      <c r="EI37" s="237"/>
      <c r="EJ37" s="237"/>
      <c r="EK37" s="237"/>
      <c r="EL37" s="237"/>
      <c r="EM37" s="237"/>
      <c r="EN37" s="237"/>
      <c r="EO37" s="237"/>
      <c r="EP37" s="237"/>
      <c r="EQ37" s="237"/>
      <c r="ER37" s="237"/>
      <c r="ES37" s="237"/>
      <c r="ET37" s="237"/>
      <c r="EU37" s="237"/>
      <c r="EV37" s="237"/>
      <c r="EW37" s="237"/>
      <c r="EX37" s="237"/>
      <c r="EY37" s="237"/>
      <c r="EZ37" s="237"/>
      <c r="FA37" s="237"/>
      <c r="FB37" s="237"/>
      <c r="FC37" s="237"/>
      <c r="FD37" s="237"/>
      <c r="FE37" s="237"/>
      <c r="FF37" s="237"/>
      <c r="FG37" s="237"/>
      <c r="FH37" s="237"/>
      <c r="FI37" s="237"/>
      <c r="FJ37" s="237"/>
      <c r="FK37" s="237"/>
      <c r="FL37" s="237"/>
      <c r="FM37" s="237"/>
      <c r="FN37" s="237"/>
      <c r="FO37" s="237"/>
      <c r="FP37" s="237"/>
      <c r="FQ37" s="237"/>
      <c r="FR37" s="237"/>
      <c r="FS37" s="237"/>
      <c r="FT37" s="237"/>
      <c r="FU37" s="237"/>
      <c r="FV37" s="237"/>
      <c r="FW37" s="237"/>
      <c r="FX37" s="237"/>
      <c r="FY37" s="237"/>
      <c r="FZ37" s="237"/>
      <c r="GA37" s="237"/>
      <c r="GB37" s="237"/>
      <c r="GC37" s="237"/>
      <c r="GD37" s="237"/>
      <c r="GE37" s="237"/>
      <c r="GF37" s="237"/>
      <c r="GG37" s="237"/>
      <c r="GH37" s="237"/>
      <c r="GI37" s="237"/>
      <c r="GJ37" s="237"/>
      <c r="GK37" s="237"/>
      <c r="GL37" s="237"/>
      <c r="GM37" s="237"/>
      <c r="GN37" s="237"/>
      <c r="GO37" s="237"/>
      <c r="GP37" s="237"/>
      <c r="GQ37" s="237"/>
      <c r="GR37" s="237"/>
      <c r="GS37" s="237"/>
      <c r="GT37" s="237"/>
      <c r="GU37" s="237"/>
      <c r="GV37" s="237"/>
      <c r="GW37" s="237"/>
      <c r="GX37" s="237"/>
      <c r="GY37" s="237"/>
      <c r="GZ37" s="237"/>
      <c r="HA37" s="237"/>
      <c r="HB37" s="237"/>
    </row>
    <row r="38" spans="1:227" s="24" customFormat="1" ht="13.35" customHeight="1">
      <c r="A38" s="24" t="s">
        <v>110</v>
      </c>
      <c r="B38" s="24" t="s">
        <v>88</v>
      </c>
      <c r="C38" s="77" t="s">
        <v>163</v>
      </c>
      <c r="D38" s="77" t="s">
        <v>164</v>
      </c>
      <c r="E38" s="77" t="s">
        <v>165</v>
      </c>
      <c r="F38" s="77" t="s">
        <v>166</v>
      </c>
      <c r="G38" s="77" t="s">
        <v>167</v>
      </c>
      <c r="H38" s="77" t="s">
        <v>168</v>
      </c>
      <c r="I38" s="77" t="s">
        <v>169</v>
      </c>
      <c r="J38" s="77" t="s">
        <v>170</v>
      </c>
      <c r="K38" s="77" t="s">
        <v>171</v>
      </c>
      <c r="L38" s="77" t="s">
        <v>172</v>
      </c>
      <c r="M38" s="77" t="s">
        <v>173</v>
      </c>
      <c r="N38" s="77" t="s">
        <v>174</v>
      </c>
      <c r="O38" s="77" t="s">
        <v>175</v>
      </c>
      <c r="P38" s="77" t="s">
        <v>176</v>
      </c>
      <c r="Q38" s="77" t="s">
        <v>177</v>
      </c>
      <c r="R38" s="77" t="s">
        <v>704</v>
      </c>
      <c r="S38" s="77" t="s">
        <v>178</v>
      </c>
      <c r="T38" s="77" t="s">
        <v>179</v>
      </c>
      <c r="U38" s="77" t="s">
        <v>180</v>
      </c>
      <c r="V38" s="77" t="s">
        <v>181</v>
      </c>
      <c r="W38" s="77" t="s">
        <v>182</v>
      </c>
      <c r="X38" s="77" t="s">
        <v>183</v>
      </c>
      <c r="Y38" s="77" t="s">
        <v>184</v>
      </c>
      <c r="Z38" s="77" t="s">
        <v>185</v>
      </c>
      <c r="AA38" s="77" t="s">
        <v>186</v>
      </c>
      <c r="AB38" s="77" t="s">
        <v>187</v>
      </c>
      <c r="AC38" s="77" t="s">
        <v>188</v>
      </c>
      <c r="AD38" s="77" t="s">
        <v>189</v>
      </c>
      <c r="AE38" s="77" t="s">
        <v>190</v>
      </c>
      <c r="AF38" s="77" t="s">
        <v>191</v>
      </c>
      <c r="AG38" s="77" t="s">
        <v>192</v>
      </c>
      <c r="AH38" s="77" t="s">
        <v>364</v>
      </c>
      <c r="AI38" s="77" t="s">
        <v>193</v>
      </c>
      <c r="AJ38" s="77" t="s">
        <v>194</v>
      </c>
      <c r="AK38" s="77" t="s">
        <v>195</v>
      </c>
      <c r="AL38" s="77" t="s">
        <v>196</v>
      </c>
      <c r="AM38" s="77" t="s">
        <v>197</v>
      </c>
      <c r="AN38" s="77" t="s">
        <v>198</v>
      </c>
      <c r="AO38" s="77" t="s">
        <v>199</v>
      </c>
      <c r="AP38" s="77" t="s">
        <v>200</v>
      </c>
      <c r="AQ38" s="77" t="s">
        <v>201</v>
      </c>
      <c r="AR38" s="77" t="s">
        <v>202</v>
      </c>
      <c r="AS38" s="77" t="s">
        <v>203</v>
      </c>
      <c r="AT38" s="77" t="s">
        <v>204</v>
      </c>
      <c r="AU38" s="77" t="s">
        <v>205</v>
      </c>
      <c r="AV38" s="77" t="s">
        <v>206</v>
      </c>
      <c r="AW38" s="77" t="s">
        <v>207</v>
      </c>
      <c r="AX38" s="77" t="s">
        <v>707</v>
      </c>
      <c r="AY38" s="77" t="s">
        <v>208</v>
      </c>
      <c r="AZ38" s="77" t="s">
        <v>209</v>
      </c>
      <c r="BA38" s="77" t="s">
        <v>210</v>
      </c>
      <c r="BB38" s="77" t="s">
        <v>211</v>
      </c>
      <c r="BC38" s="77" t="s">
        <v>212</v>
      </c>
      <c r="BD38" s="77" t="s">
        <v>213</v>
      </c>
      <c r="BE38" s="77" t="s">
        <v>214</v>
      </c>
      <c r="BF38" s="77" t="s">
        <v>215</v>
      </c>
      <c r="BG38" s="77" t="s">
        <v>216</v>
      </c>
      <c r="BH38" s="77" t="s">
        <v>217</v>
      </c>
      <c r="BI38" s="77" t="s">
        <v>218</v>
      </c>
      <c r="BJ38" s="77" t="s">
        <v>219</v>
      </c>
      <c r="BK38" s="77" t="s">
        <v>220</v>
      </c>
      <c r="BL38" s="77" t="s">
        <v>221</v>
      </c>
      <c r="BM38" s="77" t="s">
        <v>222</v>
      </c>
      <c r="BN38" s="77" t="s">
        <v>710</v>
      </c>
      <c r="BO38" s="77" t="s">
        <v>223</v>
      </c>
      <c r="BP38" s="77" t="s">
        <v>224</v>
      </c>
      <c r="BQ38" s="77" t="s">
        <v>225</v>
      </c>
      <c r="BR38" s="77" t="s">
        <v>226</v>
      </c>
      <c r="BS38" s="77" t="s">
        <v>227</v>
      </c>
      <c r="BT38" s="77" t="s">
        <v>228</v>
      </c>
      <c r="BU38" s="77" t="s">
        <v>229</v>
      </c>
      <c r="BV38" s="77" t="s">
        <v>230</v>
      </c>
      <c r="BW38" s="77" t="s">
        <v>231</v>
      </c>
      <c r="BX38" s="77" t="s">
        <v>232</v>
      </c>
      <c r="BY38" s="77" t="s">
        <v>233</v>
      </c>
      <c r="BZ38" s="77" t="s">
        <v>234</v>
      </c>
      <c r="CA38" s="77" t="s">
        <v>235</v>
      </c>
      <c r="CB38" s="77" t="s">
        <v>236</v>
      </c>
      <c r="CC38" s="77" t="s">
        <v>237</v>
      </c>
      <c r="CD38" s="77" t="s">
        <v>713</v>
      </c>
      <c r="CE38" s="77" t="s">
        <v>238</v>
      </c>
      <c r="CF38" s="77" t="s">
        <v>239</v>
      </c>
      <c r="CG38" s="77" t="s">
        <v>240</v>
      </c>
      <c r="CH38" s="77" t="s">
        <v>241</v>
      </c>
      <c r="CI38" s="77" t="s">
        <v>242</v>
      </c>
      <c r="CJ38" s="77" t="s">
        <v>243</v>
      </c>
      <c r="CK38" s="77" t="s">
        <v>244</v>
      </c>
      <c r="CL38" s="77" t="s">
        <v>245</v>
      </c>
      <c r="CM38" s="77" t="s">
        <v>246</v>
      </c>
      <c r="CN38" s="77" t="s">
        <v>247</v>
      </c>
      <c r="CO38" s="77" t="s">
        <v>248</v>
      </c>
      <c r="CP38" s="77" t="s">
        <v>249</v>
      </c>
      <c r="CQ38" s="77" t="s">
        <v>250</v>
      </c>
      <c r="CR38" s="77" t="s">
        <v>251</v>
      </c>
      <c r="CS38" s="77" t="s">
        <v>252</v>
      </c>
      <c r="CT38" s="77" t="s">
        <v>716</v>
      </c>
      <c r="CU38" s="77" t="s">
        <v>253</v>
      </c>
      <c r="CV38" s="77" t="s">
        <v>254</v>
      </c>
      <c r="CW38" s="77" t="s">
        <v>255</v>
      </c>
      <c r="CX38" s="77" t="s">
        <v>256</v>
      </c>
      <c r="CY38" s="77" t="s">
        <v>257</v>
      </c>
      <c r="CZ38" s="77" t="s">
        <v>258</v>
      </c>
      <c r="DA38" s="77" t="s">
        <v>259</v>
      </c>
      <c r="DB38" s="77" t="s">
        <v>260</v>
      </c>
      <c r="DC38" s="77" t="s">
        <v>261</v>
      </c>
      <c r="DD38" s="77" t="s">
        <v>262</v>
      </c>
      <c r="DE38" s="77" t="s">
        <v>263</v>
      </c>
      <c r="DF38" s="77" t="s">
        <v>264</v>
      </c>
      <c r="DG38" s="77" t="s">
        <v>265</v>
      </c>
      <c r="DH38" s="77" t="s">
        <v>266</v>
      </c>
      <c r="DI38" s="77" t="s">
        <v>267</v>
      </c>
      <c r="DJ38" s="77" t="s">
        <v>719</v>
      </c>
      <c r="DK38" s="77" t="s">
        <v>268</v>
      </c>
      <c r="DL38" s="77" t="s">
        <v>269</v>
      </c>
      <c r="DM38" s="77" t="s">
        <v>270</v>
      </c>
      <c r="DN38" s="77" t="s">
        <v>271</v>
      </c>
      <c r="DO38" s="77" t="s">
        <v>272</v>
      </c>
      <c r="DP38" s="77" t="s">
        <v>273</v>
      </c>
      <c r="DQ38" s="77" t="s">
        <v>274</v>
      </c>
      <c r="DR38" s="77" t="s">
        <v>275</v>
      </c>
      <c r="DS38" s="77" t="s">
        <v>276</v>
      </c>
      <c r="DT38" s="77" t="s">
        <v>277</v>
      </c>
      <c r="DU38" s="77" t="s">
        <v>278</v>
      </c>
      <c r="DV38" s="77" t="s">
        <v>279</v>
      </c>
      <c r="DW38" s="77" t="s">
        <v>280</v>
      </c>
      <c r="DX38" s="77" t="s">
        <v>281</v>
      </c>
      <c r="DY38" s="77" t="s">
        <v>282</v>
      </c>
      <c r="DZ38" s="77" t="s">
        <v>722</v>
      </c>
      <c r="EA38" s="77" t="s">
        <v>283</v>
      </c>
      <c r="EB38" s="77" t="s">
        <v>284</v>
      </c>
      <c r="EC38" s="77" t="s">
        <v>285</v>
      </c>
      <c r="ED38" s="77" t="s">
        <v>286</v>
      </c>
      <c r="EE38" s="77" t="s">
        <v>287</v>
      </c>
      <c r="EF38" s="77" t="s">
        <v>288</v>
      </c>
      <c r="EG38" s="77" t="s">
        <v>289</v>
      </c>
      <c r="EH38" s="77" t="s">
        <v>290</v>
      </c>
      <c r="EI38" s="77" t="s">
        <v>291</v>
      </c>
      <c r="EJ38" s="77" t="s">
        <v>292</v>
      </c>
      <c r="EK38" s="77" t="s">
        <v>293</v>
      </c>
      <c r="EL38" s="77" t="s">
        <v>294</v>
      </c>
      <c r="EM38" s="77" t="s">
        <v>295</v>
      </c>
      <c r="EN38" s="77" t="s">
        <v>296</v>
      </c>
      <c r="EO38" s="77" t="s">
        <v>297</v>
      </c>
      <c r="EP38" s="77" t="s">
        <v>725</v>
      </c>
      <c r="EQ38" s="77" t="s">
        <v>298</v>
      </c>
      <c r="ER38" s="77" t="s">
        <v>299</v>
      </c>
      <c r="ES38" s="77" t="s">
        <v>300</v>
      </c>
      <c r="ET38" s="77" t="s">
        <v>301</v>
      </c>
      <c r="EU38" s="77" t="s">
        <v>302</v>
      </c>
      <c r="EV38" s="77" t="s">
        <v>303</v>
      </c>
      <c r="EW38" s="77" t="s">
        <v>304</v>
      </c>
      <c r="EX38" s="77" t="s">
        <v>305</v>
      </c>
      <c r="EY38" s="77" t="s">
        <v>306</v>
      </c>
      <c r="EZ38" s="77" t="s">
        <v>307</v>
      </c>
      <c r="FA38" s="77" t="s">
        <v>308</v>
      </c>
      <c r="FB38" s="77" t="s">
        <v>309</v>
      </c>
      <c r="FC38" s="77" t="s">
        <v>310</v>
      </c>
      <c r="FD38" s="77" t="s">
        <v>311</v>
      </c>
      <c r="FE38" s="77" t="s">
        <v>312</v>
      </c>
      <c r="FF38" s="77" t="s">
        <v>728</v>
      </c>
      <c r="FG38" s="77" t="s">
        <v>313</v>
      </c>
      <c r="FH38" s="77" t="s">
        <v>314</v>
      </c>
      <c r="FI38" s="77" t="s">
        <v>315</v>
      </c>
      <c r="FJ38" s="77" t="s">
        <v>316</v>
      </c>
      <c r="FK38" s="77" t="s">
        <v>317</v>
      </c>
      <c r="FL38" s="77" t="s">
        <v>318</v>
      </c>
      <c r="FM38" s="77" t="s">
        <v>319</v>
      </c>
      <c r="FN38" s="77" t="s">
        <v>320</v>
      </c>
      <c r="FO38" s="77" t="s">
        <v>321</v>
      </c>
      <c r="FP38" s="77" t="s">
        <v>322</v>
      </c>
      <c r="FQ38" s="77" t="s">
        <v>323</v>
      </c>
      <c r="FR38" s="77" t="s">
        <v>324</v>
      </c>
      <c r="FS38" s="77" t="s">
        <v>325</v>
      </c>
      <c r="FT38" s="77" t="s">
        <v>326</v>
      </c>
      <c r="FU38" s="77" t="s">
        <v>327</v>
      </c>
      <c r="FV38" s="77" t="s">
        <v>731</v>
      </c>
      <c r="FW38" s="77" t="s">
        <v>328</v>
      </c>
      <c r="FX38" s="77" t="s">
        <v>329</v>
      </c>
      <c r="FY38" s="77" t="s">
        <v>330</v>
      </c>
      <c r="FZ38" s="77" t="s">
        <v>331</v>
      </c>
      <c r="GA38" s="77" t="s">
        <v>332</v>
      </c>
      <c r="GB38" s="77" t="s">
        <v>333</v>
      </c>
      <c r="GC38" s="77" t="s">
        <v>334</v>
      </c>
      <c r="GD38" s="77" t="s">
        <v>335</v>
      </c>
      <c r="GE38" s="77" t="s">
        <v>336</v>
      </c>
      <c r="GF38" s="77" t="s">
        <v>337</v>
      </c>
      <c r="GG38" s="77" t="s">
        <v>338</v>
      </c>
      <c r="GH38" s="77" t="s">
        <v>339</v>
      </c>
      <c r="GI38" s="77" t="s">
        <v>340</v>
      </c>
      <c r="GJ38" s="77" t="s">
        <v>341</v>
      </c>
      <c r="GK38" s="77" t="s">
        <v>342</v>
      </c>
      <c r="GL38" s="77" t="s">
        <v>734</v>
      </c>
      <c r="GM38" s="77" t="s">
        <v>343</v>
      </c>
      <c r="GN38" s="77" t="s">
        <v>344</v>
      </c>
      <c r="GO38" s="77" t="s">
        <v>345</v>
      </c>
      <c r="GP38" s="77" t="s">
        <v>346</v>
      </c>
      <c r="GQ38" s="77" t="s">
        <v>347</v>
      </c>
      <c r="GR38" s="77" t="s">
        <v>348</v>
      </c>
      <c r="GS38" s="77" t="s">
        <v>349</v>
      </c>
      <c r="GT38" s="77" t="s">
        <v>350</v>
      </c>
      <c r="GU38" s="77" t="s">
        <v>351</v>
      </c>
      <c r="GV38" s="77" t="s">
        <v>352</v>
      </c>
      <c r="GW38" s="77" t="s">
        <v>353</v>
      </c>
      <c r="GX38" s="77" t="s">
        <v>354</v>
      </c>
      <c r="GY38" s="77" t="s">
        <v>355</v>
      </c>
      <c r="GZ38" s="77" t="s">
        <v>356</v>
      </c>
      <c r="HA38" s="77" t="s">
        <v>357</v>
      </c>
      <c r="HB38" s="77" t="s">
        <v>737</v>
      </c>
    </row>
    <row r="39" spans="1:227" ht="13.35" customHeight="1">
      <c r="A39" s="23" t="s">
        <v>981</v>
      </c>
      <c r="B39" s="25">
        <v>12</v>
      </c>
      <c r="C39" s="223">
        <v>32644.372461278101</v>
      </c>
      <c r="D39" s="223">
        <v>33989.78368583</v>
      </c>
      <c r="E39" s="223">
        <v>37658.377116216798</v>
      </c>
      <c r="F39" s="223">
        <v>39959.378599711999</v>
      </c>
      <c r="G39" s="223">
        <v>46087.463131805001</v>
      </c>
      <c r="H39" s="223">
        <v>53239.636389662104</v>
      </c>
      <c r="I39" s="223">
        <v>58764.115947737497</v>
      </c>
      <c r="J39" s="223">
        <v>66417.409985292601</v>
      </c>
      <c r="K39" s="223">
        <v>77223.594865233899</v>
      </c>
      <c r="L39" s="223">
        <v>73579.8426807426</v>
      </c>
      <c r="M39" s="223">
        <v>40562.178874851801</v>
      </c>
      <c r="N39" s="223">
        <v>46909.595999999998</v>
      </c>
      <c r="O39" s="223">
        <v>55849.335000000006</v>
      </c>
      <c r="P39" s="223">
        <v>55021.766000000003</v>
      </c>
      <c r="Q39" s="223">
        <v>53278.416409999998</v>
      </c>
      <c r="R39" s="223">
        <v>54940.209000000003</v>
      </c>
      <c r="S39" s="223">
        <v>357834.496219308</v>
      </c>
      <c r="T39" s="223">
        <v>316522.99188389303</v>
      </c>
      <c r="U39" s="223">
        <v>467809.12217390706</v>
      </c>
      <c r="V39" s="223">
        <v>441027.33814656798</v>
      </c>
      <c r="W39" s="223">
        <v>511184.26885726303</v>
      </c>
      <c r="X39" s="223">
        <v>506684.85404769296</v>
      </c>
      <c r="Y39" s="223">
        <v>577601.0955064391</v>
      </c>
      <c r="Z39" s="223">
        <v>471121.68333051505</v>
      </c>
      <c r="AA39" s="223">
        <v>539569.59182207996</v>
      </c>
      <c r="AB39" s="223">
        <v>647227.97580349504</v>
      </c>
      <c r="AC39" s="223">
        <v>588178.86646726506</v>
      </c>
      <c r="AD39" s="223">
        <v>529666.46092261001</v>
      </c>
      <c r="AE39" s="223">
        <v>463137.071</v>
      </c>
      <c r="AF39" s="223">
        <v>445750.647</v>
      </c>
      <c r="AG39" s="223">
        <v>403448.37900000002</v>
      </c>
      <c r="AH39" s="223">
        <v>387112.45299999998</v>
      </c>
      <c r="AI39" s="223">
        <v>26412.589009526593</v>
      </c>
      <c r="AJ39" s="223">
        <v>31329.710649259305</v>
      </c>
      <c r="AK39" s="223">
        <v>31120.531390019252</v>
      </c>
      <c r="AL39" s="223">
        <v>37629.540867755153</v>
      </c>
      <c r="AM39" s="223">
        <v>42279.50798262329</v>
      </c>
      <c r="AN39" s="223">
        <v>40682.50401969807</v>
      </c>
      <c r="AO39" s="223">
        <v>52808.972782802135</v>
      </c>
      <c r="AP39" s="223">
        <v>52531.24811007821</v>
      </c>
      <c r="AQ39" s="223">
        <v>55150.625983108068</v>
      </c>
      <c r="AR39" s="223">
        <v>54114.799686988088</v>
      </c>
      <c r="AS39" s="223">
        <v>55931.882749594763</v>
      </c>
      <c r="AT39" s="223">
        <v>55013.03182762162</v>
      </c>
      <c r="AU39" s="223">
        <v>48786.43161912472</v>
      </c>
      <c r="AV39" s="223">
        <v>55927.707030221893</v>
      </c>
      <c r="AW39" s="223">
        <v>53516.156825532875</v>
      </c>
      <c r="AX39" s="223">
        <v>46752.039703464063</v>
      </c>
      <c r="AY39" s="223">
        <v>156824.91789216301</v>
      </c>
      <c r="AZ39" s="223">
        <v>176841.394432931</v>
      </c>
      <c r="BA39" s="223">
        <v>224408.06001672801</v>
      </c>
      <c r="BB39" s="223">
        <v>214131.30026509601</v>
      </c>
      <c r="BC39" s="223">
        <v>210431.13798086398</v>
      </c>
      <c r="BD39" s="223">
        <v>229554.29065953402</v>
      </c>
      <c r="BE39" s="223">
        <v>240838.12724750797</v>
      </c>
      <c r="BF39" s="223">
        <v>222645.27398422701</v>
      </c>
      <c r="BG39" s="223">
        <v>258321.99304766802</v>
      </c>
      <c r="BH39" s="223">
        <v>270954.43519109796</v>
      </c>
      <c r="BI39" s="223">
        <v>295663.49812986702</v>
      </c>
      <c r="BJ39" s="223">
        <v>276143.80499999999</v>
      </c>
      <c r="BK39" s="223">
        <v>257322.89818438003</v>
      </c>
      <c r="BL39" s="223">
        <v>248955.63635370001</v>
      </c>
      <c r="BM39" s="223">
        <v>226772.79477854402</v>
      </c>
      <c r="BN39" s="223">
        <v>244843.380445277</v>
      </c>
      <c r="BO39" s="223">
        <v>189286.786515969</v>
      </c>
      <c r="BP39" s="223">
        <v>229999.82498122202</v>
      </c>
      <c r="BQ39" s="223">
        <v>249220.28103108701</v>
      </c>
      <c r="BR39" s="223">
        <v>269392.65438000002</v>
      </c>
      <c r="BS39" s="223">
        <v>278759.46135</v>
      </c>
      <c r="BT39" s="223">
        <v>317627.73702</v>
      </c>
      <c r="BU39" s="223">
        <v>350958.66492000007</v>
      </c>
      <c r="BV39" s="223">
        <v>387877.9989499998</v>
      </c>
      <c r="BW39" s="223">
        <v>365738.55767000001</v>
      </c>
      <c r="BX39" s="223">
        <v>381461.5461299998</v>
      </c>
      <c r="BY39" s="223">
        <v>344893.63842298696</v>
      </c>
      <c r="BZ39" s="223">
        <v>353346.31027999998</v>
      </c>
      <c r="CA39" s="223">
        <v>362234.78839999996</v>
      </c>
      <c r="CB39" s="223">
        <v>350114.929</v>
      </c>
      <c r="CC39" s="223">
        <v>338318.7</v>
      </c>
      <c r="CD39" s="223">
        <v>394441.64827462204</v>
      </c>
      <c r="CE39" s="223">
        <v>259957.891</v>
      </c>
      <c r="CF39" s="223">
        <v>241890.48055000001</v>
      </c>
      <c r="CG39" s="223">
        <v>269457.2365</v>
      </c>
      <c r="CH39" s="223">
        <v>270466.59799000004</v>
      </c>
      <c r="CI39" s="223">
        <v>270621.21470000001</v>
      </c>
      <c r="CJ39" s="223">
        <v>345122.06182</v>
      </c>
      <c r="CK39" s="223">
        <v>363976.48437000008</v>
      </c>
      <c r="CL39" s="223">
        <v>298481.04830000014</v>
      </c>
      <c r="CM39" s="223">
        <v>308046.36037000001</v>
      </c>
      <c r="CN39" s="223">
        <v>362830.15773000004</v>
      </c>
      <c r="CO39" s="223">
        <v>371607.978</v>
      </c>
      <c r="CP39" s="223">
        <v>341013.31</v>
      </c>
      <c r="CQ39" s="223">
        <v>357962.68099999998</v>
      </c>
      <c r="CR39" s="223">
        <v>368947.33100000001</v>
      </c>
      <c r="CS39" s="223">
        <v>390182.78992536996</v>
      </c>
      <c r="CT39" s="223">
        <v>345735.46599798696</v>
      </c>
      <c r="CU39" s="223">
        <v>198507.61938633298</v>
      </c>
      <c r="CV39" s="223">
        <v>249199.63407414002</v>
      </c>
      <c r="CW39" s="223">
        <v>304612.28626150603</v>
      </c>
      <c r="CX39" s="223">
        <v>296582.84979402204</v>
      </c>
      <c r="CY39" s="223">
        <v>324946.11772000004</v>
      </c>
      <c r="CZ39" s="223">
        <v>336208.00537622103</v>
      </c>
      <c r="DA39" s="223">
        <v>429455.71274000197</v>
      </c>
      <c r="DB39" s="223">
        <v>401260.42950844707</v>
      </c>
      <c r="DC39" s="223">
        <v>390948.49645502307</v>
      </c>
      <c r="DD39" s="223">
        <v>391299.86702397501</v>
      </c>
      <c r="DE39" s="223">
        <v>313936.839553856</v>
      </c>
      <c r="DF39" s="223">
        <v>321942.69254999899</v>
      </c>
      <c r="DG39" s="223">
        <v>345390.71399999998</v>
      </c>
      <c r="DH39" s="223">
        <v>401766.886</v>
      </c>
      <c r="DI39" s="223">
        <v>394653.58999999997</v>
      </c>
      <c r="DJ39" s="223">
        <v>401221.27100000001</v>
      </c>
      <c r="DK39" s="223">
        <v>46756.092287101899</v>
      </c>
      <c r="DL39" s="223">
        <v>51252.352222211397</v>
      </c>
      <c r="DM39" s="223">
        <v>43220.358648427202</v>
      </c>
      <c r="DN39" s="223">
        <v>48349.725749867001</v>
      </c>
      <c r="DO39" s="223">
        <v>58605.575110382997</v>
      </c>
      <c r="DP39" s="223">
        <v>59886.898408099398</v>
      </c>
      <c r="DQ39" s="223">
        <v>70098.067766092601</v>
      </c>
      <c r="DR39" s="223">
        <v>69150.303926688197</v>
      </c>
      <c r="DS39" s="223">
        <v>69918.556613006105</v>
      </c>
      <c r="DT39" s="223">
        <v>73079.730390022902</v>
      </c>
      <c r="DU39" s="223">
        <v>78683.548999999999</v>
      </c>
      <c r="DV39" s="223">
        <v>84039.021999999997</v>
      </c>
      <c r="DW39" s="223">
        <v>79198.771999999997</v>
      </c>
      <c r="DX39" s="223">
        <v>84456.982650000005</v>
      </c>
      <c r="DY39" s="223">
        <v>73865.819759999998</v>
      </c>
      <c r="DZ39" s="223">
        <v>63000.526098240101</v>
      </c>
      <c r="EA39" s="223">
        <v>116861.47857915258</v>
      </c>
      <c r="EB39" s="223">
        <v>106359.56772461215</v>
      </c>
      <c r="EC39" s="223">
        <v>113514.72915098233</v>
      </c>
      <c r="ED39" s="223">
        <v>128379.6119855967</v>
      </c>
      <c r="EE39" s="223">
        <v>127280.19704758523</v>
      </c>
      <c r="EF39" s="223">
        <v>137174.04028031268</v>
      </c>
      <c r="EG39" s="223">
        <v>167745.95206778086</v>
      </c>
      <c r="EH39" s="223">
        <v>183726.35284227453</v>
      </c>
      <c r="EI39" s="223">
        <v>171080.18289509552</v>
      </c>
      <c r="EJ39" s="223">
        <v>186774.27334163259</v>
      </c>
      <c r="EK39" s="223">
        <v>162437.30997135999</v>
      </c>
      <c r="EL39" s="223">
        <v>178539.1076349763</v>
      </c>
      <c r="EM39" s="223">
        <v>187773.30476145935</v>
      </c>
      <c r="EN39" s="223">
        <v>185804.4277592494</v>
      </c>
      <c r="EO39" s="223">
        <v>177630.56194133652</v>
      </c>
      <c r="EP39" s="223">
        <v>180705.20953499887</v>
      </c>
      <c r="EQ39" s="223">
        <v>116302.749904419</v>
      </c>
      <c r="ER39" s="223">
        <v>112914.640378019</v>
      </c>
      <c r="ES39" s="223">
        <v>130933.87803296199</v>
      </c>
      <c r="ET39" s="223">
        <v>149173.38508183201</v>
      </c>
      <c r="EU39" s="223">
        <v>152669.628414626</v>
      </c>
      <c r="EV39" s="223">
        <v>197231.65958920601</v>
      </c>
      <c r="EW39" s="223">
        <v>210494.32048673902</v>
      </c>
      <c r="EX39" s="223">
        <v>228733.33101324001</v>
      </c>
      <c r="EY39" s="223">
        <v>233849.701</v>
      </c>
      <c r="EZ39" s="223">
        <v>248377.486889666</v>
      </c>
      <c r="FA39" s="223">
        <v>211867.16309531001</v>
      </c>
      <c r="FB39" s="223">
        <v>248667.39895521599</v>
      </c>
      <c r="FC39" s="223">
        <v>249010.83126000001</v>
      </c>
      <c r="FD39" s="223">
        <v>261706.81672</v>
      </c>
      <c r="FE39" s="223">
        <v>237845.67388999998</v>
      </c>
      <c r="FF39" s="223">
        <v>245707.57653999998</v>
      </c>
      <c r="FG39" s="223">
        <v>82540.040999999997</v>
      </c>
      <c r="FH39" s="223">
        <v>104522.864</v>
      </c>
      <c r="FI39" s="223">
        <v>117354.963</v>
      </c>
      <c r="FJ39" s="223">
        <v>139244.32199999999</v>
      </c>
      <c r="FK39" s="223">
        <v>139237.07999999999</v>
      </c>
      <c r="FL39" s="223">
        <v>145236.239</v>
      </c>
      <c r="FM39" s="223">
        <v>158632.40400000001</v>
      </c>
      <c r="FN39" s="223">
        <v>181028.39600000001</v>
      </c>
      <c r="FO39" s="223">
        <v>189806.67514137062</v>
      </c>
      <c r="FP39" s="223">
        <v>204651.59938180444</v>
      </c>
      <c r="FQ39" s="223">
        <v>229428.02527883899</v>
      </c>
      <c r="FR39" s="223">
        <v>204947.924709871</v>
      </c>
      <c r="FS39" s="223">
        <v>193557.933375539</v>
      </c>
      <c r="FT39" s="223">
        <v>204177.44023405801</v>
      </c>
      <c r="FU39" s="223">
        <v>217757.13255408776</v>
      </c>
      <c r="FV39" s="223">
        <v>220893.56157667577</v>
      </c>
      <c r="FW39" s="223">
        <v>48648.823897879505</v>
      </c>
      <c r="FX39" s="223">
        <v>50748.109417397798</v>
      </c>
      <c r="FY39" s="223">
        <v>53289.0230297776</v>
      </c>
      <c r="FZ39" s="223">
        <v>61973.7059213752</v>
      </c>
      <c r="GA39" s="223">
        <v>75037.978098049192</v>
      </c>
      <c r="GB39" s="223">
        <v>74900.179665433403</v>
      </c>
      <c r="GC39" s="223">
        <v>84369.777789408996</v>
      </c>
      <c r="GD39" s="223">
        <v>70674.63604085501</v>
      </c>
      <c r="GE39" s="223">
        <v>74075.862810526407</v>
      </c>
      <c r="GF39" s="223">
        <v>64088.129960287195</v>
      </c>
      <c r="GG39" s="223">
        <v>69929.810763066795</v>
      </c>
      <c r="GH39" s="223">
        <v>93577.683630547996</v>
      </c>
      <c r="GI39" s="223">
        <v>86416.346934444198</v>
      </c>
      <c r="GJ39" s="223">
        <v>78404.001088851903</v>
      </c>
      <c r="GK39" s="223">
        <v>82673.057705970088</v>
      </c>
      <c r="GL39" s="223">
        <v>89966.613204571317</v>
      </c>
      <c r="GM39" s="223">
        <v>83237</v>
      </c>
      <c r="GN39" s="223">
        <v>81473</v>
      </c>
      <c r="GO39" s="223">
        <v>85413.886309046997</v>
      </c>
      <c r="GP39" s="223">
        <v>89047.922493129998</v>
      </c>
      <c r="GQ39" s="223">
        <v>96130.066559793398</v>
      </c>
      <c r="GR39" s="223">
        <v>121992.755514909</v>
      </c>
      <c r="GS39" s="223">
        <v>126519.882999029</v>
      </c>
      <c r="GT39" s="223">
        <v>116175.49106407601</v>
      </c>
      <c r="GU39" s="223">
        <v>121867.70902049799</v>
      </c>
      <c r="GV39" s="223">
        <v>117721.494565381</v>
      </c>
      <c r="GW39" s="223">
        <v>138427.94329502599</v>
      </c>
      <c r="GX39" s="223">
        <v>132835.09312937901</v>
      </c>
      <c r="GY39" s="223">
        <v>108242.14191396099</v>
      </c>
      <c r="GZ39" s="223">
        <v>110815.785</v>
      </c>
      <c r="HA39" s="223">
        <v>118042.307</v>
      </c>
      <c r="HB39" s="223">
        <v>118292.577</v>
      </c>
    </row>
    <row r="40" spans="1:227" ht="13.35" customHeight="1">
      <c r="A40" s="23" t="s">
        <v>1051</v>
      </c>
      <c r="B40" s="25" t="s">
        <v>1048</v>
      </c>
      <c r="C40" s="223">
        <v>38538.624900945346</v>
      </c>
      <c r="D40" s="223">
        <v>40555.568802439702</v>
      </c>
      <c r="E40" s="223">
        <v>44812.70258129912</v>
      </c>
      <c r="F40" s="223">
        <v>46821.896889849857</v>
      </c>
      <c r="G40" s="223">
        <v>55266.38145396336</v>
      </c>
      <c r="H40" s="223">
        <v>63737.765832817691</v>
      </c>
      <c r="I40" s="223">
        <v>70608.373543978203</v>
      </c>
      <c r="J40" s="223">
        <v>77834.327675292603</v>
      </c>
      <c r="K40" s="223">
        <v>88864.580625233939</v>
      </c>
      <c r="L40" s="223">
        <v>86548.092643177908</v>
      </c>
      <c r="M40" s="223">
        <v>52497.721534325196</v>
      </c>
      <c r="N40" s="223">
        <v>58245.248035999997</v>
      </c>
      <c r="O40" s="223">
        <v>72071.139840504809</v>
      </c>
      <c r="P40" s="223">
        <v>70694.304359999995</v>
      </c>
      <c r="Q40" s="223">
        <v>68958.093410000001</v>
      </c>
      <c r="R40" s="223">
        <v>66360.226999999999</v>
      </c>
      <c r="S40" s="223">
        <v>359429.30472414085</v>
      </c>
      <c r="T40" s="223">
        <v>319120.88969815226</v>
      </c>
      <c r="U40" s="223">
        <v>470681.79458618024</v>
      </c>
      <c r="V40" s="223">
        <v>443489.44696764805</v>
      </c>
      <c r="W40" s="223">
        <v>515512.72259464307</v>
      </c>
      <c r="X40" s="223">
        <v>512241.43077591294</v>
      </c>
      <c r="Y40" s="223">
        <v>582528.6565686391</v>
      </c>
      <c r="Z40" s="223">
        <v>475011.13446981501</v>
      </c>
      <c r="AA40" s="223">
        <v>542633.90420160326</v>
      </c>
      <c r="AB40" s="223">
        <v>651511.13329349505</v>
      </c>
      <c r="AC40" s="223">
        <v>590102.08599726495</v>
      </c>
      <c r="AD40" s="223">
        <v>532963.94004261005</v>
      </c>
      <c r="AE40" s="223">
        <v>467337.86054000002</v>
      </c>
      <c r="AF40" s="223">
        <v>454424.70699999999</v>
      </c>
      <c r="AG40" s="223">
        <v>409523.11597899999</v>
      </c>
      <c r="AH40" s="223">
        <v>391128.56099999999</v>
      </c>
      <c r="AI40" s="223">
        <v>37898.188999999998</v>
      </c>
      <c r="AJ40" s="223">
        <v>40582.080999999998</v>
      </c>
      <c r="AK40" s="223">
        <v>41333.470999999998</v>
      </c>
      <c r="AL40" s="223">
        <v>50008.286836201994</v>
      </c>
      <c r="AM40" s="223">
        <v>54297.417209442443</v>
      </c>
      <c r="AN40" s="223">
        <v>54486.114272112434</v>
      </c>
      <c r="AO40" s="223">
        <v>67739.510590000005</v>
      </c>
      <c r="AP40" s="223">
        <v>68089.082299999995</v>
      </c>
      <c r="AQ40" s="223">
        <v>73439.955393108001</v>
      </c>
      <c r="AR40" s="223">
        <v>71997.882248406604</v>
      </c>
      <c r="AS40" s="223">
        <v>73454.018770187686</v>
      </c>
      <c r="AT40" s="223">
        <v>73056.219669490965</v>
      </c>
      <c r="AU40" s="223">
        <v>67694.236446691008</v>
      </c>
      <c r="AV40" s="223">
        <v>75670.104999999996</v>
      </c>
      <c r="AW40" s="223">
        <v>74131.675000000003</v>
      </c>
      <c r="AX40" s="223">
        <v>67493.260999999999</v>
      </c>
      <c r="AY40" s="223">
        <v>173158.03593754568</v>
      </c>
      <c r="AZ40" s="223">
        <v>192755.56936652676</v>
      </c>
      <c r="BA40" s="223">
        <v>243136.6498313061</v>
      </c>
      <c r="BB40" s="223">
        <v>229075.96469774732</v>
      </c>
      <c r="BC40" s="223">
        <v>228043.59112183331</v>
      </c>
      <c r="BD40" s="223">
        <v>244517.0998057948</v>
      </c>
      <c r="BE40" s="223">
        <v>276189.14942971262</v>
      </c>
      <c r="BF40" s="223">
        <v>248232.2275998212</v>
      </c>
      <c r="BG40" s="223">
        <v>295997.52023237501</v>
      </c>
      <c r="BH40" s="223">
        <v>300530.03952954285</v>
      </c>
      <c r="BI40" s="223">
        <v>316821.14712986699</v>
      </c>
      <c r="BJ40" s="223">
        <v>290656.54168067907</v>
      </c>
      <c r="BK40" s="223">
        <v>278512.48718438006</v>
      </c>
      <c r="BL40" s="223">
        <v>291794.86913370003</v>
      </c>
      <c r="BM40" s="223">
        <v>259970.16376625502</v>
      </c>
      <c r="BN40" s="223">
        <v>272205.97344527696</v>
      </c>
      <c r="BO40" s="223">
        <v>195841.37997680341</v>
      </c>
      <c r="BP40" s="223">
        <v>235942.90209180053</v>
      </c>
      <c r="BQ40" s="223">
        <v>260685.30782541275</v>
      </c>
      <c r="BR40" s="223">
        <v>278613.38784547138</v>
      </c>
      <c r="BS40" s="223">
        <v>278963.37942219886</v>
      </c>
      <c r="BT40" s="223">
        <v>319938.20025678875</v>
      </c>
      <c r="BU40" s="223">
        <v>353345.50223678484</v>
      </c>
      <c r="BV40" s="223">
        <v>389595.26694668876</v>
      </c>
      <c r="BW40" s="223">
        <v>371246.57651295455</v>
      </c>
      <c r="BX40" s="223">
        <v>404381.90633752808</v>
      </c>
      <c r="BY40" s="223">
        <v>370301.37575120613</v>
      </c>
      <c r="BZ40" s="223">
        <v>369715.3843810751</v>
      </c>
      <c r="CA40" s="223">
        <v>383928.83497152582</v>
      </c>
      <c r="CB40" s="223">
        <v>371664.06018304254</v>
      </c>
      <c r="CC40" s="223">
        <v>365649.56511857896</v>
      </c>
      <c r="CD40" s="223">
        <v>384744.80699999997</v>
      </c>
      <c r="CE40" s="223">
        <v>318782.82525500719</v>
      </c>
      <c r="CF40" s="223">
        <v>304871.48501219461</v>
      </c>
      <c r="CG40" s="223">
        <v>341596.92872631224</v>
      </c>
      <c r="CH40" s="223">
        <v>345197.45259026939</v>
      </c>
      <c r="CI40" s="223">
        <v>350080.58861427777</v>
      </c>
      <c r="CJ40" s="223">
        <v>429135.24431857927</v>
      </c>
      <c r="CK40" s="223">
        <v>461769.5851572908</v>
      </c>
      <c r="CL40" s="223">
        <v>385820.66083545203</v>
      </c>
      <c r="CM40" s="223">
        <v>400945.39909878507</v>
      </c>
      <c r="CN40" s="223">
        <v>448512.98567271308</v>
      </c>
      <c r="CO40" s="223">
        <v>439434.14878798177</v>
      </c>
      <c r="CP40" s="223">
        <v>397874.63111855858</v>
      </c>
      <c r="CQ40" s="223">
        <v>407226.50224288809</v>
      </c>
      <c r="CR40" s="223">
        <v>423925.31857431849</v>
      </c>
      <c r="CS40" s="223">
        <v>451408.39377688797</v>
      </c>
      <c r="CT40" s="223">
        <v>368645.44645632891</v>
      </c>
      <c r="CU40" s="223">
        <v>259512.70302584243</v>
      </c>
      <c r="CV40" s="223">
        <v>321110.07103787101</v>
      </c>
      <c r="CW40" s="223">
        <v>382924.51082332933</v>
      </c>
      <c r="CX40" s="223">
        <v>366150.1169553746</v>
      </c>
      <c r="CY40" s="223">
        <v>408797.33885724487</v>
      </c>
      <c r="CZ40" s="223">
        <v>428987.86973761127</v>
      </c>
      <c r="DA40" s="223">
        <v>545508.47029752308</v>
      </c>
      <c r="DB40" s="223">
        <v>498609.56726852624</v>
      </c>
      <c r="DC40" s="223">
        <v>491882.73613880406</v>
      </c>
      <c r="DD40" s="223">
        <v>442683.02080096811</v>
      </c>
      <c r="DE40" s="223">
        <v>365550.70929830213</v>
      </c>
      <c r="DF40" s="223">
        <v>358375.09771504463</v>
      </c>
      <c r="DG40" s="223">
        <v>380873.63400000002</v>
      </c>
      <c r="DH40" s="223">
        <v>442180.00900000002</v>
      </c>
      <c r="DI40" s="223">
        <v>431036.37299999996</v>
      </c>
      <c r="DJ40" s="223">
        <v>449786.75</v>
      </c>
      <c r="DK40" s="223">
        <v>46756.092287101899</v>
      </c>
      <c r="DL40" s="223">
        <v>51252.352222211397</v>
      </c>
      <c r="DM40" s="223">
        <v>43220.358648427202</v>
      </c>
      <c r="DN40" s="223">
        <v>48349.725749867001</v>
      </c>
      <c r="DO40" s="223">
        <v>58605.575110382997</v>
      </c>
      <c r="DP40" s="223">
        <v>66223.988115314729</v>
      </c>
      <c r="DQ40" s="223">
        <v>82861.176102655692</v>
      </c>
      <c r="DR40" s="223">
        <v>83295.789556688193</v>
      </c>
      <c r="DS40" s="223">
        <v>81839.89075075349</v>
      </c>
      <c r="DT40" s="223">
        <v>83810.675510022906</v>
      </c>
      <c r="DU40" s="223">
        <v>89922.443806029289</v>
      </c>
      <c r="DV40" s="223">
        <v>95124.824283925991</v>
      </c>
      <c r="DW40" s="223">
        <v>90354.527270000006</v>
      </c>
      <c r="DX40" s="223">
        <v>92437.99136</v>
      </c>
      <c r="DY40" s="223">
        <v>83587.755040000004</v>
      </c>
      <c r="DZ40" s="223">
        <v>75656.824590000004</v>
      </c>
      <c r="EA40" s="223">
        <v>134374.549</v>
      </c>
      <c r="EB40" s="223">
        <v>124619.18799999999</v>
      </c>
      <c r="EC40" s="223">
        <v>131719.929</v>
      </c>
      <c r="ED40" s="223">
        <v>149199.54840999999</v>
      </c>
      <c r="EE40" s="223">
        <v>152376.32739999998</v>
      </c>
      <c r="EF40" s="223">
        <v>158210.78294999999</v>
      </c>
      <c r="EG40" s="223">
        <v>193863.29666137332</v>
      </c>
      <c r="EH40" s="223">
        <v>211476.52206592911</v>
      </c>
      <c r="EI40" s="223">
        <v>204553.83417000002</v>
      </c>
      <c r="EJ40" s="223">
        <v>218764.51264158211</v>
      </c>
      <c r="EK40" s="223">
        <v>193867.98746270817</v>
      </c>
      <c r="EL40" s="223">
        <v>211012.4831935305</v>
      </c>
      <c r="EM40" s="223">
        <v>221767.02495278599</v>
      </c>
      <c r="EN40" s="223">
        <v>221423.82199999999</v>
      </c>
      <c r="EO40" s="223">
        <v>214972.49</v>
      </c>
      <c r="EP40" s="223">
        <v>218274.83</v>
      </c>
      <c r="EQ40" s="223">
        <v>116302.749904419</v>
      </c>
      <c r="ER40" s="223">
        <v>112914.640378019</v>
      </c>
      <c r="ES40" s="223">
        <v>130933.87803296199</v>
      </c>
      <c r="ET40" s="223">
        <v>149173.38508183201</v>
      </c>
      <c r="EU40" s="223">
        <v>152669.628414626</v>
      </c>
      <c r="EV40" s="223">
        <v>197231.65958920601</v>
      </c>
      <c r="EW40" s="223">
        <v>210494.32048673902</v>
      </c>
      <c r="EX40" s="223">
        <v>228733.33101324001</v>
      </c>
      <c r="EY40" s="223">
        <v>233849.701</v>
      </c>
      <c r="EZ40" s="223">
        <v>248377.486889666</v>
      </c>
      <c r="FA40" s="223">
        <v>211867.16309531001</v>
      </c>
      <c r="FB40" s="223">
        <v>248667.39895521599</v>
      </c>
      <c r="FC40" s="223">
        <v>249010.83126000001</v>
      </c>
      <c r="FD40" s="223">
        <v>261706.81672</v>
      </c>
      <c r="FE40" s="223">
        <v>237845.67388999998</v>
      </c>
      <c r="FF40" s="223">
        <v>245707.57653999998</v>
      </c>
      <c r="FG40" s="223">
        <v>91512.370999999999</v>
      </c>
      <c r="FH40" s="223">
        <v>111659.02499999999</v>
      </c>
      <c r="FI40" s="223">
        <v>126954.183</v>
      </c>
      <c r="FJ40" s="223">
        <v>147045.14508703566</v>
      </c>
      <c r="FK40" s="223">
        <v>148249.28921411154</v>
      </c>
      <c r="FL40" s="223">
        <v>156451.11528364252</v>
      </c>
      <c r="FM40" s="223">
        <v>173292.1959652995</v>
      </c>
      <c r="FN40" s="223">
        <v>188964.70734896982</v>
      </c>
      <c r="FO40" s="223">
        <v>198623.8972691597</v>
      </c>
      <c r="FP40" s="223">
        <v>216635.19392531272</v>
      </c>
      <c r="FQ40" s="223">
        <v>236404.80011395976</v>
      </c>
      <c r="FR40" s="223">
        <v>210858.53991651189</v>
      </c>
      <c r="FS40" s="223">
        <v>196660.56693628174</v>
      </c>
      <c r="FT40" s="223">
        <v>206835.57642502763</v>
      </c>
      <c r="FU40" s="223">
        <v>219275.6828572416</v>
      </c>
      <c r="FV40" s="223">
        <v>224571.33601183179</v>
      </c>
      <c r="FW40" s="223">
        <v>52868.241597880879</v>
      </c>
      <c r="FX40" s="223">
        <v>55158.45329777195</v>
      </c>
      <c r="FY40" s="223">
        <v>57916.22277341369</v>
      </c>
      <c r="FZ40" s="223">
        <v>67194.460550882941</v>
      </c>
      <c r="GA40" s="223">
        <v>81545.096734338353</v>
      </c>
      <c r="GB40" s="223">
        <v>81632.886673280795</v>
      </c>
      <c r="GC40" s="223">
        <v>93877.759666273836</v>
      </c>
      <c r="GD40" s="223">
        <v>74956.74567742864</v>
      </c>
      <c r="GE40" s="223">
        <v>78193.911082667109</v>
      </c>
      <c r="GF40" s="223">
        <v>65602.40088127373</v>
      </c>
      <c r="GG40" s="223">
        <v>72920.104480320268</v>
      </c>
      <c r="GH40" s="223">
        <v>98348.727444605931</v>
      </c>
      <c r="GI40" s="223">
        <v>97037.359690964702</v>
      </c>
      <c r="GJ40" s="223">
        <v>91107.370435041899</v>
      </c>
      <c r="GK40" s="223">
        <v>98523.05692312849</v>
      </c>
      <c r="GL40" s="223">
        <v>104019.59618108421</v>
      </c>
      <c r="GM40" s="223">
        <v>83237</v>
      </c>
      <c r="GN40" s="223">
        <v>81473</v>
      </c>
      <c r="GO40" s="223">
        <v>85413.886309046997</v>
      </c>
      <c r="GP40" s="223">
        <v>89047.922493129998</v>
      </c>
      <c r="GQ40" s="223">
        <v>96130.066559793398</v>
      </c>
      <c r="GR40" s="223">
        <v>121992.755514909</v>
      </c>
      <c r="GS40" s="223">
        <v>126519.882999029</v>
      </c>
      <c r="GT40" s="223">
        <v>116175.49106407601</v>
      </c>
      <c r="GU40" s="223">
        <v>121867.70902049799</v>
      </c>
      <c r="GV40" s="223">
        <v>117721.494565381</v>
      </c>
      <c r="GW40" s="223">
        <v>138427.94329502599</v>
      </c>
      <c r="GX40" s="223">
        <v>132835.09312937901</v>
      </c>
      <c r="GY40" s="223">
        <v>108242.14191396099</v>
      </c>
      <c r="GZ40" s="223">
        <v>110815.785</v>
      </c>
      <c r="HA40" s="223">
        <v>118042.307</v>
      </c>
      <c r="HB40" s="223">
        <v>118292.577</v>
      </c>
    </row>
    <row r="41" spans="1:227" ht="13.35" customHeight="1">
      <c r="A41" s="23" t="s">
        <v>1050</v>
      </c>
      <c r="B41" s="25" t="s">
        <v>1049</v>
      </c>
      <c r="C41" s="223">
        <v>38538.624900945346</v>
      </c>
      <c r="D41" s="223">
        <v>40555.568802439702</v>
      </c>
      <c r="E41" s="223">
        <v>44812.70258129912</v>
      </c>
      <c r="F41" s="223">
        <v>46821.896889849857</v>
      </c>
      <c r="G41" s="223">
        <v>55266.38145396336</v>
      </c>
      <c r="H41" s="223">
        <v>63737.765832817691</v>
      </c>
      <c r="I41" s="223">
        <v>70608.373543978203</v>
      </c>
      <c r="J41" s="223">
        <v>77834.327675292603</v>
      </c>
      <c r="K41" s="223">
        <v>88864.580625233939</v>
      </c>
      <c r="L41" s="223">
        <v>86548.092643177908</v>
      </c>
      <c r="M41" s="223">
        <v>52497.721534325196</v>
      </c>
      <c r="N41" s="223">
        <v>58245.248035999997</v>
      </c>
      <c r="O41" s="223">
        <v>72071.139840504809</v>
      </c>
      <c r="P41" s="223">
        <v>70694.304359999995</v>
      </c>
      <c r="Q41" s="223">
        <v>68958.093410000001</v>
      </c>
      <c r="R41" s="223">
        <v>66360.226999999999</v>
      </c>
      <c r="S41" s="223">
        <v>359429.30472414085</v>
      </c>
      <c r="T41" s="223">
        <v>319120.88969815226</v>
      </c>
      <c r="U41" s="223">
        <v>470681.79458618024</v>
      </c>
      <c r="V41" s="223">
        <v>443489.44696764805</v>
      </c>
      <c r="W41" s="223">
        <v>515512.72259464307</v>
      </c>
      <c r="X41" s="223">
        <v>512241.43077591294</v>
      </c>
      <c r="Y41" s="223">
        <v>582528.6565686391</v>
      </c>
      <c r="Z41" s="223">
        <v>475011.13446981501</v>
      </c>
      <c r="AA41" s="223">
        <v>542633.90420160326</v>
      </c>
      <c r="AB41" s="223">
        <v>651511.13329349505</v>
      </c>
      <c r="AC41" s="223">
        <v>590102.08599726495</v>
      </c>
      <c r="AD41" s="223">
        <v>532963.94004261005</v>
      </c>
      <c r="AE41" s="223">
        <v>467337.86054000002</v>
      </c>
      <c r="AF41" s="223">
        <v>454424.70699999999</v>
      </c>
      <c r="AG41" s="223">
        <v>409523.11597899999</v>
      </c>
      <c r="AH41" s="223">
        <v>391128.56099999999</v>
      </c>
      <c r="AI41" s="223">
        <v>37898.188999999998</v>
      </c>
      <c r="AJ41" s="223">
        <v>40582.080999999998</v>
      </c>
      <c r="AK41" s="223">
        <v>41333.470999999998</v>
      </c>
      <c r="AL41" s="223">
        <v>50008.286836201994</v>
      </c>
      <c r="AM41" s="223">
        <v>54297.417209442443</v>
      </c>
      <c r="AN41" s="223">
        <v>54486.114272112434</v>
      </c>
      <c r="AO41" s="223">
        <v>67739.510590000005</v>
      </c>
      <c r="AP41" s="223">
        <v>68089.082299999995</v>
      </c>
      <c r="AQ41" s="223">
        <v>73439.955393108001</v>
      </c>
      <c r="AR41" s="223">
        <v>71997.882248406604</v>
      </c>
      <c r="AS41" s="223">
        <v>73454.018770187686</v>
      </c>
      <c r="AT41" s="223">
        <v>73056.219669490965</v>
      </c>
      <c r="AU41" s="223">
        <v>67694.236446691008</v>
      </c>
      <c r="AV41" s="223">
        <v>75670.104999999996</v>
      </c>
      <c r="AW41" s="223">
        <v>74131.675000000003</v>
      </c>
      <c r="AX41" s="223">
        <v>67493.260999999999</v>
      </c>
      <c r="AY41" s="223">
        <v>173158.03593754568</v>
      </c>
      <c r="AZ41" s="223">
        <v>192755.56936652676</v>
      </c>
      <c r="BA41" s="223">
        <v>243136.6498313061</v>
      </c>
      <c r="BB41" s="223">
        <v>229075.96469774732</v>
      </c>
      <c r="BC41" s="223">
        <v>228043.59112183331</v>
      </c>
      <c r="BD41" s="223">
        <v>244517.0998057948</v>
      </c>
      <c r="BE41" s="223">
        <v>276189.14942971262</v>
      </c>
      <c r="BF41" s="223">
        <v>248232.2275998212</v>
      </c>
      <c r="BG41" s="223">
        <v>295997.52023237501</v>
      </c>
      <c r="BH41" s="223">
        <v>300530.03952954285</v>
      </c>
      <c r="BI41" s="223">
        <v>316821.14712986699</v>
      </c>
      <c r="BJ41" s="223">
        <v>290656.54168067907</v>
      </c>
      <c r="BK41" s="223">
        <v>278512.48718438006</v>
      </c>
      <c r="BL41" s="223">
        <v>291794.86913370003</v>
      </c>
      <c r="BM41" s="223">
        <v>259970.16376625502</v>
      </c>
      <c r="BN41" s="223">
        <v>272205.97344527696</v>
      </c>
      <c r="BO41" s="223">
        <v>291307.90378068783</v>
      </c>
      <c r="BP41" s="223">
        <v>331409.42589568498</v>
      </c>
      <c r="BQ41" s="223">
        <v>356151.83162929711</v>
      </c>
      <c r="BR41" s="223">
        <v>374079.91164935578</v>
      </c>
      <c r="BS41" s="223">
        <v>419509.38716707687</v>
      </c>
      <c r="BT41" s="223">
        <v>468282.67318345071</v>
      </c>
      <c r="BU41" s="223">
        <v>516274.06054831878</v>
      </c>
      <c r="BV41" s="223">
        <v>544639.0384520907</v>
      </c>
      <c r="BW41" s="223">
        <v>496071.38405014551</v>
      </c>
      <c r="BX41" s="223">
        <v>416400.34058640565</v>
      </c>
      <c r="BY41" s="223">
        <v>478160.42243872309</v>
      </c>
      <c r="BZ41" s="223">
        <v>470722.77326049411</v>
      </c>
      <c r="CA41" s="223">
        <v>484410.4574858378</v>
      </c>
      <c r="CB41" s="223">
        <v>471943.2540830425</v>
      </c>
      <c r="CC41" s="223">
        <v>479165.78221857891</v>
      </c>
      <c r="CD41" s="223">
        <v>431519.42739999999</v>
      </c>
      <c r="CE41" s="223">
        <v>425784.75150717521</v>
      </c>
      <c r="CF41" s="223">
        <v>411873.41126436263</v>
      </c>
      <c r="CG41" s="223">
        <v>448598.8549784802</v>
      </c>
      <c r="CH41" s="223">
        <v>452199.37884243741</v>
      </c>
      <c r="CI41" s="223">
        <v>453840.55444501177</v>
      </c>
      <c r="CJ41" s="223">
        <v>564014.63506075123</v>
      </c>
      <c r="CK41" s="223">
        <v>607988.34458916984</v>
      </c>
      <c r="CL41" s="223">
        <v>486124.058763612</v>
      </c>
      <c r="CM41" s="223">
        <v>514842.51609878504</v>
      </c>
      <c r="CN41" s="223">
        <v>575944.33313976612</v>
      </c>
      <c r="CO41" s="223">
        <v>527562.2794892682</v>
      </c>
      <c r="CP41" s="223">
        <v>496278.4704803293</v>
      </c>
      <c r="CQ41" s="223">
        <v>508319.55624288809</v>
      </c>
      <c r="CR41" s="223">
        <v>530617.26357431849</v>
      </c>
      <c r="CS41" s="223">
        <v>584651.43477688788</v>
      </c>
      <c r="CT41" s="223">
        <v>431372.29445632891</v>
      </c>
      <c r="CU41" s="223">
        <v>259512.70302584243</v>
      </c>
      <c r="CV41" s="223">
        <v>321110.07103787101</v>
      </c>
      <c r="CW41" s="223">
        <v>382924.51082332933</v>
      </c>
      <c r="CX41" s="223">
        <v>366150.1169553746</v>
      </c>
      <c r="CY41" s="223">
        <v>408797.33885724487</v>
      </c>
      <c r="CZ41" s="223">
        <v>428987.86973761127</v>
      </c>
      <c r="DA41" s="223">
        <v>545508.47029752308</v>
      </c>
      <c r="DB41" s="223">
        <v>498609.56726852624</v>
      </c>
      <c r="DC41" s="223">
        <v>491882.73613880406</v>
      </c>
      <c r="DD41" s="223">
        <v>442683.02080096811</v>
      </c>
      <c r="DE41" s="223">
        <v>365550.70929830213</v>
      </c>
      <c r="DF41" s="223">
        <v>358375.09771504463</v>
      </c>
      <c r="DG41" s="223">
        <v>380873.63400000002</v>
      </c>
      <c r="DH41" s="223">
        <v>442180.00900000002</v>
      </c>
      <c r="DI41" s="223">
        <v>431036.37299999996</v>
      </c>
      <c r="DJ41" s="223">
        <v>449786.75</v>
      </c>
      <c r="DK41" s="223">
        <v>46756.092287101899</v>
      </c>
      <c r="DL41" s="223">
        <v>51252.352222211397</v>
      </c>
      <c r="DM41" s="223">
        <v>43220.358648427202</v>
      </c>
      <c r="DN41" s="223">
        <v>48349.725749867001</v>
      </c>
      <c r="DO41" s="223">
        <v>58605.575110382997</v>
      </c>
      <c r="DP41" s="223">
        <v>66223.988115314729</v>
      </c>
      <c r="DQ41" s="223">
        <v>82861.176102655692</v>
      </c>
      <c r="DR41" s="223">
        <v>83295.789556688193</v>
      </c>
      <c r="DS41" s="223">
        <v>81839.89075075349</v>
      </c>
      <c r="DT41" s="223">
        <v>83810.675510022906</v>
      </c>
      <c r="DU41" s="223">
        <v>89922.443806029289</v>
      </c>
      <c r="DV41" s="223">
        <v>95124.824283925991</v>
      </c>
      <c r="DW41" s="223">
        <v>90354.527270000006</v>
      </c>
      <c r="DX41" s="223">
        <v>92437.99136</v>
      </c>
      <c r="DY41" s="223">
        <v>83587.755040000004</v>
      </c>
      <c r="DZ41" s="223">
        <v>75656.824590000004</v>
      </c>
      <c r="EA41" s="223">
        <v>134374.549</v>
      </c>
      <c r="EB41" s="223">
        <v>124619.18799999999</v>
      </c>
      <c r="EC41" s="223">
        <v>131719.929</v>
      </c>
      <c r="ED41" s="223">
        <v>149199.54840999999</v>
      </c>
      <c r="EE41" s="223">
        <v>152376.32739999998</v>
      </c>
      <c r="EF41" s="223">
        <v>158210.78294999999</v>
      </c>
      <c r="EG41" s="223">
        <v>193863.29666137332</v>
      </c>
      <c r="EH41" s="223">
        <v>211476.52206592911</v>
      </c>
      <c r="EI41" s="223">
        <v>204553.83417000002</v>
      </c>
      <c r="EJ41" s="223">
        <v>218764.51264158211</v>
      </c>
      <c r="EK41" s="223">
        <v>193867.98746270817</v>
      </c>
      <c r="EL41" s="223">
        <v>211012.4831935305</v>
      </c>
      <c r="EM41" s="223">
        <v>221767.02495278599</v>
      </c>
      <c r="EN41" s="223">
        <v>221423.82199999999</v>
      </c>
      <c r="EO41" s="223">
        <v>214972.49</v>
      </c>
      <c r="EP41" s="223">
        <v>218274.83</v>
      </c>
      <c r="EQ41" s="223">
        <v>116302.749904419</v>
      </c>
      <c r="ER41" s="223">
        <v>112914.640378019</v>
      </c>
      <c r="ES41" s="223">
        <v>130933.87803296199</v>
      </c>
      <c r="ET41" s="223">
        <v>149173.38508183201</v>
      </c>
      <c r="EU41" s="223">
        <v>152669.628414626</v>
      </c>
      <c r="EV41" s="223">
        <v>197231.65958920601</v>
      </c>
      <c r="EW41" s="223">
        <v>210494.32048673902</v>
      </c>
      <c r="EX41" s="223">
        <v>228733.33101324001</v>
      </c>
      <c r="EY41" s="223">
        <v>233849.701</v>
      </c>
      <c r="EZ41" s="223">
        <v>248377.486889666</v>
      </c>
      <c r="FA41" s="223">
        <v>211867.16309531001</v>
      </c>
      <c r="FB41" s="223">
        <v>248667.39895521599</v>
      </c>
      <c r="FC41" s="223">
        <v>249010.83126000001</v>
      </c>
      <c r="FD41" s="223">
        <v>261706.81672</v>
      </c>
      <c r="FE41" s="223">
        <v>237845.67388999998</v>
      </c>
      <c r="FF41" s="223">
        <v>245707.57653999998</v>
      </c>
      <c r="FG41" s="223">
        <v>91512.370999999999</v>
      </c>
      <c r="FH41" s="223">
        <v>111659.02499999999</v>
      </c>
      <c r="FI41" s="223">
        <v>126954.183</v>
      </c>
      <c r="FJ41" s="223">
        <v>147045.14508703566</v>
      </c>
      <c r="FK41" s="223">
        <v>148249.28921411154</v>
      </c>
      <c r="FL41" s="223">
        <v>156451.11528364252</v>
      </c>
      <c r="FM41" s="223">
        <v>173292.1959652995</v>
      </c>
      <c r="FN41" s="223">
        <v>188964.70734896982</v>
      </c>
      <c r="FO41" s="223">
        <v>198623.8972691597</v>
      </c>
      <c r="FP41" s="223">
        <v>216635.19392531272</v>
      </c>
      <c r="FQ41" s="223">
        <v>236404.80011395976</v>
      </c>
      <c r="FR41" s="223">
        <v>210858.53991651189</v>
      </c>
      <c r="FS41" s="223">
        <v>196660.56693628174</v>
      </c>
      <c r="FT41" s="223">
        <v>206835.57642502763</v>
      </c>
      <c r="FU41" s="223">
        <v>219275.6828572416</v>
      </c>
      <c r="FV41" s="223">
        <v>224571.33601183179</v>
      </c>
      <c r="FW41" s="223">
        <v>52868.241597880879</v>
      </c>
      <c r="FX41" s="223">
        <v>55158.45329777195</v>
      </c>
      <c r="FY41" s="223">
        <v>57916.22277341369</v>
      </c>
      <c r="FZ41" s="223">
        <v>67194.460550882941</v>
      </c>
      <c r="GA41" s="223">
        <v>81545.096734338353</v>
      </c>
      <c r="GB41" s="223">
        <v>81632.886673280795</v>
      </c>
      <c r="GC41" s="223">
        <v>93877.759666273836</v>
      </c>
      <c r="GD41" s="223">
        <v>74956.74567742864</v>
      </c>
      <c r="GE41" s="223">
        <v>78193.911082667109</v>
      </c>
      <c r="GF41" s="223">
        <v>65602.40088127373</v>
      </c>
      <c r="GG41" s="223">
        <v>72920.104480320268</v>
      </c>
      <c r="GH41" s="223">
        <v>98348.727444605931</v>
      </c>
      <c r="GI41" s="223">
        <v>97037.359690964702</v>
      </c>
      <c r="GJ41" s="223">
        <v>91107.370435041899</v>
      </c>
      <c r="GK41" s="223">
        <v>98523.05692312849</v>
      </c>
      <c r="GL41" s="223">
        <v>104019.59618108421</v>
      </c>
      <c r="GM41" s="223">
        <v>83237</v>
      </c>
      <c r="GN41" s="223">
        <v>81473</v>
      </c>
      <c r="GO41" s="223">
        <v>85413.886309046997</v>
      </c>
      <c r="GP41" s="223">
        <v>89047.922493129998</v>
      </c>
      <c r="GQ41" s="223">
        <v>96130.066559793398</v>
      </c>
      <c r="GR41" s="223">
        <v>121992.755514909</v>
      </c>
      <c r="GS41" s="223">
        <v>126519.882999029</v>
      </c>
      <c r="GT41" s="223">
        <v>116175.49106407601</v>
      </c>
      <c r="GU41" s="223">
        <v>121867.70902049799</v>
      </c>
      <c r="GV41" s="223">
        <v>117721.494565381</v>
      </c>
      <c r="GW41" s="223">
        <v>138427.94329502599</v>
      </c>
      <c r="GX41" s="223">
        <v>132835.09312937901</v>
      </c>
      <c r="GY41" s="223">
        <v>108242.14191396099</v>
      </c>
      <c r="GZ41" s="223">
        <v>110815.785</v>
      </c>
      <c r="HA41" s="223">
        <v>118042.307</v>
      </c>
      <c r="HB41" s="223">
        <v>118292.577</v>
      </c>
    </row>
    <row r="42" spans="1:227" ht="13.35" customHeight="1">
      <c r="A42" s="25"/>
      <c r="B42" s="10"/>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c r="EN42" s="69"/>
      <c r="EO42" s="69"/>
      <c r="EP42" s="69"/>
      <c r="EQ42" s="69"/>
      <c r="ER42" s="69"/>
      <c r="ES42" s="69"/>
      <c r="ET42" s="69"/>
      <c r="EU42" s="69"/>
      <c r="EV42" s="69"/>
      <c r="EW42" s="69"/>
      <c r="EX42" s="69"/>
      <c r="EY42" s="69"/>
      <c r="EZ42" s="69"/>
      <c r="FA42" s="69"/>
      <c r="FB42" s="69"/>
      <c r="FC42" s="69"/>
      <c r="FD42" s="69"/>
      <c r="FE42" s="69"/>
      <c r="FF42" s="69"/>
      <c r="FG42" s="69"/>
      <c r="FH42" s="69"/>
      <c r="FI42" s="69"/>
      <c r="FJ42" s="69"/>
      <c r="FK42" s="69"/>
      <c r="FL42" s="69"/>
      <c r="FM42" s="69"/>
      <c r="FN42" s="69"/>
      <c r="FO42" s="69"/>
      <c r="FP42" s="69"/>
      <c r="FQ42" s="69"/>
      <c r="FR42" s="69"/>
      <c r="FS42" s="69"/>
      <c r="FT42" s="69"/>
      <c r="FU42" s="69"/>
      <c r="FV42" s="69"/>
      <c r="FW42" s="69"/>
      <c r="FX42" s="69"/>
      <c r="FY42" s="69"/>
      <c r="FZ42" s="69"/>
      <c r="GA42" s="69"/>
      <c r="GB42" s="69"/>
      <c r="GC42" s="69"/>
      <c r="GD42" s="69"/>
      <c r="GE42" s="69"/>
      <c r="GF42" s="69"/>
      <c r="GG42" s="69"/>
      <c r="GH42" s="69"/>
      <c r="GI42" s="69"/>
      <c r="GJ42" s="69"/>
      <c r="GK42" s="69"/>
      <c r="GL42" s="69"/>
      <c r="GM42" s="69"/>
      <c r="GN42" s="69"/>
      <c r="GW42" s="67"/>
    </row>
    <row r="43" spans="1:227" s="4" customFormat="1" ht="13.35" customHeight="1">
      <c r="A43" s="2" t="s">
        <v>162</v>
      </c>
      <c r="C43" s="3"/>
      <c r="D43" s="3"/>
      <c r="E43" s="3"/>
      <c r="F43" s="3"/>
      <c r="G43" s="5"/>
      <c r="H43" s="6"/>
      <c r="I43" s="5"/>
      <c r="J43" s="6"/>
      <c r="K43" s="5"/>
      <c r="L43" s="5"/>
      <c r="M43" s="5"/>
      <c r="N43" s="5"/>
      <c r="O43" s="5"/>
      <c r="P43" s="5"/>
      <c r="Q43" s="5"/>
      <c r="R43" s="5"/>
      <c r="S43" s="5"/>
      <c r="T43" s="6"/>
      <c r="U43" s="6"/>
      <c r="V43" s="5"/>
      <c r="W43" s="5"/>
      <c r="X43" s="5"/>
      <c r="Y43" s="5"/>
      <c r="Z43" s="5"/>
    </row>
    <row r="45" spans="1:227" s="24" customFormat="1" ht="13.35" customHeight="1">
      <c r="A45" s="24" t="s">
        <v>160</v>
      </c>
      <c r="B45" s="24" t="s">
        <v>358</v>
      </c>
      <c r="C45" s="77" t="s">
        <v>163</v>
      </c>
      <c r="D45" s="77" t="s">
        <v>164</v>
      </c>
      <c r="E45" s="77" t="s">
        <v>165</v>
      </c>
      <c r="F45" s="77" t="s">
        <v>166</v>
      </c>
      <c r="G45" s="77" t="s">
        <v>167</v>
      </c>
      <c r="H45" s="77" t="s">
        <v>168</v>
      </c>
      <c r="I45" s="77" t="s">
        <v>169</v>
      </c>
      <c r="J45" s="77" t="s">
        <v>170</v>
      </c>
      <c r="K45" s="77" t="s">
        <v>171</v>
      </c>
      <c r="L45" s="77" t="s">
        <v>172</v>
      </c>
      <c r="M45" s="77" t="s">
        <v>173</v>
      </c>
      <c r="N45" s="77" t="s">
        <v>174</v>
      </c>
      <c r="O45" s="77" t="s">
        <v>175</v>
      </c>
      <c r="P45" s="77" t="s">
        <v>176</v>
      </c>
      <c r="Q45" s="77" t="s">
        <v>177</v>
      </c>
      <c r="R45" s="77" t="s">
        <v>704</v>
      </c>
      <c r="S45" s="77" t="s">
        <v>178</v>
      </c>
      <c r="T45" s="77" t="s">
        <v>179</v>
      </c>
      <c r="U45" s="77" t="s">
        <v>180</v>
      </c>
      <c r="V45" s="77" t="s">
        <v>181</v>
      </c>
      <c r="W45" s="77" t="s">
        <v>182</v>
      </c>
      <c r="X45" s="77" t="s">
        <v>183</v>
      </c>
      <c r="Y45" s="77" t="s">
        <v>184</v>
      </c>
      <c r="Z45" s="77" t="s">
        <v>185</v>
      </c>
      <c r="AA45" s="77" t="s">
        <v>186</v>
      </c>
      <c r="AB45" s="77" t="s">
        <v>187</v>
      </c>
      <c r="AC45" s="77" t="s">
        <v>188</v>
      </c>
      <c r="AD45" s="77" t="s">
        <v>189</v>
      </c>
      <c r="AE45" s="77" t="s">
        <v>190</v>
      </c>
      <c r="AF45" s="77" t="s">
        <v>191</v>
      </c>
      <c r="AG45" s="77" t="s">
        <v>192</v>
      </c>
      <c r="AH45" s="77" t="s">
        <v>364</v>
      </c>
      <c r="AI45" s="77" t="s">
        <v>193</v>
      </c>
      <c r="AJ45" s="77" t="s">
        <v>194</v>
      </c>
      <c r="AK45" s="77" t="s">
        <v>195</v>
      </c>
      <c r="AL45" s="77" t="s">
        <v>196</v>
      </c>
      <c r="AM45" s="77" t="s">
        <v>197</v>
      </c>
      <c r="AN45" s="77" t="s">
        <v>198</v>
      </c>
      <c r="AO45" s="77" t="s">
        <v>199</v>
      </c>
      <c r="AP45" s="77" t="s">
        <v>200</v>
      </c>
      <c r="AQ45" s="77" t="s">
        <v>201</v>
      </c>
      <c r="AR45" s="77" t="s">
        <v>202</v>
      </c>
      <c r="AS45" s="77" t="s">
        <v>203</v>
      </c>
      <c r="AT45" s="77" t="s">
        <v>204</v>
      </c>
      <c r="AU45" s="77" t="s">
        <v>205</v>
      </c>
      <c r="AV45" s="77" t="s">
        <v>206</v>
      </c>
      <c r="AW45" s="77" t="s">
        <v>207</v>
      </c>
      <c r="AX45" s="77" t="s">
        <v>707</v>
      </c>
      <c r="AY45" s="77" t="s">
        <v>208</v>
      </c>
      <c r="AZ45" s="77" t="s">
        <v>209</v>
      </c>
      <c r="BA45" s="77" t="s">
        <v>210</v>
      </c>
      <c r="BB45" s="77" t="s">
        <v>211</v>
      </c>
      <c r="BC45" s="77" t="s">
        <v>212</v>
      </c>
      <c r="BD45" s="77" t="s">
        <v>213</v>
      </c>
      <c r="BE45" s="77" t="s">
        <v>214</v>
      </c>
      <c r="BF45" s="77" t="s">
        <v>215</v>
      </c>
      <c r="BG45" s="77" t="s">
        <v>216</v>
      </c>
      <c r="BH45" s="77" t="s">
        <v>217</v>
      </c>
      <c r="BI45" s="77" t="s">
        <v>218</v>
      </c>
      <c r="BJ45" s="77" t="s">
        <v>219</v>
      </c>
      <c r="BK45" s="77" t="s">
        <v>220</v>
      </c>
      <c r="BL45" s="77" t="s">
        <v>221</v>
      </c>
      <c r="BM45" s="77" t="s">
        <v>222</v>
      </c>
      <c r="BN45" s="77" t="s">
        <v>710</v>
      </c>
      <c r="BO45" s="77" t="s">
        <v>223</v>
      </c>
      <c r="BP45" s="77" t="s">
        <v>224</v>
      </c>
      <c r="BQ45" s="77" t="s">
        <v>225</v>
      </c>
      <c r="BR45" s="77" t="s">
        <v>226</v>
      </c>
      <c r="BS45" s="77" t="s">
        <v>227</v>
      </c>
      <c r="BT45" s="77" t="s">
        <v>228</v>
      </c>
      <c r="BU45" s="77" t="s">
        <v>229</v>
      </c>
      <c r="BV45" s="77" t="s">
        <v>230</v>
      </c>
      <c r="BW45" s="77" t="s">
        <v>231</v>
      </c>
      <c r="BX45" s="77" t="s">
        <v>232</v>
      </c>
      <c r="BY45" s="77" t="s">
        <v>233</v>
      </c>
      <c r="BZ45" s="77" t="s">
        <v>234</v>
      </c>
      <c r="CA45" s="77" t="s">
        <v>235</v>
      </c>
      <c r="CB45" s="77" t="s">
        <v>236</v>
      </c>
      <c r="CC45" s="77" t="s">
        <v>237</v>
      </c>
      <c r="CD45" s="77" t="s">
        <v>713</v>
      </c>
      <c r="CE45" s="77" t="s">
        <v>238</v>
      </c>
      <c r="CF45" s="77" t="s">
        <v>239</v>
      </c>
      <c r="CG45" s="77" t="s">
        <v>240</v>
      </c>
      <c r="CH45" s="77" t="s">
        <v>241</v>
      </c>
      <c r="CI45" s="77" t="s">
        <v>242</v>
      </c>
      <c r="CJ45" s="77" t="s">
        <v>243</v>
      </c>
      <c r="CK45" s="77" t="s">
        <v>244</v>
      </c>
      <c r="CL45" s="77" t="s">
        <v>245</v>
      </c>
      <c r="CM45" s="77" t="s">
        <v>246</v>
      </c>
      <c r="CN45" s="77" t="s">
        <v>247</v>
      </c>
      <c r="CO45" s="77" t="s">
        <v>248</v>
      </c>
      <c r="CP45" s="77" t="s">
        <v>249</v>
      </c>
      <c r="CQ45" s="77" t="s">
        <v>250</v>
      </c>
      <c r="CR45" s="77" t="s">
        <v>251</v>
      </c>
      <c r="CS45" s="77" t="s">
        <v>252</v>
      </c>
      <c r="CT45" s="77" t="s">
        <v>716</v>
      </c>
      <c r="CU45" s="77" t="s">
        <v>253</v>
      </c>
      <c r="CV45" s="77" t="s">
        <v>254</v>
      </c>
      <c r="CW45" s="77" t="s">
        <v>255</v>
      </c>
      <c r="CX45" s="77" t="s">
        <v>256</v>
      </c>
      <c r="CY45" s="77" t="s">
        <v>257</v>
      </c>
      <c r="CZ45" s="77" t="s">
        <v>258</v>
      </c>
      <c r="DA45" s="77" t="s">
        <v>259</v>
      </c>
      <c r="DB45" s="77" t="s">
        <v>260</v>
      </c>
      <c r="DC45" s="77" t="s">
        <v>261</v>
      </c>
      <c r="DD45" s="77" t="s">
        <v>262</v>
      </c>
      <c r="DE45" s="77" t="s">
        <v>263</v>
      </c>
      <c r="DF45" s="77" t="s">
        <v>264</v>
      </c>
      <c r="DG45" s="77" t="s">
        <v>265</v>
      </c>
      <c r="DH45" s="77" t="s">
        <v>266</v>
      </c>
      <c r="DI45" s="77" t="s">
        <v>267</v>
      </c>
      <c r="DJ45" s="77" t="s">
        <v>719</v>
      </c>
      <c r="DK45" s="77" t="s">
        <v>268</v>
      </c>
      <c r="DL45" s="77" t="s">
        <v>269</v>
      </c>
      <c r="DM45" s="77" t="s">
        <v>270</v>
      </c>
      <c r="DN45" s="77" t="s">
        <v>271</v>
      </c>
      <c r="DO45" s="77" t="s">
        <v>272</v>
      </c>
      <c r="DP45" s="77" t="s">
        <v>273</v>
      </c>
      <c r="DQ45" s="77" t="s">
        <v>274</v>
      </c>
      <c r="DR45" s="77" t="s">
        <v>275</v>
      </c>
      <c r="DS45" s="77" t="s">
        <v>276</v>
      </c>
      <c r="DT45" s="77" t="s">
        <v>277</v>
      </c>
      <c r="DU45" s="77" t="s">
        <v>278</v>
      </c>
      <c r="DV45" s="77" t="s">
        <v>279</v>
      </c>
      <c r="DW45" s="77" t="s">
        <v>280</v>
      </c>
      <c r="DX45" s="77" t="s">
        <v>281</v>
      </c>
      <c r="DY45" s="77" t="s">
        <v>282</v>
      </c>
      <c r="DZ45" s="77" t="s">
        <v>722</v>
      </c>
      <c r="EA45" s="77" t="s">
        <v>283</v>
      </c>
      <c r="EB45" s="77" t="s">
        <v>284</v>
      </c>
      <c r="EC45" s="77" t="s">
        <v>285</v>
      </c>
      <c r="ED45" s="77" t="s">
        <v>286</v>
      </c>
      <c r="EE45" s="77" t="s">
        <v>287</v>
      </c>
      <c r="EF45" s="77" t="s">
        <v>288</v>
      </c>
      <c r="EG45" s="77" t="s">
        <v>289</v>
      </c>
      <c r="EH45" s="77" t="s">
        <v>290</v>
      </c>
      <c r="EI45" s="77" t="s">
        <v>291</v>
      </c>
      <c r="EJ45" s="77" t="s">
        <v>292</v>
      </c>
      <c r="EK45" s="77" t="s">
        <v>293</v>
      </c>
      <c r="EL45" s="77" t="s">
        <v>294</v>
      </c>
      <c r="EM45" s="77" t="s">
        <v>295</v>
      </c>
      <c r="EN45" s="77" t="s">
        <v>296</v>
      </c>
      <c r="EO45" s="77" t="s">
        <v>297</v>
      </c>
      <c r="EP45" s="77" t="s">
        <v>725</v>
      </c>
      <c r="EQ45" s="77" t="s">
        <v>298</v>
      </c>
      <c r="ER45" s="77" t="s">
        <v>299</v>
      </c>
      <c r="ES45" s="77" t="s">
        <v>300</v>
      </c>
      <c r="ET45" s="77" t="s">
        <v>301</v>
      </c>
      <c r="EU45" s="77" t="s">
        <v>302</v>
      </c>
      <c r="EV45" s="77" t="s">
        <v>303</v>
      </c>
      <c r="EW45" s="77" t="s">
        <v>304</v>
      </c>
      <c r="EX45" s="77" t="s">
        <v>305</v>
      </c>
      <c r="EY45" s="77" t="s">
        <v>306</v>
      </c>
      <c r="EZ45" s="77" t="s">
        <v>307</v>
      </c>
      <c r="FA45" s="77" t="s">
        <v>308</v>
      </c>
      <c r="FB45" s="77" t="s">
        <v>309</v>
      </c>
      <c r="FC45" s="77" t="s">
        <v>310</v>
      </c>
      <c r="FD45" s="77" t="s">
        <v>311</v>
      </c>
      <c r="FE45" s="77" t="s">
        <v>312</v>
      </c>
      <c r="FF45" s="77" t="s">
        <v>728</v>
      </c>
      <c r="FG45" s="77" t="s">
        <v>313</v>
      </c>
      <c r="FH45" s="77" t="s">
        <v>314</v>
      </c>
      <c r="FI45" s="77" t="s">
        <v>315</v>
      </c>
      <c r="FJ45" s="77" t="s">
        <v>316</v>
      </c>
      <c r="FK45" s="77" t="s">
        <v>317</v>
      </c>
      <c r="FL45" s="77" t="s">
        <v>318</v>
      </c>
      <c r="FM45" s="77" t="s">
        <v>319</v>
      </c>
      <c r="FN45" s="77" t="s">
        <v>320</v>
      </c>
      <c r="FO45" s="77" t="s">
        <v>321</v>
      </c>
      <c r="FP45" s="77" t="s">
        <v>322</v>
      </c>
      <c r="FQ45" s="77" t="s">
        <v>323</v>
      </c>
      <c r="FR45" s="77" t="s">
        <v>324</v>
      </c>
      <c r="FS45" s="77" t="s">
        <v>325</v>
      </c>
      <c r="FT45" s="77" t="s">
        <v>326</v>
      </c>
      <c r="FU45" s="77" t="s">
        <v>327</v>
      </c>
      <c r="FV45" s="77" t="s">
        <v>731</v>
      </c>
      <c r="FW45" s="77" t="s">
        <v>328</v>
      </c>
      <c r="FX45" s="77" t="s">
        <v>329</v>
      </c>
      <c r="FY45" s="77" t="s">
        <v>330</v>
      </c>
      <c r="FZ45" s="77" t="s">
        <v>331</v>
      </c>
      <c r="GA45" s="77" t="s">
        <v>332</v>
      </c>
      <c r="GB45" s="77" t="s">
        <v>333</v>
      </c>
      <c r="GC45" s="77" t="s">
        <v>334</v>
      </c>
      <c r="GD45" s="77" t="s">
        <v>335</v>
      </c>
      <c r="GE45" s="77" t="s">
        <v>336</v>
      </c>
      <c r="GF45" s="77" t="s">
        <v>337</v>
      </c>
      <c r="GG45" s="77" t="s">
        <v>338</v>
      </c>
      <c r="GH45" s="77" t="s">
        <v>339</v>
      </c>
      <c r="GI45" s="77" t="s">
        <v>340</v>
      </c>
      <c r="GJ45" s="77" t="s">
        <v>341</v>
      </c>
      <c r="GK45" s="77" t="s">
        <v>342</v>
      </c>
      <c r="GL45" s="77" t="s">
        <v>734</v>
      </c>
      <c r="GM45" s="77" t="s">
        <v>343</v>
      </c>
      <c r="GN45" s="77" t="s">
        <v>344</v>
      </c>
      <c r="GO45" s="77" t="s">
        <v>345</v>
      </c>
      <c r="GP45" s="77" t="s">
        <v>346</v>
      </c>
      <c r="GQ45" s="77" t="s">
        <v>347</v>
      </c>
      <c r="GR45" s="77" t="s">
        <v>348</v>
      </c>
      <c r="GS45" s="77" t="s">
        <v>349</v>
      </c>
      <c r="GT45" s="77" t="s">
        <v>350</v>
      </c>
      <c r="GU45" s="77" t="s">
        <v>351</v>
      </c>
      <c r="GV45" s="77" t="s">
        <v>352</v>
      </c>
      <c r="GW45" s="77" t="s">
        <v>353</v>
      </c>
      <c r="GX45" s="77" t="s">
        <v>354</v>
      </c>
      <c r="GY45" s="77" t="s">
        <v>355</v>
      </c>
      <c r="GZ45" s="77" t="s">
        <v>356</v>
      </c>
      <c r="HA45" s="77" t="s">
        <v>357</v>
      </c>
      <c r="HB45" s="77" t="s">
        <v>737</v>
      </c>
    </row>
    <row r="46" spans="1:227" s="69" customFormat="1" ht="13.35" customHeight="1">
      <c r="A46" s="69" t="s">
        <v>74</v>
      </c>
      <c r="B46" s="69" t="s">
        <v>49</v>
      </c>
      <c r="C46" s="73">
        <f>VLOOKUP(Parameter_Scenario, Table_Data_opex_alternative, MATCH(C45, Header_Table_Data_EBRIN, 0), FALSE)</f>
        <v>38538.624900945346</v>
      </c>
      <c r="D46" s="73">
        <f t="shared" ref="D46:BN46" si="8">VLOOKUP(Parameter_Scenario, Table_Data_opex_alternative, MATCH(D45, Header_Table_Data_EBRIN, 0), FALSE)</f>
        <v>40555.568802439702</v>
      </c>
      <c r="E46" s="73">
        <f t="shared" si="8"/>
        <v>44812.70258129912</v>
      </c>
      <c r="F46" s="73">
        <f>VLOOKUP(Parameter_Scenario, Table_Data_opex_alternative, MATCH(F45, Header_Table_Data_EBRIN, 0), FALSE)</f>
        <v>46821.896889849857</v>
      </c>
      <c r="G46" s="73">
        <f t="shared" si="8"/>
        <v>55266.38145396336</v>
      </c>
      <c r="H46" s="73">
        <f t="shared" si="8"/>
        <v>63737.765832817691</v>
      </c>
      <c r="I46" s="73">
        <f t="shared" si="8"/>
        <v>70608.373543978203</v>
      </c>
      <c r="J46" s="73">
        <f t="shared" si="8"/>
        <v>77834.327675292603</v>
      </c>
      <c r="K46" s="73">
        <f t="shared" si="8"/>
        <v>88864.580625233939</v>
      </c>
      <c r="L46" s="73">
        <f t="shared" si="8"/>
        <v>86548.092643177908</v>
      </c>
      <c r="M46" s="73">
        <f t="shared" si="8"/>
        <v>52497.721534325196</v>
      </c>
      <c r="N46" s="73">
        <f t="shared" si="8"/>
        <v>58245.248035999997</v>
      </c>
      <c r="O46" s="73">
        <f t="shared" si="8"/>
        <v>72071.139840504809</v>
      </c>
      <c r="P46" s="73">
        <f t="shared" si="8"/>
        <v>70694.304359999995</v>
      </c>
      <c r="Q46" s="73">
        <f t="shared" si="8"/>
        <v>68958.093410000001</v>
      </c>
      <c r="R46" s="73">
        <f t="shared" si="8"/>
        <v>66360.226999999999</v>
      </c>
      <c r="S46" s="73">
        <f t="shared" si="8"/>
        <v>359429.30472414085</v>
      </c>
      <c r="T46" s="73">
        <f t="shared" si="8"/>
        <v>319120.88969815226</v>
      </c>
      <c r="U46" s="73">
        <f t="shared" si="8"/>
        <v>470681.79458618024</v>
      </c>
      <c r="V46" s="73">
        <f t="shared" si="8"/>
        <v>443489.44696764805</v>
      </c>
      <c r="W46" s="73">
        <f t="shared" si="8"/>
        <v>515512.72259464307</v>
      </c>
      <c r="X46" s="73">
        <f t="shared" si="8"/>
        <v>512241.43077591294</v>
      </c>
      <c r="Y46" s="73">
        <f t="shared" si="8"/>
        <v>582528.6565686391</v>
      </c>
      <c r="Z46" s="73">
        <f t="shared" si="8"/>
        <v>475011.13446981501</v>
      </c>
      <c r="AA46" s="73">
        <f t="shared" si="8"/>
        <v>542633.90420160326</v>
      </c>
      <c r="AB46" s="73">
        <f t="shared" si="8"/>
        <v>651511.13329349505</v>
      </c>
      <c r="AC46" s="73">
        <f t="shared" si="8"/>
        <v>590102.08599726495</v>
      </c>
      <c r="AD46" s="73">
        <f t="shared" si="8"/>
        <v>532963.94004261005</v>
      </c>
      <c r="AE46" s="73">
        <f t="shared" si="8"/>
        <v>467337.86054000002</v>
      </c>
      <c r="AF46" s="73">
        <f t="shared" si="8"/>
        <v>454424.70699999999</v>
      </c>
      <c r="AG46" s="73">
        <f t="shared" si="8"/>
        <v>409523.11597899999</v>
      </c>
      <c r="AH46" s="73">
        <f t="shared" si="8"/>
        <v>391128.56099999999</v>
      </c>
      <c r="AI46" s="73">
        <f t="shared" si="8"/>
        <v>37898.188999999998</v>
      </c>
      <c r="AJ46" s="73">
        <f t="shared" si="8"/>
        <v>40582.080999999998</v>
      </c>
      <c r="AK46" s="73">
        <f t="shared" si="8"/>
        <v>41333.470999999998</v>
      </c>
      <c r="AL46" s="73">
        <f t="shared" si="8"/>
        <v>50008.286836201994</v>
      </c>
      <c r="AM46" s="73">
        <f t="shared" si="8"/>
        <v>54297.417209442443</v>
      </c>
      <c r="AN46" s="73">
        <f t="shared" si="8"/>
        <v>54486.114272112434</v>
      </c>
      <c r="AO46" s="73">
        <f t="shared" si="8"/>
        <v>67739.510590000005</v>
      </c>
      <c r="AP46" s="73">
        <f t="shared" si="8"/>
        <v>68089.082299999995</v>
      </c>
      <c r="AQ46" s="73">
        <f t="shared" si="8"/>
        <v>73439.955393108001</v>
      </c>
      <c r="AR46" s="73">
        <f t="shared" si="8"/>
        <v>71997.882248406604</v>
      </c>
      <c r="AS46" s="73">
        <f t="shared" si="8"/>
        <v>73454.018770187686</v>
      </c>
      <c r="AT46" s="73">
        <f t="shared" si="8"/>
        <v>73056.219669490965</v>
      </c>
      <c r="AU46" s="73">
        <f t="shared" si="8"/>
        <v>67694.236446691008</v>
      </c>
      <c r="AV46" s="73">
        <f t="shared" si="8"/>
        <v>75670.104999999996</v>
      </c>
      <c r="AW46" s="73">
        <f>VLOOKUP(Parameter_Scenario, Table_Data_opex_alternative, MATCH(AW45, Header_Table_Data_EBRIN, 0), FALSE)</f>
        <v>74131.675000000003</v>
      </c>
      <c r="AX46" s="73">
        <f t="shared" si="8"/>
        <v>67493.260999999999</v>
      </c>
      <c r="AY46" s="73">
        <f t="shared" si="8"/>
        <v>173158.03593754568</v>
      </c>
      <c r="AZ46" s="73">
        <f t="shared" si="8"/>
        <v>192755.56936652676</v>
      </c>
      <c r="BA46" s="73">
        <f t="shared" si="8"/>
        <v>243136.6498313061</v>
      </c>
      <c r="BB46" s="73">
        <f t="shared" si="8"/>
        <v>229075.96469774732</v>
      </c>
      <c r="BC46" s="73">
        <f t="shared" si="8"/>
        <v>228043.59112183331</v>
      </c>
      <c r="BD46" s="73">
        <f t="shared" si="8"/>
        <v>244517.0998057948</v>
      </c>
      <c r="BE46" s="73">
        <f t="shared" si="8"/>
        <v>276189.14942971262</v>
      </c>
      <c r="BF46" s="73">
        <f t="shared" si="8"/>
        <v>248232.2275998212</v>
      </c>
      <c r="BG46" s="73">
        <f t="shared" si="8"/>
        <v>295997.52023237501</v>
      </c>
      <c r="BH46" s="73">
        <f t="shared" si="8"/>
        <v>300530.03952954285</v>
      </c>
      <c r="BI46" s="73">
        <f t="shared" si="8"/>
        <v>316821.14712986699</v>
      </c>
      <c r="BJ46" s="73">
        <f t="shared" si="8"/>
        <v>290656.54168067907</v>
      </c>
      <c r="BK46" s="73">
        <f t="shared" si="8"/>
        <v>278512.48718438006</v>
      </c>
      <c r="BL46" s="73">
        <f t="shared" si="8"/>
        <v>291794.86913370003</v>
      </c>
      <c r="BM46" s="73">
        <f t="shared" si="8"/>
        <v>259970.16376625502</v>
      </c>
      <c r="BN46" s="73">
        <f t="shared" si="8"/>
        <v>272205.97344527696</v>
      </c>
      <c r="BO46" s="73">
        <f t="shared" ref="BO46:DZ46" si="9">VLOOKUP(Parameter_Scenario, Table_Data_opex_alternative, MATCH(BO45, Header_Table_Data_EBRIN, 0), FALSE)</f>
        <v>195841.37997680341</v>
      </c>
      <c r="BP46" s="73">
        <f t="shared" si="9"/>
        <v>235942.90209180053</v>
      </c>
      <c r="BQ46" s="73">
        <f t="shared" si="9"/>
        <v>260685.30782541275</v>
      </c>
      <c r="BR46" s="73">
        <f t="shared" si="9"/>
        <v>278613.38784547138</v>
      </c>
      <c r="BS46" s="73">
        <f t="shared" si="9"/>
        <v>278963.37942219886</v>
      </c>
      <c r="BT46" s="73">
        <f t="shared" si="9"/>
        <v>319938.20025678875</v>
      </c>
      <c r="BU46" s="73">
        <f t="shared" si="9"/>
        <v>353345.50223678484</v>
      </c>
      <c r="BV46" s="73">
        <f t="shared" si="9"/>
        <v>389595.26694668876</v>
      </c>
      <c r="BW46" s="73">
        <f t="shared" si="9"/>
        <v>371246.57651295455</v>
      </c>
      <c r="BX46" s="73">
        <f t="shared" si="9"/>
        <v>404381.90633752808</v>
      </c>
      <c r="BY46" s="73">
        <f t="shared" si="9"/>
        <v>370301.37575120613</v>
      </c>
      <c r="BZ46" s="73">
        <f t="shared" si="9"/>
        <v>369715.3843810751</v>
      </c>
      <c r="CA46" s="73">
        <f t="shared" si="9"/>
        <v>383928.83497152582</v>
      </c>
      <c r="CB46" s="73">
        <f t="shared" si="9"/>
        <v>371664.06018304254</v>
      </c>
      <c r="CC46" s="73">
        <f t="shared" si="9"/>
        <v>365649.56511857896</v>
      </c>
      <c r="CD46" s="73">
        <f t="shared" si="9"/>
        <v>384744.80699999997</v>
      </c>
      <c r="CE46" s="73">
        <f t="shared" si="9"/>
        <v>318782.82525500719</v>
      </c>
      <c r="CF46" s="73">
        <f t="shared" si="9"/>
        <v>304871.48501219461</v>
      </c>
      <c r="CG46" s="73">
        <f t="shared" si="9"/>
        <v>341596.92872631224</v>
      </c>
      <c r="CH46" s="73">
        <f t="shared" si="9"/>
        <v>345197.45259026939</v>
      </c>
      <c r="CI46" s="73">
        <f t="shared" si="9"/>
        <v>350080.58861427777</v>
      </c>
      <c r="CJ46" s="73">
        <f t="shared" si="9"/>
        <v>429135.24431857927</v>
      </c>
      <c r="CK46" s="73">
        <f t="shared" si="9"/>
        <v>461769.5851572908</v>
      </c>
      <c r="CL46" s="73">
        <f t="shared" si="9"/>
        <v>385820.66083545203</v>
      </c>
      <c r="CM46" s="73">
        <f t="shared" si="9"/>
        <v>400945.39909878507</v>
      </c>
      <c r="CN46" s="73">
        <f t="shared" si="9"/>
        <v>448512.98567271308</v>
      </c>
      <c r="CO46" s="73">
        <f t="shared" si="9"/>
        <v>439434.14878798177</v>
      </c>
      <c r="CP46" s="73">
        <f t="shared" si="9"/>
        <v>397874.63111855858</v>
      </c>
      <c r="CQ46" s="73">
        <f t="shared" si="9"/>
        <v>407226.50224288809</v>
      </c>
      <c r="CR46" s="73">
        <f t="shared" si="9"/>
        <v>423925.31857431849</v>
      </c>
      <c r="CS46" s="73">
        <f t="shared" si="9"/>
        <v>451408.39377688797</v>
      </c>
      <c r="CT46" s="73">
        <f t="shared" si="9"/>
        <v>368645.44645632891</v>
      </c>
      <c r="CU46" s="73">
        <f t="shared" si="9"/>
        <v>259512.70302584243</v>
      </c>
      <c r="CV46" s="73">
        <f t="shared" si="9"/>
        <v>321110.07103787101</v>
      </c>
      <c r="CW46" s="73">
        <f t="shared" si="9"/>
        <v>382924.51082332933</v>
      </c>
      <c r="CX46" s="73">
        <f t="shared" si="9"/>
        <v>366150.1169553746</v>
      </c>
      <c r="CY46" s="73">
        <f t="shared" si="9"/>
        <v>408797.33885724487</v>
      </c>
      <c r="CZ46" s="73">
        <f t="shared" si="9"/>
        <v>428987.86973761127</v>
      </c>
      <c r="DA46" s="73">
        <f t="shared" si="9"/>
        <v>545508.47029752308</v>
      </c>
      <c r="DB46" s="73">
        <f t="shared" si="9"/>
        <v>498609.56726852624</v>
      </c>
      <c r="DC46" s="73">
        <f t="shared" si="9"/>
        <v>491882.73613880406</v>
      </c>
      <c r="DD46" s="73">
        <f t="shared" si="9"/>
        <v>442683.02080096811</v>
      </c>
      <c r="DE46" s="73">
        <f t="shared" si="9"/>
        <v>365550.70929830213</v>
      </c>
      <c r="DF46" s="73">
        <f t="shared" si="9"/>
        <v>358375.09771504463</v>
      </c>
      <c r="DG46" s="73">
        <f t="shared" si="9"/>
        <v>380873.63400000002</v>
      </c>
      <c r="DH46" s="73">
        <f t="shared" si="9"/>
        <v>442180.00900000002</v>
      </c>
      <c r="DI46" s="73">
        <f t="shared" si="9"/>
        <v>431036.37299999996</v>
      </c>
      <c r="DJ46" s="73">
        <f t="shared" si="9"/>
        <v>449786.75</v>
      </c>
      <c r="DK46" s="73">
        <f t="shared" si="9"/>
        <v>46756.092287101899</v>
      </c>
      <c r="DL46" s="73">
        <f t="shared" si="9"/>
        <v>51252.352222211397</v>
      </c>
      <c r="DM46" s="73">
        <f t="shared" si="9"/>
        <v>43220.358648427202</v>
      </c>
      <c r="DN46" s="73">
        <f t="shared" si="9"/>
        <v>48349.725749867001</v>
      </c>
      <c r="DO46" s="73">
        <f t="shared" si="9"/>
        <v>58605.575110382997</v>
      </c>
      <c r="DP46" s="73">
        <f t="shared" si="9"/>
        <v>66223.988115314729</v>
      </c>
      <c r="DQ46" s="73">
        <f t="shared" si="9"/>
        <v>82861.176102655692</v>
      </c>
      <c r="DR46" s="73">
        <f t="shared" si="9"/>
        <v>83295.789556688193</v>
      </c>
      <c r="DS46" s="73">
        <f t="shared" si="9"/>
        <v>81839.89075075349</v>
      </c>
      <c r="DT46" s="73">
        <f t="shared" si="9"/>
        <v>83810.675510022906</v>
      </c>
      <c r="DU46" s="73">
        <f t="shared" si="9"/>
        <v>89922.443806029289</v>
      </c>
      <c r="DV46" s="73">
        <f t="shared" si="9"/>
        <v>95124.824283925991</v>
      </c>
      <c r="DW46" s="73">
        <f t="shared" si="9"/>
        <v>90354.527270000006</v>
      </c>
      <c r="DX46" s="73">
        <f t="shared" si="9"/>
        <v>92437.99136</v>
      </c>
      <c r="DY46" s="73">
        <f t="shared" si="9"/>
        <v>83587.755040000004</v>
      </c>
      <c r="DZ46" s="73">
        <f t="shared" si="9"/>
        <v>75656.824590000004</v>
      </c>
      <c r="EA46" s="73">
        <f t="shared" ref="EA46:GL46" si="10">VLOOKUP(Parameter_Scenario, Table_Data_opex_alternative, MATCH(EA45, Header_Table_Data_EBRIN, 0), FALSE)</f>
        <v>134374.549</v>
      </c>
      <c r="EB46" s="73">
        <f t="shared" si="10"/>
        <v>124619.18799999999</v>
      </c>
      <c r="EC46" s="73">
        <f t="shared" si="10"/>
        <v>131719.929</v>
      </c>
      <c r="ED46" s="73">
        <f t="shared" si="10"/>
        <v>149199.54840999999</v>
      </c>
      <c r="EE46" s="73">
        <f t="shared" si="10"/>
        <v>152376.32739999998</v>
      </c>
      <c r="EF46" s="73">
        <f t="shared" si="10"/>
        <v>158210.78294999999</v>
      </c>
      <c r="EG46" s="73">
        <f t="shared" si="10"/>
        <v>193863.29666137332</v>
      </c>
      <c r="EH46" s="73">
        <f t="shared" si="10"/>
        <v>211476.52206592911</v>
      </c>
      <c r="EI46" s="73">
        <f t="shared" si="10"/>
        <v>204553.83417000002</v>
      </c>
      <c r="EJ46" s="73">
        <f t="shared" si="10"/>
        <v>218764.51264158211</v>
      </c>
      <c r="EK46" s="73">
        <f t="shared" si="10"/>
        <v>193867.98746270817</v>
      </c>
      <c r="EL46" s="73">
        <f t="shared" si="10"/>
        <v>211012.4831935305</v>
      </c>
      <c r="EM46" s="73">
        <f t="shared" si="10"/>
        <v>221767.02495278599</v>
      </c>
      <c r="EN46" s="73">
        <f t="shared" si="10"/>
        <v>221423.82199999999</v>
      </c>
      <c r="EO46" s="73">
        <f t="shared" si="10"/>
        <v>214972.49</v>
      </c>
      <c r="EP46" s="73">
        <f t="shared" si="10"/>
        <v>218274.83</v>
      </c>
      <c r="EQ46" s="73">
        <f t="shared" si="10"/>
        <v>116302.749904419</v>
      </c>
      <c r="ER46" s="73">
        <f t="shared" si="10"/>
        <v>112914.640378019</v>
      </c>
      <c r="ES46" s="73">
        <f t="shared" si="10"/>
        <v>130933.87803296199</v>
      </c>
      <c r="ET46" s="73">
        <f t="shared" si="10"/>
        <v>149173.38508183201</v>
      </c>
      <c r="EU46" s="73">
        <f t="shared" si="10"/>
        <v>152669.628414626</v>
      </c>
      <c r="EV46" s="73">
        <f t="shared" si="10"/>
        <v>197231.65958920601</v>
      </c>
      <c r="EW46" s="73">
        <f t="shared" si="10"/>
        <v>210494.32048673902</v>
      </c>
      <c r="EX46" s="73">
        <f t="shared" si="10"/>
        <v>228733.33101324001</v>
      </c>
      <c r="EY46" s="73">
        <f t="shared" si="10"/>
        <v>233849.701</v>
      </c>
      <c r="EZ46" s="73">
        <f t="shared" si="10"/>
        <v>248377.486889666</v>
      </c>
      <c r="FA46" s="73">
        <f t="shared" si="10"/>
        <v>211867.16309531001</v>
      </c>
      <c r="FB46" s="73">
        <f t="shared" si="10"/>
        <v>248667.39895521599</v>
      </c>
      <c r="FC46" s="73">
        <f t="shared" si="10"/>
        <v>249010.83126000001</v>
      </c>
      <c r="FD46" s="73">
        <f t="shared" si="10"/>
        <v>261706.81672</v>
      </c>
      <c r="FE46" s="73">
        <f t="shared" si="10"/>
        <v>237845.67388999998</v>
      </c>
      <c r="FF46" s="73">
        <f t="shared" si="10"/>
        <v>245707.57653999998</v>
      </c>
      <c r="FG46" s="73">
        <f t="shared" si="10"/>
        <v>91512.370999999999</v>
      </c>
      <c r="FH46" s="73">
        <f t="shared" si="10"/>
        <v>111659.02499999999</v>
      </c>
      <c r="FI46" s="73">
        <f t="shared" si="10"/>
        <v>126954.183</v>
      </c>
      <c r="FJ46" s="73">
        <f t="shared" si="10"/>
        <v>147045.14508703566</v>
      </c>
      <c r="FK46" s="73">
        <f t="shared" si="10"/>
        <v>148249.28921411154</v>
      </c>
      <c r="FL46" s="73">
        <f t="shared" si="10"/>
        <v>156451.11528364252</v>
      </c>
      <c r="FM46" s="73">
        <f t="shared" si="10"/>
        <v>173292.1959652995</v>
      </c>
      <c r="FN46" s="73">
        <f t="shared" si="10"/>
        <v>188964.70734896982</v>
      </c>
      <c r="FO46" s="73">
        <f t="shared" si="10"/>
        <v>198623.8972691597</v>
      </c>
      <c r="FP46" s="73">
        <f t="shared" si="10"/>
        <v>216635.19392531272</v>
      </c>
      <c r="FQ46" s="73">
        <f t="shared" si="10"/>
        <v>236404.80011395976</v>
      </c>
      <c r="FR46" s="73">
        <f t="shared" si="10"/>
        <v>210858.53991651189</v>
      </c>
      <c r="FS46" s="73">
        <f t="shared" si="10"/>
        <v>196660.56693628174</v>
      </c>
      <c r="FT46" s="73">
        <f t="shared" si="10"/>
        <v>206835.57642502763</v>
      </c>
      <c r="FU46" s="73">
        <f t="shared" si="10"/>
        <v>219275.6828572416</v>
      </c>
      <c r="FV46" s="73">
        <f t="shared" si="10"/>
        <v>224571.33601183179</v>
      </c>
      <c r="FW46" s="73">
        <f t="shared" si="10"/>
        <v>52868.241597880879</v>
      </c>
      <c r="FX46" s="73">
        <f t="shared" si="10"/>
        <v>55158.45329777195</v>
      </c>
      <c r="FY46" s="73">
        <f t="shared" si="10"/>
        <v>57916.22277341369</v>
      </c>
      <c r="FZ46" s="73">
        <f t="shared" si="10"/>
        <v>67194.460550882941</v>
      </c>
      <c r="GA46" s="73">
        <f t="shared" si="10"/>
        <v>81545.096734338353</v>
      </c>
      <c r="GB46" s="73">
        <f t="shared" si="10"/>
        <v>81632.886673280795</v>
      </c>
      <c r="GC46" s="73">
        <f t="shared" si="10"/>
        <v>93877.759666273836</v>
      </c>
      <c r="GD46" s="73">
        <f t="shared" si="10"/>
        <v>74956.74567742864</v>
      </c>
      <c r="GE46" s="73">
        <f t="shared" si="10"/>
        <v>78193.911082667109</v>
      </c>
      <c r="GF46" s="73">
        <f t="shared" si="10"/>
        <v>65602.40088127373</v>
      </c>
      <c r="GG46" s="73">
        <f t="shared" si="10"/>
        <v>72920.104480320268</v>
      </c>
      <c r="GH46" s="73">
        <f t="shared" si="10"/>
        <v>98348.727444605931</v>
      </c>
      <c r="GI46" s="73">
        <f t="shared" si="10"/>
        <v>97037.359690964702</v>
      </c>
      <c r="GJ46" s="73">
        <f t="shared" si="10"/>
        <v>91107.370435041899</v>
      </c>
      <c r="GK46" s="73">
        <f t="shared" si="10"/>
        <v>98523.05692312849</v>
      </c>
      <c r="GL46" s="73">
        <f t="shared" si="10"/>
        <v>104019.59618108421</v>
      </c>
      <c r="GM46" s="73">
        <f t="shared" ref="GM46:HB46" si="11">VLOOKUP(Parameter_Scenario, Table_Data_opex_alternative, MATCH(GM45, Header_Table_Data_EBRIN, 0), FALSE)</f>
        <v>83237</v>
      </c>
      <c r="GN46" s="73">
        <f t="shared" si="11"/>
        <v>81473</v>
      </c>
      <c r="GO46" s="73">
        <f t="shared" si="11"/>
        <v>85413.886309046997</v>
      </c>
      <c r="GP46" s="73">
        <f t="shared" si="11"/>
        <v>89047.922493129998</v>
      </c>
      <c r="GQ46" s="73">
        <f t="shared" si="11"/>
        <v>96130.066559793398</v>
      </c>
      <c r="GR46" s="73">
        <f t="shared" si="11"/>
        <v>121992.755514909</v>
      </c>
      <c r="GS46" s="73">
        <f t="shared" si="11"/>
        <v>126519.882999029</v>
      </c>
      <c r="GT46" s="73">
        <f t="shared" si="11"/>
        <v>116175.49106407601</v>
      </c>
      <c r="GU46" s="73">
        <f t="shared" si="11"/>
        <v>121867.70902049799</v>
      </c>
      <c r="GV46" s="73">
        <f t="shared" si="11"/>
        <v>117721.494565381</v>
      </c>
      <c r="GW46" s="73">
        <f t="shared" si="11"/>
        <v>138427.94329502599</v>
      </c>
      <c r="GX46" s="73">
        <f t="shared" si="11"/>
        <v>132835.09312937901</v>
      </c>
      <c r="GY46" s="73">
        <f t="shared" si="11"/>
        <v>108242.14191396099</v>
      </c>
      <c r="GZ46" s="73">
        <f t="shared" si="11"/>
        <v>110815.785</v>
      </c>
      <c r="HA46" s="73">
        <f t="shared" si="11"/>
        <v>118042.307</v>
      </c>
      <c r="HB46" s="73">
        <f t="shared" si="11"/>
        <v>118292.577</v>
      </c>
      <c r="HC46" s="70"/>
      <c r="HD46" s="70"/>
      <c r="HE46" s="70"/>
      <c r="HF46" s="70"/>
      <c r="HG46" s="70"/>
      <c r="HH46" s="70"/>
      <c r="HI46" s="70"/>
      <c r="HJ46" s="70"/>
      <c r="HK46" s="70"/>
      <c r="HL46" s="70"/>
      <c r="HM46" s="70"/>
      <c r="HN46" s="70"/>
      <c r="HO46" s="70"/>
      <c r="HP46" s="70"/>
      <c r="HQ46" s="70"/>
      <c r="HR46" s="70"/>
      <c r="HS46" s="70"/>
    </row>
    <row r="47" spans="1:227" ht="13.35" customHeight="1">
      <c r="GX47" s="67"/>
    </row>
    <row r="48" spans="1:227" s="22" customFormat="1" ht="13.35" customHeight="1">
      <c r="A48" s="2" t="s">
        <v>106</v>
      </c>
      <c r="B48" s="4"/>
      <c r="C48" s="4"/>
    </row>
    <row r="49" spans="2:210" ht="13.35" customHeight="1">
      <c r="GX49" s="67"/>
    </row>
    <row r="51" spans="2:210" ht="13.35" customHeight="1">
      <c r="B51" s="71"/>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222"/>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17"/>
      <c r="EC51" s="117"/>
      <c r="ED51" s="117"/>
      <c r="EE51" s="117"/>
      <c r="EF51" s="117"/>
      <c r="EG51" s="117"/>
      <c r="EH51" s="117"/>
      <c r="EI51" s="117"/>
      <c r="EJ51" s="117"/>
      <c r="EK51" s="117"/>
      <c r="EL51" s="117"/>
      <c r="EM51" s="117"/>
      <c r="EN51" s="117"/>
      <c r="EO51" s="117"/>
      <c r="EP51" s="117"/>
      <c r="EQ51" s="117"/>
      <c r="ER51" s="117"/>
      <c r="ES51" s="117"/>
      <c r="ET51" s="117"/>
      <c r="EU51" s="117"/>
      <c r="EV51" s="117"/>
      <c r="EW51" s="117"/>
      <c r="EX51" s="117"/>
      <c r="EY51" s="117"/>
      <c r="EZ51" s="117"/>
      <c r="FA51" s="117"/>
      <c r="FB51" s="117"/>
      <c r="FC51" s="117"/>
      <c r="FD51" s="117"/>
      <c r="FE51" s="117"/>
      <c r="FF51" s="117"/>
      <c r="FG51" s="117"/>
      <c r="FH51" s="117"/>
      <c r="FI51" s="117"/>
      <c r="FJ51" s="117"/>
      <c r="FK51" s="117"/>
      <c r="FL51" s="117"/>
      <c r="FM51" s="117"/>
      <c r="FN51" s="117"/>
      <c r="FO51" s="117"/>
      <c r="FP51" s="117"/>
      <c r="FQ51" s="117"/>
      <c r="FR51" s="117"/>
      <c r="FS51" s="117"/>
      <c r="FT51" s="117"/>
      <c r="FU51" s="117"/>
      <c r="FV51" s="117"/>
      <c r="FW51" s="117"/>
      <c r="FX51" s="117"/>
      <c r="FY51" s="117"/>
      <c r="FZ51" s="117"/>
      <c r="GA51" s="117"/>
      <c r="GB51" s="117"/>
      <c r="GC51" s="117"/>
      <c r="GD51" s="117"/>
      <c r="GE51" s="117"/>
      <c r="GF51" s="117"/>
      <c r="GG51" s="117"/>
      <c r="GH51" s="117"/>
      <c r="GI51" s="117"/>
      <c r="GJ51" s="117"/>
      <c r="GK51" s="117"/>
      <c r="GL51" s="117"/>
      <c r="GM51" s="117"/>
      <c r="GN51" s="117"/>
      <c r="GO51" s="117"/>
      <c r="GP51" s="117"/>
      <c r="GQ51" s="117"/>
      <c r="GR51" s="117"/>
      <c r="GS51" s="117"/>
      <c r="GT51" s="117"/>
      <c r="GU51" s="117"/>
      <c r="GV51" s="117"/>
      <c r="GW51" s="117"/>
      <c r="GX51" s="117"/>
      <c r="GY51" s="117"/>
      <c r="GZ51" s="117"/>
      <c r="HA51" s="117"/>
      <c r="HB51" s="117"/>
    </row>
    <row r="52" spans="2:210" ht="13.35" customHeight="1">
      <c r="AS52" s="117"/>
      <c r="AT52" s="117"/>
      <c r="AU52" s="117"/>
      <c r="AV52" s="117"/>
      <c r="AW52" s="117"/>
      <c r="AX52" s="117"/>
      <c r="CD52" s="117"/>
      <c r="CE52" s="117"/>
      <c r="CF52" s="117"/>
      <c r="CG52" s="117"/>
      <c r="CH52" s="117"/>
      <c r="CI52" s="117"/>
      <c r="CO52" s="117"/>
      <c r="CP52" s="117"/>
      <c r="CQ52" s="117"/>
      <c r="CR52" s="117"/>
      <c r="CS52" s="117"/>
      <c r="CT52" s="117"/>
      <c r="DZ52" s="117"/>
      <c r="EA52" s="117"/>
      <c r="EB52" s="117"/>
      <c r="EC52" s="117"/>
      <c r="ED52" s="117"/>
      <c r="EE52" s="117"/>
      <c r="EK52" s="117"/>
      <c r="EL52" s="117"/>
      <c r="EM52" s="117"/>
      <c r="EN52" s="117"/>
      <c r="EO52" s="117"/>
      <c r="EP52" s="117"/>
      <c r="GX52" s="67"/>
    </row>
    <row r="53" spans="2:210" ht="13.35" customHeight="1">
      <c r="AS53" s="117"/>
      <c r="AT53" s="117"/>
      <c r="AU53" s="117"/>
      <c r="AV53" s="117"/>
      <c r="AW53" s="117"/>
      <c r="AX53" s="117"/>
      <c r="CD53" s="117"/>
      <c r="CE53" s="117"/>
      <c r="CF53" s="117"/>
      <c r="CG53" s="117"/>
      <c r="CH53" s="117"/>
      <c r="CI53" s="117"/>
      <c r="CO53" s="117"/>
      <c r="CP53" s="117"/>
      <c r="CQ53" s="117"/>
      <c r="CR53" s="117"/>
      <c r="CS53" s="117"/>
      <c r="CT53" s="117"/>
      <c r="DZ53" s="117"/>
      <c r="EA53" s="117"/>
      <c r="EB53" s="117"/>
      <c r="EC53" s="117"/>
      <c r="ED53" s="117"/>
      <c r="EE53" s="117"/>
      <c r="EK53" s="117"/>
      <c r="EL53" s="117"/>
      <c r="EM53" s="117"/>
      <c r="EN53" s="117"/>
      <c r="EO53" s="117"/>
      <c r="EP53" s="117"/>
    </row>
    <row r="54" spans="2:210" ht="13.35" customHeight="1">
      <c r="GX54" s="74"/>
    </row>
    <row r="56" spans="2:210" ht="13.35" customHeight="1">
      <c r="GX56" s="65"/>
    </row>
    <row r="57" spans="2:210" ht="13.35" customHeight="1">
      <c r="GX57" s="67"/>
    </row>
    <row r="58" spans="2:210" ht="13.35" customHeight="1">
      <c r="GX58" s="67"/>
    </row>
    <row r="59" spans="2:210" ht="13.35" customHeight="1">
      <c r="GX59" s="67"/>
    </row>
    <row r="60" spans="2:210" ht="13.35" customHeight="1">
      <c r="GX60" s="67"/>
    </row>
    <row r="61" spans="2:210" ht="13.35" customHeight="1">
      <c r="GX61" s="67"/>
    </row>
    <row r="62" spans="2:210" ht="13.35" customHeight="1">
      <c r="GX62" s="67"/>
    </row>
    <row r="63" spans="2:210" ht="13.35" customHeight="1">
      <c r="GX63" s="67"/>
    </row>
    <row r="64" spans="2:210" ht="13.35" customHeight="1">
      <c r="GX64" s="67"/>
    </row>
    <row r="65" spans="206:206" ht="13.35" customHeight="1">
      <c r="GX65" s="67"/>
    </row>
    <row r="67" spans="206:206" ht="13.35" customHeight="1">
      <c r="GX67" s="74"/>
    </row>
    <row r="69" spans="206:206" ht="13.35" customHeight="1">
      <c r="GX69" s="65"/>
    </row>
    <row r="70" spans="206:206" ht="13.35" customHeight="1">
      <c r="GX70" s="67"/>
    </row>
    <row r="71" spans="206:206" ht="13.35" customHeight="1">
      <c r="GX71" s="67"/>
    </row>
    <row r="72" spans="206:206" ht="13.35" customHeight="1">
      <c r="GX72" s="67"/>
    </row>
    <row r="73" spans="206:206" ht="13.35" customHeight="1">
      <c r="GX73" s="67"/>
    </row>
    <row r="74" spans="206:206" ht="13.35" customHeight="1">
      <c r="GX74" s="67"/>
    </row>
    <row r="75" spans="206:206" ht="13.35" customHeight="1">
      <c r="GX75" s="67"/>
    </row>
    <row r="76" spans="206:206" ht="13.35" customHeight="1">
      <c r="GX76" s="67"/>
    </row>
    <row r="77" spans="206:206" ht="13.35" customHeight="1">
      <c r="GX77" s="67"/>
    </row>
    <row r="78" spans="206:206" ht="13.35" customHeight="1">
      <c r="GX78" s="67"/>
    </row>
    <row r="80" spans="206:206" ht="13.35" customHeight="1">
      <c r="GX80" s="74"/>
    </row>
    <row r="82" spans="206:206" ht="13.35" customHeight="1">
      <c r="GX82" s="65"/>
    </row>
    <row r="83" spans="206:206" ht="13.35" customHeight="1">
      <c r="GX83" s="67"/>
    </row>
    <row r="84" spans="206:206" ht="13.35" customHeight="1">
      <c r="GX84" s="67"/>
    </row>
    <row r="85" spans="206:206" ht="13.35" customHeight="1">
      <c r="GX85" s="67"/>
    </row>
    <row r="86" spans="206:206" ht="13.35" customHeight="1">
      <c r="GX86" s="67"/>
    </row>
    <row r="87" spans="206:206" ht="13.35" customHeight="1">
      <c r="GX87" s="67"/>
    </row>
    <row r="88" spans="206:206" ht="13.35" customHeight="1">
      <c r="GX88" s="67"/>
    </row>
    <row r="89" spans="206:206" ht="13.35" customHeight="1">
      <c r="GX89" s="67"/>
    </row>
    <row r="90" spans="206:206" ht="13.35" customHeight="1">
      <c r="GX90" s="67"/>
    </row>
    <row r="91" spans="206:206" ht="13.35" customHeight="1">
      <c r="GX91" s="67"/>
    </row>
    <row r="93" spans="206:206" ht="13.35" customHeight="1">
      <c r="GX93" s="74"/>
    </row>
    <row r="95" spans="206:206" ht="13.35" customHeight="1">
      <c r="GX95" s="65"/>
    </row>
    <row r="96" spans="206:206" ht="13.35" customHeight="1">
      <c r="GX96" s="67"/>
    </row>
    <row r="97" spans="206:206" ht="13.35" customHeight="1">
      <c r="GX97" s="67"/>
    </row>
    <row r="98" spans="206:206" ht="13.35" customHeight="1">
      <c r="GX98" s="67"/>
    </row>
    <row r="99" spans="206:206" ht="13.35" customHeight="1">
      <c r="GX99" s="67"/>
    </row>
    <row r="100" spans="206:206" ht="13.35" customHeight="1">
      <c r="GX100" s="67"/>
    </row>
    <row r="101" spans="206:206" ht="13.35" customHeight="1">
      <c r="GX101" s="67"/>
    </row>
    <row r="102" spans="206:206" ht="13.35" customHeight="1">
      <c r="GX102" s="67"/>
    </row>
    <row r="103" spans="206:206" ht="13.35" customHeight="1">
      <c r="GX103" s="67"/>
    </row>
    <row r="104" spans="206:206" ht="13.35" customHeight="1">
      <c r="GX104" s="67"/>
    </row>
    <row r="106" spans="206:206" ht="13.35" customHeight="1">
      <c r="GX106" s="74"/>
    </row>
    <row r="108" spans="206:206" ht="13.35" customHeight="1">
      <c r="GX108" s="65"/>
    </row>
    <row r="109" spans="206:206" ht="13.35" customHeight="1">
      <c r="GX109" s="67"/>
    </row>
    <row r="110" spans="206:206" ht="13.35" customHeight="1">
      <c r="GX110" s="67"/>
    </row>
    <row r="111" spans="206:206" ht="13.35" customHeight="1">
      <c r="GX111" s="67"/>
    </row>
    <row r="112" spans="206:206" ht="13.35" customHeight="1">
      <c r="GX112" s="67"/>
    </row>
    <row r="113" spans="206:206" ht="13.35" customHeight="1">
      <c r="GX113" s="67"/>
    </row>
    <row r="114" spans="206:206" ht="13.35" customHeight="1">
      <c r="GX114" s="67"/>
    </row>
    <row r="115" spans="206:206" ht="13.35" customHeight="1">
      <c r="GX115" s="67"/>
    </row>
    <row r="116" spans="206:206" ht="13.35" customHeight="1">
      <c r="GX116" s="67"/>
    </row>
    <row r="117" spans="206:206" ht="13.35" customHeight="1">
      <c r="GX117" s="67"/>
    </row>
  </sheetData>
  <dataValidations disablePrompts="1" count="1">
    <dataValidation type="custom" operator="greaterThanOrEqual" allowBlank="1" showInputMessage="1" showErrorMessage="1" errorTitle="Asset base" error="Must be a number" promptTitle="Assets" prompt="Enter a value in dollars" sqref="BX18:BY20 BX24:BY24" xr:uid="{00000000-0002-0000-0300-000000000000}">
      <formula1>ISNUMBER(BX18)</formula1>
    </dataValidation>
  </dataValidations>
  <hyperlinks>
    <hyperlink ref="A2" location="Index!A1" display="Index" xr:uid="{00000000-0004-0000-0300-000000000000}"/>
    <hyperlink ref="B8" r:id="rId1" xr:uid="{00000000-0004-0000-0300-000001000000}"/>
    <hyperlink ref="B23" r:id="rId2" xr:uid="{00000000-0004-0000-0300-000002000000}"/>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sheetPr>
  <dimension ref="A1:GW121"/>
  <sheetViews>
    <sheetView workbookViewId="0">
      <selection activeCell="E57" sqref="E57"/>
    </sheetView>
  </sheetViews>
  <sheetFormatPr defaultColWidth="8.85546875" defaultRowHeight="13.35" customHeight="1"/>
  <cols>
    <col min="1" max="1" width="10.140625" style="23" bestFit="1" customWidth="1"/>
    <col min="2" max="4" width="12.42578125" style="23" customWidth="1"/>
    <col min="5" max="8" width="21.42578125" style="23" customWidth="1"/>
    <col min="9" max="15" width="8.85546875" style="23" customWidth="1"/>
    <col min="16" max="16" width="8.85546875" style="23" bestFit="1" customWidth="1"/>
    <col min="17" max="17" width="8.85546875" style="23" customWidth="1"/>
    <col min="18" max="31" width="10" style="23" customWidth="1"/>
    <col min="32" max="32" width="10" style="23" bestFit="1" customWidth="1"/>
    <col min="33" max="33" width="10" style="23" customWidth="1"/>
    <col min="34" max="47" width="8.85546875" style="23" customWidth="1"/>
    <col min="48" max="48" width="8.85546875" style="23" bestFit="1" customWidth="1"/>
    <col min="49" max="61" width="8.85546875" style="23" customWidth="1"/>
    <col min="62" max="63" width="10" style="23" customWidth="1"/>
    <col min="64" max="64" width="10" style="23" bestFit="1" customWidth="1"/>
    <col min="65" max="79" width="10" style="23" customWidth="1"/>
    <col min="80" max="80" width="10" style="23" bestFit="1" customWidth="1"/>
    <col min="81" max="81" width="10" style="23" customWidth="1"/>
    <col min="82" max="95" width="8.85546875" style="23" customWidth="1"/>
    <col min="96" max="96" width="8.85546875" style="23" bestFit="1" customWidth="1"/>
    <col min="97" max="111" width="8.85546875" style="23" customWidth="1"/>
    <col min="112" max="112" width="8.85546875" style="23" bestFit="1" customWidth="1"/>
    <col min="113" max="127" width="8.85546875" style="23" customWidth="1"/>
    <col min="128" max="128" width="8.85546875" style="23" bestFit="1" customWidth="1"/>
    <col min="129" max="143" width="8.85546875" style="23" customWidth="1"/>
    <col min="144" max="144" width="8.85546875" style="23" bestFit="1" customWidth="1"/>
    <col min="145" max="159" width="8.85546875" style="23" customWidth="1"/>
    <col min="160" max="160" width="8.85546875" style="23" bestFit="1" customWidth="1"/>
    <col min="161" max="175" width="8.85546875" style="23" customWidth="1"/>
    <col min="176" max="176" width="8.85546875" style="23" bestFit="1" customWidth="1"/>
    <col min="177" max="191" width="8.85546875" style="23" customWidth="1"/>
    <col min="192" max="192" width="8.85546875" style="23" bestFit="1" customWidth="1"/>
    <col min="193" max="196" width="8.85546875" style="23" customWidth="1"/>
    <col min="197" max="200" width="9.5703125" style="23" customWidth="1"/>
    <col min="201" max="201" width="8.85546875" style="23" customWidth="1"/>
    <col min="202" max="202" width="9.5703125" style="23" customWidth="1"/>
    <col min="203" max="203" width="8.85546875" style="23" customWidth="1"/>
    <col min="204" max="204" width="9.5703125" style="23" customWidth="1"/>
    <col min="205" max="205" width="8.85546875" style="23" customWidth="1"/>
    <col min="206" max="207" width="9.5703125" style="23" customWidth="1"/>
    <col min="208" max="209" width="8.85546875" style="23" bestFit="1" customWidth="1"/>
    <col min="210" max="228" width="9.140625" style="23" bestFit="1" customWidth="1"/>
    <col min="229" max="16384" width="8.85546875" style="23"/>
  </cols>
  <sheetData>
    <row r="1" spans="1:205" s="7" customFormat="1" ht="15.6" customHeight="1">
      <c r="A1" s="1" t="s">
        <v>894</v>
      </c>
    </row>
    <row r="2" spans="1:205" s="16" customFormat="1" ht="13.35" customHeight="1">
      <c r="A2" s="90" t="s">
        <v>86</v>
      </c>
      <c r="E2" s="89"/>
    </row>
    <row r="3" spans="1:205" s="9" customFormat="1" ht="13.35" customHeight="1" thickBot="1">
      <c r="A3" s="8" t="s">
        <v>746</v>
      </c>
    </row>
    <row r="4" spans="1:205" s="9" customFormat="1" ht="13.35" customHeight="1"/>
    <row r="5" spans="1:205" s="4" customFormat="1" ht="13.35" customHeight="1">
      <c r="A5" s="2" t="s">
        <v>898</v>
      </c>
      <c r="D5" s="3"/>
      <c r="E5" s="3"/>
      <c r="F5" s="3"/>
      <c r="G5" s="5"/>
      <c r="H5" s="6"/>
      <c r="I5" s="6"/>
      <c r="J5" s="5"/>
      <c r="K5" s="5"/>
      <c r="L5" s="5"/>
      <c r="M5" s="5"/>
      <c r="N5" s="5"/>
      <c r="O5" s="5"/>
      <c r="P5" s="5"/>
      <c r="Q5" s="5"/>
      <c r="R5" s="5"/>
      <c r="S5" s="6"/>
      <c r="T5" s="6"/>
      <c r="U5" s="5"/>
      <c r="V5" s="5"/>
      <c r="W5" s="5"/>
      <c r="X5" s="5"/>
      <c r="Y5" s="5"/>
    </row>
    <row r="6" spans="1:205" ht="13.35" customHeight="1">
      <c r="A6" s="65"/>
    </row>
    <row r="7" spans="1:205" s="21" customFormat="1" ht="13.35" customHeight="1">
      <c r="A7" s="98" t="s">
        <v>1007</v>
      </c>
      <c r="B7" s="23" t="s">
        <v>1010</v>
      </c>
      <c r="C7" s="133"/>
    </row>
    <row r="8" spans="1:205" s="21" customFormat="1" ht="13.35" customHeight="1">
      <c r="B8" s="23" t="s">
        <v>1011</v>
      </c>
      <c r="C8" s="133"/>
    </row>
    <row r="9" spans="1:205" s="21" customFormat="1" ht="13.35" customHeight="1">
      <c r="A9" s="98"/>
      <c r="C9" s="133"/>
    </row>
    <row r="10" spans="1:205" s="24" customFormat="1" ht="13.35" customHeight="1">
      <c r="A10" s="24" t="s">
        <v>0</v>
      </c>
      <c r="B10" s="24" t="s">
        <v>900</v>
      </c>
      <c r="GW10" s="142"/>
    </row>
    <row r="11" spans="1:205" ht="13.35" customHeight="1">
      <c r="A11" s="23" t="s">
        <v>8</v>
      </c>
      <c r="B11" s="143">
        <v>4.051206783740139E-2</v>
      </c>
      <c r="GW11" s="67"/>
    </row>
    <row r="12" spans="1:205" ht="13.35" customHeight="1">
      <c r="A12" s="23" t="s">
        <v>10</v>
      </c>
      <c r="B12" s="143">
        <v>5.0864624970551765E-3</v>
      </c>
      <c r="GW12" s="67"/>
    </row>
    <row r="13" spans="1:205" ht="13.35" customHeight="1">
      <c r="A13" s="23" t="s">
        <v>12</v>
      </c>
      <c r="B13" s="143">
        <v>2.0158890312961999E-2</v>
      </c>
      <c r="GW13" s="67"/>
    </row>
    <row r="14" spans="1:205" ht="13.35" customHeight="1">
      <c r="A14" s="23" t="s">
        <v>14</v>
      </c>
      <c r="B14" s="143">
        <v>2.5934897770584716E-2</v>
      </c>
    </row>
    <row r="15" spans="1:205" ht="13.35" customHeight="1">
      <c r="A15" s="23" t="s">
        <v>16</v>
      </c>
      <c r="B15" s="143">
        <v>2.1775047513884409E-2</v>
      </c>
      <c r="GW15" s="74"/>
    </row>
    <row r="16" spans="1:205" ht="13.35" customHeight="1">
      <c r="A16" s="23" t="s">
        <v>19</v>
      </c>
      <c r="B16" s="143">
        <v>9.816010611400941E-2</v>
      </c>
    </row>
    <row r="17" spans="1:205" ht="13.35" customHeight="1">
      <c r="A17" s="23" t="s">
        <v>22</v>
      </c>
      <c r="B17" s="143">
        <v>4.0995847331027777E-2</v>
      </c>
      <c r="GW17" s="65"/>
    </row>
    <row r="18" spans="1:205" ht="13.35" customHeight="1">
      <c r="A18" s="23" t="s">
        <v>1</v>
      </c>
      <c r="B18" s="143">
        <v>-2.5564362871344894E-3</v>
      </c>
      <c r="GW18" s="67"/>
    </row>
    <row r="19" spans="1:205" ht="13.35" customHeight="1">
      <c r="A19" s="23" t="s">
        <v>27</v>
      </c>
      <c r="B19" s="143">
        <v>-1.1721450473645926E-4</v>
      </c>
      <c r="GW19" s="67"/>
    </row>
    <row r="20" spans="1:205" ht="13.35" customHeight="1">
      <c r="A20" s="23" t="s">
        <v>30</v>
      </c>
      <c r="B20" s="143">
        <v>3.6645569263263891E-3</v>
      </c>
      <c r="GW20" s="67"/>
    </row>
    <row r="21" spans="1:205" ht="13.35" customHeight="1">
      <c r="A21" s="23" t="s">
        <v>33</v>
      </c>
      <c r="B21" s="143">
        <v>-1.8194943924422894E-2</v>
      </c>
      <c r="GW21" s="67"/>
    </row>
    <row r="22" spans="1:205" ht="13.35" customHeight="1">
      <c r="A22" s="23" t="s">
        <v>35</v>
      </c>
      <c r="B22" s="143">
        <v>-9.0165642896422177E-3</v>
      </c>
      <c r="GW22" s="67"/>
    </row>
    <row r="23" spans="1:205" ht="13.35" customHeight="1">
      <c r="A23" s="23" t="s">
        <v>37</v>
      </c>
      <c r="B23" s="143">
        <v>-1.0869493844103663E-2</v>
      </c>
      <c r="GW23" s="67"/>
    </row>
    <row r="24" spans="1:205" ht="13.35" customHeight="1">
      <c r="GW24" s="67"/>
    </row>
    <row r="25" spans="1:205" s="4" customFormat="1" ht="13.35" customHeight="1">
      <c r="A25" s="2" t="s">
        <v>80</v>
      </c>
      <c r="D25" s="3"/>
      <c r="E25" s="3"/>
      <c r="F25" s="3"/>
      <c r="G25" s="5"/>
      <c r="H25" s="6"/>
      <c r="I25" s="6"/>
      <c r="J25" s="5"/>
      <c r="K25" s="5"/>
      <c r="L25" s="5"/>
      <c r="M25" s="5"/>
      <c r="N25" s="5"/>
      <c r="O25" s="5"/>
      <c r="P25" s="5"/>
      <c r="Q25" s="5"/>
      <c r="R25" s="5"/>
      <c r="S25" s="6"/>
      <c r="T25" s="6"/>
      <c r="U25" s="5"/>
      <c r="V25" s="5"/>
      <c r="W25" s="5"/>
      <c r="X25" s="5"/>
      <c r="Y25" s="5"/>
    </row>
    <row r="26" spans="1:205" ht="13.35" customHeight="1">
      <c r="A26" s="65"/>
    </row>
    <row r="27" spans="1:205" s="21" customFormat="1" ht="13.35" customHeight="1">
      <c r="A27" s="98" t="s">
        <v>1007</v>
      </c>
      <c r="B27" s="23" t="s">
        <v>1010</v>
      </c>
      <c r="C27" s="133"/>
    </row>
    <row r="28" spans="1:205" s="21" customFormat="1" ht="13.35" customHeight="1">
      <c r="B28" s="23" t="s">
        <v>1012</v>
      </c>
      <c r="C28" s="133"/>
    </row>
    <row r="29" spans="1:205" s="21" customFormat="1" ht="13.35" customHeight="1">
      <c r="A29" s="98"/>
      <c r="C29" s="133"/>
    </row>
    <row r="30" spans="1:205" s="24" customFormat="1" ht="13.35" customHeight="1">
      <c r="A30" s="24" t="s">
        <v>0</v>
      </c>
      <c r="B30" s="24" t="s">
        <v>900</v>
      </c>
      <c r="GW30" s="142"/>
    </row>
    <row r="31" spans="1:205" ht="13.35" customHeight="1">
      <c r="A31" s="23" t="s">
        <v>8</v>
      </c>
      <c r="B31" s="143">
        <v>-4.1954454513858264E-2</v>
      </c>
      <c r="GW31" s="67"/>
    </row>
    <row r="32" spans="1:205" ht="13.35" customHeight="1">
      <c r="A32" s="23" t="s">
        <v>10</v>
      </c>
      <c r="B32" s="143">
        <v>-3.8386684703201411E-2</v>
      </c>
      <c r="GW32" s="67"/>
    </row>
    <row r="33" spans="1:205" ht="13.35" customHeight="1">
      <c r="A33" s="23" t="s">
        <v>33</v>
      </c>
      <c r="B33" s="143">
        <v>5.8499836267614867E-2</v>
      </c>
      <c r="GW33" s="67"/>
    </row>
    <row r="34" spans="1:205" ht="13.35" customHeight="1">
      <c r="A34" s="23" t="s">
        <v>12</v>
      </c>
      <c r="B34" s="143">
        <v>1.6385500507262767E-2</v>
      </c>
    </row>
    <row r="35" spans="1:205" ht="13.35" customHeight="1">
      <c r="A35" s="23" t="s">
        <v>14</v>
      </c>
      <c r="B35" s="143">
        <v>-2.7994100154960077E-2</v>
      </c>
      <c r="GW35" s="74"/>
    </row>
    <row r="36" spans="1:205" ht="13.35" customHeight="1">
      <c r="A36" s="23" t="s">
        <v>16</v>
      </c>
      <c r="B36" s="143">
        <v>-3.1038298337949712E-2</v>
      </c>
    </row>
    <row r="37" spans="1:205" ht="13.35" customHeight="1">
      <c r="A37" s="23" t="s">
        <v>19</v>
      </c>
      <c r="B37" s="143">
        <v>-3.1445505073386767E-2</v>
      </c>
      <c r="GW37" s="65"/>
    </row>
    <row r="38" spans="1:205" ht="13.35" customHeight="1">
      <c r="A38" s="23" t="s">
        <v>22</v>
      </c>
      <c r="B38" s="143">
        <v>-5.1167219719882792E-3</v>
      </c>
      <c r="GW38" s="67"/>
    </row>
    <row r="39" spans="1:205" ht="13.35" customHeight="1">
      <c r="A39" s="23" t="s">
        <v>1</v>
      </c>
      <c r="B39" s="143">
        <v>-2.012385420079019E-2</v>
      </c>
      <c r="GW39" s="67"/>
    </row>
    <row r="40" spans="1:205" ht="13.35" customHeight="1">
      <c r="A40" s="23" t="s">
        <v>27</v>
      </c>
      <c r="B40" s="143">
        <v>5.8268878037613506E-2</v>
      </c>
      <c r="GW40" s="67"/>
    </row>
    <row r="41" spans="1:205" ht="13.35" customHeight="1">
      <c r="A41" s="23" t="s">
        <v>30</v>
      </c>
      <c r="B41" s="143">
        <v>-5.393298684810903E-2</v>
      </c>
      <c r="GW41" s="67"/>
    </row>
    <row r="42" spans="1:205" ht="13.35" customHeight="1">
      <c r="A42" s="23" t="s">
        <v>35</v>
      </c>
      <c r="B42" s="143">
        <v>-2.1568101389257913E-2</v>
      </c>
      <c r="GW42" s="67"/>
    </row>
    <row r="43" spans="1:205" ht="13.35" customHeight="1">
      <c r="A43" s="23" t="s">
        <v>37</v>
      </c>
      <c r="B43" s="143">
        <v>2.0499773228355883E-3</v>
      </c>
      <c r="GW43" s="67"/>
    </row>
    <row r="44" spans="1:205" ht="13.35" customHeight="1">
      <c r="GW44" s="67"/>
    </row>
    <row r="45" spans="1:205" s="4" customFormat="1" ht="13.35" customHeight="1">
      <c r="A45" s="2" t="s">
        <v>87</v>
      </c>
      <c r="D45" s="3"/>
      <c r="E45" s="3"/>
      <c r="F45" s="3"/>
      <c r="G45" s="5"/>
      <c r="H45" s="6"/>
      <c r="I45" s="6"/>
      <c r="J45" s="5"/>
      <c r="K45" s="5"/>
      <c r="L45" s="5"/>
      <c r="M45" s="5"/>
      <c r="N45" s="5"/>
      <c r="O45" s="5"/>
      <c r="P45" s="5"/>
      <c r="Q45" s="5"/>
      <c r="R45" s="5"/>
      <c r="S45" s="6"/>
      <c r="T45" s="6"/>
      <c r="U45" s="5"/>
      <c r="V45" s="5"/>
      <c r="W45" s="5"/>
      <c r="X45" s="5"/>
      <c r="Y45" s="5"/>
    </row>
    <row r="46" spans="1:205" ht="13.35" customHeight="1">
      <c r="A46" s="65"/>
    </row>
    <row r="47" spans="1:205" s="21" customFormat="1" ht="13.35" customHeight="1">
      <c r="A47" s="98" t="s">
        <v>1007</v>
      </c>
      <c r="B47" s="23" t="s">
        <v>1010</v>
      </c>
      <c r="C47" s="133"/>
    </row>
    <row r="48" spans="1:205" s="21" customFormat="1" ht="13.35" customHeight="1">
      <c r="B48"/>
      <c r="C48" s="133"/>
    </row>
    <row r="49" spans="1:205" s="21" customFormat="1" ht="13.35" customHeight="1">
      <c r="A49" s="98"/>
      <c r="C49" s="133"/>
    </row>
    <row r="50" spans="1:205" ht="13.35" customHeight="1">
      <c r="A50" s="65"/>
      <c r="E50" s="24" t="s">
        <v>900</v>
      </c>
    </row>
    <row r="51" spans="1:205" s="24" customFormat="1" ht="13.35" customHeight="1">
      <c r="A51" s="24" t="s">
        <v>0</v>
      </c>
      <c r="B51" s="24" t="s">
        <v>90</v>
      </c>
      <c r="C51" s="24" t="s">
        <v>93</v>
      </c>
      <c r="D51" s="24" t="s">
        <v>94</v>
      </c>
      <c r="E51" s="24" t="s">
        <v>91</v>
      </c>
      <c r="F51" s="24" t="s">
        <v>92</v>
      </c>
      <c r="G51" s="24" t="s">
        <v>700</v>
      </c>
      <c r="H51" s="24" t="s">
        <v>701</v>
      </c>
      <c r="GW51" s="142"/>
    </row>
    <row r="52" spans="1:205" ht="13.35" customHeight="1">
      <c r="A52" s="23" t="s">
        <v>8</v>
      </c>
      <c r="B52" s="143">
        <v>0.16550231124604606</v>
      </c>
      <c r="C52" s="143">
        <v>3.7715263029473693E-2</v>
      </c>
      <c r="D52" s="143">
        <v>0.18612474883356461</v>
      </c>
      <c r="E52" s="145">
        <f>AVERAGE(B52:D52)</f>
        <v>0.12978077436969479</v>
      </c>
      <c r="F52" s="145">
        <f>AVERAGE(B52:C52)</f>
        <v>0.10160878713775988</v>
      </c>
      <c r="G52" s="145">
        <f>AVERAGE(B52, D52)</f>
        <v>0.17581353003980532</v>
      </c>
      <c r="H52" s="145">
        <f>0.5 * B52 + 0.25 * C52 + 0.25 * D52</f>
        <v>0.13871115858878261</v>
      </c>
      <c r="GW52" s="67"/>
    </row>
    <row r="53" spans="1:205" ht="13.35" customHeight="1">
      <c r="A53" s="23" t="s">
        <v>10</v>
      </c>
      <c r="B53" s="143">
        <v>2.4627609008480482E-2</v>
      </c>
      <c r="C53" s="143">
        <v>-0.11724143679024442</v>
      </c>
      <c r="D53" s="143">
        <v>0.13274131415292367</v>
      </c>
      <c r="E53" s="145">
        <f t="shared" ref="E53:E64" si="0">AVERAGE(B53:D53)</f>
        <v>1.3375828790386577E-2</v>
      </c>
      <c r="F53" s="145">
        <f t="shared" ref="F53:F64" si="1">AVERAGE(B53:C53)</f>
        <v>-4.6306913890881971E-2</v>
      </c>
      <c r="G53" s="145">
        <f t="shared" ref="G53:G64" si="2">AVERAGE(B53, D53)</f>
        <v>7.8684461580702081E-2</v>
      </c>
      <c r="H53" s="145">
        <f t="shared" ref="H53:H64" si="3">0.5 * B53 + 0.25 * C53 + 0.25 * D53</f>
        <v>1.6188773844910055E-2</v>
      </c>
      <c r="GW53" s="67"/>
    </row>
    <row r="54" spans="1:205" ht="13.35" customHeight="1">
      <c r="A54" s="23" t="s">
        <v>33</v>
      </c>
      <c r="B54" s="143">
        <v>-8.1461598570275295E-2</v>
      </c>
      <c r="C54" s="143">
        <v>8.7236208145236319E-2</v>
      </c>
      <c r="D54" s="143">
        <v>5.4206229085578449E-2</v>
      </c>
      <c r="E54" s="145">
        <f t="shared" si="0"/>
        <v>1.9993612886846489E-2</v>
      </c>
      <c r="F54" s="145">
        <f t="shared" si="1"/>
        <v>2.8873047874805116E-3</v>
      </c>
      <c r="G54" s="145">
        <f t="shared" si="2"/>
        <v>-1.3627684742348423E-2</v>
      </c>
      <c r="H54" s="145">
        <f t="shared" si="3"/>
        <v>-5.3701899774339559E-3</v>
      </c>
      <c r="GW54" s="67"/>
    </row>
    <row r="55" spans="1:205" ht="13.35" customHeight="1">
      <c r="A55" s="23" t="s">
        <v>12</v>
      </c>
      <c r="B55" s="143">
        <v>-0.2248695547636245</v>
      </c>
      <c r="C55" s="143">
        <v>-0.24589167559014255</v>
      </c>
      <c r="D55" s="143">
        <v>2.4040397671057114E-2</v>
      </c>
      <c r="E55" s="145">
        <f t="shared" si="0"/>
        <v>-0.14890694422756998</v>
      </c>
      <c r="F55" s="145">
        <f t="shared" si="1"/>
        <v>-0.23538061517688352</v>
      </c>
      <c r="G55" s="145">
        <f t="shared" si="2"/>
        <v>-0.10041457854628369</v>
      </c>
      <c r="H55" s="145">
        <f t="shared" si="3"/>
        <v>-0.16789759686158359</v>
      </c>
    </row>
    <row r="56" spans="1:205" ht="13.35" customHeight="1">
      <c r="A56" s="23" t="s">
        <v>14</v>
      </c>
      <c r="B56" s="143">
        <v>1.4038367146314601E-2</v>
      </c>
      <c r="C56" s="143">
        <v>5.1352092018358553E-2</v>
      </c>
      <c r="D56" s="143">
        <v>0.11090107893901099</v>
      </c>
      <c r="E56" s="145">
        <f t="shared" si="0"/>
        <v>5.8763846034561383E-2</v>
      </c>
      <c r="F56" s="145">
        <f t="shared" si="1"/>
        <v>3.2695229582336574E-2</v>
      </c>
      <c r="G56" s="145">
        <f t="shared" si="2"/>
        <v>6.2469723042662795E-2</v>
      </c>
      <c r="H56" s="145">
        <f t="shared" si="3"/>
        <v>4.7582476312499691E-2</v>
      </c>
      <c r="GW56" s="74"/>
    </row>
    <row r="57" spans="1:205" ht="13.35" customHeight="1">
      <c r="A57" s="23" t="s">
        <v>16</v>
      </c>
      <c r="B57" s="143">
        <v>4.2495118943441323E-2</v>
      </c>
      <c r="C57" s="143">
        <v>-1.3923329130672369E-2</v>
      </c>
      <c r="D57" s="143">
        <v>9.1242788947408393E-2</v>
      </c>
      <c r="E57" s="145">
        <f t="shared" si="0"/>
        <v>3.9938192920059117E-2</v>
      </c>
      <c r="F57" s="145">
        <f t="shared" si="1"/>
        <v>1.4285894906384478E-2</v>
      </c>
      <c r="G57" s="145">
        <f t="shared" si="2"/>
        <v>6.6868953945424858E-2</v>
      </c>
      <c r="H57" s="145">
        <f t="shared" si="3"/>
        <v>4.0577424425904667E-2</v>
      </c>
    </row>
    <row r="58" spans="1:205" ht="13.35" customHeight="1">
      <c r="A58" s="23" t="s">
        <v>19</v>
      </c>
      <c r="B58" s="143">
        <v>-5.7055081641527401E-2</v>
      </c>
      <c r="C58" s="143">
        <v>-3.670961323522616E-2</v>
      </c>
      <c r="D58" s="143">
        <v>0.20796623451201723</v>
      </c>
      <c r="E58" s="145">
        <f t="shared" si="0"/>
        <v>3.8067179878421224E-2</v>
      </c>
      <c r="F58" s="145">
        <f t="shared" si="1"/>
        <v>-4.6882347438376784E-2</v>
      </c>
      <c r="G58" s="145">
        <f t="shared" si="2"/>
        <v>7.545557643524492E-2</v>
      </c>
      <c r="H58" s="145">
        <f t="shared" si="3"/>
        <v>1.4286614498434068E-2</v>
      </c>
      <c r="GW58" s="65"/>
    </row>
    <row r="59" spans="1:205" ht="13.35" customHeight="1">
      <c r="A59" s="23" t="s">
        <v>22</v>
      </c>
      <c r="B59" s="143">
        <v>8.1908889915661004E-2</v>
      </c>
      <c r="C59" s="143">
        <v>6.0616011347427806E-2</v>
      </c>
      <c r="D59" s="143">
        <v>3.5145906496310268E-2</v>
      </c>
      <c r="E59" s="145">
        <f t="shared" si="0"/>
        <v>5.9223602586466362E-2</v>
      </c>
      <c r="F59" s="145">
        <f t="shared" si="1"/>
        <v>7.1262450631544405E-2</v>
      </c>
      <c r="G59" s="145">
        <f t="shared" si="2"/>
        <v>5.852739820598564E-2</v>
      </c>
      <c r="H59" s="145">
        <f t="shared" si="3"/>
        <v>6.4894924418765015E-2</v>
      </c>
      <c r="GW59" s="67"/>
    </row>
    <row r="60" spans="1:205" ht="13.35" customHeight="1">
      <c r="A60" s="23" t="s">
        <v>1</v>
      </c>
      <c r="B60" s="143">
        <v>1.9225402983108968E-2</v>
      </c>
      <c r="C60" s="143">
        <v>0.11360716028903708</v>
      </c>
      <c r="D60" s="143">
        <v>0.21658339879383612</v>
      </c>
      <c r="E60" s="145">
        <f t="shared" si="0"/>
        <v>0.11647198735532738</v>
      </c>
      <c r="F60" s="145">
        <f t="shared" si="1"/>
        <v>6.6416281636073021E-2</v>
      </c>
      <c r="G60" s="145">
        <f t="shared" si="2"/>
        <v>0.11790440088847254</v>
      </c>
      <c r="H60" s="145">
        <f t="shared" si="3"/>
        <v>9.2160341262272794E-2</v>
      </c>
      <c r="GW60" s="67"/>
    </row>
    <row r="61" spans="1:205" ht="13.35" customHeight="1">
      <c r="A61" s="23" t="s">
        <v>27</v>
      </c>
      <c r="B61" s="143">
        <v>-8.1343111095624906E-2</v>
      </c>
      <c r="C61" s="143">
        <v>9.1857720806565193E-2</v>
      </c>
      <c r="D61" s="143">
        <v>-0.1689907989973006</v>
      </c>
      <c r="E61" s="145">
        <f t="shared" si="0"/>
        <v>-5.2825396428786774E-2</v>
      </c>
      <c r="F61" s="145">
        <f t="shared" si="1"/>
        <v>5.2573048554701435E-3</v>
      </c>
      <c r="G61" s="145">
        <f t="shared" si="2"/>
        <v>-0.12516695504646275</v>
      </c>
      <c r="H61" s="145">
        <f t="shared" si="3"/>
        <v>-5.9954825095496309E-2</v>
      </c>
      <c r="GW61" s="67"/>
    </row>
    <row r="62" spans="1:205" ht="13.35" customHeight="1">
      <c r="A62" s="23" t="s">
        <v>30</v>
      </c>
      <c r="B62" s="143">
        <v>0.1035805979793781</v>
      </c>
      <c r="C62" s="143">
        <v>1.9585550954580896E-3</v>
      </c>
      <c r="D62" s="143">
        <v>0.11513580540165798</v>
      </c>
      <c r="E62" s="145">
        <f t="shared" si="0"/>
        <v>7.3558319492164723E-2</v>
      </c>
      <c r="F62" s="145">
        <f t="shared" si="1"/>
        <v>5.2769576537418095E-2</v>
      </c>
      <c r="G62" s="145">
        <f t="shared" si="2"/>
        <v>0.10935820169051805</v>
      </c>
      <c r="H62" s="145">
        <f t="shared" si="3"/>
        <v>8.1063889113968071E-2</v>
      </c>
      <c r="GW62" s="67"/>
    </row>
    <row r="63" spans="1:205" ht="13.35" customHeight="1">
      <c r="A63" s="23" t="s">
        <v>35</v>
      </c>
      <c r="B63" s="143">
        <v>6.2145098929513837E-2</v>
      </c>
      <c r="C63" s="143">
        <v>-4.3725401620695901E-2</v>
      </c>
      <c r="D63" s="143">
        <v>-0.15300804386235328</v>
      </c>
      <c r="E63" s="145">
        <f t="shared" si="0"/>
        <v>-4.4862782184511785E-2</v>
      </c>
      <c r="F63" s="145">
        <f t="shared" si="1"/>
        <v>9.2098486544089676E-3</v>
      </c>
      <c r="G63" s="145">
        <f t="shared" si="2"/>
        <v>-4.5431472466419723E-2</v>
      </c>
      <c r="H63" s="145">
        <f t="shared" si="3"/>
        <v>-1.8110811906005379E-2</v>
      </c>
      <c r="GW63" s="67"/>
    </row>
    <row r="64" spans="1:205" ht="13.35" customHeight="1">
      <c r="A64" s="23" t="s">
        <v>37</v>
      </c>
      <c r="B64" s="143">
        <v>4.8036052816766997E-2</v>
      </c>
      <c r="C64" s="143">
        <v>2.7999916892536489E-2</v>
      </c>
      <c r="D64" s="143">
        <v>0.10562334369660401</v>
      </c>
      <c r="E64" s="145">
        <f t="shared" si="0"/>
        <v>6.0553104468635828E-2</v>
      </c>
      <c r="F64" s="145">
        <f t="shared" si="1"/>
        <v>3.8017984854651743E-2</v>
      </c>
      <c r="G64" s="145">
        <f t="shared" si="2"/>
        <v>7.6829698256685508E-2</v>
      </c>
      <c r="H64" s="145">
        <f t="shared" si="3"/>
        <v>5.7423841555668625E-2</v>
      </c>
      <c r="GW64" s="67"/>
    </row>
    <row r="65" spans="1:205" ht="13.35" customHeight="1">
      <c r="GW65" s="67"/>
    </row>
    <row r="66" spans="1:205" s="4" customFormat="1" ht="13.35" customHeight="1">
      <c r="A66" s="2" t="s">
        <v>106</v>
      </c>
      <c r="C66" s="3"/>
      <c r="D66" s="3"/>
      <c r="E66" s="3"/>
      <c r="F66" s="3"/>
      <c r="G66" s="5"/>
      <c r="H66" s="6"/>
      <c r="I66" s="6"/>
      <c r="J66" s="5"/>
      <c r="K66" s="5"/>
      <c r="L66" s="5"/>
      <c r="M66" s="5"/>
      <c r="N66" s="5"/>
      <c r="O66" s="5"/>
      <c r="P66" s="5"/>
      <c r="Q66" s="5"/>
      <c r="R66" s="5"/>
      <c r="S66" s="6"/>
      <c r="T66" s="6"/>
      <c r="U66" s="5"/>
      <c r="V66" s="5"/>
      <c r="W66" s="5"/>
      <c r="X66" s="5"/>
      <c r="Y66" s="5"/>
    </row>
    <row r="67" spans="1:205" ht="13.35" customHeight="1">
      <c r="BV67" s="68"/>
      <c r="DO67" s="66"/>
      <c r="GC67" s="68"/>
      <c r="GD67" s="68"/>
      <c r="GE67" s="68"/>
      <c r="GF67" s="68"/>
      <c r="GG67" s="68"/>
      <c r="GH67" s="68"/>
      <c r="GI67" s="68"/>
      <c r="GJ67" s="68"/>
      <c r="GK67" s="68"/>
      <c r="GL67" s="68"/>
      <c r="GM67" s="68"/>
      <c r="GN67" s="68"/>
      <c r="GW67" s="67"/>
    </row>
    <row r="68" spans="1:205" ht="13.35" customHeight="1">
      <c r="GW68" s="67"/>
    </row>
    <row r="69" spans="1:205" ht="13.35" customHeight="1">
      <c r="GW69" s="67"/>
    </row>
    <row r="71" spans="1:205" ht="13.35" customHeight="1">
      <c r="GW71" s="74"/>
    </row>
    <row r="73" spans="1:205" ht="13.35" customHeight="1">
      <c r="GW73" s="65"/>
    </row>
    <row r="74" spans="1:205" ht="13.35" customHeight="1">
      <c r="GW74" s="67"/>
    </row>
    <row r="75" spans="1:205" ht="13.35" customHeight="1">
      <c r="GW75" s="67"/>
    </row>
    <row r="76" spans="1:205" ht="13.35" customHeight="1">
      <c r="GW76" s="67"/>
    </row>
    <row r="77" spans="1:205" ht="13.35" customHeight="1">
      <c r="GW77" s="67"/>
    </row>
    <row r="78" spans="1:205" ht="13.35" customHeight="1">
      <c r="GW78" s="67"/>
    </row>
    <row r="79" spans="1:205" ht="13.35" customHeight="1">
      <c r="GW79" s="67"/>
    </row>
    <row r="80" spans="1:205" ht="13.35" customHeight="1">
      <c r="GW80" s="67"/>
    </row>
    <row r="81" spans="205:205" ht="13.35" customHeight="1">
      <c r="GW81" s="67"/>
    </row>
    <row r="82" spans="205:205" ht="13.35" customHeight="1">
      <c r="GW82" s="67"/>
    </row>
    <row r="84" spans="205:205" ht="13.35" customHeight="1">
      <c r="GW84" s="74"/>
    </row>
    <row r="86" spans="205:205" ht="13.35" customHeight="1">
      <c r="GW86" s="65"/>
    </row>
    <row r="87" spans="205:205" ht="13.35" customHeight="1">
      <c r="GW87" s="67"/>
    </row>
    <row r="88" spans="205:205" ht="13.35" customHeight="1">
      <c r="GW88" s="67"/>
    </row>
    <row r="89" spans="205:205" ht="13.35" customHeight="1">
      <c r="GW89" s="67"/>
    </row>
    <row r="90" spans="205:205" ht="13.35" customHeight="1">
      <c r="GW90" s="67"/>
    </row>
    <row r="91" spans="205:205" ht="13.35" customHeight="1">
      <c r="GW91" s="67"/>
    </row>
    <row r="92" spans="205:205" ht="13.35" customHeight="1">
      <c r="GW92" s="67"/>
    </row>
    <row r="93" spans="205:205" ht="13.35" customHeight="1">
      <c r="GW93" s="67"/>
    </row>
    <row r="94" spans="205:205" ht="13.35" customHeight="1">
      <c r="GW94" s="67"/>
    </row>
    <row r="95" spans="205:205" ht="13.35" customHeight="1">
      <c r="GW95" s="67"/>
    </row>
    <row r="97" spans="205:205" ht="13.35" customHeight="1">
      <c r="GW97" s="74"/>
    </row>
    <row r="99" spans="205:205" ht="13.35" customHeight="1">
      <c r="GW99" s="65"/>
    </row>
    <row r="100" spans="205:205" ht="13.35" customHeight="1">
      <c r="GW100" s="67"/>
    </row>
    <row r="101" spans="205:205" ht="13.35" customHeight="1">
      <c r="GW101" s="67"/>
    </row>
    <row r="102" spans="205:205" ht="13.35" customHeight="1">
      <c r="GW102" s="67"/>
    </row>
    <row r="103" spans="205:205" ht="13.35" customHeight="1">
      <c r="GW103" s="67"/>
    </row>
    <row r="104" spans="205:205" ht="13.35" customHeight="1">
      <c r="GW104" s="67"/>
    </row>
    <row r="105" spans="205:205" ht="13.35" customHeight="1">
      <c r="GW105" s="67"/>
    </row>
    <row r="106" spans="205:205" ht="13.35" customHeight="1">
      <c r="GW106" s="67"/>
    </row>
    <row r="107" spans="205:205" ht="13.35" customHeight="1">
      <c r="GW107" s="67"/>
    </row>
    <row r="108" spans="205:205" ht="13.35" customHeight="1">
      <c r="GW108" s="67"/>
    </row>
    <row r="110" spans="205:205" ht="13.35" customHeight="1">
      <c r="GW110" s="74"/>
    </row>
    <row r="112" spans="205:205" ht="13.35" customHeight="1">
      <c r="GW112" s="65"/>
    </row>
    <row r="113" spans="205:205" ht="13.35" customHeight="1">
      <c r="GW113" s="67"/>
    </row>
    <row r="114" spans="205:205" ht="13.35" customHeight="1">
      <c r="GW114" s="67"/>
    </row>
    <row r="115" spans="205:205" ht="13.35" customHeight="1">
      <c r="GW115" s="67"/>
    </row>
    <row r="116" spans="205:205" ht="13.35" customHeight="1">
      <c r="GW116" s="67"/>
    </row>
    <row r="117" spans="205:205" ht="13.35" customHeight="1">
      <c r="GW117" s="67"/>
    </row>
    <row r="118" spans="205:205" ht="13.35" customHeight="1">
      <c r="GW118" s="67"/>
    </row>
    <row r="119" spans="205:205" ht="13.35" customHeight="1">
      <c r="GW119" s="67"/>
    </row>
    <row r="120" spans="205:205" ht="13.35" customHeight="1">
      <c r="GW120" s="67"/>
    </row>
    <row r="121" spans="205:205" ht="13.35" customHeight="1">
      <c r="GW121" s="67"/>
    </row>
  </sheetData>
  <dataValidations disablePrompts="1" count="1">
    <dataValidation type="custom" operator="greaterThanOrEqual" allowBlank="1" showInputMessage="1" showErrorMessage="1" errorTitle="Asset base" error="Must be a number" promptTitle="Assets" prompt="Enter a value in dollars" sqref="BW66:BX67" xr:uid="{00000000-0002-0000-0400-000000000000}">
      <formula1>ISNUMBER(BW66)</formula1>
    </dataValidation>
  </dataValidations>
  <hyperlinks>
    <hyperlink ref="A2" location="Index!A1" display="Index"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sheetPr>
  <dimension ref="A1:GW121"/>
  <sheetViews>
    <sheetView topLeftCell="A26" workbookViewId="0">
      <selection activeCell="E52" sqref="E52"/>
    </sheetView>
  </sheetViews>
  <sheetFormatPr defaultColWidth="8.85546875" defaultRowHeight="13.35" customHeight="1"/>
  <cols>
    <col min="1" max="1" width="10.140625" style="23" bestFit="1" customWidth="1"/>
    <col min="2" max="4" width="12.42578125" style="23" customWidth="1"/>
    <col min="5" max="8" width="21.42578125" style="23" customWidth="1"/>
    <col min="9" max="15" width="8.85546875" style="23" customWidth="1"/>
    <col min="16" max="16" width="8.85546875" style="23" bestFit="1" customWidth="1"/>
    <col min="17" max="17" width="8.85546875" style="23" customWidth="1"/>
    <col min="18" max="31" width="10" style="23" customWidth="1"/>
    <col min="32" max="32" width="10" style="23" bestFit="1" customWidth="1"/>
    <col min="33" max="33" width="10" style="23" customWidth="1"/>
    <col min="34" max="47" width="8.85546875" style="23" customWidth="1"/>
    <col min="48" max="48" width="8.85546875" style="23" bestFit="1" customWidth="1"/>
    <col min="49" max="61" width="8.85546875" style="23" customWidth="1"/>
    <col min="62" max="63" width="10" style="23" customWidth="1"/>
    <col min="64" max="64" width="10" style="23" bestFit="1" customWidth="1"/>
    <col min="65" max="79" width="10" style="23" customWidth="1"/>
    <col min="80" max="80" width="10" style="23" bestFit="1" customWidth="1"/>
    <col min="81" max="81" width="10" style="23" customWidth="1"/>
    <col min="82" max="95" width="8.85546875" style="23" customWidth="1"/>
    <col min="96" max="96" width="8.85546875" style="23" bestFit="1" customWidth="1"/>
    <col min="97" max="111" width="8.85546875" style="23" customWidth="1"/>
    <col min="112" max="112" width="8.85546875" style="23" bestFit="1" customWidth="1"/>
    <col min="113" max="127" width="8.85546875" style="23" customWidth="1"/>
    <col min="128" max="128" width="8.85546875" style="23" bestFit="1" customWidth="1"/>
    <col min="129" max="143" width="8.85546875" style="23" customWidth="1"/>
    <col min="144" max="144" width="8.85546875" style="23" bestFit="1" customWidth="1"/>
    <col min="145" max="159" width="8.85546875" style="23" customWidth="1"/>
    <col min="160" max="160" width="8.85546875" style="23" bestFit="1" customWidth="1"/>
    <col min="161" max="175" width="8.85546875" style="23" customWidth="1"/>
    <col min="176" max="176" width="8.85546875" style="23" bestFit="1" customWidth="1"/>
    <col min="177" max="191" width="8.85546875" style="23" customWidth="1"/>
    <col min="192" max="192" width="8.85546875" style="23" bestFit="1" customWidth="1"/>
    <col min="193" max="196" width="8.85546875" style="23" customWidth="1"/>
    <col min="197" max="200" width="9.5703125" style="23" customWidth="1"/>
    <col min="201" max="201" width="8.85546875" style="23" customWidth="1"/>
    <col min="202" max="202" width="9.5703125" style="23" customWidth="1"/>
    <col min="203" max="203" width="8.85546875" style="23" customWidth="1"/>
    <col min="204" max="204" width="9.5703125" style="23" customWidth="1"/>
    <col min="205" max="205" width="8.85546875" style="23" customWidth="1"/>
    <col min="206" max="207" width="9.5703125" style="23" customWidth="1"/>
    <col min="208" max="209" width="8.85546875" style="23" bestFit="1" customWidth="1"/>
    <col min="210" max="228" width="9.140625" style="23" bestFit="1" customWidth="1"/>
    <col min="229" max="16384" width="8.85546875" style="23"/>
  </cols>
  <sheetData>
    <row r="1" spans="1:205" s="7" customFormat="1" ht="15.6" customHeight="1">
      <c r="A1" s="1" t="s">
        <v>894</v>
      </c>
    </row>
    <row r="2" spans="1:205" s="16" customFormat="1" ht="13.35" customHeight="1">
      <c r="A2" s="90" t="s">
        <v>86</v>
      </c>
      <c r="E2" s="89"/>
    </row>
    <row r="3" spans="1:205" s="9" customFormat="1" ht="13.35" customHeight="1" thickBot="1">
      <c r="A3" s="8" t="s">
        <v>745</v>
      </c>
    </row>
    <row r="4" spans="1:205" s="9" customFormat="1" ht="13.35" customHeight="1"/>
    <row r="5" spans="1:205" s="4" customFormat="1" ht="13.35" customHeight="1">
      <c r="A5" s="2" t="s">
        <v>898</v>
      </c>
      <c r="D5" s="3"/>
      <c r="E5" s="3"/>
      <c r="F5" s="3"/>
      <c r="G5" s="5"/>
      <c r="H5" s="6"/>
      <c r="I5" s="6"/>
      <c r="J5" s="5"/>
      <c r="K5" s="5"/>
      <c r="L5" s="5"/>
      <c r="M5" s="5"/>
      <c r="N5" s="5"/>
      <c r="O5" s="5"/>
      <c r="P5" s="5"/>
      <c r="Q5" s="5"/>
      <c r="R5" s="5"/>
      <c r="S5" s="6"/>
      <c r="T5" s="6"/>
      <c r="U5" s="5"/>
      <c r="V5" s="5"/>
      <c r="W5" s="5"/>
      <c r="X5" s="5"/>
      <c r="Y5" s="5"/>
    </row>
    <row r="6" spans="1:205" ht="13.35" customHeight="1">
      <c r="A6" s="65"/>
    </row>
    <row r="7" spans="1:205" s="21" customFormat="1" ht="13.35" customHeight="1">
      <c r="A7" s="98" t="s">
        <v>1007</v>
      </c>
      <c r="B7" s="23" t="s">
        <v>1010</v>
      </c>
      <c r="C7" s="133"/>
    </row>
    <row r="8" spans="1:205" s="21" customFormat="1" ht="13.35" customHeight="1">
      <c r="B8" s="23" t="s">
        <v>1011</v>
      </c>
      <c r="C8" s="133"/>
    </row>
    <row r="9" spans="1:205" s="21" customFormat="1" ht="13.35" customHeight="1">
      <c r="A9" s="98"/>
      <c r="C9" s="133"/>
    </row>
    <row r="10" spans="1:205" s="24" customFormat="1" ht="13.35" customHeight="1">
      <c r="A10" s="24" t="s">
        <v>0</v>
      </c>
      <c r="B10" s="24" t="s">
        <v>900</v>
      </c>
      <c r="GW10" s="142"/>
    </row>
    <row r="11" spans="1:205" ht="13.35" customHeight="1">
      <c r="A11" s="23" t="s">
        <v>8</v>
      </c>
      <c r="B11" s="143">
        <v>3.9023815918872731E-2</v>
      </c>
      <c r="GW11" s="67"/>
    </row>
    <row r="12" spans="1:205" ht="13.35" customHeight="1">
      <c r="A12" s="23" t="s">
        <v>10</v>
      </c>
      <c r="B12" s="143">
        <v>6.8859703848679578E-3</v>
      </c>
      <c r="GW12" s="67"/>
    </row>
    <row r="13" spans="1:205" ht="13.35" customHeight="1">
      <c r="A13" s="23" t="s">
        <v>12</v>
      </c>
      <c r="B13" s="143">
        <v>2.1720015651451069E-2</v>
      </c>
      <c r="GW13" s="67"/>
    </row>
    <row r="14" spans="1:205" ht="13.35" customHeight="1">
      <c r="A14" s="23" t="s">
        <v>14</v>
      </c>
      <c r="B14" s="143">
        <v>2.8186657161604352E-2</v>
      </c>
    </row>
    <row r="15" spans="1:205" ht="13.35" customHeight="1">
      <c r="A15" s="23" t="s">
        <v>16</v>
      </c>
      <c r="B15" s="143">
        <v>2.6326043299633315E-2</v>
      </c>
      <c r="GW15" s="74"/>
    </row>
    <row r="16" spans="1:205" ht="13.35" customHeight="1">
      <c r="A16" s="23" t="s">
        <v>19</v>
      </c>
      <c r="B16" s="143">
        <v>0.11455218389455947</v>
      </c>
    </row>
    <row r="17" spans="1:205" ht="13.35" customHeight="1">
      <c r="A17" s="23" t="s">
        <v>22</v>
      </c>
      <c r="B17" s="143">
        <v>4.4376159705175125E-2</v>
      </c>
      <c r="GW17" s="65"/>
    </row>
    <row r="18" spans="1:205" ht="13.35" customHeight="1">
      <c r="A18" s="23" t="s">
        <v>1</v>
      </c>
      <c r="B18" s="143">
        <v>-3.8777010556511069E-3</v>
      </c>
      <c r="GW18" s="67"/>
    </row>
    <row r="19" spans="1:205" ht="13.35" customHeight="1">
      <c r="A19" s="23" t="s">
        <v>27</v>
      </c>
      <c r="B19" s="143">
        <v>-2.3044987863204188E-4</v>
      </c>
      <c r="GW19" s="67"/>
    </row>
    <row r="20" spans="1:205" ht="13.35" customHeight="1">
      <c r="A20" s="23" t="s">
        <v>30</v>
      </c>
      <c r="B20" s="143">
        <v>6.2897601983974427E-3</v>
      </c>
      <c r="GW20" s="67"/>
    </row>
    <row r="21" spans="1:205" ht="13.35" customHeight="1">
      <c r="A21" s="23" t="s">
        <v>33</v>
      </c>
      <c r="B21" s="143">
        <v>-1.916654030667703E-2</v>
      </c>
      <c r="GW21" s="67"/>
    </row>
    <row r="22" spans="1:205" ht="13.35" customHeight="1">
      <c r="A22" s="23" t="s">
        <v>35</v>
      </c>
      <c r="B22" s="143">
        <v>-1.1831353225843964E-2</v>
      </c>
      <c r="GW22" s="67"/>
    </row>
    <row r="23" spans="1:205" ht="13.35" customHeight="1">
      <c r="A23" s="23" t="s">
        <v>37</v>
      </c>
      <c r="B23" s="143">
        <v>-1.3678803563284572E-2</v>
      </c>
      <c r="GW23" s="67"/>
    </row>
    <row r="24" spans="1:205" ht="13.35" customHeight="1">
      <c r="GW24" s="67"/>
    </row>
    <row r="25" spans="1:205" s="4" customFormat="1" ht="13.35" customHeight="1">
      <c r="A25" s="2" t="s">
        <v>80</v>
      </c>
      <c r="D25" s="3"/>
      <c r="E25" s="3"/>
      <c r="F25" s="3"/>
      <c r="G25" s="5"/>
      <c r="H25" s="6"/>
      <c r="I25" s="6"/>
      <c r="J25" s="5"/>
      <c r="K25" s="5"/>
      <c r="L25" s="5"/>
      <c r="M25" s="5"/>
      <c r="N25" s="5"/>
      <c r="O25" s="5"/>
      <c r="P25" s="5"/>
      <c r="Q25" s="5"/>
      <c r="R25" s="5"/>
      <c r="S25" s="6"/>
      <c r="T25" s="6"/>
      <c r="U25" s="5"/>
      <c r="V25" s="5"/>
      <c r="W25" s="5"/>
      <c r="X25" s="5"/>
      <c r="Y25" s="5"/>
    </row>
    <row r="26" spans="1:205" ht="13.35" customHeight="1">
      <c r="A26" s="65"/>
    </row>
    <row r="27" spans="1:205" s="21" customFormat="1" ht="13.35" customHeight="1">
      <c r="A27" s="98" t="s">
        <v>1007</v>
      </c>
      <c r="B27" s="23" t="s">
        <v>1010</v>
      </c>
      <c r="C27" s="133"/>
    </row>
    <row r="28" spans="1:205" s="21" customFormat="1" ht="13.35" customHeight="1">
      <c r="B28" s="23" t="s">
        <v>1012</v>
      </c>
      <c r="C28" s="133"/>
    </row>
    <row r="29" spans="1:205" s="21" customFormat="1" ht="13.35" customHeight="1">
      <c r="A29" s="98"/>
      <c r="C29" s="133"/>
    </row>
    <row r="30" spans="1:205" s="24" customFormat="1" ht="13.35" customHeight="1">
      <c r="A30" s="24" t="s">
        <v>0</v>
      </c>
      <c r="B30" s="24" t="s">
        <v>900</v>
      </c>
      <c r="GW30" s="142"/>
    </row>
    <row r="31" spans="1:205" ht="13.35" customHeight="1">
      <c r="A31" s="23" t="s">
        <v>8</v>
      </c>
      <c r="B31" s="143">
        <v>-2.9432341040401228E-2</v>
      </c>
      <c r="GW31" s="67"/>
    </row>
    <row r="32" spans="1:205" ht="13.35" customHeight="1">
      <c r="A32" s="23" t="s">
        <v>10</v>
      </c>
      <c r="B32" s="143">
        <v>-2.2519905905787521E-2</v>
      </c>
      <c r="GW32" s="67"/>
    </row>
    <row r="33" spans="1:205" ht="13.35" customHeight="1">
      <c r="A33" s="23" t="s">
        <v>33</v>
      </c>
      <c r="B33" s="143">
        <v>3.9296871455857654E-2</v>
      </c>
      <c r="GW33" s="67"/>
    </row>
    <row r="34" spans="1:205" ht="13.35" customHeight="1">
      <c r="A34" s="23" t="s">
        <v>12</v>
      </c>
      <c r="B34" s="143">
        <v>1.1075776107283006E-2</v>
      </c>
    </row>
    <row r="35" spans="1:205" ht="13.35" customHeight="1">
      <c r="A35" s="23" t="s">
        <v>14</v>
      </c>
      <c r="B35" s="143">
        <v>-1.3535063329611241E-2</v>
      </c>
      <c r="GW35" s="74"/>
    </row>
    <row r="36" spans="1:205" ht="13.35" customHeight="1">
      <c r="A36" s="23" t="s">
        <v>16</v>
      </c>
      <c r="B36" s="143">
        <v>-1.352956877747926E-2</v>
      </c>
    </row>
    <row r="37" spans="1:205" ht="13.35" customHeight="1">
      <c r="A37" s="23" t="s">
        <v>19</v>
      </c>
      <c r="B37" s="143">
        <v>-1.3241237890473084E-2</v>
      </c>
      <c r="GW37" s="65"/>
    </row>
    <row r="38" spans="1:205" ht="13.35" customHeight="1">
      <c r="A38" s="23" t="s">
        <v>22</v>
      </c>
      <c r="B38" s="143">
        <v>7.1297297205030891E-3</v>
      </c>
      <c r="GW38" s="67"/>
    </row>
    <row r="39" spans="1:205" ht="13.35" customHeight="1">
      <c r="A39" s="23" t="s">
        <v>1</v>
      </c>
      <c r="B39" s="143">
        <v>-1.4019489456715585E-2</v>
      </c>
      <c r="GW39" s="67"/>
    </row>
    <row r="40" spans="1:205" ht="13.35" customHeight="1">
      <c r="A40" s="23" t="s">
        <v>27</v>
      </c>
      <c r="B40" s="143">
        <v>3.9259987296945201E-2</v>
      </c>
      <c r="GW40" s="67"/>
    </row>
    <row r="41" spans="1:205" ht="13.35" customHeight="1">
      <c r="A41" s="23" t="s">
        <v>30</v>
      </c>
      <c r="B41" s="143">
        <v>-3.7724876835290702E-2</v>
      </c>
      <c r="GW41" s="67"/>
    </row>
    <row r="42" spans="1:205" ht="13.35" customHeight="1">
      <c r="A42" s="23" t="s">
        <v>35</v>
      </c>
      <c r="B42" s="143">
        <v>-9.1856257789209514E-3</v>
      </c>
      <c r="GW42" s="67"/>
    </row>
    <row r="43" spans="1:205" ht="13.35" customHeight="1">
      <c r="A43" s="23" t="s">
        <v>37</v>
      </c>
      <c r="B43" s="143">
        <v>9.9885164076867275E-4</v>
      </c>
      <c r="GW43" s="67"/>
    </row>
    <row r="44" spans="1:205" ht="13.35" customHeight="1">
      <c r="GW44" s="67"/>
    </row>
    <row r="45" spans="1:205" s="4" customFormat="1" ht="13.35" customHeight="1">
      <c r="A45" s="2" t="s">
        <v>87</v>
      </c>
      <c r="D45" s="3"/>
      <c r="E45" s="3"/>
      <c r="F45" s="3"/>
      <c r="G45" s="5"/>
      <c r="H45" s="6"/>
      <c r="I45" s="6"/>
      <c r="J45" s="5"/>
      <c r="K45" s="5"/>
      <c r="L45" s="5"/>
      <c r="M45" s="5"/>
      <c r="N45" s="5"/>
      <c r="O45" s="5"/>
      <c r="P45" s="5"/>
      <c r="Q45" s="5"/>
      <c r="R45" s="5"/>
      <c r="S45" s="6"/>
      <c r="T45" s="6"/>
      <c r="U45" s="5"/>
      <c r="V45" s="5"/>
      <c r="W45" s="5"/>
      <c r="X45" s="5"/>
      <c r="Y45" s="5"/>
    </row>
    <row r="46" spans="1:205" ht="13.35" customHeight="1">
      <c r="A46" s="65"/>
    </row>
    <row r="47" spans="1:205" s="21" customFormat="1" ht="13.35" customHeight="1">
      <c r="A47" s="98" t="s">
        <v>1007</v>
      </c>
      <c r="B47" s="23" t="s">
        <v>1010</v>
      </c>
      <c r="C47" s="133"/>
    </row>
    <row r="48" spans="1:205" s="21" customFormat="1" ht="13.35" customHeight="1">
      <c r="B48" s="195"/>
      <c r="C48" s="133"/>
    </row>
    <row r="49" spans="1:205" s="21" customFormat="1" ht="13.35" customHeight="1">
      <c r="A49" s="98"/>
      <c r="C49" s="133"/>
    </row>
    <row r="50" spans="1:205" ht="13.35" customHeight="1">
      <c r="A50" s="65"/>
      <c r="E50" s="24" t="s">
        <v>900</v>
      </c>
    </row>
    <row r="51" spans="1:205" s="24" customFormat="1" ht="13.35" customHeight="1">
      <c r="A51" s="24" t="s">
        <v>0</v>
      </c>
      <c r="B51" s="24" t="s">
        <v>90</v>
      </c>
      <c r="C51" s="24" t="s">
        <v>93</v>
      </c>
      <c r="D51" s="24" t="s">
        <v>94</v>
      </c>
      <c r="E51" s="24" t="s">
        <v>91</v>
      </c>
      <c r="F51" s="24" t="s">
        <v>92</v>
      </c>
      <c r="G51" s="24" t="s">
        <v>700</v>
      </c>
      <c r="H51" s="24" t="s">
        <v>701</v>
      </c>
      <c r="GW51" s="142"/>
    </row>
    <row r="52" spans="1:205" ht="13.35" customHeight="1">
      <c r="A52" s="23" t="s">
        <v>8</v>
      </c>
      <c r="B52" s="143">
        <v>0.14780090424548725</v>
      </c>
      <c r="C52" s="143">
        <v>7.0267917501888558E-2</v>
      </c>
      <c r="D52" s="143">
        <v>0.19183160526844245</v>
      </c>
      <c r="E52" s="145">
        <f>AVERAGE(B52:D52)</f>
        <v>0.13663347567193943</v>
      </c>
      <c r="F52" s="145">
        <f>AVERAGE(B52:C52)</f>
        <v>0.1090344108736879</v>
      </c>
      <c r="G52" s="145">
        <f>AVERAGE(B52, D52)</f>
        <v>0.16981625475696485</v>
      </c>
      <c r="H52" s="145">
        <f>0.5 * B52 + 0.25 * C52 + 0.25 * D52</f>
        <v>0.13942533281532637</v>
      </c>
      <c r="GW52" s="67"/>
    </row>
    <row r="53" spans="1:205" ht="13.35" customHeight="1">
      <c r="A53" s="23" t="s">
        <v>10</v>
      </c>
      <c r="B53" s="143">
        <v>-0.1114740568722821</v>
      </c>
      <c r="C53" s="143">
        <v>-7.0300803147690374E-3</v>
      </c>
      <c r="D53" s="143">
        <v>0.20646730107855338</v>
      </c>
      <c r="E53" s="145">
        <f t="shared" ref="E53:E64" si="0">AVERAGE(B53:D53)</f>
        <v>2.9321054630500748E-2</v>
      </c>
      <c r="F53" s="145">
        <f t="shared" ref="F53:F64" si="1">AVERAGE(B53:C53)</f>
        <v>-5.9252068593525567E-2</v>
      </c>
      <c r="G53" s="145">
        <f t="shared" ref="G53:G64" si="2">AVERAGE(B53, D53)</f>
        <v>4.7496622103135641E-2</v>
      </c>
      <c r="H53" s="145">
        <f t="shared" ref="H53:H64" si="3">0.5 * B53 + 0.25 * C53 + 0.25 * D53</f>
        <v>-5.8777232451949629E-3</v>
      </c>
      <c r="GW53" s="67"/>
    </row>
    <row r="54" spans="1:205" ht="13.35" customHeight="1">
      <c r="A54" s="23" t="s">
        <v>33</v>
      </c>
      <c r="B54" s="143">
        <v>-0.10147811744765542</v>
      </c>
      <c r="C54" s="143">
        <v>0.11015504046687545</v>
      </c>
      <c r="D54" s="143">
        <v>4.2658381942865232E-2</v>
      </c>
      <c r="E54" s="145">
        <f t="shared" si="0"/>
        <v>1.7111768320695088E-2</v>
      </c>
      <c r="F54" s="145">
        <f t="shared" si="1"/>
        <v>4.3384615096100157E-3</v>
      </c>
      <c r="G54" s="145">
        <f t="shared" si="2"/>
        <v>-2.9409867752395093E-2</v>
      </c>
      <c r="H54" s="145">
        <f t="shared" si="3"/>
        <v>-1.2535703121392539E-2</v>
      </c>
      <c r="GW54" s="67"/>
    </row>
    <row r="55" spans="1:205" ht="13.35" customHeight="1">
      <c r="A55" s="23" t="s">
        <v>12</v>
      </c>
      <c r="B55" s="143">
        <v>-0.26356715887629684</v>
      </c>
      <c r="C55" s="143">
        <v>-0.26630220973664814</v>
      </c>
      <c r="D55" s="143">
        <v>4.0148910963255348E-3</v>
      </c>
      <c r="E55" s="145">
        <f t="shared" si="0"/>
        <v>-0.17528482583887314</v>
      </c>
      <c r="F55" s="145">
        <f t="shared" si="1"/>
        <v>-0.26493468430647249</v>
      </c>
      <c r="G55" s="145">
        <f t="shared" si="2"/>
        <v>-0.12977613388998566</v>
      </c>
      <c r="H55" s="145">
        <f t="shared" si="3"/>
        <v>-0.19735540909822907</v>
      </c>
    </row>
    <row r="56" spans="1:205" ht="13.35" customHeight="1">
      <c r="A56" s="23" t="s">
        <v>14</v>
      </c>
      <c r="B56" s="143">
        <v>-9.5725422297183962E-2</v>
      </c>
      <c r="C56" s="143">
        <v>8.3032112228270297E-2</v>
      </c>
      <c r="D56" s="143">
        <v>0.17646797882201057</v>
      </c>
      <c r="E56" s="145">
        <f t="shared" si="0"/>
        <v>5.4591556251032299E-2</v>
      </c>
      <c r="F56" s="145">
        <f t="shared" si="1"/>
        <v>-6.3466550344568329E-3</v>
      </c>
      <c r="G56" s="145">
        <f t="shared" si="2"/>
        <v>4.0371278262413303E-2</v>
      </c>
      <c r="H56" s="145">
        <f t="shared" si="3"/>
        <v>1.7012311613978235E-2</v>
      </c>
      <c r="GW56" s="74"/>
    </row>
    <row r="57" spans="1:205" ht="13.35" customHeight="1">
      <c r="A57" s="23" t="s">
        <v>16</v>
      </c>
      <c r="B57" s="143">
        <v>-0.11450063433645732</v>
      </c>
      <c r="C57" s="143">
        <v>1.2466086809146582E-3</v>
      </c>
      <c r="D57" s="143">
        <v>0.1139867639721792</v>
      </c>
      <c r="E57" s="145">
        <f t="shared" si="0"/>
        <v>2.4424610554551102E-4</v>
      </c>
      <c r="F57" s="145">
        <f t="shared" si="1"/>
        <v>-5.6627012827771335E-2</v>
      </c>
      <c r="G57" s="145">
        <f t="shared" si="2"/>
        <v>-2.5693518213906058E-4</v>
      </c>
      <c r="H57" s="145">
        <f t="shared" si="3"/>
        <v>-2.8441974004955194E-2</v>
      </c>
    </row>
    <row r="58" spans="1:205" ht="13.35" customHeight="1">
      <c r="A58" s="23" t="s">
        <v>19</v>
      </c>
      <c r="B58" s="143">
        <v>-0.13932079152801555</v>
      </c>
      <c r="C58" s="143">
        <v>-1.0167944460052534E-2</v>
      </c>
      <c r="D58" s="143">
        <v>0.26441820360285728</v>
      </c>
      <c r="E58" s="145">
        <f t="shared" si="0"/>
        <v>3.8309822538263066E-2</v>
      </c>
      <c r="F58" s="145">
        <f t="shared" si="1"/>
        <v>-7.4744367994034042E-2</v>
      </c>
      <c r="G58" s="145">
        <f t="shared" si="2"/>
        <v>6.2548706037420868E-2</v>
      </c>
      <c r="H58" s="145">
        <f t="shared" si="3"/>
        <v>-6.097830978306587E-3</v>
      </c>
      <c r="GW58" s="65"/>
    </row>
    <row r="59" spans="1:205" ht="13.35" customHeight="1">
      <c r="A59" s="23" t="s">
        <v>22</v>
      </c>
      <c r="B59" s="143">
        <v>-4.6713712663928174E-2</v>
      </c>
      <c r="C59" s="143">
        <v>0.10749546064793608</v>
      </c>
      <c r="D59" s="143">
        <v>9.8426444751223197E-2</v>
      </c>
      <c r="E59" s="145">
        <f t="shared" si="0"/>
        <v>5.3069397578410366E-2</v>
      </c>
      <c r="F59" s="145">
        <f t="shared" si="1"/>
        <v>3.0390873992003953E-2</v>
      </c>
      <c r="G59" s="145">
        <f t="shared" si="2"/>
        <v>2.5856366043647511E-2</v>
      </c>
      <c r="H59" s="145">
        <f t="shared" si="3"/>
        <v>2.8123620017825732E-2</v>
      </c>
      <c r="GW59" s="67"/>
    </row>
    <row r="60" spans="1:205" ht="13.35" customHeight="1">
      <c r="A60" s="23" t="s">
        <v>1</v>
      </c>
      <c r="B60" s="143">
        <v>1.754084479169166E-2</v>
      </c>
      <c r="C60" s="143">
        <v>0.15920520141532812</v>
      </c>
      <c r="D60" s="143">
        <v>0.22499134946241611</v>
      </c>
      <c r="E60" s="145">
        <f t="shared" si="0"/>
        <v>0.13391246522314529</v>
      </c>
      <c r="F60" s="145">
        <f t="shared" si="1"/>
        <v>8.837302310350989E-2</v>
      </c>
      <c r="G60" s="145">
        <f t="shared" si="2"/>
        <v>0.12126609712705388</v>
      </c>
      <c r="H60" s="145">
        <f t="shared" si="3"/>
        <v>0.10481956011528189</v>
      </c>
      <c r="GW60" s="67"/>
    </row>
    <row r="61" spans="1:205" ht="13.35" customHeight="1">
      <c r="A61" s="23" t="s">
        <v>27</v>
      </c>
      <c r="B61" s="143">
        <v>-5.7607482012469097E-2</v>
      </c>
      <c r="C61" s="143">
        <v>0.1112000353368949</v>
      </c>
      <c r="D61" s="143">
        <v>-0.16534028914299909</v>
      </c>
      <c r="E61" s="145">
        <f t="shared" si="0"/>
        <v>-3.7249245272857757E-2</v>
      </c>
      <c r="F61" s="145">
        <f t="shared" si="1"/>
        <v>2.6796276662212903E-2</v>
      </c>
      <c r="G61" s="145">
        <f t="shared" si="2"/>
        <v>-0.11147388557773409</v>
      </c>
      <c r="H61" s="145">
        <f t="shared" si="3"/>
        <v>-4.2338804457760594E-2</v>
      </c>
      <c r="GW61" s="67"/>
    </row>
    <row r="62" spans="1:205" ht="13.35" customHeight="1">
      <c r="A62" s="23" t="s">
        <v>30</v>
      </c>
      <c r="B62" s="143">
        <v>0.11623165251470075</v>
      </c>
      <c r="C62" s="143">
        <v>-3.647665201414043E-2</v>
      </c>
      <c r="D62" s="143">
        <v>8.1515502100110313E-2</v>
      </c>
      <c r="E62" s="145">
        <f t="shared" si="0"/>
        <v>5.3756834200223536E-2</v>
      </c>
      <c r="F62" s="145">
        <f t="shared" si="1"/>
        <v>3.9877500250280154E-2</v>
      </c>
      <c r="G62" s="145">
        <f t="shared" si="2"/>
        <v>9.8873577307405536E-2</v>
      </c>
      <c r="H62" s="145">
        <f t="shared" si="3"/>
        <v>6.9375538778842838E-2</v>
      </c>
      <c r="GW62" s="67"/>
    </row>
    <row r="63" spans="1:205" ht="13.35" customHeight="1">
      <c r="A63" s="23" t="s">
        <v>35</v>
      </c>
      <c r="B63" s="143">
        <v>-4.3331426395244045E-2</v>
      </c>
      <c r="C63" s="143">
        <v>-2.655593430820501E-2</v>
      </c>
      <c r="D63" s="143">
        <v>-0.12225514118008531</v>
      </c>
      <c r="E63" s="145">
        <f t="shared" si="0"/>
        <v>-6.4047500627844797E-2</v>
      </c>
      <c r="F63" s="145">
        <f t="shared" si="1"/>
        <v>-3.4943680351724529E-2</v>
      </c>
      <c r="G63" s="145">
        <f t="shared" si="2"/>
        <v>-8.2793283787664679E-2</v>
      </c>
      <c r="H63" s="145">
        <f t="shared" si="3"/>
        <v>-5.8868482069694597E-2</v>
      </c>
      <c r="GW63" s="67"/>
    </row>
    <row r="64" spans="1:205" ht="13.35" customHeight="1">
      <c r="A64" s="23" t="s">
        <v>37</v>
      </c>
      <c r="B64" s="143">
        <v>6.5095593497827051E-2</v>
      </c>
      <c r="C64" s="143">
        <v>5.9828780003466378E-2</v>
      </c>
      <c r="D64" s="143">
        <v>0.13705857137072699</v>
      </c>
      <c r="E64" s="145">
        <f t="shared" si="0"/>
        <v>8.7327648290673479E-2</v>
      </c>
      <c r="F64" s="145">
        <f t="shared" si="1"/>
        <v>6.2462186750646714E-2</v>
      </c>
      <c r="G64" s="145">
        <f t="shared" si="2"/>
        <v>0.10107708243427702</v>
      </c>
      <c r="H64" s="145">
        <f t="shared" si="3"/>
        <v>8.1769634592461865E-2</v>
      </c>
      <c r="GW64" s="67"/>
    </row>
    <row r="65" spans="1:205" ht="13.35" customHeight="1">
      <c r="GW65" s="67"/>
    </row>
    <row r="66" spans="1:205" s="4" customFormat="1" ht="13.35" customHeight="1">
      <c r="A66" s="2" t="s">
        <v>106</v>
      </c>
      <c r="C66" s="3"/>
      <c r="D66" s="3"/>
      <c r="E66" s="3"/>
      <c r="F66" s="3"/>
      <c r="G66" s="5"/>
      <c r="H66" s="6"/>
      <c r="I66" s="6"/>
      <c r="J66" s="5"/>
      <c r="K66" s="5"/>
      <c r="L66" s="5"/>
      <c r="M66" s="5"/>
      <c r="N66" s="5"/>
      <c r="O66" s="5"/>
      <c r="P66" s="5"/>
      <c r="Q66" s="5"/>
      <c r="R66" s="5"/>
      <c r="S66" s="6"/>
      <c r="T66" s="6"/>
      <c r="U66" s="5"/>
      <c r="V66" s="5"/>
      <c r="W66" s="5"/>
      <c r="X66" s="5"/>
      <c r="Y66" s="5"/>
    </row>
    <row r="67" spans="1:205" ht="13.35" customHeight="1">
      <c r="BV67" s="68"/>
      <c r="DO67" s="66"/>
      <c r="GC67" s="68"/>
      <c r="GD67" s="68"/>
      <c r="GE67" s="68"/>
      <c r="GF67" s="68"/>
      <c r="GG67" s="68"/>
      <c r="GH67" s="68"/>
      <c r="GI67" s="68"/>
      <c r="GJ67" s="68"/>
      <c r="GK67" s="68"/>
      <c r="GL67" s="68"/>
      <c r="GM67" s="68"/>
      <c r="GN67" s="68"/>
      <c r="GW67" s="67"/>
    </row>
    <row r="68" spans="1:205" ht="13.35" customHeight="1">
      <c r="GW68" s="67"/>
    </row>
    <row r="69" spans="1:205" ht="13.35" customHeight="1">
      <c r="GW69" s="67"/>
    </row>
    <row r="71" spans="1:205" ht="13.35" customHeight="1">
      <c r="GW71" s="74"/>
    </row>
    <row r="73" spans="1:205" ht="13.35" customHeight="1">
      <c r="GW73" s="65"/>
    </row>
    <row r="74" spans="1:205" ht="13.35" customHeight="1">
      <c r="GW74" s="67"/>
    </row>
    <row r="75" spans="1:205" ht="13.35" customHeight="1">
      <c r="GW75" s="67"/>
    </row>
    <row r="76" spans="1:205" ht="13.35" customHeight="1">
      <c r="GW76" s="67"/>
    </row>
    <row r="77" spans="1:205" ht="13.35" customHeight="1">
      <c r="GW77" s="67"/>
    </row>
    <row r="78" spans="1:205" ht="13.35" customHeight="1">
      <c r="GW78" s="67"/>
    </row>
    <row r="79" spans="1:205" ht="13.35" customHeight="1">
      <c r="GW79" s="67"/>
    </row>
    <row r="80" spans="1:205" ht="13.35" customHeight="1">
      <c r="GW80" s="67"/>
    </row>
    <row r="81" spans="205:205" ht="13.35" customHeight="1">
      <c r="GW81" s="67"/>
    </row>
    <row r="82" spans="205:205" ht="13.35" customHeight="1">
      <c r="GW82" s="67"/>
    </row>
    <row r="84" spans="205:205" ht="13.35" customHeight="1">
      <c r="GW84" s="74"/>
    </row>
    <row r="86" spans="205:205" ht="13.35" customHeight="1">
      <c r="GW86" s="65"/>
    </row>
    <row r="87" spans="205:205" ht="13.35" customHeight="1">
      <c r="GW87" s="67"/>
    </row>
    <row r="88" spans="205:205" ht="13.35" customHeight="1">
      <c r="GW88" s="67"/>
    </row>
    <row r="89" spans="205:205" ht="13.35" customHeight="1">
      <c r="GW89" s="67"/>
    </row>
    <row r="90" spans="205:205" ht="13.35" customHeight="1">
      <c r="GW90" s="67"/>
    </row>
    <row r="91" spans="205:205" ht="13.35" customHeight="1">
      <c r="GW91" s="67"/>
    </row>
    <row r="92" spans="205:205" ht="13.35" customHeight="1">
      <c r="GW92" s="67"/>
    </row>
    <row r="93" spans="205:205" ht="13.35" customHeight="1">
      <c r="GW93" s="67"/>
    </row>
    <row r="94" spans="205:205" ht="13.35" customHeight="1">
      <c r="GW94" s="67"/>
    </row>
    <row r="95" spans="205:205" ht="13.35" customHeight="1">
      <c r="GW95" s="67"/>
    </row>
    <row r="97" spans="205:205" ht="13.35" customHeight="1">
      <c r="GW97" s="74"/>
    </row>
    <row r="99" spans="205:205" ht="13.35" customHeight="1">
      <c r="GW99" s="65"/>
    </row>
    <row r="100" spans="205:205" ht="13.35" customHeight="1">
      <c r="GW100" s="67"/>
    </row>
    <row r="101" spans="205:205" ht="13.35" customHeight="1">
      <c r="GW101" s="67"/>
    </row>
    <row r="102" spans="205:205" ht="13.35" customHeight="1">
      <c r="GW102" s="67"/>
    </row>
    <row r="103" spans="205:205" ht="13.35" customHeight="1">
      <c r="GW103" s="67"/>
    </row>
    <row r="104" spans="205:205" ht="13.35" customHeight="1">
      <c r="GW104" s="67"/>
    </row>
    <row r="105" spans="205:205" ht="13.35" customHeight="1">
      <c r="GW105" s="67"/>
    </row>
    <row r="106" spans="205:205" ht="13.35" customHeight="1">
      <c r="GW106" s="67"/>
    </row>
    <row r="107" spans="205:205" ht="13.35" customHeight="1">
      <c r="GW107" s="67"/>
    </row>
    <row r="108" spans="205:205" ht="13.35" customHeight="1">
      <c r="GW108" s="67"/>
    </row>
    <row r="110" spans="205:205" ht="13.35" customHeight="1">
      <c r="GW110" s="74"/>
    </row>
    <row r="112" spans="205:205" ht="13.35" customHeight="1">
      <c r="GW112" s="65"/>
    </row>
    <row r="113" spans="205:205" ht="13.35" customHeight="1">
      <c r="GW113" s="67"/>
    </row>
    <row r="114" spans="205:205" ht="13.35" customHeight="1">
      <c r="GW114" s="67"/>
    </row>
    <row r="115" spans="205:205" ht="13.35" customHeight="1">
      <c r="GW115" s="67"/>
    </row>
    <row r="116" spans="205:205" ht="13.35" customHeight="1">
      <c r="GW116" s="67"/>
    </row>
    <row r="117" spans="205:205" ht="13.35" customHeight="1">
      <c r="GW117" s="67"/>
    </row>
    <row r="118" spans="205:205" ht="13.35" customHeight="1">
      <c r="GW118" s="67"/>
    </row>
    <row r="119" spans="205:205" ht="13.35" customHeight="1">
      <c r="GW119" s="67"/>
    </row>
    <row r="120" spans="205:205" ht="13.35" customHeight="1">
      <c r="GW120" s="67"/>
    </row>
    <row r="121" spans="205:205" ht="13.35" customHeight="1">
      <c r="GW121" s="67"/>
    </row>
  </sheetData>
  <dataValidations count="1">
    <dataValidation type="custom" operator="greaterThanOrEqual" allowBlank="1" showInputMessage="1" showErrorMessage="1" errorTitle="Asset base" error="Must be a number" promptTitle="Assets" prompt="Enter a value in dollars" sqref="BW66:BX67" xr:uid="{00000000-0002-0000-0500-000000000000}">
      <formula1>ISNUMBER(BW66)</formula1>
    </dataValidation>
  </dataValidations>
  <hyperlinks>
    <hyperlink ref="A2" location="Index!A1" display="Index"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sheetPr>
  <dimension ref="A1:KK1008"/>
  <sheetViews>
    <sheetView topLeftCell="A319" workbookViewId="0">
      <selection activeCell="B328" sqref="B328"/>
    </sheetView>
  </sheetViews>
  <sheetFormatPr defaultColWidth="8.85546875" defaultRowHeight="13.35" customHeight="1"/>
  <cols>
    <col min="1" max="1" width="12.5703125" style="101" bestFit="1" customWidth="1"/>
    <col min="2" max="2" width="12.5703125" style="114" customWidth="1"/>
    <col min="3" max="3" width="8.85546875" style="133"/>
    <col min="4" max="16384" width="8.85546875" style="21"/>
  </cols>
  <sheetData>
    <row r="1" spans="1:25" s="7" customFormat="1" ht="15.6" customHeight="1">
      <c r="A1" s="1" t="s">
        <v>894</v>
      </c>
      <c r="B1" s="104"/>
      <c r="C1" s="129"/>
    </row>
    <row r="2" spans="1:25" s="16" customFormat="1" ht="13.35" customHeight="1">
      <c r="A2" s="96" t="s">
        <v>86</v>
      </c>
      <c r="B2" s="105"/>
      <c r="C2" s="130"/>
      <c r="E2" s="89"/>
    </row>
    <row r="3" spans="1:25" s="9" customFormat="1" ht="13.35" customHeight="1" thickBot="1">
      <c r="A3" s="8" t="s">
        <v>398</v>
      </c>
      <c r="B3" s="106"/>
      <c r="C3" s="131"/>
    </row>
    <row r="4" spans="1:25" s="9" customFormat="1" ht="13.35" customHeight="1">
      <c r="A4" s="97"/>
      <c r="B4" s="106"/>
      <c r="C4" s="131"/>
    </row>
    <row r="5" spans="1:25" s="4" customFormat="1" ht="13.35" customHeight="1">
      <c r="A5" s="2" t="s">
        <v>383</v>
      </c>
      <c r="B5" s="107"/>
      <c r="C5" s="132"/>
      <c r="D5" s="3"/>
      <c r="E5" s="3"/>
      <c r="F5" s="3"/>
      <c r="G5" s="5"/>
      <c r="H5" s="6"/>
      <c r="I5" s="5"/>
      <c r="J5" s="6"/>
      <c r="K5" s="5"/>
      <c r="L5" s="5"/>
      <c r="M5" s="5"/>
      <c r="N5" s="5"/>
      <c r="O5" s="5"/>
      <c r="P5" s="5"/>
      <c r="Q5" s="5"/>
      <c r="R5" s="5"/>
      <c r="S5" s="6"/>
      <c r="T5" s="6"/>
      <c r="U5" s="5"/>
      <c r="V5" s="5"/>
      <c r="W5" s="5"/>
      <c r="X5" s="5"/>
      <c r="Y5" s="5"/>
    </row>
    <row r="7" spans="1:25" ht="13.35" customHeight="1">
      <c r="A7" s="98" t="s">
        <v>757</v>
      </c>
      <c r="B7" s="98" t="s">
        <v>759</v>
      </c>
    </row>
    <row r="8" spans="1:25" ht="13.35" customHeight="1">
      <c r="A8" s="21"/>
      <c r="B8" s="108" t="s">
        <v>381</v>
      </c>
    </row>
    <row r="9" spans="1:25" ht="13.35" customHeight="1">
      <c r="A9" s="98"/>
      <c r="B9" s="109" t="s">
        <v>382</v>
      </c>
    </row>
    <row r="10" spans="1:25" ht="13.35" customHeight="1">
      <c r="A10" s="98"/>
      <c r="B10" s="109" t="s">
        <v>383</v>
      </c>
    </row>
    <row r="11" spans="1:25" ht="13.35" customHeight="1">
      <c r="A11" s="98"/>
      <c r="B11" s="109"/>
    </row>
    <row r="12" spans="1:25" ht="13.35" customHeight="1">
      <c r="A12" s="98"/>
      <c r="B12" s="127" t="s">
        <v>760</v>
      </c>
    </row>
    <row r="13" spans="1:25" ht="13.35" customHeight="1">
      <c r="A13" s="98"/>
      <c r="B13" s="108" t="s">
        <v>758</v>
      </c>
    </row>
    <row r="14" spans="1:25" ht="13.35" customHeight="1">
      <c r="A14" s="98"/>
      <c r="B14" s="109" t="s">
        <v>1039</v>
      </c>
    </row>
    <row r="15" spans="1:25" ht="13.35" customHeight="1">
      <c r="A15" s="98"/>
      <c r="B15" s="109" t="s">
        <v>761</v>
      </c>
    </row>
    <row r="16" spans="1:25" ht="13.35" customHeight="1">
      <c r="A16" s="98"/>
      <c r="B16" s="109"/>
    </row>
    <row r="17" spans="1:297" ht="13.35" customHeight="1">
      <c r="A17" s="98" t="s">
        <v>759</v>
      </c>
      <c r="C17" s="134" t="s">
        <v>760</v>
      </c>
    </row>
    <row r="18" spans="1:297" s="94" customFormat="1" ht="65.099999999999994" customHeight="1">
      <c r="A18" s="99"/>
      <c r="B18" s="110" t="s">
        <v>392</v>
      </c>
      <c r="C18" s="135" t="s">
        <v>771</v>
      </c>
    </row>
    <row r="19" spans="1:297" s="23" customFormat="1" ht="13.35" customHeight="1">
      <c r="A19" s="98" t="s">
        <v>380</v>
      </c>
      <c r="B19" s="111" t="s">
        <v>393</v>
      </c>
      <c r="C19" s="81"/>
    </row>
    <row r="20" spans="1:297" s="23" customFormat="1" ht="13.35" customHeight="1">
      <c r="A20" s="98" t="s">
        <v>384</v>
      </c>
      <c r="B20" s="111" t="s">
        <v>394</v>
      </c>
      <c r="C20" s="81"/>
    </row>
    <row r="21" spans="1:297" s="23" customFormat="1" ht="13.35" customHeight="1">
      <c r="A21" s="98" t="s">
        <v>385</v>
      </c>
      <c r="B21" s="111" t="s">
        <v>395</v>
      </c>
      <c r="C21" s="81"/>
    </row>
    <row r="22" spans="1:297" s="23" customFormat="1" ht="13.35" customHeight="1">
      <c r="A22" s="98" t="s">
        <v>386</v>
      </c>
      <c r="B22" s="111" t="s">
        <v>396</v>
      </c>
      <c r="C22" s="81"/>
    </row>
    <row r="23" spans="1:297" s="23" customFormat="1" ht="13.35" customHeight="1">
      <c r="A23" s="98" t="s">
        <v>387</v>
      </c>
      <c r="B23" s="102">
        <v>3</v>
      </c>
      <c r="C23" s="81"/>
    </row>
    <row r="24" spans="1:297" s="23" customFormat="1" ht="13.35" customHeight="1">
      <c r="A24" s="98" t="s">
        <v>388</v>
      </c>
      <c r="B24" s="115" t="s">
        <v>400</v>
      </c>
      <c r="C24" s="81"/>
    </row>
    <row r="25" spans="1:297" s="23" customFormat="1" ht="13.35" customHeight="1">
      <c r="A25" s="98" t="s">
        <v>389</v>
      </c>
      <c r="B25" s="116" t="s">
        <v>696</v>
      </c>
      <c r="C25" s="81"/>
    </row>
    <row r="26" spans="1:297" s="23" customFormat="1" ht="13.35" customHeight="1">
      <c r="A26" s="98" t="s">
        <v>390</v>
      </c>
      <c r="B26" s="102">
        <v>297</v>
      </c>
      <c r="C26" s="81"/>
      <c r="E26" s="24"/>
    </row>
    <row r="27" spans="1:297" s="23" customFormat="1" ht="13.35" customHeight="1">
      <c r="A27" s="98" t="s">
        <v>391</v>
      </c>
      <c r="B27" s="111" t="s">
        <v>397</v>
      </c>
      <c r="C27" s="81"/>
      <c r="D27" s="24"/>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c r="DA27" s="95"/>
      <c r="DB27" s="95"/>
      <c r="DC27" s="95"/>
      <c r="DD27" s="95"/>
      <c r="DE27" s="95"/>
      <c r="DF27" s="95"/>
      <c r="DG27" s="95"/>
      <c r="DH27" s="95"/>
      <c r="DI27" s="95"/>
      <c r="DJ27" s="95"/>
      <c r="DK27" s="95"/>
      <c r="DL27" s="95"/>
      <c r="DM27" s="95"/>
      <c r="DN27" s="95"/>
      <c r="DO27" s="95"/>
      <c r="DP27" s="95"/>
      <c r="DQ27" s="95"/>
      <c r="DR27" s="95"/>
      <c r="DS27" s="95"/>
      <c r="DT27" s="95"/>
      <c r="DU27" s="95"/>
      <c r="DV27" s="95"/>
      <c r="DW27" s="95"/>
      <c r="DX27" s="95"/>
      <c r="DY27" s="95"/>
      <c r="DZ27" s="95"/>
      <c r="EA27" s="95"/>
      <c r="EB27" s="95"/>
      <c r="EC27" s="95"/>
      <c r="ED27" s="95"/>
      <c r="EE27" s="95"/>
      <c r="EF27" s="95"/>
      <c r="EG27" s="95"/>
      <c r="EH27" s="95"/>
      <c r="EI27" s="95"/>
      <c r="EJ27" s="95"/>
      <c r="EK27" s="95"/>
      <c r="EL27" s="95"/>
      <c r="EM27" s="95"/>
      <c r="EN27" s="95"/>
      <c r="EO27" s="95"/>
      <c r="EP27" s="95"/>
      <c r="EQ27" s="95"/>
      <c r="ER27" s="95"/>
      <c r="ES27" s="95"/>
      <c r="ET27" s="95"/>
      <c r="EU27" s="95"/>
      <c r="EV27" s="95"/>
      <c r="EW27" s="95"/>
      <c r="EX27" s="95"/>
      <c r="EY27" s="95"/>
      <c r="EZ27" s="95"/>
      <c r="FA27" s="95"/>
      <c r="FB27" s="95"/>
      <c r="FC27" s="95"/>
      <c r="FD27" s="95"/>
      <c r="FE27" s="95"/>
      <c r="FF27" s="95"/>
      <c r="FG27" s="95"/>
      <c r="FH27" s="95"/>
      <c r="FI27" s="95"/>
      <c r="FJ27" s="95"/>
      <c r="FK27" s="95"/>
      <c r="FL27" s="95"/>
      <c r="FM27" s="95"/>
      <c r="FN27" s="95"/>
      <c r="FO27" s="95"/>
      <c r="FP27" s="95"/>
      <c r="FQ27" s="95"/>
      <c r="FR27" s="95"/>
      <c r="FS27" s="95"/>
      <c r="FT27" s="95"/>
      <c r="FU27" s="95"/>
      <c r="FV27" s="95"/>
      <c r="FW27" s="95"/>
      <c r="FX27" s="95"/>
      <c r="FY27" s="95"/>
      <c r="FZ27" s="95"/>
      <c r="GA27" s="95"/>
      <c r="GB27" s="95"/>
      <c r="GC27" s="95"/>
      <c r="GD27" s="95"/>
      <c r="GE27" s="95"/>
      <c r="GF27" s="95"/>
      <c r="GG27" s="95"/>
      <c r="GH27" s="95"/>
      <c r="GI27" s="95"/>
      <c r="GJ27" s="95"/>
      <c r="GK27" s="95"/>
      <c r="GL27" s="95"/>
      <c r="GM27" s="95"/>
      <c r="GN27" s="95"/>
      <c r="GO27" s="95"/>
      <c r="GP27" s="95"/>
      <c r="GQ27" s="95"/>
      <c r="GR27" s="95"/>
      <c r="GS27" s="95"/>
      <c r="GT27" s="95"/>
      <c r="GU27" s="95"/>
      <c r="GV27" s="95"/>
      <c r="GW27" s="95"/>
      <c r="GX27" s="95"/>
      <c r="GY27" s="95"/>
      <c r="GZ27" s="95"/>
      <c r="HA27" s="95"/>
      <c r="HB27" s="95"/>
      <c r="HC27" s="95"/>
      <c r="HD27" s="95"/>
      <c r="HE27" s="95"/>
      <c r="HF27" s="95"/>
      <c r="HG27" s="95"/>
      <c r="HH27" s="95"/>
      <c r="HI27" s="95"/>
      <c r="HJ27" s="95"/>
      <c r="HK27" s="95"/>
      <c r="HL27" s="95"/>
      <c r="HM27" s="95"/>
      <c r="HN27" s="95"/>
      <c r="HO27" s="95"/>
      <c r="HP27" s="95"/>
      <c r="HQ27" s="95"/>
      <c r="HR27" s="95"/>
      <c r="HS27" s="95"/>
      <c r="HT27" s="95"/>
      <c r="HU27" s="95"/>
      <c r="HV27" s="95"/>
      <c r="HW27" s="95"/>
      <c r="HX27" s="95"/>
      <c r="HY27" s="95"/>
      <c r="HZ27" s="95"/>
      <c r="IA27" s="95"/>
      <c r="IB27" s="95"/>
      <c r="IC27" s="95"/>
      <c r="ID27" s="95"/>
      <c r="IE27" s="95"/>
      <c r="IF27" s="95"/>
      <c r="IG27" s="95"/>
      <c r="IH27" s="95"/>
      <c r="II27" s="95"/>
      <c r="IJ27" s="95"/>
      <c r="IK27" s="95"/>
      <c r="IL27" s="95"/>
      <c r="IM27" s="95"/>
      <c r="IN27" s="95"/>
      <c r="IO27" s="95"/>
      <c r="IP27" s="95"/>
      <c r="IQ27" s="95"/>
      <c r="IR27" s="95"/>
      <c r="IS27" s="95"/>
      <c r="IT27" s="95"/>
      <c r="IU27" s="95"/>
      <c r="IV27" s="95"/>
      <c r="IW27" s="95"/>
      <c r="IX27" s="95"/>
      <c r="IY27" s="95"/>
      <c r="IZ27" s="95"/>
      <c r="JA27" s="95"/>
      <c r="JB27" s="95"/>
      <c r="JC27" s="95"/>
      <c r="JD27" s="95"/>
      <c r="JE27" s="95"/>
      <c r="JF27" s="95"/>
      <c r="JG27" s="95"/>
      <c r="JH27" s="95"/>
      <c r="JI27" s="95"/>
      <c r="JJ27" s="95"/>
      <c r="JK27" s="95"/>
      <c r="JL27" s="95"/>
      <c r="JM27" s="95"/>
      <c r="JN27" s="95"/>
      <c r="JO27" s="95"/>
      <c r="JP27" s="95"/>
      <c r="JQ27" s="95"/>
      <c r="JR27" s="95"/>
      <c r="JS27" s="95"/>
      <c r="JT27" s="95"/>
      <c r="JU27" s="95"/>
      <c r="JV27" s="95"/>
      <c r="JW27" s="95"/>
      <c r="JX27" s="95"/>
      <c r="JY27" s="95"/>
      <c r="JZ27" s="95"/>
      <c r="KA27" s="95"/>
      <c r="KB27" s="95"/>
      <c r="KC27" s="95"/>
      <c r="KD27" s="95"/>
      <c r="KE27" s="95"/>
      <c r="KF27" s="95"/>
      <c r="KG27" s="95"/>
      <c r="KH27" s="95"/>
      <c r="KI27" s="95"/>
      <c r="KJ27" s="95"/>
      <c r="KK27" s="95"/>
    </row>
    <row r="28" spans="1:297" s="23" customFormat="1" ht="13.35" hidden="1" customHeight="1">
      <c r="A28" s="100" t="s">
        <v>400</v>
      </c>
      <c r="B28" s="112">
        <v>3.7</v>
      </c>
      <c r="C28" s="128"/>
      <c r="D28" s="95"/>
    </row>
    <row r="29" spans="1:297" s="23" customFormat="1" ht="13.35" hidden="1" customHeight="1">
      <c r="A29" s="100" t="s">
        <v>401</v>
      </c>
      <c r="B29" s="112">
        <v>3.8</v>
      </c>
      <c r="C29" s="128"/>
      <c r="D29" s="95"/>
    </row>
    <row r="30" spans="1:297" s="23" customFormat="1" ht="13.35" hidden="1" customHeight="1">
      <c r="A30" s="100" t="s">
        <v>402</v>
      </c>
      <c r="B30" s="112">
        <v>3.9</v>
      </c>
      <c r="C30" s="128"/>
      <c r="D30" s="95"/>
    </row>
    <row r="31" spans="1:297" s="23" customFormat="1" ht="13.35" hidden="1" customHeight="1">
      <c r="A31" s="100" t="s">
        <v>403</v>
      </c>
      <c r="B31" s="112">
        <v>4</v>
      </c>
      <c r="C31" s="128"/>
      <c r="D31" s="95"/>
    </row>
    <row r="32" spans="1:297" s="23" customFormat="1" ht="13.35" hidden="1" customHeight="1">
      <c r="A32" s="100" t="s">
        <v>404</v>
      </c>
      <c r="B32" s="112">
        <v>4.0999999999999996</v>
      </c>
      <c r="C32" s="128"/>
      <c r="D32" s="95"/>
    </row>
    <row r="33" spans="1:4" s="23" customFormat="1" ht="13.35" hidden="1" customHeight="1">
      <c r="A33" s="100" t="s">
        <v>405</v>
      </c>
      <c r="B33" s="112">
        <v>4.0999999999999996</v>
      </c>
      <c r="C33" s="128"/>
      <c r="D33" s="95"/>
    </row>
    <row r="34" spans="1:4" s="23" customFormat="1" ht="13.35" hidden="1" customHeight="1">
      <c r="A34" s="100" t="s">
        <v>406</v>
      </c>
      <c r="B34" s="112">
        <v>4.2</v>
      </c>
      <c r="C34" s="128"/>
      <c r="D34" s="95"/>
    </row>
    <row r="35" spans="1:4" s="23" customFormat="1" ht="13.35" hidden="1" customHeight="1">
      <c r="A35" s="100" t="s">
        <v>407</v>
      </c>
      <c r="B35" s="112">
        <v>4.3</v>
      </c>
      <c r="C35" s="128"/>
      <c r="D35" s="95"/>
    </row>
    <row r="36" spans="1:4" s="23" customFormat="1" ht="13.35" hidden="1" customHeight="1">
      <c r="A36" s="100" t="s">
        <v>408</v>
      </c>
      <c r="B36" s="112">
        <v>4.4000000000000004</v>
      </c>
      <c r="C36" s="128"/>
      <c r="D36" s="95"/>
    </row>
    <row r="37" spans="1:4" s="23" customFormat="1" ht="13.35" hidden="1" customHeight="1">
      <c r="A37" s="100" t="s">
        <v>409</v>
      </c>
      <c r="B37" s="112">
        <v>4.5999999999999996</v>
      </c>
      <c r="C37" s="128"/>
      <c r="D37" s="95"/>
    </row>
    <row r="38" spans="1:4" s="23" customFormat="1" ht="13.35" hidden="1" customHeight="1">
      <c r="A38" s="100" t="s">
        <v>410</v>
      </c>
      <c r="B38" s="112">
        <v>4.8</v>
      </c>
      <c r="C38" s="128"/>
      <c r="D38" s="95"/>
    </row>
    <row r="39" spans="1:4" s="23" customFormat="1" ht="13.35" hidden="1" customHeight="1">
      <c r="A39" s="100" t="s">
        <v>411</v>
      </c>
      <c r="B39" s="112">
        <v>5.0999999999999996</v>
      </c>
      <c r="C39" s="128"/>
      <c r="D39" s="95"/>
    </row>
    <row r="40" spans="1:4" s="23" customFormat="1" ht="13.35" hidden="1" customHeight="1">
      <c r="A40" s="100" t="s">
        <v>412</v>
      </c>
      <c r="B40" s="112">
        <v>5.3</v>
      </c>
      <c r="C40" s="128"/>
      <c r="D40" s="95"/>
    </row>
    <row r="41" spans="1:4" s="23" customFormat="1" ht="13.35" hidden="1" customHeight="1">
      <c r="A41" s="100" t="s">
        <v>413</v>
      </c>
      <c r="B41" s="112">
        <v>5.7</v>
      </c>
      <c r="C41" s="128"/>
      <c r="D41" s="95"/>
    </row>
    <row r="42" spans="1:4" s="23" customFormat="1" ht="13.35" hidden="1" customHeight="1">
      <c r="A42" s="100" t="s">
        <v>414</v>
      </c>
      <c r="B42" s="112">
        <v>5.9</v>
      </c>
      <c r="C42" s="128"/>
      <c r="D42" s="95"/>
    </row>
    <row r="43" spans="1:4" s="23" customFormat="1" ht="13.35" hidden="1" customHeight="1">
      <c r="A43" s="100" t="s">
        <v>415</v>
      </c>
      <c r="B43" s="112">
        <v>6.1</v>
      </c>
      <c r="C43" s="128"/>
      <c r="D43" s="95"/>
    </row>
    <row r="44" spans="1:4" s="23" customFormat="1" ht="13.35" hidden="1" customHeight="1">
      <c r="A44" s="100" t="s">
        <v>416</v>
      </c>
      <c r="B44" s="112">
        <v>6.2</v>
      </c>
      <c r="C44" s="128"/>
      <c r="D44" s="95"/>
    </row>
    <row r="45" spans="1:4" s="23" customFormat="1" ht="13.35" hidden="1" customHeight="1">
      <c r="A45" s="100" t="s">
        <v>417</v>
      </c>
      <c r="B45" s="112">
        <v>6.3</v>
      </c>
      <c r="C45" s="128"/>
      <c r="D45" s="95"/>
    </row>
    <row r="46" spans="1:4" s="23" customFormat="1" ht="13.35" hidden="1" customHeight="1">
      <c r="A46" s="100" t="s">
        <v>418</v>
      </c>
      <c r="B46" s="112">
        <v>6.3</v>
      </c>
      <c r="C46" s="128"/>
      <c r="D46" s="95"/>
    </row>
    <row r="47" spans="1:4" s="23" customFormat="1" ht="13.35" hidden="1" customHeight="1">
      <c r="A47" s="100" t="s">
        <v>419</v>
      </c>
      <c r="B47" s="112">
        <v>6.4</v>
      </c>
      <c r="C47" s="128"/>
      <c r="D47" s="95"/>
    </row>
    <row r="48" spans="1:4" s="23" customFormat="1" ht="13.35" hidden="1" customHeight="1">
      <c r="A48" s="100" t="s">
        <v>420</v>
      </c>
      <c r="B48" s="112">
        <v>6.5</v>
      </c>
      <c r="C48" s="128"/>
      <c r="D48" s="95"/>
    </row>
    <row r="49" spans="1:4" s="23" customFormat="1" ht="13.35" hidden="1" customHeight="1">
      <c r="A49" s="100" t="s">
        <v>421</v>
      </c>
      <c r="B49" s="112">
        <v>6.4</v>
      </c>
      <c r="C49" s="128"/>
      <c r="D49" s="95"/>
    </row>
    <row r="50" spans="1:4" s="23" customFormat="1" ht="13.35" hidden="1" customHeight="1">
      <c r="A50" s="100" t="s">
        <v>422</v>
      </c>
      <c r="B50" s="112">
        <v>6.5</v>
      </c>
      <c r="C50" s="128"/>
      <c r="D50" s="95"/>
    </row>
    <row r="51" spans="1:4" s="23" customFormat="1" ht="13.35" hidden="1" customHeight="1">
      <c r="A51" s="100" t="s">
        <v>423</v>
      </c>
      <c r="B51" s="112">
        <v>6.5</v>
      </c>
      <c r="C51" s="128"/>
      <c r="D51" s="95"/>
    </row>
    <row r="52" spans="1:4" s="23" customFormat="1" ht="13.35" hidden="1" customHeight="1">
      <c r="A52" s="100" t="s">
        <v>424</v>
      </c>
      <c r="B52" s="112">
        <v>6.5</v>
      </c>
      <c r="C52" s="128"/>
      <c r="D52" s="95"/>
    </row>
    <row r="53" spans="1:4" s="23" customFormat="1" ht="13.35" hidden="1" customHeight="1">
      <c r="A53" s="100" t="s">
        <v>425</v>
      </c>
      <c r="B53" s="112">
        <v>6.5</v>
      </c>
      <c r="C53" s="128"/>
      <c r="D53" s="95"/>
    </row>
    <row r="54" spans="1:4" s="23" customFormat="1" ht="13.35" hidden="1" customHeight="1">
      <c r="A54" s="100" t="s">
        <v>426</v>
      </c>
      <c r="B54" s="112">
        <v>6.5</v>
      </c>
      <c r="C54" s="128"/>
      <c r="D54" s="95"/>
    </row>
    <row r="55" spans="1:4" s="23" customFormat="1" ht="13.35" hidden="1" customHeight="1">
      <c r="A55" s="100" t="s">
        <v>427</v>
      </c>
      <c r="B55" s="112">
        <v>6.6</v>
      </c>
      <c r="C55" s="128"/>
      <c r="D55" s="95"/>
    </row>
    <row r="56" spans="1:4" s="23" customFormat="1" ht="13.35" hidden="1" customHeight="1">
      <c r="A56" s="100" t="s">
        <v>428</v>
      </c>
      <c r="B56" s="112">
        <v>6.6</v>
      </c>
      <c r="C56" s="128"/>
      <c r="D56" s="95"/>
    </row>
    <row r="57" spans="1:4" s="23" customFormat="1" ht="13.35" hidden="1" customHeight="1">
      <c r="A57" s="100" t="s">
        <v>429</v>
      </c>
      <c r="B57" s="112">
        <v>6.7</v>
      </c>
      <c r="C57" s="128"/>
      <c r="D57" s="95"/>
    </row>
    <row r="58" spans="1:4" s="23" customFormat="1" ht="13.35" hidden="1" customHeight="1">
      <c r="A58" s="100" t="s">
        <v>430</v>
      </c>
      <c r="B58" s="112">
        <v>6.7</v>
      </c>
      <c r="C58" s="128"/>
      <c r="D58" s="95"/>
    </row>
    <row r="59" spans="1:4" s="23" customFormat="1" ht="13.35" hidden="1" customHeight="1">
      <c r="A59" s="100" t="s">
        <v>431</v>
      </c>
      <c r="B59" s="112">
        <v>7</v>
      </c>
      <c r="C59" s="128"/>
      <c r="D59" s="95"/>
    </row>
    <row r="60" spans="1:4" s="23" customFormat="1" ht="13.35" hidden="1" customHeight="1">
      <c r="A60" s="100" t="s">
        <v>432</v>
      </c>
      <c r="B60" s="112">
        <v>7.1</v>
      </c>
      <c r="C60" s="128"/>
      <c r="D60" s="95"/>
    </row>
    <row r="61" spans="1:4" s="23" customFormat="1" ht="13.35" hidden="1" customHeight="1">
      <c r="A61" s="100" t="s">
        <v>433</v>
      </c>
      <c r="B61" s="112">
        <v>7.1</v>
      </c>
      <c r="C61" s="128"/>
      <c r="D61" s="95"/>
    </row>
    <row r="62" spans="1:4" s="23" customFormat="1" ht="13.35" hidden="1" customHeight="1">
      <c r="A62" s="100" t="s">
        <v>434</v>
      </c>
      <c r="B62" s="112">
        <v>7.1</v>
      </c>
      <c r="C62" s="128"/>
      <c r="D62" s="95"/>
    </row>
    <row r="63" spans="1:4" s="23" customFormat="1" ht="13.35" hidden="1" customHeight="1">
      <c r="A63" s="100" t="s">
        <v>435</v>
      </c>
      <c r="B63" s="112">
        <v>7.2</v>
      </c>
      <c r="C63" s="128"/>
      <c r="D63" s="95"/>
    </row>
    <row r="64" spans="1:4" s="23" customFormat="1" ht="13.35" hidden="1" customHeight="1">
      <c r="A64" s="100" t="s">
        <v>436</v>
      </c>
      <c r="B64" s="112">
        <v>7.2</v>
      </c>
      <c r="C64" s="128"/>
      <c r="D64" s="95"/>
    </row>
    <row r="65" spans="1:4" s="23" customFormat="1" ht="13.35" hidden="1" customHeight="1">
      <c r="A65" s="100" t="s">
        <v>437</v>
      </c>
      <c r="B65" s="112">
        <v>7.2</v>
      </c>
      <c r="C65" s="128"/>
      <c r="D65" s="95"/>
    </row>
    <row r="66" spans="1:4" s="23" customFormat="1" ht="13.35" hidden="1" customHeight="1">
      <c r="A66" s="100" t="s">
        <v>438</v>
      </c>
      <c r="B66" s="112">
        <v>7.2</v>
      </c>
      <c r="C66" s="128"/>
      <c r="D66" s="95"/>
    </row>
    <row r="67" spans="1:4" s="23" customFormat="1" ht="13.35" hidden="1" customHeight="1">
      <c r="A67" s="100" t="s">
        <v>439</v>
      </c>
      <c r="B67" s="112">
        <v>7.2</v>
      </c>
      <c r="C67" s="128"/>
      <c r="D67" s="95"/>
    </row>
    <row r="68" spans="1:4" s="23" customFormat="1" ht="13.35" hidden="1" customHeight="1">
      <c r="A68" s="100" t="s">
        <v>440</v>
      </c>
      <c r="B68" s="112">
        <v>7.2</v>
      </c>
      <c r="C68" s="128"/>
      <c r="D68" s="95"/>
    </row>
    <row r="69" spans="1:4" s="23" customFormat="1" ht="13.35" hidden="1" customHeight="1">
      <c r="A69" s="100" t="s">
        <v>441</v>
      </c>
      <c r="B69" s="112">
        <v>7.3</v>
      </c>
      <c r="C69" s="128"/>
      <c r="D69" s="95"/>
    </row>
    <row r="70" spans="1:4" s="23" customFormat="1" ht="13.35" hidden="1" customHeight="1">
      <c r="A70" s="100" t="s">
        <v>442</v>
      </c>
      <c r="B70" s="112">
        <v>7.3</v>
      </c>
      <c r="C70" s="128"/>
      <c r="D70" s="95"/>
    </row>
    <row r="71" spans="1:4" s="23" customFormat="1" ht="13.35" hidden="1" customHeight="1">
      <c r="A71" s="100" t="s">
        <v>443</v>
      </c>
      <c r="B71" s="112">
        <v>7.3</v>
      </c>
      <c r="C71" s="128"/>
      <c r="D71" s="95"/>
    </row>
    <row r="72" spans="1:4" s="23" customFormat="1" ht="13.35" hidden="1" customHeight="1">
      <c r="A72" s="100" t="s">
        <v>444</v>
      </c>
      <c r="B72" s="112">
        <v>7.4</v>
      </c>
      <c r="C72" s="128"/>
      <c r="D72" s="95"/>
    </row>
    <row r="73" spans="1:4" s="23" customFormat="1" ht="13.35" hidden="1" customHeight="1">
      <c r="A73" s="100" t="s">
        <v>445</v>
      </c>
      <c r="B73" s="112">
        <v>7.5</v>
      </c>
      <c r="C73" s="128"/>
      <c r="D73" s="95"/>
    </row>
    <row r="74" spans="1:4" s="23" customFormat="1" ht="13.35" hidden="1" customHeight="1">
      <c r="A74" s="100" t="s">
        <v>446</v>
      </c>
      <c r="B74" s="112">
        <v>7.5</v>
      </c>
      <c r="C74" s="128"/>
      <c r="D74" s="95"/>
    </row>
    <row r="75" spans="1:4" s="23" customFormat="1" ht="13.35" hidden="1" customHeight="1">
      <c r="A75" s="100" t="s">
        <v>447</v>
      </c>
      <c r="B75" s="112">
        <v>7.6</v>
      </c>
      <c r="C75" s="128"/>
      <c r="D75" s="95"/>
    </row>
    <row r="76" spans="1:4" s="23" customFormat="1" ht="13.35" hidden="1" customHeight="1">
      <c r="A76" s="100" t="s">
        <v>448</v>
      </c>
      <c r="B76" s="112">
        <v>7.7</v>
      </c>
      <c r="C76" s="128"/>
      <c r="D76" s="95"/>
    </row>
    <row r="77" spans="1:4" s="23" customFormat="1" ht="13.35" hidden="1" customHeight="1">
      <c r="A77" s="100" t="s">
        <v>449</v>
      </c>
      <c r="B77" s="112">
        <v>7.8</v>
      </c>
      <c r="C77" s="128"/>
      <c r="D77" s="95"/>
    </row>
    <row r="78" spans="1:4" s="23" customFormat="1" ht="13.35" hidden="1" customHeight="1">
      <c r="A78" s="100" t="s">
        <v>450</v>
      </c>
      <c r="B78" s="112">
        <v>7.8</v>
      </c>
      <c r="C78" s="128"/>
      <c r="D78" s="95"/>
    </row>
    <row r="79" spans="1:4" s="23" customFormat="1" ht="13.35" hidden="1" customHeight="1">
      <c r="A79" s="100" t="s">
        <v>451</v>
      </c>
      <c r="B79" s="112">
        <v>7.9</v>
      </c>
      <c r="C79" s="128"/>
      <c r="D79" s="95"/>
    </row>
    <row r="80" spans="1:4" s="23" customFormat="1" ht="13.35" hidden="1" customHeight="1">
      <c r="A80" s="100" t="s">
        <v>452</v>
      </c>
      <c r="B80" s="112">
        <v>7.8</v>
      </c>
      <c r="C80" s="128"/>
      <c r="D80" s="95"/>
    </row>
    <row r="81" spans="1:4" s="23" customFormat="1" ht="13.35" hidden="1" customHeight="1">
      <c r="A81" s="100" t="s">
        <v>453</v>
      </c>
      <c r="B81" s="112">
        <v>7.8</v>
      </c>
      <c r="C81" s="128"/>
      <c r="D81" s="95"/>
    </row>
    <row r="82" spans="1:4" s="23" customFormat="1" ht="13.35" hidden="1" customHeight="1">
      <c r="A82" s="100" t="s">
        <v>454</v>
      </c>
      <c r="B82" s="112">
        <v>7.8</v>
      </c>
      <c r="C82" s="128"/>
      <c r="D82" s="95"/>
    </row>
    <row r="83" spans="1:4" s="23" customFormat="1" ht="13.35" hidden="1" customHeight="1">
      <c r="A83" s="100" t="s">
        <v>455</v>
      </c>
      <c r="B83" s="112">
        <v>7.8</v>
      </c>
      <c r="C83" s="128"/>
      <c r="D83" s="95"/>
    </row>
    <row r="84" spans="1:4" s="23" customFormat="1" ht="13.35" hidden="1" customHeight="1">
      <c r="A84" s="100" t="s">
        <v>456</v>
      </c>
      <c r="B84" s="112">
        <v>7.8</v>
      </c>
      <c r="C84" s="128"/>
      <c r="D84" s="95"/>
    </row>
    <row r="85" spans="1:4" s="23" customFormat="1" ht="13.35" hidden="1" customHeight="1">
      <c r="A85" s="100" t="s">
        <v>457</v>
      </c>
      <c r="B85" s="112">
        <v>7.8</v>
      </c>
      <c r="C85" s="128"/>
      <c r="D85" s="95"/>
    </row>
    <row r="86" spans="1:4" s="23" customFormat="1" ht="13.35" hidden="1" customHeight="1">
      <c r="A86" s="100" t="s">
        <v>458</v>
      </c>
      <c r="B86" s="112">
        <v>7.8</v>
      </c>
      <c r="C86" s="128"/>
      <c r="D86" s="95"/>
    </row>
    <row r="87" spans="1:4" s="23" customFormat="1" ht="13.35" hidden="1" customHeight="1">
      <c r="A87" s="100" t="s">
        <v>459</v>
      </c>
      <c r="B87" s="112">
        <v>7.8</v>
      </c>
      <c r="C87" s="128"/>
      <c r="D87" s="95"/>
    </row>
    <row r="88" spans="1:4" s="23" customFormat="1" ht="13.35" hidden="1" customHeight="1">
      <c r="A88" s="100" t="s">
        <v>460</v>
      </c>
      <c r="B88" s="112">
        <v>7.9</v>
      </c>
      <c r="C88" s="128"/>
      <c r="D88" s="95"/>
    </row>
    <row r="89" spans="1:4" s="23" customFormat="1" ht="13.35" hidden="1" customHeight="1">
      <c r="A89" s="100" t="s">
        <v>461</v>
      </c>
      <c r="B89" s="112">
        <v>7.9</v>
      </c>
      <c r="C89" s="128"/>
      <c r="D89" s="95"/>
    </row>
    <row r="90" spans="1:4" s="23" customFormat="1" ht="13.35" hidden="1" customHeight="1">
      <c r="A90" s="100" t="s">
        <v>462</v>
      </c>
      <c r="B90" s="112">
        <v>8</v>
      </c>
      <c r="C90" s="128"/>
      <c r="D90" s="95"/>
    </row>
    <row r="91" spans="1:4" s="23" customFormat="1" ht="13.35" hidden="1" customHeight="1">
      <c r="A91" s="100" t="s">
        <v>463</v>
      </c>
      <c r="B91" s="112">
        <v>8</v>
      </c>
      <c r="C91" s="128"/>
      <c r="D91" s="95"/>
    </row>
    <row r="92" spans="1:4" s="23" customFormat="1" ht="13.35" hidden="1" customHeight="1">
      <c r="A92" s="100" t="s">
        <v>464</v>
      </c>
      <c r="B92" s="112">
        <v>8.1</v>
      </c>
      <c r="C92" s="128"/>
      <c r="D92" s="95"/>
    </row>
    <row r="93" spans="1:4" s="23" customFormat="1" ht="13.35" hidden="1" customHeight="1">
      <c r="A93" s="100" t="s">
        <v>465</v>
      </c>
      <c r="B93" s="112">
        <v>8.1999999999999993</v>
      </c>
      <c r="C93" s="128"/>
      <c r="D93" s="95"/>
    </row>
    <row r="94" spans="1:4" s="23" customFormat="1" ht="13.35" hidden="1" customHeight="1">
      <c r="A94" s="100" t="s">
        <v>466</v>
      </c>
      <c r="B94" s="112">
        <v>8.1999999999999993</v>
      </c>
      <c r="C94" s="128"/>
      <c r="D94" s="95"/>
    </row>
    <row r="95" spans="1:4" s="23" customFormat="1" ht="13.35" hidden="1" customHeight="1">
      <c r="A95" s="100" t="s">
        <v>467</v>
      </c>
      <c r="B95" s="112">
        <v>8.3000000000000007</v>
      </c>
      <c r="C95" s="128"/>
      <c r="D95" s="95"/>
    </row>
    <row r="96" spans="1:4" s="23" customFormat="1" ht="13.35" hidden="1" customHeight="1">
      <c r="A96" s="100" t="s">
        <v>468</v>
      </c>
      <c r="B96" s="112">
        <v>8.4</v>
      </c>
      <c r="C96" s="128"/>
      <c r="D96" s="95"/>
    </row>
    <row r="97" spans="1:4" s="23" customFormat="1" ht="13.35" hidden="1" customHeight="1">
      <c r="A97" s="100" t="s">
        <v>469</v>
      </c>
      <c r="B97" s="112">
        <v>8.5</v>
      </c>
      <c r="C97" s="128"/>
      <c r="D97" s="95"/>
    </row>
    <row r="98" spans="1:4" s="23" customFormat="1" ht="13.35" hidden="1" customHeight="1">
      <c r="A98" s="100" t="s">
        <v>470</v>
      </c>
      <c r="B98" s="112">
        <v>8.6</v>
      </c>
      <c r="C98" s="128"/>
      <c r="D98" s="95"/>
    </row>
    <row r="99" spans="1:4" s="23" customFormat="1" ht="13.35" hidden="1" customHeight="1">
      <c r="A99" s="100" t="s">
        <v>471</v>
      </c>
      <c r="B99" s="112">
        <v>8.6</v>
      </c>
      <c r="C99" s="128"/>
      <c r="D99" s="95"/>
    </row>
    <row r="100" spans="1:4" s="23" customFormat="1" ht="13.35" hidden="1" customHeight="1">
      <c r="A100" s="100" t="s">
        <v>472</v>
      </c>
      <c r="B100" s="112">
        <v>8.6</v>
      </c>
      <c r="C100" s="128"/>
      <c r="D100" s="95"/>
    </row>
    <row r="101" spans="1:4" s="23" customFormat="1" ht="13.35" hidden="1" customHeight="1">
      <c r="A101" s="100" t="s">
        <v>473</v>
      </c>
      <c r="B101" s="112">
        <v>8.6999999999999993</v>
      </c>
      <c r="C101" s="128"/>
      <c r="D101" s="95"/>
    </row>
    <row r="102" spans="1:4" s="23" customFormat="1" ht="13.35" hidden="1" customHeight="1">
      <c r="A102" s="100" t="s">
        <v>474</v>
      </c>
      <c r="B102" s="112">
        <v>8.8000000000000007</v>
      </c>
      <c r="C102" s="128"/>
      <c r="D102" s="95"/>
    </row>
    <row r="103" spans="1:4" s="23" customFormat="1" ht="13.35" hidden="1" customHeight="1">
      <c r="A103" s="100" t="s">
        <v>475</v>
      </c>
      <c r="B103" s="112">
        <v>8.9</v>
      </c>
      <c r="C103" s="128"/>
      <c r="D103" s="95"/>
    </row>
    <row r="104" spans="1:4" s="23" customFormat="1" ht="13.35" hidden="1" customHeight="1">
      <c r="A104" s="100" t="s">
        <v>476</v>
      </c>
      <c r="B104" s="112">
        <v>9</v>
      </c>
      <c r="C104" s="128"/>
      <c r="D104" s="95"/>
    </row>
    <row r="105" spans="1:4" s="23" customFormat="1" ht="13.35" hidden="1" customHeight="1">
      <c r="A105" s="100" t="s">
        <v>477</v>
      </c>
      <c r="B105" s="112">
        <v>9</v>
      </c>
      <c r="C105" s="128"/>
      <c r="D105" s="95"/>
    </row>
    <row r="106" spans="1:4" s="23" customFormat="1" ht="13.35" hidden="1" customHeight="1">
      <c r="A106" s="100" t="s">
        <v>478</v>
      </c>
      <c r="B106" s="112">
        <v>9.1</v>
      </c>
      <c r="C106" s="128"/>
      <c r="D106" s="95"/>
    </row>
    <row r="107" spans="1:4" s="23" customFormat="1" ht="13.35" hidden="1" customHeight="1">
      <c r="A107" s="100" t="s">
        <v>479</v>
      </c>
      <c r="B107" s="112">
        <v>9.1</v>
      </c>
      <c r="C107" s="128"/>
      <c r="D107" s="95"/>
    </row>
    <row r="108" spans="1:4" s="23" customFormat="1" ht="13.35" hidden="1" customHeight="1">
      <c r="A108" s="100" t="s">
        <v>480</v>
      </c>
      <c r="B108" s="112">
        <v>9.1999999999999993</v>
      </c>
      <c r="C108" s="128"/>
      <c r="D108" s="95"/>
    </row>
    <row r="109" spans="1:4" s="23" customFormat="1" ht="13.35" hidden="1" customHeight="1">
      <c r="A109" s="100" t="s">
        <v>481</v>
      </c>
      <c r="B109" s="112">
        <v>9.1999999999999993</v>
      </c>
      <c r="C109" s="128"/>
      <c r="D109" s="95"/>
    </row>
    <row r="110" spans="1:4" s="23" customFormat="1" ht="13.35" hidden="1" customHeight="1">
      <c r="A110" s="100" t="s">
        <v>482</v>
      </c>
      <c r="B110" s="112">
        <v>9.4</v>
      </c>
      <c r="C110" s="128"/>
      <c r="D110" s="95"/>
    </row>
    <row r="111" spans="1:4" s="23" customFormat="1" ht="13.35" hidden="1" customHeight="1">
      <c r="A111" s="100" t="s">
        <v>483</v>
      </c>
      <c r="B111" s="112">
        <v>9.4</v>
      </c>
      <c r="C111" s="128"/>
      <c r="D111" s="95"/>
    </row>
    <row r="112" spans="1:4" s="23" customFormat="1" ht="13.35" hidden="1" customHeight="1">
      <c r="A112" s="100" t="s">
        <v>484</v>
      </c>
      <c r="B112" s="112">
        <v>9.5</v>
      </c>
      <c r="C112" s="128"/>
      <c r="D112" s="95"/>
    </row>
    <row r="113" spans="1:4" s="23" customFormat="1" ht="13.35" hidden="1" customHeight="1">
      <c r="A113" s="100" t="s">
        <v>485</v>
      </c>
      <c r="B113" s="112">
        <v>9.5</v>
      </c>
      <c r="C113" s="128"/>
      <c r="D113" s="95"/>
    </row>
    <row r="114" spans="1:4" s="23" customFormat="1" ht="13.35" hidden="1" customHeight="1">
      <c r="A114" s="100" t="s">
        <v>486</v>
      </c>
      <c r="B114" s="112">
        <v>9.6</v>
      </c>
      <c r="C114" s="128"/>
      <c r="D114" s="95"/>
    </row>
    <row r="115" spans="1:4" s="23" customFormat="1" ht="13.35" hidden="1" customHeight="1">
      <c r="A115" s="100" t="s">
        <v>487</v>
      </c>
      <c r="B115" s="112">
        <v>9.6999999999999993</v>
      </c>
      <c r="C115" s="128"/>
      <c r="D115" s="95"/>
    </row>
    <row r="116" spans="1:4" s="23" customFormat="1" ht="13.35" hidden="1" customHeight="1">
      <c r="A116" s="100" t="s">
        <v>488</v>
      </c>
      <c r="B116" s="112">
        <v>9.8000000000000007</v>
      </c>
      <c r="C116" s="128"/>
      <c r="D116" s="95"/>
    </row>
    <row r="117" spans="1:4" s="23" customFormat="1" ht="13.35" hidden="1" customHeight="1">
      <c r="A117" s="100" t="s">
        <v>489</v>
      </c>
      <c r="B117" s="112">
        <v>10</v>
      </c>
      <c r="C117" s="128"/>
      <c r="D117" s="95"/>
    </row>
    <row r="118" spans="1:4" s="23" customFormat="1" ht="13.35" hidden="1" customHeight="1">
      <c r="A118" s="100" t="s">
        <v>490</v>
      </c>
      <c r="B118" s="112">
        <v>10.1</v>
      </c>
      <c r="C118" s="128"/>
      <c r="D118" s="95"/>
    </row>
    <row r="119" spans="1:4" s="23" customFormat="1" ht="13.35" hidden="1" customHeight="1">
      <c r="A119" s="100" t="s">
        <v>491</v>
      </c>
      <c r="B119" s="112">
        <v>10.199999999999999</v>
      </c>
      <c r="C119" s="128"/>
      <c r="D119" s="95"/>
    </row>
    <row r="120" spans="1:4" s="23" customFormat="1" ht="13.35" hidden="1" customHeight="1">
      <c r="A120" s="100" t="s">
        <v>492</v>
      </c>
      <c r="B120" s="112">
        <v>10.5</v>
      </c>
      <c r="C120" s="128"/>
      <c r="D120" s="95"/>
    </row>
    <row r="121" spans="1:4" s="23" customFormat="1" ht="13.35" hidden="1" customHeight="1">
      <c r="A121" s="100" t="s">
        <v>493</v>
      </c>
      <c r="B121" s="112">
        <v>10.7</v>
      </c>
      <c r="C121" s="128"/>
      <c r="D121" s="95"/>
    </row>
    <row r="122" spans="1:4" s="23" customFormat="1" ht="13.35" hidden="1" customHeight="1">
      <c r="A122" s="100" t="s">
        <v>494</v>
      </c>
      <c r="B122" s="112">
        <v>10.8</v>
      </c>
      <c r="C122" s="128"/>
      <c r="D122" s="95"/>
    </row>
    <row r="123" spans="1:4" s="23" customFormat="1" ht="13.35" hidden="1" customHeight="1">
      <c r="A123" s="100" t="s">
        <v>495</v>
      </c>
      <c r="B123" s="112">
        <v>10.9</v>
      </c>
      <c r="C123" s="128"/>
      <c r="D123" s="95"/>
    </row>
    <row r="124" spans="1:4" s="23" customFormat="1" ht="13.35" hidden="1" customHeight="1">
      <c r="A124" s="100" t="s">
        <v>496</v>
      </c>
      <c r="B124" s="112">
        <v>11.1</v>
      </c>
      <c r="C124" s="128"/>
      <c r="D124" s="95"/>
    </row>
    <row r="125" spans="1:4" s="23" customFormat="1" ht="13.35" hidden="1" customHeight="1">
      <c r="A125" s="100" t="s">
        <v>497</v>
      </c>
      <c r="B125" s="112">
        <v>11.2</v>
      </c>
      <c r="C125" s="128"/>
      <c r="D125" s="95"/>
    </row>
    <row r="126" spans="1:4" s="23" customFormat="1" ht="13.35" hidden="1" customHeight="1">
      <c r="A126" s="100" t="s">
        <v>498</v>
      </c>
      <c r="B126" s="112">
        <v>11.4</v>
      </c>
      <c r="C126" s="128"/>
      <c r="D126" s="95"/>
    </row>
    <row r="127" spans="1:4" s="23" customFormat="1" ht="13.35" hidden="1" customHeight="1">
      <c r="A127" s="100" t="s">
        <v>499</v>
      </c>
      <c r="B127" s="112">
        <v>11.8</v>
      </c>
      <c r="C127" s="128"/>
      <c r="D127" s="95"/>
    </row>
    <row r="128" spans="1:4" s="23" customFormat="1" ht="13.35" hidden="1" customHeight="1">
      <c r="A128" s="100" t="s">
        <v>500</v>
      </c>
      <c r="B128" s="112">
        <v>12.2</v>
      </c>
      <c r="C128" s="128"/>
      <c r="D128" s="95"/>
    </row>
    <row r="129" spans="1:4" s="23" customFormat="1" ht="13.35" hidden="1" customHeight="1">
      <c r="A129" s="100" t="s">
        <v>501</v>
      </c>
      <c r="B129" s="112">
        <v>12.6</v>
      </c>
      <c r="C129" s="128"/>
      <c r="D129" s="95"/>
    </row>
    <row r="130" spans="1:4" s="23" customFormat="1" ht="13.35" hidden="1" customHeight="1">
      <c r="A130" s="100" t="s">
        <v>502</v>
      </c>
      <c r="B130" s="112">
        <v>13</v>
      </c>
      <c r="C130" s="128"/>
      <c r="D130" s="95"/>
    </row>
    <row r="131" spans="1:4" s="23" customFormat="1" ht="13.35" hidden="1" customHeight="1">
      <c r="A131" s="100" t="s">
        <v>503</v>
      </c>
      <c r="B131" s="112">
        <v>13.5</v>
      </c>
      <c r="C131" s="128"/>
      <c r="D131" s="95"/>
    </row>
    <row r="132" spans="1:4" s="23" customFormat="1" ht="13.35" hidden="1" customHeight="1">
      <c r="A132" s="100" t="s">
        <v>504</v>
      </c>
      <c r="B132" s="112">
        <v>14.2</v>
      </c>
      <c r="C132" s="128"/>
      <c r="D132" s="95"/>
    </row>
    <row r="133" spans="1:4" s="23" customFormat="1" ht="13.35" hidden="1" customHeight="1">
      <c r="A133" s="100" t="s">
        <v>505</v>
      </c>
      <c r="B133" s="112">
        <v>14.7</v>
      </c>
      <c r="C133" s="128"/>
      <c r="D133" s="95"/>
    </row>
    <row r="134" spans="1:4" s="23" customFormat="1" ht="13.35" hidden="1" customHeight="1">
      <c r="A134" s="100" t="s">
        <v>506</v>
      </c>
      <c r="B134" s="112">
        <v>15.3</v>
      </c>
      <c r="C134" s="128"/>
      <c r="D134" s="95"/>
    </row>
    <row r="135" spans="1:4" s="23" customFormat="1" ht="13.35" hidden="1" customHeight="1">
      <c r="A135" s="100" t="s">
        <v>507</v>
      </c>
      <c r="B135" s="112">
        <v>15.8</v>
      </c>
      <c r="C135" s="128"/>
      <c r="D135" s="95"/>
    </row>
    <row r="136" spans="1:4" s="23" customFormat="1" ht="13.35" hidden="1" customHeight="1">
      <c r="A136" s="100" t="s">
        <v>508</v>
      </c>
      <c r="B136" s="112">
        <v>15.9</v>
      </c>
      <c r="C136" s="128"/>
      <c r="D136" s="95"/>
    </row>
    <row r="137" spans="1:4" s="23" customFormat="1" ht="13.35" hidden="1" customHeight="1">
      <c r="A137" s="100" t="s">
        <v>509</v>
      </c>
      <c r="B137" s="112">
        <v>16.8</v>
      </c>
      <c r="C137" s="128"/>
      <c r="D137" s="95"/>
    </row>
    <row r="138" spans="1:4" s="23" customFormat="1" ht="13.35" hidden="1" customHeight="1">
      <c r="A138" s="100" t="s">
        <v>510</v>
      </c>
      <c r="B138" s="112">
        <v>17.3</v>
      </c>
      <c r="C138" s="128"/>
      <c r="D138" s="95"/>
    </row>
    <row r="139" spans="1:4" s="23" customFormat="1" ht="13.35" hidden="1" customHeight="1">
      <c r="A139" s="100" t="s">
        <v>511</v>
      </c>
      <c r="B139" s="112">
        <v>17.7</v>
      </c>
      <c r="C139" s="128"/>
      <c r="D139" s="95"/>
    </row>
    <row r="140" spans="1:4" s="23" customFormat="1" ht="13.35" hidden="1" customHeight="1">
      <c r="A140" s="100" t="s">
        <v>512</v>
      </c>
      <c r="B140" s="112">
        <v>18.100000000000001</v>
      </c>
      <c r="C140" s="128"/>
      <c r="D140" s="95"/>
    </row>
    <row r="141" spans="1:4" s="23" customFormat="1" ht="13.35" hidden="1" customHeight="1">
      <c r="A141" s="100" t="s">
        <v>513</v>
      </c>
      <c r="B141" s="112">
        <v>19.2</v>
      </c>
      <c r="C141" s="128"/>
      <c r="D141" s="95"/>
    </row>
    <row r="142" spans="1:4" s="23" customFormat="1" ht="13.35" hidden="1" customHeight="1">
      <c r="A142" s="100" t="s">
        <v>514</v>
      </c>
      <c r="B142" s="112">
        <v>19.600000000000001</v>
      </c>
      <c r="C142" s="128"/>
      <c r="D142" s="95"/>
    </row>
    <row r="143" spans="1:4" s="23" customFormat="1" ht="13.35" hidden="1" customHeight="1">
      <c r="A143" s="100" t="s">
        <v>515</v>
      </c>
      <c r="B143" s="112">
        <v>20.100000000000001</v>
      </c>
      <c r="C143" s="128"/>
      <c r="D143" s="95"/>
    </row>
    <row r="144" spans="1:4" s="23" customFormat="1" ht="13.35" hidden="1" customHeight="1">
      <c r="A144" s="100" t="s">
        <v>516</v>
      </c>
      <c r="B144" s="112">
        <v>20.5</v>
      </c>
      <c r="C144" s="128"/>
      <c r="D144" s="95"/>
    </row>
    <row r="145" spans="1:4" s="23" customFormat="1" ht="13.35" hidden="1" customHeight="1">
      <c r="A145" s="100" t="s">
        <v>517</v>
      </c>
      <c r="B145" s="112">
        <v>21</v>
      </c>
      <c r="C145" s="128"/>
      <c r="D145" s="95"/>
    </row>
    <row r="146" spans="1:4" s="23" customFormat="1" ht="13.35" hidden="1" customHeight="1">
      <c r="A146" s="100" t="s">
        <v>518</v>
      </c>
      <c r="B146" s="112">
        <v>21.3</v>
      </c>
      <c r="C146" s="128"/>
      <c r="D146" s="95"/>
    </row>
    <row r="147" spans="1:4" s="23" customFormat="1" ht="13.35" hidden="1" customHeight="1">
      <c r="A147" s="100" t="s">
        <v>519</v>
      </c>
      <c r="B147" s="112">
        <v>21.7</v>
      </c>
      <c r="C147" s="128"/>
      <c r="D147" s="95"/>
    </row>
    <row r="148" spans="1:4" s="23" customFormat="1" ht="13.35" hidden="1" customHeight="1">
      <c r="A148" s="100" t="s">
        <v>520</v>
      </c>
      <c r="B148" s="112">
        <v>22.1</v>
      </c>
      <c r="C148" s="128"/>
      <c r="D148" s="95"/>
    </row>
    <row r="149" spans="1:4" s="23" customFormat="1" ht="13.35" hidden="1" customHeight="1">
      <c r="A149" s="100" t="s">
        <v>521</v>
      </c>
      <c r="B149" s="112">
        <v>22.6</v>
      </c>
      <c r="C149" s="128"/>
      <c r="D149" s="95"/>
    </row>
    <row r="150" spans="1:4" s="23" customFormat="1" ht="13.35" hidden="1" customHeight="1">
      <c r="A150" s="100" t="s">
        <v>522</v>
      </c>
      <c r="B150" s="112">
        <v>23</v>
      </c>
      <c r="C150" s="128"/>
      <c r="D150" s="95"/>
    </row>
    <row r="151" spans="1:4" s="23" customFormat="1" ht="13.35" hidden="1" customHeight="1">
      <c r="A151" s="100" t="s">
        <v>523</v>
      </c>
      <c r="B151" s="112">
        <v>23.6</v>
      </c>
      <c r="C151" s="128"/>
      <c r="D151" s="95"/>
    </row>
    <row r="152" spans="1:4" s="23" customFormat="1" ht="13.35" hidden="1" customHeight="1">
      <c r="A152" s="100" t="s">
        <v>524</v>
      </c>
      <c r="B152" s="112">
        <v>24.2</v>
      </c>
      <c r="C152" s="128"/>
      <c r="D152" s="95"/>
    </row>
    <row r="153" spans="1:4" s="23" customFormat="1" ht="13.35" hidden="1" customHeight="1">
      <c r="A153" s="100" t="s">
        <v>525</v>
      </c>
      <c r="B153" s="112">
        <v>24.9</v>
      </c>
      <c r="C153" s="128"/>
      <c r="D153" s="95"/>
    </row>
    <row r="154" spans="1:4" s="23" customFormat="1" ht="13.35" hidden="1" customHeight="1">
      <c r="A154" s="100" t="s">
        <v>526</v>
      </c>
      <c r="B154" s="112">
        <v>25.4</v>
      </c>
      <c r="C154" s="128"/>
      <c r="D154" s="95"/>
    </row>
    <row r="155" spans="1:4" s="23" customFormat="1" ht="13.35" hidden="1" customHeight="1">
      <c r="A155" s="100" t="s">
        <v>527</v>
      </c>
      <c r="B155" s="112">
        <v>26.2</v>
      </c>
      <c r="C155" s="128"/>
      <c r="D155" s="95"/>
    </row>
    <row r="156" spans="1:4" s="23" customFormat="1" ht="13.35" hidden="1" customHeight="1">
      <c r="A156" s="100" t="s">
        <v>528</v>
      </c>
      <c r="B156" s="112">
        <v>26.6</v>
      </c>
      <c r="C156" s="128"/>
      <c r="D156" s="95"/>
    </row>
    <row r="157" spans="1:4" s="23" customFormat="1" ht="13.35" hidden="1" customHeight="1">
      <c r="A157" s="100" t="s">
        <v>529</v>
      </c>
      <c r="B157" s="112">
        <v>27.2</v>
      </c>
      <c r="C157" s="128"/>
      <c r="D157" s="95"/>
    </row>
    <row r="158" spans="1:4" s="23" customFormat="1" ht="13.35" hidden="1" customHeight="1">
      <c r="A158" s="100" t="s">
        <v>530</v>
      </c>
      <c r="B158" s="112">
        <v>27.8</v>
      </c>
      <c r="C158" s="128"/>
      <c r="D158" s="95"/>
    </row>
    <row r="159" spans="1:4" s="23" customFormat="1" ht="13.35" hidden="1" customHeight="1">
      <c r="A159" s="100" t="s">
        <v>531</v>
      </c>
      <c r="B159" s="112">
        <v>28.4</v>
      </c>
      <c r="C159" s="128"/>
      <c r="D159" s="95"/>
    </row>
    <row r="160" spans="1:4" s="23" customFormat="1" ht="13.35" hidden="1" customHeight="1">
      <c r="A160" s="100" t="s">
        <v>532</v>
      </c>
      <c r="B160" s="112">
        <v>29</v>
      </c>
      <c r="C160" s="128"/>
      <c r="D160" s="95"/>
    </row>
    <row r="161" spans="1:4" s="23" customFormat="1" ht="13.35" hidden="1" customHeight="1">
      <c r="A161" s="100" t="s">
        <v>533</v>
      </c>
      <c r="B161" s="112">
        <v>30.2</v>
      </c>
      <c r="C161" s="128"/>
      <c r="D161" s="95"/>
    </row>
    <row r="162" spans="1:4" s="23" customFormat="1" ht="13.35" hidden="1" customHeight="1">
      <c r="A162" s="100" t="s">
        <v>534</v>
      </c>
      <c r="B162" s="112">
        <v>30.8</v>
      </c>
      <c r="C162" s="128"/>
      <c r="D162" s="95"/>
    </row>
    <row r="163" spans="1:4" s="23" customFormat="1" ht="13.35" hidden="1" customHeight="1">
      <c r="A163" s="100" t="s">
        <v>535</v>
      </c>
      <c r="B163" s="112">
        <v>31.5</v>
      </c>
      <c r="C163" s="128"/>
      <c r="D163" s="95"/>
    </row>
    <row r="164" spans="1:4" s="23" customFormat="1" ht="13.35" hidden="1" customHeight="1">
      <c r="A164" s="100" t="s">
        <v>536</v>
      </c>
      <c r="B164" s="112">
        <v>32.6</v>
      </c>
      <c r="C164" s="128"/>
      <c r="D164" s="95"/>
    </row>
    <row r="165" spans="1:4" s="23" customFormat="1" ht="13.35" hidden="1" customHeight="1">
      <c r="A165" s="100" t="s">
        <v>537</v>
      </c>
      <c r="B165" s="112">
        <v>33.6</v>
      </c>
      <c r="C165" s="128"/>
      <c r="D165" s="95"/>
    </row>
    <row r="166" spans="1:4" s="23" customFormat="1" ht="13.35" hidden="1" customHeight="1">
      <c r="A166" s="100" t="s">
        <v>538</v>
      </c>
      <c r="B166" s="112">
        <v>34.299999999999997</v>
      </c>
      <c r="C166" s="128"/>
      <c r="D166" s="95"/>
    </row>
    <row r="167" spans="1:4" s="23" customFormat="1" ht="13.35" hidden="1" customHeight="1">
      <c r="A167" s="100" t="s">
        <v>539</v>
      </c>
      <c r="B167" s="112">
        <v>35</v>
      </c>
      <c r="C167" s="128"/>
      <c r="D167" s="95"/>
    </row>
    <row r="168" spans="1:4" s="23" customFormat="1" ht="13.35" hidden="1" customHeight="1">
      <c r="A168" s="100" t="s">
        <v>540</v>
      </c>
      <c r="B168" s="112">
        <v>35.6</v>
      </c>
      <c r="C168" s="128"/>
      <c r="D168" s="95"/>
    </row>
    <row r="169" spans="1:4" s="23" customFormat="1" ht="13.35" hidden="1" customHeight="1">
      <c r="A169" s="100" t="s">
        <v>541</v>
      </c>
      <c r="B169" s="112">
        <v>36.5</v>
      </c>
      <c r="C169" s="128"/>
      <c r="D169" s="95"/>
    </row>
    <row r="170" spans="1:4" s="23" customFormat="1" ht="13.35" hidden="1" customHeight="1">
      <c r="A170" s="100" t="s">
        <v>542</v>
      </c>
      <c r="B170" s="112">
        <v>36.299999999999997</v>
      </c>
      <c r="C170" s="128"/>
      <c r="D170" s="95"/>
    </row>
    <row r="171" spans="1:4" s="23" customFormat="1" ht="13.35" hidden="1" customHeight="1">
      <c r="A171" s="100" t="s">
        <v>543</v>
      </c>
      <c r="B171" s="112">
        <v>36.4</v>
      </c>
      <c r="C171" s="128"/>
      <c r="D171" s="95"/>
    </row>
    <row r="172" spans="1:4" s="23" customFormat="1" ht="13.35" hidden="1" customHeight="1">
      <c r="A172" s="100" t="s">
        <v>544</v>
      </c>
      <c r="B172" s="112">
        <v>36.9</v>
      </c>
      <c r="C172" s="128"/>
      <c r="D172" s="95"/>
    </row>
    <row r="173" spans="1:4" s="23" customFormat="1" ht="13.35" hidden="1" customHeight="1">
      <c r="A173" s="100" t="s">
        <v>545</v>
      </c>
      <c r="B173" s="112">
        <v>37.4</v>
      </c>
      <c r="C173" s="128"/>
      <c r="D173" s="95"/>
    </row>
    <row r="174" spans="1:4" s="23" customFormat="1" ht="13.35" hidden="1" customHeight="1">
      <c r="A174" s="100" t="s">
        <v>546</v>
      </c>
      <c r="B174" s="112">
        <v>37.9</v>
      </c>
      <c r="C174" s="128"/>
      <c r="D174" s="95"/>
    </row>
    <row r="175" spans="1:4" s="23" customFormat="1" ht="13.35" hidden="1" customHeight="1">
      <c r="A175" s="100" t="s">
        <v>547</v>
      </c>
      <c r="B175" s="112">
        <v>38.799999999999997</v>
      </c>
      <c r="C175" s="128"/>
      <c r="D175" s="95"/>
    </row>
    <row r="176" spans="1:4" s="23" customFormat="1" ht="13.35" hidden="1" customHeight="1">
      <c r="A176" s="100" t="s">
        <v>548</v>
      </c>
      <c r="B176" s="112">
        <v>39.700000000000003</v>
      </c>
      <c r="C176" s="128"/>
      <c r="D176" s="95"/>
    </row>
    <row r="177" spans="1:4" s="23" customFormat="1" ht="13.35" hidden="1" customHeight="1">
      <c r="A177" s="100" t="s">
        <v>549</v>
      </c>
      <c r="B177" s="112">
        <v>40.5</v>
      </c>
      <c r="C177" s="128"/>
      <c r="D177" s="95"/>
    </row>
    <row r="178" spans="1:4" s="23" customFormat="1" ht="13.35" hidden="1" customHeight="1">
      <c r="A178" s="100" t="s">
        <v>550</v>
      </c>
      <c r="B178" s="112">
        <v>41.4</v>
      </c>
      <c r="C178" s="128"/>
      <c r="D178" s="95"/>
    </row>
    <row r="179" spans="1:4" s="23" customFormat="1" ht="13.35" hidden="1" customHeight="1">
      <c r="A179" s="100" t="s">
        <v>551</v>
      </c>
      <c r="B179" s="112">
        <v>42.1</v>
      </c>
      <c r="C179" s="128"/>
      <c r="D179" s="95"/>
    </row>
    <row r="180" spans="1:4" s="23" customFormat="1" ht="13.35" hidden="1" customHeight="1">
      <c r="A180" s="100" t="s">
        <v>552</v>
      </c>
      <c r="B180" s="112">
        <v>43.2</v>
      </c>
      <c r="C180" s="128"/>
      <c r="D180" s="95"/>
    </row>
    <row r="181" spans="1:4" s="23" customFormat="1" ht="13.35" hidden="1" customHeight="1">
      <c r="A181" s="100" t="s">
        <v>553</v>
      </c>
      <c r="B181" s="112">
        <v>44.4</v>
      </c>
      <c r="C181" s="128"/>
      <c r="D181" s="95"/>
    </row>
    <row r="182" spans="1:4" s="23" customFormat="1" ht="13.35" hidden="1" customHeight="1">
      <c r="A182" s="100" t="s">
        <v>554</v>
      </c>
      <c r="B182" s="112">
        <v>45.3</v>
      </c>
      <c r="C182" s="128"/>
      <c r="D182" s="95"/>
    </row>
    <row r="183" spans="1:4" s="23" customFormat="1" ht="13.35" hidden="1" customHeight="1">
      <c r="A183" s="100" t="s">
        <v>555</v>
      </c>
      <c r="B183" s="112">
        <v>46</v>
      </c>
      <c r="C183" s="128"/>
      <c r="D183" s="95"/>
    </row>
    <row r="184" spans="1:4" s="23" customFormat="1" ht="13.35" hidden="1" customHeight="1">
      <c r="A184" s="100" t="s">
        <v>556</v>
      </c>
      <c r="B184" s="112">
        <v>46.8</v>
      </c>
      <c r="C184" s="128"/>
      <c r="D184" s="95"/>
    </row>
    <row r="185" spans="1:4" s="23" customFormat="1" ht="13.35" hidden="1" customHeight="1">
      <c r="A185" s="100" t="s">
        <v>557</v>
      </c>
      <c r="B185" s="112">
        <v>47.6</v>
      </c>
      <c r="C185" s="128"/>
      <c r="D185" s="95"/>
    </row>
    <row r="186" spans="1:4" s="23" customFormat="1" ht="13.35" hidden="1" customHeight="1">
      <c r="A186" s="100" t="s">
        <v>558</v>
      </c>
      <c r="B186" s="112">
        <v>48.4</v>
      </c>
      <c r="C186" s="128"/>
      <c r="D186" s="95"/>
    </row>
    <row r="187" spans="1:4" s="23" customFormat="1" ht="13.35" hidden="1" customHeight="1">
      <c r="A187" s="100" t="s">
        <v>559</v>
      </c>
      <c r="B187" s="112">
        <v>49.3</v>
      </c>
      <c r="C187" s="128"/>
      <c r="D187" s="95"/>
    </row>
    <row r="188" spans="1:4" s="23" customFormat="1" ht="13.35" hidden="1" customHeight="1">
      <c r="A188" s="100" t="s">
        <v>560</v>
      </c>
      <c r="B188" s="112">
        <v>50.2</v>
      </c>
      <c r="C188" s="128"/>
      <c r="D188" s="95"/>
    </row>
    <row r="189" spans="1:4" s="23" customFormat="1" ht="13.35" hidden="1" customHeight="1">
      <c r="A189" s="100" t="s">
        <v>561</v>
      </c>
      <c r="B189" s="112">
        <v>51.2</v>
      </c>
      <c r="C189" s="128"/>
      <c r="D189" s="95"/>
    </row>
    <row r="190" spans="1:4" s="23" customFormat="1" ht="13.35" hidden="1" customHeight="1">
      <c r="A190" s="100" t="s">
        <v>562</v>
      </c>
      <c r="B190" s="112">
        <v>51.7</v>
      </c>
      <c r="C190" s="128"/>
      <c r="D190" s="95"/>
    </row>
    <row r="191" spans="1:4" s="23" customFormat="1" ht="13.35" hidden="1" customHeight="1">
      <c r="A191" s="100" t="s">
        <v>563</v>
      </c>
      <c r="B191" s="112">
        <v>53</v>
      </c>
      <c r="C191" s="128"/>
      <c r="D191" s="95"/>
    </row>
    <row r="192" spans="1:4" s="23" customFormat="1" ht="13.35" hidden="1" customHeight="1">
      <c r="A192" s="100" t="s">
        <v>564</v>
      </c>
      <c r="B192" s="112">
        <v>54.2</v>
      </c>
      <c r="C192" s="128"/>
      <c r="D192" s="95"/>
    </row>
    <row r="193" spans="1:4" s="23" customFormat="1" ht="13.35" hidden="1" customHeight="1">
      <c r="A193" s="100" t="s">
        <v>565</v>
      </c>
      <c r="B193" s="112">
        <v>55.2</v>
      </c>
      <c r="C193" s="128"/>
      <c r="D193" s="95"/>
    </row>
    <row r="194" spans="1:4" s="23" customFormat="1" ht="13.35" hidden="1" customHeight="1">
      <c r="A194" s="100" t="s">
        <v>566</v>
      </c>
      <c r="B194" s="112">
        <v>56.2</v>
      </c>
      <c r="C194" s="128"/>
      <c r="D194" s="95"/>
    </row>
    <row r="195" spans="1:4" s="23" customFormat="1" ht="13.35" hidden="1" customHeight="1">
      <c r="A195" s="100" t="s">
        <v>567</v>
      </c>
      <c r="B195" s="112">
        <v>57.1</v>
      </c>
      <c r="C195" s="128"/>
      <c r="D195" s="95"/>
    </row>
    <row r="196" spans="1:4" s="23" customFormat="1" ht="13.35" hidden="1" customHeight="1">
      <c r="A196" s="100" t="s">
        <v>568</v>
      </c>
      <c r="B196" s="112">
        <v>57.5</v>
      </c>
      <c r="C196" s="128"/>
      <c r="D196" s="95"/>
    </row>
    <row r="197" spans="1:4" s="23" customFormat="1" ht="13.35" hidden="1" customHeight="1">
      <c r="A197" s="100" t="s">
        <v>569</v>
      </c>
      <c r="B197" s="112">
        <v>59</v>
      </c>
      <c r="C197" s="128"/>
      <c r="D197" s="95"/>
    </row>
    <row r="198" spans="1:4" s="23" customFormat="1" ht="13.35" hidden="1" customHeight="1">
      <c r="A198" s="100" t="s">
        <v>570</v>
      </c>
      <c r="B198" s="112">
        <v>58.9</v>
      </c>
      <c r="C198" s="128"/>
      <c r="D198" s="95"/>
    </row>
    <row r="199" spans="1:4" s="23" customFormat="1" ht="13.35" hidden="1" customHeight="1">
      <c r="A199" s="100" t="s">
        <v>571</v>
      </c>
      <c r="B199" s="112">
        <v>59</v>
      </c>
      <c r="C199" s="128"/>
      <c r="D199" s="95"/>
    </row>
    <row r="200" spans="1:4" s="23" customFormat="1" ht="13.35" hidden="1" customHeight="1">
      <c r="A200" s="100" t="s">
        <v>572</v>
      </c>
      <c r="B200" s="112">
        <v>59.3</v>
      </c>
      <c r="C200" s="128"/>
      <c r="D200" s="95"/>
    </row>
    <row r="201" spans="1:4" s="23" customFormat="1" ht="13.35" hidden="1" customHeight="1">
      <c r="A201" s="100" t="s">
        <v>573</v>
      </c>
      <c r="B201" s="112">
        <v>59.9</v>
      </c>
      <c r="C201" s="128"/>
      <c r="D201" s="95"/>
    </row>
    <row r="202" spans="1:4" s="23" customFormat="1" ht="13.35" hidden="1" customHeight="1">
      <c r="A202" s="100" t="s">
        <v>574</v>
      </c>
      <c r="B202" s="112">
        <v>59.9</v>
      </c>
      <c r="C202" s="128"/>
      <c r="D202" s="95"/>
    </row>
    <row r="203" spans="1:4" s="23" customFormat="1" ht="13.35" hidden="1" customHeight="1">
      <c r="A203" s="100" t="s">
        <v>575</v>
      </c>
      <c r="B203" s="112">
        <v>59.7</v>
      </c>
      <c r="C203" s="128"/>
      <c r="D203" s="95"/>
    </row>
    <row r="204" spans="1:4" s="23" customFormat="1" ht="13.35" hidden="1" customHeight="1">
      <c r="A204" s="100" t="s">
        <v>576</v>
      </c>
      <c r="B204" s="112">
        <v>59.8</v>
      </c>
      <c r="C204" s="128"/>
      <c r="D204" s="95"/>
    </row>
    <row r="205" spans="1:4" s="23" customFormat="1" ht="13.35" hidden="1" customHeight="1">
      <c r="A205" s="100" t="s">
        <v>577</v>
      </c>
      <c r="B205" s="112">
        <v>60.1</v>
      </c>
      <c r="C205" s="128"/>
      <c r="D205" s="95"/>
    </row>
    <row r="206" spans="1:4" s="23" customFormat="1" ht="13.35" hidden="1" customHeight="1">
      <c r="A206" s="100" t="s">
        <v>578</v>
      </c>
      <c r="B206" s="112">
        <v>60.6</v>
      </c>
      <c r="C206" s="128"/>
      <c r="D206" s="95"/>
    </row>
    <row r="207" spans="1:4" s="23" customFormat="1" ht="13.35" hidden="1" customHeight="1">
      <c r="A207" s="100" t="s">
        <v>579</v>
      </c>
      <c r="B207" s="112">
        <v>60.8</v>
      </c>
      <c r="C207" s="128"/>
      <c r="D207" s="95"/>
    </row>
    <row r="208" spans="1:4" s="23" customFormat="1" ht="13.35" hidden="1" customHeight="1">
      <c r="A208" s="100" t="s">
        <v>580</v>
      </c>
      <c r="B208" s="112">
        <v>61.1</v>
      </c>
      <c r="C208" s="128"/>
      <c r="D208" s="95"/>
    </row>
    <row r="209" spans="1:4" s="23" customFormat="1" ht="13.35" hidden="1" customHeight="1">
      <c r="A209" s="100" t="s">
        <v>581</v>
      </c>
      <c r="B209" s="112">
        <v>61.2</v>
      </c>
      <c r="C209" s="128"/>
      <c r="D209" s="95"/>
    </row>
    <row r="210" spans="1:4" s="23" customFormat="1" ht="13.35" hidden="1" customHeight="1">
      <c r="A210" s="100" t="s">
        <v>582</v>
      </c>
      <c r="B210" s="112">
        <v>61.5</v>
      </c>
      <c r="C210" s="128"/>
      <c r="D210" s="95"/>
    </row>
    <row r="211" spans="1:4" s="23" customFormat="1" ht="13.35" hidden="1" customHeight="1">
      <c r="A211" s="100" t="s">
        <v>583</v>
      </c>
      <c r="B211" s="112">
        <v>61.9</v>
      </c>
      <c r="C211" s="128"/>
      <c r="D211" s="95"/>
    </row>
    <row r="212" spans="1:4" s="23" customFormat="1" ht="13.35" hidden="1" customHeight="1">
      <c r="A212" s="100" t="s">
        <v>584</v>
      </c>
      <c r="B212" s="112">
        <v>62.3</v>
      </c>
      <c r="C212" s="128"/>
      <c r="D212" s="95"/>
    </row>
    <row r="213" spans="1:4" s="23" customFormat="1" ht="13.35" hidden="1" customHeight="1">
      <c r="A213" s="100" t="s">
        <v>585</v>
      </c>
      <c r="B213" s="112">
        <v>62.8</v>
      </c>
      <c r="C213" s="128"/>
      <c r="D213" s="95"/>
    </row>
    <row r="214" spans="1:4" s="23" customFormat="1" ht="13.35" hidden="1" customHeight="1">
      <c r="A214" s="100" t="s">
        <v>586</v>
      </c>
      <c r="B214" s="112">
        <v>63.8</v>
      </c>
      <c r="C214" s="128"/>
      <c r="D214" s="95"/>
    </row>
    <row r="215" spans="1:4" s="23" customFormat="1" ht="13.35" hidden="1" customHeight="1">
      <c r="A215" s="100" t="s">
        <v>587</v>
      </c>
      <c r="B215" s="112">
        <v>64.7</v>
      </c>
      <c r="C215" s="128"/>
      <c r="D215" s="95"/>
    </row>
    <row r="216" spans="1:4" s="23" customFormat="1" ht="13.35" hidden="1" customHeight="1">
      <c r="A216" s="100" t="s">
        <v>588</v>
      </c>
      <c r="B216" s="112">
        <v>65.5</v>
      </c>
      <c r="C216" s="128"/>
      <c r="D216" s="95"/>
    </row>
    <row r="217" spans="1:4" s="23" customFormat="1" ht="13.35" hidden="1" customHeight="1">
      <c r="A217" s="100" t="s">
        <v>589</v>
      </c>
      <c r="B217" s="112">
        <v>66</v>
      </c>
      <c r="C217" s="128"/>
      <c r="D217" s="95"/>
    </row>
    <row r="218" spans="1:4" s="23" customFormat="1" ht="13.35" hidden="1" customHeight="1">
      <c r="A218" s="100" t="s">
        <v>590</v>
      </c>
      <c r="B218" s="112">
        <v>66.2</v>
      </c>
      <c r="C218" s="128"/>
      <c r="D218" s="95"/>
    </row>
    <row r="219" spans="1:4" s="23" customFormat="1" ht="13.35" hidden="1" customHeight="1">
      <c r="A219" s="100" t="s">
        <v>591</v>
      </c>
      <c r="B219" s="112">
        <v>66.7</v>
      </c>
      <c r="C219" s="128"/>
      <c r="D219" s="95"/>
    </row>
    <row r="220" spans="1:4" s="23" customFormat="1" ht="13.35" hidden="1" customHeight="1">
      <c r="A220" s="100" t="s">
        <v>592</v>
      </c>
      <c r="B220" s="112">
        <v>66.900000000000006</v>
      </c>
      <c r="C220" s="128"/>
      <c r="D220" s="95"/>
    </row>
    <row r="221" spans="1:4" s="23" customFormat="1" ht="13.35" hidden="1" customHeight="1">
      <c r="A221" s="100" t="s">
        <v>593</v>
      </c>
      <c r="B221" s="112">
        <v>67</v>
      </c>
      <c r="C221" s="128"/>
      <c r="D221" s="95"/>
    </row>
    <row r="222" spans="1:4" s="23" customFormat="1" ht="13.35" hidden="1" customHeight="1">
      <c r="A222" s="100" t="s">
        <v>594</v>
      </c>
      <c r="B222" s="112">
        <v>67.099999999999994</v>
      </c>
      <c r="C222" s="128"/>
      <c r="D222" s="95"/>
    </row>
    <row r="223" spans="1:4" s="23" customFormat="1" ht="13.35" hidden="1" customHeight="1">
      <c r="A223" s="100" t="s">
        <v>595</v>
      </c>
      <c r="B223" s="112">
        <v>66.900000000000006</v>
      </c>
      <c r="C223" s="128"/>
      <c r="D223" s="95"/>
    </row>
    <row r="224" spans="1:4" s="23" customFormat="1" ht="13.35" hidden="1" customHeight="1">
      <c r="A224" s="100" t="s">
        <v>596</v>
      </c>
      <c r="B224" s="112">
        <v>66.599999999999994</v>
      </c>
      <c r="C224" s="128"/>
      <c r="D224" s="95"/>
    </row>
    <row r="225" spans="1:4" s="23" customFormat="1" ht="13.35" hidden="1" customHeight="1">
      <c r="A225" s="100" t="s">
        <v>597</v>
      </c>
      <c r="B225" s="112">
        <v>66.8</v>
      </c>
      <c r="C225" s="128"/>
      <c r="D225" s="95"/>
    </row>
    <row r="226" spans="1:4" s="23" customFormat="1" ht="13.35" hidden="1" customHeight="1">
      <c r="A226" s="100" t="s">
        <v>598</v>
      </c>
      <c r="B226" s="112">
        <v>67</v>
      </c>
      <c r="C226" s="128"/>
      <c r="D226" s="95"/>
    </row>
    <row r="227" spans="1:4" s="23" customFormat="1" ht="13.35" hidden="1" customHeight="1">
      <c r="A227" s="100" t="s">
        <v>599</v>
      </c>
      <c r="B227" s="112">
        <v>67.400000000000006</v>
      </c>
      <c r="C227" s="128"/>
      <c r="D227" s="95"/>
    </row>
    <row r="228" spans="1:4" s="23" customFormat="1" ht="13.35" hidden="1" customHeight="1">
      <c r="A228" s="100" t="s">
        <v>600</v>
      </c>
      <c r="B228" s="112">
        <v>67.5</v>
      </c>
      <c r="C228" s="128"/>
      <c r="D228" s="95"/>
    </row>
    <row r="229" spans="1:4" s="23" customFormat="1" ht="13.35" hidden="1" customHeight="1">
      <c r="A229" s="100" t="s">
        <v>601</v>
      </c>
      <c r="B229" s="112">
        <v>67.8</v>
      </c>
      <c r="C229" s="128"/>
      <c r="D229" s="95"/>
    </row>
    <row r="230" spans="1:4" s="23" customFormat="1" ht="13.35" hidden="1" customHeight="1">
      <c r="A230" s="100" t="s">
        <v>602</v>
      </c>
      <c r="B230" s="112">
        <v>67.8</v>
      </c>
      <c r="C230" s="128"/>
      <c r="D230" s="95"/>
    </row>
    <row r="231" spans="1:4" s="23" customFormat="1" ht="13.35" hidden="1" customHeight="1">
      <c r="A231" s="100" t="s">
        <v>603</v>
      </c>
      <c r="B231" s="112">
        <v>68.099999999999994</v>
      </c>
      <c r="C231" s="128"/>
      <c r="D231" s="95"/>
    </row>
    <row r="232" spans="1:4" s="23" customFormat="1" ht="13.35" hidden="1" customHeight="1">
      <c r="A232" s="100" t="s">
        <v>604</v>
      </c>
      <c r="B232" s="112">
        <v>68.7</v>
      </c>
      <c r="C232" s="128"/>
      <c r="D232" s="95"/>
    </row>
    <row r="233" spans="1:4" s="23" customFormat="1" ht="13.35" hidden="1" customHeight="1">
      <c r="A233" s="100" t="s">
        <v>605</v>
      </c>
      <c r="B233" s="112">
        <v>69.099999999999994</v>
      </c>
      <c r="C233" s="128"/>
      <c r="D233" s="95"/>
    </row>
    <row r="234" spans="1:4" s="23" customFormat="1" ht="13.35" hidden="1" customHeight="1">
      <c r="A234" s="100" t="s">
        <v>606</v>
      </c>
      <c r="B234" s="112">
        <v>69.7</v>
      </c>
      <c r="C234" s="128"/>
      <c r="D234" s="95"/>
    </row>
    <row r="235" spans="1:4" s="23" customFormat="1" ht="13.35" hidden="1" customHeight="1">
      <c r="A235" s="100" t="s">
        <v>607</v>
      </c>
      <c r="B235" s="112">
        <v>70.2</v>
      </c>
      <c r="C235" s="128"/>
      <c r="D235" s="95"/>
    </row>
    <row r="236" spans="1:4" s="23" customFormat="1" ht="13.35" hidden="1" customHeight="1">
      <c r="A236" s="100" t="s">
        <v>608</v>
      </c>
      <c r="B236" s="112">
        <v>72.900000000000006</v>
      </c>
      <c r="C236" s="128"/>
      <c r="D236" s="95"/>
    </row>
    <row r="237" spans="1:4" s="23" customFormat="1" ht="13.35" hidden="1" customHeight="1">
      <c r="A237" s="100" t="s">
        <v>609</v>
      </c>
      <c r="B237" s="112">
        <v>73.099999999999994</v>
      </c>
      <c r="C237" s="128"/>
      <c r="D237" s="95"/>
    </row>
    <row r="238" spans="1:4" s="23" customFormat="1" ht="13.35" hidden="1" customHeight="1">
      <c r="A238" s="100" t="s">
        <v>610</v>
      </c>
      <c r="B238" s="112">
        <v>73.900000000000006</v>
      </c>
      <c r="C238" s="128"/>
      <c r="D238" s="95"/>
    </row>
    <row r="239" spans="1:4" s="23" customFormat="1" ht="13.35" hidden="1" customHeight="1">
      <c r="A239" s="100" t="s">
        <v>611</v>
      </c>
      <c r="B239" s="112">
        <v>74.5</v>
      </c>
      <c r="C239" s="128"/>
      <c r="D239" s="95"/>
    </row>
    <row r="240" spans="1:4" s="23" customFormat="1" ht="13.35" hidden="1" customHeight="1">
      <c r="A240" s="100" t="s">
        <v>612</v>
      </c>
      <c r="B240" s="112">
        <v>74.7</v>
      </c>
      <c r="C240" s="128"/>
      <c r="D240" s="95"/>
    </row>
    <row r="241" spans="1:4" s="23" customFormat="1" ht="13.35" hidden="1" customHeight="1">
      <c r="A241" s="100" t="s">
        <v>613</v>
      </c>
      <c r="B241" s="112">
        <v>75.400000000000006</v>
      </c>
      <c r="C241" s="128"/>
      <c r="D241" s="95"/>
    </row>
    <row r="242" spans="1:4" s="23" customFormat="1" ht="13.35" hidden="1" customHeight="1">
      <c r="A242" s="100" t="s">
        <v>614</v>
      </c>
      <c r="B242" s="112">
        <v>76.099999999999994</v>
      </c>
      <c r="C242" s="128"/>
      <c r="D242" s="95"/>
    </row>
    <row r="243" spans="1:4" s="23" customFormat="1" ht="13.35" hidden="1" customHeight="1">
      <c r="A243" s="100" t="s">
        <v>615</v>
      </c>
      <c r="B243" s="112">
        <v>76.599999999999994</v>
      </c>
      <c r="C243" s="128"/>
      <c r="D243" s="95"/>
    </row>
    <row r="244" spans="1:4" s="23" customFormat="1" ht="13.35" hidden="1" customHeight="1">
      <c r="A244" s="100" t="s">
        <v>616</v>
      </c>
      <c r="B244" s="112">
        <v>77.099999999999994</v>
      </c>
      <c r="C244" s="128"/>
      <c r="D244" s="95"/>
    </row>
    <row r="245" spans="1:4" s="23" customFormat="1" ht="13.35" hidden="1" customHeight="1">
      <c r="A245" s="100" t="s">
        <v>617</v>
      </c>
      <c r="B245" s="112">
        <v>77.599999999999994</v>
      </c>
      <c r="C245" s="128"/>
      <c r="D245" s="95"/>
    </row>
    <row r="246" spans="1:4" s="23" customFormat="1" ht="13.35" hidden="1" customHeight="1">
      <c r="A246" s="100" t="s">
        <v>618</v>
      </c>
      <c r="B246" s="112">
        <v>78.599999999999994</v>
      </c>
      <c r="C246" s="128"/>
      <c r="D246" s="95"/>
    </row>
    <row r="247" spans="1:4" s="23" customFormat="1" ht="13.35" hidden="1" customHeight="1">
      <c r="A247" s="100" t="s">
        <v>619</v>
      </c>
      <c r="B247" s="112">
        <v>78.599999999999994</v>
      </c>
      <c r="C247" s="128"/>
      <c r="D247" s="95"/>
    </row>
    <row r="248" spans="1:4" s="23" customFormat="1" ht="13.35" hidden="1" customHeight="1">
      <c r="A248" s="100" t="s">
        <v>620</v>
      </c>
      <c r="B248" s="112">
        <v>79.099999999999994</v>
      </c>
      <c r="C248" s="128"/>
      <c r="D248" s="95"/>
    </row>
    <row r="249" spans="1:4" s="23" customFormat="1" ht="13.35" hidden="1" customHeight="1">
      <c r="A249" s="100" t="s">
        <v>621</v>
      </c>
      <c r="B249" s="112">
        <v>79.5</v>
      </c>
      <c r="C249" s="128"/>
      <c r="D249" s="95"/>
    </row>
    <row r="250" spans="1:4" s="23" customFormat="1" ht="13.35" hidden="1" customHeight="1">
      <c r="A250" s="100" t="s">
        <v>622</v>
      </c>
      <c r="B250" s="112">
        <v>80.2</v>
      </c>
      <c r="C250" s="128"/>
      <c r="D250" s="95"/>
    </row>
    <row r="251" spans="1:4" s="23" customFormat="1" ht="13.35" hidden="1" customHeight="1">
      <c r="A251" s="100" t="s">
        <v>623</v>
      </c>
      <c r="B251" s="112">
        <v>80.599999999999994</v>
      </c>
      <c r="C251" s="128"/>
      <c r="D251" s="95"/>
    </row>
    <row r="252" spans="1:4" s="23" customFormat="1" ht="13.35" hidden="1" customHeight="1">
      <c r="A252" s="100" t="s">
        <v>624</v>
      </c>
      <c r="B252" s="112">
        <v>80.900000000000006</v>
      </c>
      <c r="C252" s="128"/>
      <c r="D252" s="95"/>
    </row>
    <row r="253" spans="1:4" s="23" customFormat="1" ht="13.35" hidden="1" customHeight="1">
      <c r="A253" s="100" t="s">
        <v>625</v>
      </c>
      <c r="B253" s="112">
        <v>81.5</v>
      </c>
      <c r="C253" s="128"/>
      <c r="D253" s="95"/>
    </row>
    <row r="254" spans="1:4" s="23" customFormat="1" ht="13.35" hidden="1" customHeight="1">
      <c r="A254" s="100" t="s">
        <v>626</v>
      </c>
      <c r="B254" s="112">
        <v>82.1</v>
      </c>
      <c r="C254" s="128"/>
      <c r="D254" s="95"/>
    </row>
    <row r="255" spans="1:4" s="23" customFormat="1" ht="13.35" hidden="1" customHeight="1">
      <c r="A255" s="100" t="s">
        <v>627</v>
      </c>
      <c r="B255" s="112">
        <v>82.6</v>
      </c>
      <c r="C255" s="128"/>
      <c r="D255" s="95"/>
    </row>
    <row r="256" spans="1:4" s="23" customFormat="1" ht="13.35" hidden="1" customHeight="1">
      <c r="A256" s="100" t="s">
        <v>628</v>
      </c>
      <c r="B256" s="112">
        <v>83.4</v>
      </c>
      <c r="C256" s="128"/>
      <c r="D256" s="95"/>
    </row>
    <row r="257" spans="1:4" s="23" customFormat="1" ht="13.35" customHeight="1">
      <c r="A257" s="100" t="s">
        <v>629</v>
      </c>
      <c r="B257" s="112">
        <v>83.8</v>
      </c>
      <c r="C257" s="128"/>
      <c r="D257" s="95"/>
    </row>
    <row r="258" spans="1:4" s="23" customFormat="1" ht="13.35" customHeight="1">
      <c r="A258" s="100" t="s">
        <v>630</v>
      </c>
      <c r="B258" s="112">
        <v>84.5</v>
      </c>
      <c r="C258" s="128"/>
      <c r="D258" s="95"/>
    </row>
    <row r="259" spans="1:4" s="23" customFormat="1" ht="13.35" customHeight="1">
      <c r="A259" s="100" t="s">
        <v>631</v>
      </c>
      <c r="B259" s="112">
        <v>85.9</v>
      </c>
      <c r="C259" s="128"/>
      <c r="D259" s="95"/>
    </row>
    <row r="260" spans="1:4" s="23" customFormat="1" ht="13.35" customHeight="1">
      <c r="A260" s="100" t="s">
        <v>632</v>
      </c>
      <c r="B260" s="112">
        <v>86.7</v>
      </c>
      <c r="C260" s="128"/>
      <c r="D260" s="95"/>
    </row>
    <row r="261" spans="1:4" s="23" customFormat="1" ht="13.35" customHeight="1">
      <c r="A261" s="100" t="s">
        <v>633</v>
      </c>
      <c r="B261" s="112">
        <v>86.6</v>
      </c>
      <c r="C261" s="128"/>
      <c r="D261" s="95"/>
    </row>
    <row r="262" spans="1:4" s="23" customFormat="1" ht="13.35" customHeight="1">
      <c r="A262" s="100" t="s">
        <v>634</v>
      </c>
      <c r="B262" s="112">
        <v>86.6</v>
      </c>
      <c r="C262" s="128"/>
      <c r="D262" s="95"/>
    </row>
    <row r="263" spans="1:4" s="23" customFormat="1" ht="13.35" customHeight="1">
      <c r="A263" s="100" t="s">
        <v>635</v>
      </c>
      <c r="B263" s="112">
        <v>87.7</v>
      </c>
      <c r="C263" s="128"/>
      <c r="D263" s="95"/>
    </row>
    <row r="264" spans="1:4" s="23" customFormat="1" ht="13.35" customHeight="1">
      <c r="A264" s="100" t="s">
        <v>636</v>
      </c>
      <c r="B264" s="112">
        <v>88.3</v>
      </c>
      <c r="C264" s="128"/>
      <c r="D264" s="95"/>
    </row>
    <row r="265" spans="1:4" s="23" customFormat="1" ht="13.35" customHeight="1">
      <c r="A265" s="100" t="s">
        <v>637</v>
      </c>
      <c r="B265" s="112">
        <v>89.1</v>
      </c>
      <c r="C265" s="128"/>
      <c r="D265" s="95"/>
    </row>
    <row r="266" spans="1:4" s="23" customFormat="1" ht="13.35" customHeight="1">
      <c r="A266" s="100" t="s">
        <v>638</v>
      </c>
      <c r="B266" s="112">
        <v>90.3</v>
      </c>
      <c r="C266" s="128"/>
      <c r="D266" s="95"/>
    </row>
    <row r="267" spans="1:4" s="23" customFormat="1" ht="13.35" customHeight="1">
      <c r="A267" s="100" t="s">
        <v>639</v>
      </c>
      <c r="B267" s="112">
        <v>91.6</v>
      </c>
      <c r="C267" s="128"/>
      <c r="D267" s="95"/>
    </row>
    <row r="268" spans="1:4" s="23" customFormat="1" ht="13.35" customHeight="1">
      <c r="A268" s="100" t="s">
        <v>640</v>
      </c>
      <c r="B268" s="112">
        <v>92.7</v>
      </c>
      <c r="C268" s="128"/>
      <c r="D268" s="95"/>
    </row>
    <row r="269" spans="1:4" s="23" customFormat="1" ht="13.35" customHeight="1">
      <c r="A269" s="100" t="s">
        <v>641</v>
      </c>
      <c r="B269" s="112">
        <v>92.4</v>
      </c>
      <c r="C269" s="128"/>
      <c r="D269" s="95"/>
    </row>
    <row r="270" spans="1:4" s="23" customFormat="1" ht="13.35" customHeight="1">
      <c r="A270" s="100" t="s">
        <v>642</v>
      </c>
      <c r="B270" s="112">
        <v>92.5</v>
      </c>
      <c r="C270" s="128"/>
      <c r="D270" s="95"/>
    </row>
    <row r="271" spans="1:4" s="23" customFormat="1" ht="13.35" customHeight="1">
      <c r="A271" s="100" t="s">
        <v>643</v>
      </c>
      <c r="B271" s="112">
        <v>92.9</v>
      </c>
      <c r="C271" s="128"/>
      <c r="D271" s="95"/>
    </row>
    <row r="272" spans="1:4" s="23" customFormat="1" ht="13.35" customHeight="1">
      <c r="A272" s="100" t="s">
        <v>644</v>
      </c>
      <c r="B272" s="112">
        <v>93.8</v>
      </c>
      <c r="C272" s="128"/>
      <c r="D272" s="95"/>
    </row>
    <row r="273" spans="1:4" s="23" customFormat="1" ht="13.35" customHeight="1">
      <c r="A273" s="100" t="s">
        <v>645</v>
      </c>
      <c r="B273" s="112">
        <v>94.3</v>
      </c>
      <c r="C273" s="128"/>
      <c r="D273" s="95"/>
    </row>
    <row r="274" spans="1:4" s="23" customFormat="1" ht="13.35" customHeight="1">
      <c r="A274" s="100" t="s">
        <v>646</v>
      </c>
      <c r="B274" s="112">
        <v>95.2</v>
      </c>
      <c r="C274" s="128"/>
      <c r="D274" s="95"/>
    </row>
    <row r="275" spans="1:4" s="23" customFormat="1" ht="13.35" customHeight="1">
      <c r="A275" s="100" t="s">
        <v>647</v>
      </c>
      <c r="B275" s="112">
        <v>95.8</v>
      </c>
      <c r="C275" s="128"/>
      <c r="D275" s="95"/>
    </row>
    <row r="276" spans="1:4" s="23" customFormat="1" ht="13.35" customHeight="1">
      <c r="A276" s="100" t="s">
        <v>648</v>
      </c>
      <c r="B276" s="112">
        <v>96.5</v>
      </c>
      <c r="C276" s="128"/>
      <c r="D276" s="95"/>
    </row>
    <row r="277" spans="1:4" s="23" customFormat="1" ht="13.35" customHeight="1">
      <c r="A277" s="100" t="s">
        <v>649</v>
      </c>
      <c r="B277" s="112">
        <v>96.9</v>
      </c>
      <c r="C277" s="128"/>
      <c r="D277" s="95"/>
    </row>
    <row r="278" spans="1:4" s="23" customFormat="1" ht="13.35" customHeight="1">
      <c r="A278" s="100" t="s">
        <v>650</v>
      </c>
      <c r="B278" s="112">
        <v>98.3</v>
      </c>
      <c r="C278" s="128"/>
      <c r="D278" s="95"/>
    </row>
    <row r="279" spans="1:4" s="23" customFormat="1" ht="13.35" customHeight="1">
      <c r="A279" s="100" t="s">
        <v>651</v>
      </c>
      <c r="B279" s="112">
        <v>99.2</v>
      </c>
      <c r="C279" s="128"/>
      <c r="D279" s="95"/>
    </row>
    <row r="280" spans="1:4" s="23" customFormat="1" ht="13.35" customHeight="1">
      <c r="A280" s="100" t="s">
        <v>652</v>
      </c>
      <c r="B280" s="112">
        <v>99.8</v>
      </c>
      <c r="C280" s="128"/>
      <c r="D280" s="95"/>
    </row>
    <row r="281" spans="1:4" s="23" customFormat="1" ht="13.35" customHeight="1">
      <c r="A281" s="100" t="s">
        <v>653</v>
      </c>
      <c r="B281" s="112">
        <v>99.8</v>
      </c>
      <c r="C281" s="128"/>
      <c r="D281" s="95"/>
    </row>
    <row r="282" spans="1:4" s="23" customFormat="1" ht="13.35" customHeight="1">
      <c r="A282" s="100" t="s">
        <v>654</v>
      </c>
      <c r="B282" s="112">
        <v>99.9</v>
      </c>
      <c r="C282" s="128"/>
      <c r="D282" s="95"/>
    </row>
    <row r="283" spans="1:4" s="23" customFormat="1" ht="13.35" customHeight="1">
      <c r="A283" s="100" t="s">
        <v>655</v>
      </c>
      <c r="B283" s="112">
        <v>100.4</v>
      </c>
      <c r="C283" s="128"/>
      <c r="D283" s="95"/>
    </row>
    <row r="284" spans="1:4" s="23" customFormat="1" ht="13.35" customHeight="1">
      <c r="A284" s="100" t="s">
        <v>656</v>
      </c>
      <c r="B284" s="112">
        <v>101.8</v>
      </c>
      <c r="C284" s="128"/>
      <c r="D284" s="95"/>
    </row>
    <row r="285" spans="1:4" s="23" customFormat="1" ht="13.35" customHeight="1">
      <c r="A285" s="100" t="s">
        <v>657</v>
      </c>
      <c r="B285" s="112">
        <v>102</v>
      </c>
      <c r="C285" s="128"/>
      <c r="D285" s="95"/>
    </row>
    <row r="286" spans="1:4" s="23" customFormat="1" ht="13.35" customHeight="1">
      <c r="A286" s="100" t="s">
        <v>658</v>
      </c>
      <c r="B286" s="112">
        <v>102.4</v>
      </c>
      <c r="C286" s="128"/>
      <c r="D286" s="95"/>
    </row>
    <row r="287" spans="1:4" s="23" customFormat="1" ht="13.35" customHeight="1">
      <c r="A287" s="100" t="s">
        <v>659</v>
      </c>
      <c r="B287" s="112">
        <v>102.8</v>
      </c>
      <c r="C287" s="128"/>
      <c r="D287" s="95"/>
    </row>
    <row r="288" spans="1:4" s="23" customFormat="1" ht="13.35" customHeight="1">
      <c r="A288" s="100" t="s">
        <v>660</v>
      </c>
      <c r="B288" s="112">
        <v>104</v>
      </c>
      <c r="C288" s="128"/>
      <c r="D288" s="95"/>
    </row>
    <row r="289" spans="1:4" s="23" customFormat="1" ht="13.35" customHeight="1">
      <c r="A289" s="100" t="s">
        <v>661</v>
      </c>
      <c r="B289" s="112">
        <v>104.8</v>
      </c>
      <c r="C289" s="128"/>
      <c r="D289" s="95"/>
    </row>
    <row r="290" spans="1:4" s="23" customFormat="1" ht="13.35" customHeight="1">
      <c r="A290" s="100" t="s">
        <v>662</v>
      </c>
      <c r="B290" s="112">
        <v>105.4</v>
      </c>
      <c r="C290" s="128"/>
      <c r="D290" s="95"/>
    </row>
    <row r="291" spans="1:4" s="23" customFormat="1" ht="13.35" customHeight="1">
      <c r="A291" s="100" t="s">
        <v>663</v>
      </c>
      <c r="B291" s="112">
        <v>105.9</v>
      </c>
      <c r="C291" s="128"/>
      <c r="D291" s="95"/>
    </row>
    <row r="292" spans="1:4" s="23" customFormat="1" ht="13.35" customHeight="1">
      <c r="A292" s="100" t="s">
        <v>664</v>
      </c>
      <c r="B292" s="112">
        <v>106.4</v>
      </c>
      <c r="C292" s="128"/>
      <c r="D292" s="95"/>
    </row>
    <row r="293" spans="1:4" s="23" customFormat="1" ht="13.35" customHeight="1">
      <c r="A293" s="100" t="s">
        <v>665</v>
      </c>
      <c r="B293" s="112">
        <v>106.6</v>
      </c>
      <c r="C293" s="128"/>
      <c r="D293" s="95"/>
    </row>
    <row r="294" spans="1:4" s="23" customFormat="1" ht="13.35" customHeight="1">
      <c r="A294" s="100" t="s">
        <v>666</v>
      </c>
      <c r="B294" s="112">
        <v>106.8</v>
      </c>
      <c r="C294" s="128"/>
      <c r="D294" s="95"/>
    </row>
    <row r="295" spans="1:4" s="23" customFormat="1" ht="13.35" customHeight="1">
      <c r="A295" s="100" t="s">
        <v>667</v>
      </c>
      <c r="B295" s="112">
        <v>107.5</v>
      </c>
      <c r="C295" s="128"/>
      <c r="D295" s="95"/>
    </row>
    <row r="296" spans="1:4" s="23" customFormat="1" ht="13.35" customHeight="1">
      <c r="A296" s="100" t="s">
        <v>668</v>
      </c>
      <c r="B296" s="112">
        <v>108</v>
      </c>
      <c r="C296" s="128"/>
      <c r="D296" s="95"/>
    </row>
    <row r="297" spans="1:4" s="23" customFormat="1" ht="13.35" customHeight="1">
      <c r="A297" s="100" t="s">
        <v>669</v>
      </c>
      <c r="B297" s="112">
        <v>108.4</v>
      </c>
      <c r="C297" s="128"/>
      <c r="D297" s="95"/>
    </row>
    <row r="298" spans="1:4" s="23" customFormat="1" ht="13.35" customHeight="1">
      <c r="A298" s="100" t="s">
        <v>670</v>
      </c>
      <c r="B298" s="112">
        <v>108.2</v>
      </c>
      <c r="C298" s="128"/>
      <c r="D298" s="95"/>
    </row>
    <row r="299" spans="1:4" s="23" customFormat="1" ht="13.35" customHeight="1">
      <c r="A299" s="100" t="s">
        <v>671</v>
      </c>
      <c r="B299" s="112">
        <v>108.6</v>
      </c>
      <c r="C299" s="128"/>
      <c r="D299" s="95"/>
    </row>
    <row r="300" spans="1:4" s="23" customFormat="1" ht="13.35" customHeight="1">
      <c r="A300" s="100" t="s">
        <v>672</v>
      </c>
      <c r="B300" s="112">
        <v>109.4</v>
      </c>
      <c r="C300" s="128"/>
      <c r="D300" s="95"/>
    </row>
    <row r="301" spans="1:4" s="23" customFormat="1" ht="13.35" customHeight="1">
      <c r="A301" s="100" t="s">
        <v>673</v>
      </c>
      <c r="B301" s="112">
        <v>110</v>
      </c>
      <c r="C301" s="128"/>
      <c r="D301" s="95"/>
    </row>
    <row r="302" spans="1:4" s="23" customFormat="1" ht="13.35" customHeight="1">
      <c r="A302" s="100" t="s">
        <v>674</v>
      </c>
      <c r="B302" s="112">
        <v>110.5</v>
      </c>
      <c r="C302" s="128"/>
      <c r="D302" s="95"/>
    </row>
    <row r="303" spans="1:4" s="23" customFormat="1" ht="13.35" customHeight="1">
      <c r="A303" s="100" t="s">
        <v>675</v>
      </c>
      <c r="B303" s="112">
        <v>110.7</v>
      </c>
      <c r="C303" s="128"/>
      <c r="D303" s="95"/>
    </row>
    <row r="304" spans="1:4" s="23" customFormat="1" ht="13.35" customHeight="1">
      <c r="A304" s="100" t="s">
        <v>676</v>
      </c>
      <c r="B304" s="112">
        <v>111.4</v>
      </c>
      <c r="C304" s="128"/>
      <c r="D304" s="95"/>
    </row>
    <row r="305" spans="1:4" s="23" customFormat="1" ht="13.35" customHeight="1">
      <c r="A305" s="100" t="s">
        <v>677</v>
      </c>
      <c r="B305" s="112">
        <v>112.1</v>
      </c>
      <c r="C305" s="128"/>
      <c r="D305" s="21"/>
    </row>
    <row r="306" spans="1:4" s="23" customFormat="1" ht="13.35" customHeight="1">
      <c r="A306" s="100" t="s">
        <v>678</v>
      </c>
      <c r="B306" s="112">
        <v>112.6</v>
      </c>
      <c r="C306" s="128"/>
      <c r="D306" s="21"/>
    </row>
    <row r="307" spans="1:4" s="23" customFormat="1" ht="13.35" customHeight="1">
      <c r="A307" s="100" t="s">
        <v>679</v>
      </c>
      <c r="B307" s="112">
        <v>113</v>
      </c>
      <c r="C307" s="128"/>
      <c r="D307" s="158"/>
    </row>
    <row r="308" spans="1:4" s="23" customFormat="1" ht="13.35" customHeight="1">
      <c r="A308" s="100" t="s">
        <v>680</v>
      </c>
      <c r="B308" s="112">
        <v>113.5</v>
      </c>
      <c r="C308" s="128"/>
      <c r="D308" s="21"/>
    </row>
    <row r="309" spans="1:4" s="23" customFormat="1" ht="13.35" customHeight="1">
      <c r="A309" s="100" t="s">
        <v>681</v>
      </c>
      <c r="B309" s="112">
        <v>114.1</v>
      </c>
      <c r="C309" s="128"/>
      <c r="D309" s="21"/>
    </row>
    <row r="310" spans="1:4" s="23" customFormat="1" ht="13.35" customHeight="1">
      <c r="A310" s="100" t="s">
        <v>682</v>
      </c>
      <c r="B310" s="112">
        <v>114.1</v>
      </c>
      <c r="C310" s="128"/>
      <c r="D310" s="21"/>
    </row>
    <row r="311" spans="1:4" s="23" customFormat="1" ht="13.35" customHeight="1">
      <c r="A311" s="100" t="s">
        <v>683</v>
      </c>
      <c r="B311" s="112">
        <v>114.8</v>
      </c>
      <c r="C311" s="128"/>
      <c r="D311" s="158"/>
    </row>
    <row r="312" spans="1:4" s="23" customFormat="1" ht="13.35" customHeight="1">
      <c r="A312" s="100" t="s">
        <v>684</v>
      </c>
      <c r="B312" s="112">
        <v>115.4</v>
      </c>
      <c r="C312" s="128"/>
      <c r="D312" s="21"/>
    </row>
    <row r="313" spans="1:4" s="23" customFormat="1" ht="13.35" customHeight="1">
      <c r="A313" s="100" t="s">
        <v>685</v>
      </c>
      <c r="B313" s="112">
        <v>116.2</v>
      </c>
      <c r="C313" s="128"/>
      <c r="D313" s="21"/>
    </row>
    <row r="314" spans="1:4" s="23" customFormat="1" ht="13.35" customHeight="1">
      <c r="A314" s="100" t="s">
        <v>686</v>
      </c>
      <c r="B314" s="112">
        <v>116.6</v>
      </c>
      <c r="C314" s="128"/>
      <c r="D314" s="21"/>
    </row>
    <row r="315" spans="1:4" s="23" customFormat="1" ht="13.35" customHeight="1">
      <c r="A315" s="100" t="s">
        <v>687</v>
      </c>
      <c r="B315" s="112">
        <v>114.4</v>
      </c>
      <c r="C315" s="128"/>
      <c r="D315" s="158"/>
    </row>
    <row r="316" spans="1:4" s="23" customFormat="1" ht="13.35" customHeight="1">
      <c r="A316" s="100" t="s">
        <v>688</v>
      </c>
      <c r="B316" s="112">
        <v>116.2</v>
      </c>
      <c r="C316" s="128"/>
      <c r="D316" s="21"/>
    </row>
    <row r="317" spans="1:4" s="23" customFormat="1" ht="13.35" customHeight="1">
      <c r="A317" s="100" t="s">
        <v>689</v>
      </c>
      <c r="B317" s="112">
        <v>117.2</v>
      </c>
      <c r="C317" s="128"/>
      <c r="D317" s="21"/>
    </row>
    <row r="318" spans="1:4" s="23" customFormat="1" ht="13.35" customHeight="1">
      <c r="A318" s="100" t="s">
        <v>690</v>
      </c>
      <c r="B318" s="112">
        <v>117.9</v>
      </c>
      <c r="C318" s="128"/>
      <c r="D318" s="21"/>
    </row>
    <row r="319" spans="1:4" s="23" customFormat="1" ht="13.35" customHeight="1">
      <c r="A319" s="100" t="s">
        <v>691</v>
      </c>
      <c r="B319" s="112">
        <v>118.8</v>
      </c>
      <c r="C319" s="128"/>
      <c r="D319" s="158"/>
    </row>
    <row r="320" spans="1:4" s="23" customFormat="1" ht="13.35" customHeight="1">
      <c r="A320" s="100" t="s">
        <v>692</v>
      </c>
      <c r="B320" s="112">
        <v>119.7</v>
      </c>
      <c r="C320" s="128"/>
      <c r="D320" s="21"/>
    </row>
    <row r="321" spans="1:4" ht="13.35" customHeight="1">
      <c r="A321" s="100" t="s">
        <v>693</v>
      </c>
      <c r="B321" s="112">
        <v>121.3</v>
      </c>
      <c r="C321" s="128"/>
    </row>
    <row r="322" spans="1:4" ht="13.35" customHeight="1">
      <c r="A322" s="100" t="s">
        <v>694</v>
      </c>
      <c r="B322" s="112">
        <v>123.9</v>
      </c>
      <c r="C322" s="128"/>
    </row>
    <row r="323" spans="1:4" ht="13.35" customHeight="1">
      <c r="A323" s="100" t="s">
        <v>695</v>
      </c>
      <c r="B323" s="112">
        <v>126.1</v>
      </c>
      <c r="C323" s="128"/>
      <c r="D323" s="158"/>
    </row>
    <row r="324" spans="1:4" ht="13.35" customHeight="1">
      <c r="A324" s="100" t="s">
        <v>696</v>
      </c>
      <c r="B324" s="112">
        <v>128.4</v>
      </c>
      <c r="C324" s="128"/>
    </row>
    <row r="325" spans="1:4" ht="13.35" customHeight="1">
      <c r="A325" s="100" t="s">
        <v>697</v>
      </c>
      <c r="B325" s="112">
        <v>130.80000000000001</v>
      </c>
      <c r="C325" s="128"/>
    </row>
    <row r="326" spans="1:4" ht="13.35" customHeight="1">
      <c r="A326" s="103" t="s">
        <v>698</v>
      </c>
      <c r="B326" s="112">
        <v>132.6</v>
      </c>
      <c r="C326" s="128"/>
    </row>
    <row r="327" spans="1:4" ht="13.35" customHeight="1">
      <c r="A327" s="103" t="s">
        <v>699</v>
      </c>
      <c r="B327" s="112">
        <v>133.69999999999999</v>
      </c>
      <c r="C327" s="128">
        <v>6.3E-2</v>
      </c>
      <c r="D327" s="158"/>
    </row>
    <row r="328" spans="1:4" ht="13.35" customHeight="1">
      <c r="A328" s="103" t="s">
        <v>764</v>
      </c>
      <c r="B328" s="113">
        <f>AVERAGE(B327, B329)</f>
        <v>135.19299999999998</v>
      </c>
      <c r="C328" s="128"/>
    </row>
    <row r="329" spans="1:4" ht="13.35" customHeight="1">
      <c r="A329" s="103" t="s">
        <v>763</v>
      </c>
      <c r="B329" s="113">
        <f>B325 * (1 + C329)</f>
        <v>136.68600000000001</v>
      </c>
      <c r="C329" s="128">
        <v>4.4999999999999998E-2</v>
      </c>
    </row>
    <row r="330" spans="1:4" ht="13.35" customHeight="1">
      <c r="A330" s="103" t="s">
        <v>772</v>
      </c>
      <c r="B330" s="113">
        <f>AVERAGE(B329, B331)</f>
        <v>137.59960000000001</v>
      </c>
      <c r="C330" s="128"/>
    </row>
    <row r="331" spans="1:4" ht="13.35" customHeight="1">
      <c r="A331" s="103" t="s">
        <v>773</v>
      </c>
      <c r="B331" s="113">
        <f>B327 * (1 + C331)</f>
        <v>138.51319999999998</v>
      </c>
      <c r="C331" s="128">
        <v>3.5999999999999997E-2</v>
      </c>
      <c r="D331" s="158"/>
    </row>
    <row r="332" spans="1:4" ht="13.35" customHeight="1">
      <c r="A332" s="103" t="s">
        <v>984</v>
      </c>
      <c r="B332" s="113">
        <f>AVERAGE(B331, B333)</f>
        <v>139.786576</v>
      </c>
      <c r="C332" s="128"/>
    </row>
    <row r="333" spans="1:4" ht="13.35" customHeight="1">
      <c r="A333" s="103" t="s">
        <v>985</v>
      </c>
      <c r="B333" s="113">
        <f>B329 * (1 + C333)</f>
        <v>141.05995200000001</v>
      </c>
      <c r="C333" s="128">
        <v>3.2000000000000001E-2</v>
      </c>
    </row>
    <row r="1008" spans="1:3" s="22" customFormat="1" ht="13.35" customHeight="1">
      <c r="A1008" s="2" t="s">
        <v>106</v>
      </c>
      <c r="B1008" s="4"/>
      <c r="C1008" s="136"/>
    </row>
  </sheetData>
  <hyperlinks>
    <hyperlink ref="A2" location="Index!A1" display="Index" xr:uid="{00000000-0004-0000-0600-000000000000}"/>
    <hyperlink ref="B8" r:id="rId1" location="data-download" display="Australian Bureau of Statistics, Index Numbers, All groups CPI, Australia, Series ID: A2325846C" xr:uid="{00000000-0004-0000-0600-000001000000}"/>
    <hyperlink ref="B13" r:id="rId2" xr:uid="{00000000-0004-0000-0600-000002000000}"/>
  </hyperlinks>
  <pageMargins left="0.7" right="0.7" top="0.75" bottom="0.75" header="0.3" footer="0.3"/>
  <pageSetup paperSize="9" orientation="portrait" r:id="rId3"/>
  <ignoredErrors>
    <ignoredError sqref="B330 B332"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FF"/>
  </sheetPr>
  <dimension ref="A1:IB61"/>
  <sheetViews>
    <sheetView zoomScaleNormal="100" workbookViewId="0">
      <pane xSplit="2" topLeftCell="C1" activePane="topRight" state="frozen"/>
      <selection pane="topRight" activeCell="A13" sqref="A13"/>
    </sheetView>
  </sheetViews>
  <sheetFormatPr defaultColWidth="8.85546875" defaultRowHeight="13.35" customHeight="1"/>
  <cols>
    <col min="1" max="1" width="83.140625" style="23" bestFit="1" customWidth="1"/>
    <col min="2" max="2" width="10.85546875" style="23" bestFit="1" customWidth="1"/>
    <col min="3" max="252" width="8.85546875" style="23" customWidth="1"/>
    <col min="253" max="16384" width="8.85546875" style="23"/>
  </cols>
  <sheetData>
    <row r="1" spans="1:236" s="7" customFormat="1" ht="15.6" customHeight="1">
      <c r="A1" s="1" t="s">
        <v>894</v>
      </c>
    </row>
    <row r="2" spans="1:236" s="16" customFormat="1" ht="13.35" customHeight="1">
      <c r="A2" s="90" t="s">
        <v>86</v>
      </c>
      <c r="C2" s="15"/>
      <c r="E2" s="89"/>
    </row>
    <row r="3" spans="1:236" s="9" customFormat="1" ht="13.35" customHeight="1" thickBot="1">
      <c r="A3" s="8" t="s">
        <v>991</v>
      </c>
    </row>
    <row r="4" spans="1:236" s="9" customFormat="1" ht="13.35" customHeight="1"/>
    <row r="5" spans="1:236" s="4" customFormat="1" ht="13.35" customHeight="1">
      <c r="A5" s="2" t="s">
        <v>995</v>
      </c>
      <c r="C5" s="3"/>
      <c r="D5" s="3"/>
      <c r="E5" s="3"/>
      <c r="F5" s="3"/>
      <c r="G5" s="5"/>
      <c r="H5" s="6"/>
      <c r="I5" s="5"/>
      <c r="J5" s="6"/>
      <c r="K5" s="5"/>
      <c r="L5" s="5"/>
      <c r="M5" s="5"/>
      <c r="N5" s="5"/>
      <c r="O5" s="5"/>
      <c r="P5" s="5"/>
      <c r="Q5" s="5"/>
      <c r="U5" s="6"/>
      <c r="V5" s="6"/>
      <c r="W5" s="5"/>
      <c r="X5" s="5"/>
      <c r="Y5" s="5"/>
      <c r="Z5" s="5"/>
      <c r="AA5" s="5"/>
    </row>
    <row r="6" spans="1:236" s="207" customFormat="1" ht="13.35" customHeight="1">
      <c r="A6" s="206"/>
      <c r="C6" s="215"/>
      <c r="D6" s="215"/>
      <c r="E6" s="215"/>
      <c r="F6" s="215"/>
      <c r="G6" s="216"/>
      <c r="H6" s="217"/>
      <c r="I6" s="216"/>
      <c r="J6" s="217"/>
      <c r="K6" s="216"/>
      <c r="L6" s="216"/>
      <c r="M6" s="216"/>
      <c r="N6" s="216"/>
      <c r="O6" s="216"/>
      <c r="P6" s="216"/>
      <c r="Q6" s="216"/>
      <c r="U6" s="217"/>
      <c r="V6" s="217"/>
      <c r="W6" s="216"/>
      <c r="X6" s="216"/>
      <c r="Y6" s="216"/>
      <c r="Z6" s="216"/>
      <c r="AA6" s="216"/>
    </row>
    <row r="7" spans="1:236" ht="13.35" customHeight="1">
      <c r="A7" s="98" t="s">
        <v>1033</v>
      </c>
      <c r="C7" s="133"/>
      <c r="D7" s="21"/>
    </row>
    <row r="8" spans="1:236" ht="13.35" customHeight="1">
      <c r="A8" s="224"/>
      <c r="B8" s="209"/>
      <c r="C8" s="133"/>
      <c r="D8" s="21"/>
    </row>
    <row r="9" spans="1:236" ht="13.35" customHeight="1">
      <c r="A9" s="224"/>
      <c r="B9" s="209"/>
      <c r="C9" s="133"/>
      <c r="D9" s="21"/>
    </row>
    <row r="10" spans="1:236" ht="13.35" customHeight="1">
      <c r="A10" s="226" t="s">
        <v>1036</v>
      </c>
    </row>
    <row r="11" spans="1:236" ht="13.35" customHeight="1">
      <c r="A11" s="227" t="s">
        <v>1037</v>
      </c>
      <c r="Q11" s="234" t="s">
        <v>1045</v>
      </c>
      <c r="R11" s="234"/>
      <c r="S11" s="234"/>
      <c r="T11" s="235">
        <v>1.1728976604532973E-2</v>
      </c>
      <c r="U11" s="234"/>
      <c r="V11" s="234"/>
      <c r="W11" s="234"/>
      <c r="X11" s="234"/>
      <c r="Y11" s="234"/>
      <c r="Z11" s="234"/>
      <c r="AA11" s="234"/>
      <c r="AB11" s="234"/>
      <c r="AC11" s="234"/>
      <c r="AD11" s="234"/>
      <c r="AE11" s="234"/>
      <c r="AF11" s="234"/>
      <c r="AG11" s="234"/>
      <c r="AH11" s="234"/>
      <c r="AI11" s="234" t="s">
        <v>1046</v>
      </c>
      <c r="AJ11" s="234"/>
      <c r="AK11" s="234"/>
      <c r="AL11" s="235">
        <v>5.32861074344351E-3</v>
      </c>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34"/>
      <c r="BL11" s="234"/>
      <c r="BM11" s="234"/>
      <c r="BN11" s="234"/>
      <c r="BO11" s="234"/>
      <c r="BP11" s="234"/>
      <c r="BQ11" s="234"/>
      <c r="BR11" s="234"/>
      <c r="BS11" s="234" t="s">
        <v>1046</v>
      </c>
      <c r="BT11" s="234"/>
      <c r="BU11" s="234"/>
      <c r="BV11" s="235">
        <v>2.7019392886476423E-2</v>
      </c>
      <c r="BW11" s="234"/>
      <c r="BX11" s="234"/>
      <c r="BY11" s="234"/>
      <c r="BZ11" s="234"/>
      <c r="CA11" s="234"/>
      <c r="CB11" s="234"/>
      <c r="CC11" s="234"/>
      <c r="CD11" s="234"/>
      <c r="CE11" s="234"/>
      <c r="CF11" s="234"/>
      <c r="CG11" s="234"/>
      <c r="CH11" s="234"/>
      <c r="CI11" s="234"/>
      <c r="CJ11" s="234"/>
      <c r="CK11" s="234"/>
      <c r="CL11" s="234"/>
      <c r="CM11" s="234"/>
      <c r="CN11" s="234"/>
      <c r="CO11" s="234"/>
      <c r="CP11" s="234"/>
      <c r="CQ11" s="234"/>
      <c r="CR11" s="234"/>
      <c r="CS11" s="234"/>
      <c r="CT11" s="234"/>
      <c r="CU11" s="234"/>
      <c r="CV11" s="234"/>
      <c r="CW11" s="234"/>
      <c r="CX11" s="234"/>
      <c r="CY11" s="234"/>
      <c r="CZ11" s="234"/>
      <c r="DA11" s="234"/>
      <c r="DB11" s="234"/>
      <c r="DC11" s="234"/>
      <c r="DD11" s="234"/>
      <c r="DE11" s="234"/>
      <c r="DF11" s="234"/>
      <c r="DG11" s="234"/>
      <c r="DH11" s="234"/>
      <c r="DI11" s="234"/>
      <c r="DJ11" s="234"/>
      <c r="DK11" s="234"/>
      <c r="DL11" s="234"/>
      <c r="DM11" s="234"/>
      <c r="DN11" s="234"/>
      <c r="DO11" s="234"/>
      <c r="DP11" s="234"/>
      <c r="DQ11" s="234"/>
      <c r="DR11" s="234"/>
      <c r="DS11" s="234"/>
      <c r="DT11" s="234"/>
      <c r="DU11" s="234" t="s">
        <v>1046</v>
      </c>
      <c r="DV11" s="234"/>
      <c r="DW11" s="234"/>
      <c r="DX11" s="235">
        <v>1.790931001350797E-3</v>
      </c>
      <c r="DY11" s="234"/>
      <c r="DZ11" s="234"/>
      <c r="EA11" s="234"/>
      <c r="EB11" s="234"/>
      <c r="EC11" s="234"/>
      <c r="ED11" s="234"/>
      <c r="EE11" s="234"/>
      <c r="EF11" s="234"/>
      <c r="EG11" s="234"/>
      <c r="EH11" s="234"/>
      <c r="EI11" s="234"/>
      <c r="EJ11" s="234"/>
      <c r="EK11" s="234"/>
      <c r="EL11" s="234"/>
      <c r="EM11" s="234"/>
      <c r="EN11" s="234"/>
      <c r="EO11" s="234"/>
      <c r="EP11" s="234"/>
      <c r="EQ11" s="234"/>
      <c r="ER11" s="234"/>
      <c r="ES11" s="234"/>
      <c r="ET11" s="234"/>
      <c r="EU11" s="234"/>
      <c r="EV11" s="234"/>
      <c r="EW11" s="234"/>
      <c r="EX11" s="234"/>
      <c r="EY11" s="234"/>
      <c r="EZ11" s="234"/>
      <c r="FA11" s="234"/>
      <c r="FB11" s="234"/>
      <c r="FC11" s="234"/>
      <c r="FD11" s="234"/>
      <c r="FE11" s="234"/>
      <c r="FF11" s="234"/>
      <c r="FG11" s="234"/>
      <c r="FH11" s="234"/>
      <c r="FI11" s="234"/>
      <c r="FJ11" s="234"/>
      <c r="FK11" s="234"/>
      <c r="FL11" s="234"/>
      <c r="FM11" s="234"/>
      <c r="FN11" s="234"/>
      <c r="FO11" s="234"/>
      <c r="FP11" s="234"/>
      <c r="FQ11" s="234"/>
      <c r="FR11" s="234"/>
      <c r="FS11" s="234"/>
      <c r="FT11" s="234"/>
      <c r="FU11" s="234"/>
      <c r="FV11" s="234"/>
      <c r="FW11" s="234"/>
      <c r="FX11" s="234"/>
      <c r="FY11" s="234"/>
      <c r="FZ11" s="234"/>
      <c r="GA11" s="234"/>
      <c r="GB11" s="234"/>
      <c r="GC11" s="234"/>
      <c r="GD11" s="234"/>
      <c r="GE11" s="234"/>
      <c r="GF11" s="234"/>
      <c r="GG11" s="234"/>
      <c r="GH11" s="234"/>
      <c r="GI11" s="234"/>
      <c r="GJ11" s="234"/>
      <c r="GK11" s="234"/>
      <c r="GL11" s="234"/>
      <c r="GM11" s="234"/>
      <c r="GN11" s="234"/>
      <c r="GO11" s="234"/>
      <c r="GP11" s="234"/>
      <c r="GQ11" s="234"/>
      <c r="GR11" s="234"/>
      <c r="GS11" s="234"/>
      <c r="GT11" s="234"/>
      <c r="GU11" s="234"/>
      <c r="GV11" s="234"/>
      <c r="GW11" s="234"/>
      <c r="GX11" s="234"/>
      <c r="GY11" s="234"/>
      <c r="GZ11" s="234"/>
      <c r="HA11" s="234"/>
      <c r="HB11" s="234"/>
      <c r="HC11" s="234"/>
      <c r="HD11" s="234"/>
      <c r="HE11" s="234"/>
      <c r="HF11" s="234"/>
      <c r="HG11" s="234" t="s">
        <v>1047</v>
      </c>
      <c r="HH11" s="234"/>
      <c r="HI11" s="234"/>
      <c r="HJ11" s="235">
        <v>1.0360401138638261E-2</v>
      </c>
      <c r="HK11" s="234"/>
      <c r="HL11" s="234"/>
      <c r="HM11" s="234"/>
      <c r="HN11" s="234"/>
      <c r="HO11" s="234"/>
      <c r="HP11" s="234"/>
      <c r="HQ11" s="234"/>
      <c r="HR11" s="234"/>
      <c r="HS11" s="234"/>
      <c r="HT11" s="234"/>
      <c r="HU11" s="234"/>
      <c r="HV11" s="234"/>
      <c r="HW11" s="234"/>
      <c r="HX11" s="234"/>
      <c r="HY11" s="234"/>
      <c r="HZ11" s="234"/>
      <c r="IA11" s="234"/>
      <c r="IB11" s="234"/>
    </row>
    <row r="12" spans="1:236" ht="13.35" customHeight="1">
      <c r="A12" s="65"/>
    </row>
    <row r="13" spans="1:236" ht="13.35" customHeight="1">
      <c r="A13" s="11" t="s">
        <v>361</v>
      </c>
      <c r="B13" s="239">
        <v>0</v>
      </c>
    </row>
    <row r="14" spans="1:236" ht="13.35" customHeight="1">
      <c r="A14" s="65"/>
    </row>
    <row r="15" spans="1:236" ht="13.35" customHeight="1">
      <c r="A15" s="24" t="s">
        <v>160</v>
      </c>
      <c r="B15" s="24" t="s">
        <v>358</v>
      </c>
      <c r="C15" s="77" t="s">
        <v>163</v>
      </c>
      <c r="D15" s="77" t="s">
        <v>164</v>
      </c>
      <c r="E15" s="77" t="s">
        <v>165</v>
      </c>
      <c r="F15" s="77" t="s">
        <v>166</v>
      </c>
      <c r="G15" s="77" t="s">
        <v>167</v>
      </c>
      <c r="H15" s="77" t="s">
        <v>168</v>
      </c>
      <c r="I15" s="77" t="s">
        <v>169</v>
      </c>
      <c r="J15" s="77" t="s">
        <v>170</v>
      </c>
      <c r="K15" s="77" t="s">
        <v>171</v>
      </c>
      <c r="L15" s="77" t="s">
        <v>172</v>
      </c>
      <c r="M15" s="77" t="s">
        <v>173</v>
      </c>
      <c r="N15" s="77" t="s">
        <v>174</v>
      </c>
      <c r="O15" s="77" t="s">
        <v>175</v>
      </c>
      <c r="P15" s="77" t="s">
        <v>176</v>
      </c>
      <c r="Q15" s="77" t="s">
        <v>177</v>
      </c>
      <c r="R15" s="77" t="s">
        <v>704</v>
      </c>
      <c r="S15" s="77" t="s">
        <v>705</v>
      </c>
      <c r="T15" s="77" t="s">
        <v>706</v>
      </c>
      <c r="U15" s="77" t="s">
        <v>178</v>
      </c>
      <c r="V15" s="77" t="s">
        <v>179</v>
      </c>
      <c r="W15" s="77" t="s">
        <v>180</v>
      </c>
      <c r="X15" s="77" t="s">
        <v>181</v>
      </c>
      <c r="Y15" s="77" t="s">
        <v>182</v>
      </c>
      <c r="Z15" s="77" t="s">
        <v>183</v>
      </c>
      <c r="AA15" s="77" t="s">
        <v>184</v>
      </c>
      <c r="AB15" s="77" t="s">
        <v>185</v>
      </c>
      <c r="AC15" s="77" t="s">
        <v>186</v>
      </c>
      <c r="AD15" s="77" t="s">
        <v>187</v>
      </c>
      <c r="AE15" s="77" t="s">
        <v>188</v>
      </c>
      <c r="AF15" s="77" t="s">
        <v>189</v>
      </c>
      <c r="AG15" s="77" t="s">
        <v>190</v>
      </c>
      <c r="AH15" s="77" t="s">
        <v>191</v>
      </c>
      <c r="AI15" s="77" t="s">
        <v>192</v>
      </c>
      <c r="AJ15" s="77" t="s">
        <v>364</v>
      </c>
      <c r="AK15" s="77" t="s">
        <v>365</v>
      </c>
      <c r="AL15" s="77" t="s">
        <v>366</v>
      </c>
      <c r="AM15" s="77" t="s">
        <v>193</v>
      </c>
      <c r="AN15" s="77" t="s">
        <v>194</v>
      </c>
      <c r="AO15" s="77" t="s">
        <v>195</v>
      </c>
      <c r="AP15" s="77" t="s">
        <v>196</v>
      </c>
      <c r="AQ15" s="77" t="s">
        <v>197</v>
      </c>
      <c r="AR15" s="77" t="s">
        <v>198</v>
      </c>
      <c r="AS15" s="77" t="s">
        <v>199</v>
      </c>
      <c r="AT15" s="77" t="s">
        <v>200</v>
      </c>
      <c r="AU15" s="77" t="s">
        <v>201</v>
      </c>
      <c r="AV15" s="77" t="s">
        <v>202</v>
      </c>
      <c r="AW15" s="77" t="s">
        <v>203</v>
      </c>
      <c r="AX15" s="77" t="s">
        <v>204</v>
      </c>
      <c r="AY15" s="77" t="s">
        <v>205</v>
      </c>
      <c r="AZ15" s="77" t="s">
        <v>206</v>
      </c>
      <c r="BA15" s="77" t="s">
        <v>207</v>
      </c>
      <c r="BB15" s="77" t="s">
        <v>707</v>
      </c>
      <c r="BC15" s="77" t="s">
        <v>708</v>
      </c>
      <c r="BD15" s="77" t="s">
        <v>709</v>
      </c>
      <c r="BE15" s="77" t="s">
        <v>208</v>
      </c>
      <c r="BF15" s="77" t="s">
        <v>209</v>
      </c>
      <c r="BG15" s="77" t="s">
        <v>210</v>
      </c>
      <c r="BH15" s="77" t="s">
        <v>211</v>
      </c>
      <c r="BI15" s="77" t="s">
        <v>212</v>
      </c>
      <c r="BJ15" s="77" t="s">
        <v>213</v>
      </c>
      <c r="BK15" s="77" t="s">
        <v>214</v>
      </c>
      <c r="BL15" s="77" t="s">
        <v>215</v>
      </c>
      <c r="BM15" s="77" t="s">
        <v>216</v>
      </c>
      <c r="BN15" s="77" t="s">
        <v>217</v>
      </c>
      <c r="BO15" s="77" t="s">
        <v>218</v>
      </c>
      <c r="BP15" s="77" t="s">
        <v>219</v>
      </c>
      <c r="BQ15" s="77" t="s">
        <v>220</v>
      </c>
      <c r="BR15" s="77" t="s">
        <v>221</v>
      </c>
      <c r="BS15" s="77" t="s">
        <v>222</v>
      </c>
      <c r="BT15" s="77" t="s">
        <v>710</v>
      </c>
      <c r="BU15" s="77" t="s">
        <v>711</v>
      </c>
      <c r="BV15" s="77" t="s">
        <v>712</v>
      </c>
      <c r="BW15" s="77" t="s">
        <v>223</v>
      </c>
      <c r="BX15" s="77" t="s">
        <v>224</v>
      </c>
      <c r="BY15" s="77" t="s">
        <v>225</v>
      </c>
      <c r="BZ15" s="77" t="s">
        <v>226</v>
      </c>
      <c r="CA15" s="77" t="s">
        <v>227</v>
      </c>
      <c r="CB15" s="77" t="s">
        <v>228</v>
      </c>
      <c r="CC15" s="77" t="s">
        <v>229</v>
      </c>
      <c r="CD15" s="77" t="s">
        <v>230</v>
      </c>
      <c r="CE15" s="77" t="s">
        <v>231</v>
      </c>
      <c r="CF15" s="77" t="s">
        <v>232</v>
      </c>
      <c r="CG15" s="77" t="s">
        <v>233</v>
      </c>
      <c r="CH15" s="77" t="s">
        <v>234</v>
      </c>
      <c r="CI15" s="77" t="s">
        <v>235</v>
      </c>
      <c r="CJ15" s="77" t="s">
        <v>236</v>
      </c>
      <c r="CK15" s="77" t="s">
        <v>237</v>
      </c>
      <c r="CL15" s="77" t="s">
        <v>713</v>
      </c>
      <c r="CM15" s="77" t="s">
        <v>714</v>
      </c>
      <c r="CN15" s="77" t="s">
        <v>715</v>
      </c>
      <c r="CO15" s="77" t="s">
        <v>238</v>
      </c>
      <c r="CP15" s="77" t="s">
        <v>239</v>
      </c>
      <c r="CQ15" s="77" t="s">
        <v>240</v>
      </c>
      <c r="CR15" s="77" t="s">
        <v>241</v>
      </c>
      <c r="CS15" s="77" t="s">
        <v>242</v>
      </c>
      <c r="CT15" s="77" t="s">
        <v>243</v>
      </c>
      <c r="CU15" s="77" t="s">
        <v>244</v>
      </c>
      <c r="CV15" s="77" t="s">
        <v>245</v>
      </c>
      <c r="CW15" s="77" t="s">
        <v>246</v>
      </c>
      <c r="CX15" s="77" t="s">
        <v>247</v>
      </c>
      <c r="CY15" s="77" t="s">
        <v>248</v>
      </c>
      <c r="CZ15" s="77" t="s">
        <v>249</v>
      </c>
      <c r="DA15" s="77" t="s">
        <v>250</v>
      </c>
      <c r="DB15" s="77" t="s">
        <v>251</v>
      </c>
      <c r="DC15" s="77" t="s">
        <v>252</v>
      </c>
      <c r="DD15" s="77" t="s">
        <v>716</v>
      </c>
      <c r="DE15" s="77" t="s">
        <v>717</v>
      </c>
      <c r="DF15" s="77" t="s">
        <v>718</v>
      </c>
      <c r="DG15" s="77" t="s">
        <v>253</v>
      </c>
      <c r="DH15" s="77" t="s">
        <v>254</v>
      </c>
      <c r="DI15" s="77" t="s">
        <v>255</v>
      </c>
      <c r="DJ15" s="77" t="s">
        <v>256</v>
      </c>
      <c r="DK15" s="77" t="s">
        <v>257</v>
      </c>
      <c r="DL15" s="77" t="s">
        <v>258</v>
      </c>
      <c r="DM15" s="77" t="s">
        <v>259</v>
      </c>
      <c r="DN15" s="77" t="s">
        <v>260</v>
      </c>
      <c r="DO15" s="77" t="s">
        <v>261</v>
      </c>
      <c r="DP15" s="77" t="s">
        <v>262</v>
      </c>
      <c r="DQ15" s="77" t="s">
        <v>263</v>
      </c>
      <c r="DR15" s="77" t="s">
        <v>264</v>
      </c>
      <c r="DS15" s="77" t="s">
        <v>265</v>
      </c>
      <c r="DT15" s="77" t="s">
        <v>266</v>
      </c>
      <c r="DU15" s="77" t="s">
        <v>267</v>
      </c>
      <c r="DV15" s="77" t="s">
        <v>719</v>
      </c>
      <c r="DW15" s="77" t="s">
        <v>720</v>
      </c>
      <c r="DX15" s="77" t="s">
        <v>721</v>
      </c>
      <c r="DY15" s="77" t="s">
        <v>268</v>
      </c>
      <c r="DZ15" s="77" t="s">
        <v>269</v>
      </c>
      <c r="EA15" s="77" t="s">
        <v>270</v>
      </c>
      <c r="EB15" s="77" t="s">
        <v>271</v>
      </c>
      <c r="EC15" s="77" t="s">
        <v>272</v>
      </c>
      <c r="ED15" s="77" t="s">
        <v>273</v>
      </c>
      <c r="EE15" s="77" t="s">
        <v>274</v>
      </c>
      <c r="EF15" s="77" t="s">
        <v>275</v>
      </c>
      <c r="EG15" s="77" t="s">
        <v>276</v>
      </c>
      <c r="EH15" s="77" t="s">
        <v>277</v>
      </c>
      <c r="EI15" s="77" t="s">
        <v>278</v>
      </c>
      <c r="EJ15" s="77" t="s">
        <v>279</v>
      </c>
      <c r="EK15" s="77" t="s">
        <v>280</v>
      </c>
      <c r="EL15" s="77" t="s">
        <v>281</v>
      </c>
      <c r="EM15" s="77" t="s">
        <v>282</v>
      </c>
      <c r="EN15" s="77" t="s">
        <v>722</v>
      </c>
      <c r="EO15" s="77" t="s">
        <v>723</v>
      </c>
      <c r="EP15" s="77" t="s">
        <v>724</v>
      </c>
      <c r="EQ15" s="77" t="s">
        <v>283</v>
      </c>
      <c r="ER15" s="77" t="s">
        <v>284</v>
      </c>
      <c r="ES15" s="77" t="s">
        <v>285</v>
      </c>
      <c r="ET15" s="77" t="s">
        <v>286</v>
      </c>
      <c r="EU15" s="77" t="s">
        <v>287</v>
      </c>
      <c r="EV15" s="77" t="s">
        <v>288</v>
      </c>
      <c r="EW15" s="77" t="s">
        <v>289</v>
      </c>
      <c r="EX15" s="77" t="s">
        <v>290</v>
      </c>
      <c r="EY15" s="77" t="s">
        <v>291</v>
      </c>
      <c r="EZ15" s="77" t="s">
        <v>292</v>
      </c>
      <c r="FA15" s="77" t="s">
        <v>293</v>
      </c>
      <c r="FB15" s="77" t="s">
        <v>294</v>
      </c>
      <c r="FC15" s="77" t="s">
        <v>295</v>
      </c>
      <c r="FD15" s="77" t="s">
        <v>296</v>
      </c>
      <c r="FE15" s="77" t="s">
        <v>297</v>
      </c>
      <c r="FF15" s="77" t="s">
        <v>725</v>
      </c>
      <c r="FG15" s="77" t="s">
        <v>726</v>
      </c>
      <c r="FH15" s="77" t="s">
        <v>727</v>
      </c>
      <c r="FI15" s="77" t="s">
        <v>298</v>
      </c>
      <c r="FJ15" s="77" t="s">
        <v>299</v>
      </c>
      <c r="FK15" s="77" t="s">
        <v>300</v>
      </c>
      <c r="FL15" s="77" t="s">
        <v>301</v>
      </c>
      <c r="FM15" s="77" t="s">
        <v>302</v>
      </c>
      <c r="FN15" s="77" t="s">
        <v>303</v>
      </c>
      <c r="FO15" s="77" t="s">
        <v>304</v>
      </c>
      <c r="FP15" s="77" t="s">
        <v>305</v>
      </c>
      <c r="FQ15" s="77" t="s">
        <v>306</v>
      </c>
      <c r="FR15" s="77" t="s">
        <v>307</v>
      </c>
      <c r="FS15" s="77" t="s">
        <v>308</v>
      </c>
      <c r="FT15" s="77" t="s">
        <v>309</v>
      </c>
      <c r="FU15" s="77" t="s">
        <v>310</v>
      </c>
      <c r="FV15" s="77" t="s">
        <v>311</v>
      </c>
      <c r="FW15" s="77" t="s">
        <v>312</v>
      </c>
      <c r="FX15" s="77" t="s">
        <v>728</v>
      </c>
      <c r="FY15" s="77" t="s">
        <v>729</v>
      </c>
      <c r="FZ15" s="77" t="s">
        <v>730</v>
      </c>
      <c r="GA15" s="77" t="s">
        <v>313</v>
      </c>
      <c r="GB15" s="77" t="s">
        <v>314</v>
      </c>
      <c r="GC15" s="77" t="s">
        <v>315</v>
      </c>
      <c r="GD15" s="77" t="s">
        <v>316</v>
      </c>
      <c r="GE15" s="77" t="s">
        <v>317</v>
      </c>
      <c r="GF15" s="77" t="s">
        <v>318</v>
      </c>
      <c r="GG15" s="77" t="s">
        <v>319</v>
      </c>
      <c r="GH15" s="77" t="s">
        <v>320</v>
      </c>
      <c r="GI15" s="77" t="s">
        <v>321</v>
      </c>
      <c r="GJ15" s="77" t="s">
        <v>322</v>
      </c>
      <c r="GK15" s="77" t="s">
        <v>323</v>
      </c>
      <c r="GL15" s="77" t="s">
        <v>324</v>
      </c>
      <c r="GM15" s="77" t="s">
        <v>325</v>
      </c>
      <c r="GN15" s="77" t="s">
        <v>326</v>
      </c>
      <c r="GO15" s="77" t="s">
        <v>327</v>
      </c>
      <c r="GP15" s="77" t="s">
        <v>731</v>
      </c>
      <c r="GQ15" s="77" t="s">
        <v>732</v>
      </c>
      <c r="GR15" s="77" t="s">
        <v>733</v>
      </c>
      <c r="GS15" s="77" t="s">
        <v>328</v>
      </c>
      <c r="GT15" s="77" t="s">
        <v>329</v>
      </c>
      <c r="GU15" s="77" t="s">
        <v>330</v>
      </c>
      <c r="GV15" s="77" t="s">
        <v>331</v>
      </c>
      <c r="GW15" s="77" t="s">
        <v>332</v>
      </c>
      <c r="GX15" s="77" t="s">
        <v>333</v>
      </c>
      <c r="GY15" s="77" t="s">
        <v>334</v>
      </c>
      <c r="GZ15" s="77" t="s">
        <v>335</v>
      </c>
      <c r="HA15" s="77" t="s">
        <v>336</v>
      </c>
      <c r="HB15" s="77" t="s">
        <v>337</v>
      </c>
      <c r="HC15" s="77" t="s">
        <v>338</v>
      </c>
      <c r="HD15" s="77" t="s">
        <v>339</v>
      </c>
      <c r="HE15" s="77" t="s">
        <v>340</v>
      </c>
      <c r="HF15" s="77" t="s">
        <v>341</v>
      </c>
      <c r="HG15" s="77" t="s">
        <v>342</v>
      </c>
      <c r="HH15" s="77" t="s">
        <v>734</v>
      </c>
      <c r="HI15" s="77" t="s">
        <v>735</v>
      </c>
      <c r="HJ15" s="77" t="s">
        <v>736</v>
      </c>
      <c r="HK15" s="77" t="s">
        <v>343</v>
      </c>
      <c r="HL15" s="77" t="s">
        <v>344</v>
      </c>
      <c r="HM15" s="77" t="s">
        <v>345</v>
      </c>
      <c r="HN15" s="77" t="s">
        <v>346</v>
      </c>
      <c r="HO15" s="77" t="s">
        <v>347</v>
      </c>
      <c r="HP15" s="77" t="s">
        <v>348</v>
      </c>
      <c r="HQ15" s="77" t="s">
        <v>349</v>
      </c>
      <c r="HR15" s="77" t="s">
        <v>350</v>
      </c>
      <c r="HS15" s="77" t="s">
        <v>351</v>
      </c>
      <c r="HT15" s="77" t="s">
        <v>352</v>
      </c>
      <c r="HU15" s="77" t="s">
        <v>353</v>
      </c>
      <c r="HV15" s="77" t="s">
        <v>354</v>
      </c>
      <c r="HW15" s="77" t="s">
        <v>355</v>
      </c>
      <c r="HX15" s="77" t="s">
        <v>356</v>
      </c>
      <c r="HY15" s="77" t="s">
        <v>357</v>
      </c>
      <c r="HZ15" s="77" t="s">
        <v>737</v>
      </c>
      <c r="IA15" s="77" t="s">
        <v>738</v>
      </c>
      <c r="IB15" s="77" t="s">
        <v>739</v>
      </c>
    </row>
    <row r="16" spans="1:236" s="177" customFormat="1" ht="13.35" customHeight="1">
      <c r="A16" s="174" t="s">
        <v>71</v>
      </c>
      <c r="B16" s="174" t="s">
        <v>51</v>
      </c>
      <c r="C16" s="175">
        <f t="shared" ref="C16:R19" si="0">VLOOKUP($A16, Table_Data_EBRIN, MATCH(C$15, Header_Table_Data_EBRIN, 0), FALSE)</f>
        <v>154510</v>
      </c>
      <c r="D16" s="175">
        <f t="shared" si="0"/>
        <v>156360</v>
      </c>
      <c r="E16" s="175">
        <f t="shared" si="0"/>
        <v>158455</v>
      </c>
      <c r="F16" s="175">
        <f t="shared" si="0"/>
        <v>161092</v>
      </c>
      <c r="G16" s="175">
        <f t="shared" si="0"/>
        <v>164900</v>
      </c>
      <c r="H16" s="175">
        <f t="shared" si="0"/>
        <v>168937</v>
      </c>
      <c r="I16" s="175">
        <f t="shared" si="0"/>
        <v>173186</v>
      </c>
      <c r="J16" s="175">
        <f t="shared" si="0"/>
        <v>177255</v>
      </c>
      <c r="K16" s="175">
        <f t="shared" si="0"/>
        <v>178710</v>
      </c>
      <c r="L16" s="175">
        <f t="shared" si="0"/>
        <v>181851</v>
      </c>
      <c r="M16" s="175">
        <f t="shared" si="0"/>
        <v>184961.5</v>
      </c>
      <c r="N16" s="175">
        <f t="shared" si="0"/>
        <v>191482</v>
      </c>
      <c r="O16" s="175">
        <f t="shared" si="0"/>
        <v>197537</v>
      </c>
      <c r="P16" s="175">
        <f t="shared" si="0"/>
        <v>203157</v>
      </c>
      <c r="Q16" s="175">
        <f t="shared" si="0"/>
        <v>207237.00000000399</v>
      </c>
      <c r="R16" s="175">
        <f t="shared" si="0"/>
        <v>212505</v>
      </c>
      <c r="S16" s="223">
        <v>216948</v>
      </c>
      <c r="T16" s="236">
        <f>S16*(1+T11)</f>
        <v>219492.57801640022</v>
      </c>
      <c r="U16" s="175">
        <f t="shared" ref="U16:AJ19" si="1">VLOOKUP($A16, Table_Data_EBRIN, MATCH(U$15, Header_Table_Data_EBRIN, 0), FALSE)</f>
        <v>1546194.5</v>
      </c>
      <c r="V16" s="175">
        <f t="shared" si="1"/>
        <v>1561613.99999999</v>
      </c>
      <c r="W16" s="175">
        <f t="shared" si="1"/>
        <v>1574317.99999999</v>
      </c>
      <c r="X16" s="175">
        <f t="shared" si="1"/>
        <v>1586138</v>
      </c>
      <c r="Y16" s="175">
        <f t="shared" si="1"/>
        <v>1596897.5</v>
      </c>
      <c r="Z16" s="175">
        <f t="shared" si="1"/>
        <v>1608734.5</v>
      </c>
      <c r="AA16" s="175">
        <f t="shared" si="1"/>
        <v>1621658.49999999</v>
      </c>
      <c r="AB16" s="175">
        <f t="shared" si="1"/>
        <v>1635052.5</v>
      </c>
      <c r="AC16" s="175">
        <f t="shared" si="1"/>
        <v>1651159.5</v>
      </c>
      <c r="AD16" s="175">
        <f t="shared" si="1"/>
        <v>1669558.5</v>
      </c>
      <c r="AE16" s="175">
        <f t="shared" si="1"/>
        <v>1688281.7206584599</v>
      </c>
      <c r="AF16" s="175">
        <f t="shared" si="1"/>
        <v>1706913.49999999</v>
      </c>
      <c r="AG16" s="175">
        <f t="shared" si="1"/>
        <v>1727294</v>
      </c>
      <c r="AH16" s="175">
        <f t="shared" si="1"/>
        <v>1746274</v>
      </c>
      <c r="AI16" s="175">
        <f t="shared" si="1"/>
        <v>1762079</v>
      </c>
      <c r="AJ16" s="175">
        <f t="shared" si="1"/>
        <v>1774204</v>
      </c>
      <c r="AK16" s="223">
        <v>1783052</v>
      </c>
      <c r="AL16" s="236">
        <f>AK16*(1+AL11)</f>
        <v>1792553.1900433186</v>
      </c>
      <c r="AM16" s="175">
        <f t="shared" ref="AM16:BB19" si="2">VLOOKUP($A16, Table_Data_EBRIN, MATCH(AM$15, Header_Table_Data_EBRIN, 0), FALSE)</f>
        <v>294971.65817282</v>
      </c>
      <c r="AN16" s="175">
        <f t="shared" si="2"/>
        <v>299951.29418557999</v>
      </c>
      <c r="AO16" s="175">
        <f t="shared" si="2"/>
        <v>303151.80398685997</v>
      </c>
      <c r="AP16" s="175">
        <f t="shared" si="2"/>
        <v>305984.98426971998</v>
      </c>
      <c r="AQ16" s="175">
        <f t="shared" si="2"/>
        <v>310174.96273257001</v>
      </c>
      <c r="AR16" s="175">
        <f t="shared" si="2"/>
        <v>314439.61807552999</v>
      </c>
      <c r="AS16" s="175">
        <f t="shared" si="2"/>
        <v>318643.22002328001</v>
      </c>
      <c r="AT16" s="175">
        <f t="shared" si="2"/>
        <v>322735.81579785002</v>
      </c>
      <c r="AU16" s="175">
        <f t="shared" si="2"/>
        <v>325917.15180559002</v>
      </c>
      <c r="AV16" s="175">
        <f t="shared" si="2"/>
        <v>327907.17472150002</v>
      </c>
      <c r="AW16" s="175">
        <f t="shared" si="2"/>
        <v>336070</v>
      </c>
      <c r="AX16" s="175">
        <f t="shared" si="2"/>
        <v>339400</v>
      </c>
      <c r="AY16" s="175">
        <f t="shared" si="2"/>
        <v>342668.99999999994</v>
      </c>
      <c r="AZ16" s="175">
        <f t="shared" si="2"/>
        <v>345009</v>
      </c>
      <c r="BA16" s="175">
        <f t="shared" si="2"/>
        <v>346468</v>
      </c>
      <c r="BB16" s="175">
        <f t="shared" si="2"/>
        <v>346855</v>
      </c>
      <c r="BC16" s="223">
        <v>348303</v>
      </c>
      <c r="BD16" s="175">
        <f>BC16*(POWER($BC16/$AY16,1/4))</f>
        <v>349725.91460937145</v>
      </c>
      <c r="BE16" s="175">
        <f t="shared" ref="BE16:BT19" si="3">VLOOKUP($A16, Table_Data_EBRIN, MATCH(BE$15, Header_Table_Data_EBRIN, 0), FALSE)</f>
        <v>849548.29330194998</v>
      </c>
      <c r="BF16" s="175">
        <f t="shared" si="3"/>
        <v>859722.30529924994</v>
      </c>
      <c r="BG16" s="175">
        <f t="shared" si="3"/>
        <v>869654.53679640999</v>
      </c>
      <c r="BH16" s="175">
        <f t="shared" si="3"/>
        <v>878612.20779661997</v>
      </c>
      <c r="BI16" s="175">
        <f t="shared" si="3"/>
        <v>886064.29272154998</v>
      </c>
      <c r="BJ16" s="175">
        <f t="shared" si="3"/>
        <v>895088.26980019</v>
      </c>
      <c r="BK16" s="175">
        <f t="shared" si="3"/>
        <v>903746.68839344999</v>
      </c>
      <c r="BL16" s="175">
        <f t="shared" si="3"/>
        <v>919384.82389899995</v>
      </c>
      <c r="BM16" s="175">
        <f t="shared" si="3"/>
        <v>940028.5</v>
      </c>
      <c r="BN16" s="175">
        <f t="shared" si="3"/>
        <v>955832.5</v>
      </c>
      <c r="BO16" s="175">
        <f t="shared" si="3"/>
        <v>968354.5</v>
      </c>
      <c r="BP16" s="175">
        <f t="shared" si="3"/>
        <v>984229.5</v>
      </c>
      <c r="BQ16" s="175">
        <f t="shared" si="3"/>
        <v>1005561.9999999999</v>
      </c>
      <c r="BR16" s="175">
        <f t="shared" si="3"/>
        <v>1027585.5</v>
      </c>
      <c r="BS16" s="175">
        <f t="shared" si="3"/>
        <v>1049164.5</v>
      </c>
      <c r="BT16" s="175">
        <f t="shared" si="3"/>
        <v>1067349</v>
      </c>
      <c r="BU16" s="223">
        <v>1082918.5</v>
      </c>
      <c r="BV16" s="236">
        <f>BU16*(1+BV11)</f>
        <v>1112178.3004155336</v>
      </c>
      <c r="BW16" s="175">
        <f t="shared" ref="BW16:CL19" si="4">VLOOKUP($A16, Table_Data_EBRIN, MATCH(BW$15, Header_Table_Data_EBRIN, 0), FALSE)</f>
        <v>1212063.56238094</v>
      </c>
      <c r="BX16" s="175">
        <f t="shared" si="4"/>
        <v>1236100.97666665</v>
      </c>
      <c r="BY16" s="175">
        <f t="shared" si="4"/>
        <v>1263762.9433333301</v>
      </c>
      <c r="BZ16" s="175">
        <f t="shared" si="4"/>
        <v>1287435.6833333101</v>
      </c>
      <c r="CA16" s="175">
        <f t="shared" si="4"/>
        <v>1307554.33333332</v>
      </c>
      <c r="CB16" s="175">
        <f t="shared" si="4"/>
        <v>1326563.49999999</v>
      </c>
      <c r="CC16" s="175">
        <f t="shared" si="4"/>
        <v>1343864.49999999</v>
      </c>
      <c r="CD16" s="175">
        <f t="shared" si="4"/>
        <v>1359711.49999999</v>
      </c>
      <c r="CE16" s="175">
        <f t="shared" si="4"/>
        <v>1376483</v>
      </c>
      <c r="CF16" s="175">
        <f t="shared" si="4"/>
        <v>1397191</v>
      </c>
      <c r="CG16" s="175">
        <f t="shared" si="4"/>
        <v>1421522</v>
      </c>
      <c r="CH16" s="175">
        <f t="shared" si="4"/>
        <v>1448247</v>
      </c>
      <c r="CI16" s="175">
        <f t="shared" si="4"/>
        <v>1473805</v>
      </c>
      <c r="CJ16" s="175">
        <f t="shared" si="4"/>
        <v>1496317</v>
      </c>
      <c r="CK16" s="175">
        <f t="shared" si="4"/>
        <v>1516198</v>
      </c>
      <c r="CL16" s="175">
        <f t="shared" si="4"/>
        <v>1535400</v>
      </c>
      <c r="CM16" s="223">
        <v>1569750</v>
      </c>
      <c r="CN16" s="175">
        <f>CM16*(POWER($CM16/$CI16,1/4))</f>
        <v>1594696.746830333</v>
      </c>
      <c r="CO16" s="175">
        <f t="shared" ref="CO16:DD19" si="5">VLOOKUP($A16, Table_Data_EBRIN, MATCH(CO$15, Header_Table_Data_EBRIN, 0), FALSE)</f>
        <v>624130</v>
      </c>
      <c r="CP16" s="175">
        <f t="shared" si="5"/>
        <v>635123</v>
      </c>
      <c r="CQ16" s="175">
        <f t="shared" si="5"/>
        <v>647729</v>
      </c>
      <c r="CR16" s="175">
        <f t="shared" si="5"/>
        <v>663216</v>
      </c>
      <c r="CS16" s="175">
        <f t="shared" si="5"/>
        <v>676960</v>
      </c>
      <c r="CT16" s="175">
        <f t="shared" si="5"/>
        <v>688959</v>
      </c>
      <c r="CU16" s="175">
        <f t="shared" si="5"/>
        <v>699264</v>
      </c>
      <c r="CV16" s="175">
        <f t="shared" si="5"/>
        <v>710431</v>
      </c>
      <c r="CW16" s="175">
        <f t="shared" si="5"/>
        <v>721930</v>
      </c>
      <c r="CX16" s="175">
        <f t="shared" si="5"/>
        <v>728290.5</v>
      </c>
      <c r="CY16" s="175">
        <f t="shared" si="5"/>
        <v>739353.5</v>
      </c>
      <c r="CZ16" s="175">
        <f t="shared" si="5"/>
        <v>745501</v>
      </c>
      <c r="DA16" s="175">
        <f t="shared" si="5"/>
        <v>752141</v>
      </c>
      <c r="DB16" s="175">
        <f t="shared" si="5"/>
        <v>757726</v>
      </c>
      <c r="DC16" s="175">
        <f t="shared" si="5"/>
        <v>762303</v>
      </c>
      <c r="DD16" s="175">
        <f t="shared" si="5"/>
        <v>767583</v>
      </c>
      <c r="DE16" s="223">
        <v>776533</v>
      </c>
      <c r="DF16" s="175">
        <f t="shared" ref="DF16:DF17" si="6">DE16*(POWER($DE16/$DA16,1/4))</f>
        <v>782753.61106492102</v>
      </c>
      <c r="DG16" s="175">
        <f t="shared" ref="DG16:DV19" si="7">VLOOKUP($A16, Table_Data_EBRIN, MATCH(DG$15, Header_Table_Data_EBRIN, 0), FALSE)</f>
        <v>799028</v>
      </c>
      <c r="DH16" s="175">
        <f t="shared" si="7"/>
        <v>805190</v>
      </c>
      <c r="DI16" s="175">
        <f t="shared" si="7"/>
        <v>814865</v>
      </c>
      <c r="DJ16" s="175">
        <f t="shared" si="7"/>
        <v>821578</v>
      </c>
      <c r="DK16" s="175">
        <f t="shared" si="7"/>
        <v>825215</v>
      </c>
      <c r="DL16" s="175">
        <f t="shared" si="7"/>
        <v>834417</v>
      </c>
      <c r="DM16" s="175">
        <f t="shared" si="7"/>
        <v>838385</v>
      </c>
      <c r="DN16" s="175">
        <f t="shared" si="7"/>
        <v>844244</v>
      </c>
      <c r="DO16" s="175">
        <f t="shared" si="7"/>
        <v>854231</v>
      </c>
      <c r="DP16" s="175">
        <f t="shared" si="7"/>
        <v>867001</v>
      </c>
      <c r="DQ16" s="175">
        <f t="shared" si="7"/>
        <v>879064.5</v>
      </c>
      <c r="DR16" s="175">
        <f t="shared" si="7"/>
        <v>891934.5</v>
      </c>
      <c r="DS16" s="175">
        <f t="shared" si="7"/>
        <v>905969.99999999988</v>
      </c>
      <c r="DT16" s="175">
        <f t="shared" si="7"/>
        <v>916470.5</v>
      </c>
      <c r="DU16" s="175">
        <f t="shared" si="7"/>
        <v>925966.00000000012</v>
      </c>
      <c r="DV16" s="175">
        <f t="shared" si="7"/>
        <v>935178.5</v>
      </c>
      <c r="DW16" s="223">
        <v>945392.5</v>
      </c>
      <c r="DX16" s="236">
        <f>DW16*(1+DX11)</f>
        <v>947085.63273669465</v>
      </c>
      <c r="DY16" s="175">
        <f t="shared" ref="DY16:EN19" si="8">VLOOKUP($A16, Table_Data_EBRIN, MATCH(DY$15, Header_Table_Data_EBRIN, 0), FALSE)</f>
        <v>293175.49999997998</v>
      </c>
      <c r="DZ16" s="175">
        <f t="shared" si="8"/>
        <v>299118.49999998999</v>
      </c>
      <c r="EA16" s="175">
        <f t="shared" si="8"/>
        <v>302627.49999998999</v>
      </c>
      <c r="EB16" s="175">
        <f t="shared" si="8"/>
        <v>305242.99999997998</v>
      </c>
      <c r="EC16" s="175">
        <f t="shared" si="8"/>
        <v>309597.99999998999</v>
      </c>
      <c r="ED16" s="175">
        <f t="shared" si="8"/>
        <v>307191</v>
      </c>
      <c r="EE16" s="175">
        <f t="shared" si="8"/>
        <v>312839</v>
      </c>
      <c r="EF16" s="175">
        <f t="shared" si="8"/>
        <v>319591</v>
      </c>
      <c r="EG16" s="175">
        <f t="shared" si="8"/>
        <v>325927.00000000006</v>
      </c>
      <c r="EH16" s="175">
        <f t="shared" si="8"/>
        <v>332267</v>
      </c>
      <c r="EI16" s="175">
        <f t="shared" si="8"/>
        <v>339467</v>
      </c>
      <c r="EJ16" s="175">
        <f t="shared" si="8"/>
        <v>346887</v>
      </c>
      <c r="EK16" s="175">
        <f t="shared" si="8"/>
        <v>353729</v>
      </c>
      <c r="EL16" s="175">
        <f t="shared" si="8"/>
        <v>360430.99999999994</v>
      </c>
      <c r="EM16" s="175">
        <f t="shared" si="8"/>
        <v>366841.00000000012</v>
      </c>
      <c r="EN16" s="175">
        <f t="shared" si="8"/>
        <v>369331.49999999994</v>
      </c>
      <c r="EO16" s="223">
        <v>374388</v>
      </c>
      <c r="EP16" s="175">
        <f t="shared" ref="EP16:EP17" si="9">EO16*(POWER($EO16/$EK16,1/4))</f>
        <v>379738.59009823453</v>
      </c>
      <c r="EQ16" s="175">
        <f t="shared" ref="EQ16:FF19" si="10">VLOOKUP($A16, Table_Data_EBRIN, MATCH(EQ$15, Header_Table_Data_EBRIN, 0), FALSE)</f>
        <v>663966.35730240005</v>
      </c>
      <c r="ER16" s="175">
        <f t="shared" si="10"/>
        <v>675821.59009509999</v>
      </c>
      <c r="ES16" s="175">
        <f t="shared" si="10"/>
        <v>688356.43188220996</v>
      </c>
      <c r="ET16" s="175">
        <f t="shared" si="10"/>
        <v>701004.54183501995</v>
      </c>
      <c r="EU16" s="175">
        <f t="shared" si="10"/>
        <v>715219.69663429004</v>
      </c>
      <c r="EV16" s="175">
        <f t="shared" si="10"/>
        <v>731281.52706412005</v>
      </c>
      <c r="EW16" s="175">
        <f t="shared" si="10"/>
        <v>743561.51547831995</v>
      </c>
      <c r="EX16" s="175">
        <f t="shared" si="10"/>
        <v>753913.41676781001</v>
      </c>
      <c r="EY16" s="175">
        <f t="shared" si="10"/>
        <v>765240.73900238005</v>
      </c>
      <c r="EZ16" s="175">
        <f t="shared" si="10"/>
        <v>777161.00874875998</v>
      </c>
      <c r="FA16" s="175">
        <f t="shared" si="10"/>
        <v>799540</v>
      </c>
      <c r="FB16" s="175">
        <f t="shared" si="10"/>
        <v>816349</v>
      </c>
      <c r="FC16" s="175">
        <f t="shared" si="10"/>
        <v>835781</v>
      </c>
      <c r="FD16" s="175">
        <f t="shared" si="10"/>
        <v>853771</v>
      </c>
      <c r="FE16" s="175">
        <f t="shared" si="10"/>
        <v>863408</v>
      </c>
      <c r="FF16" s="175">
        <f t="shared" si="10"/>
        <v>877935</v>
      </c>
      <c r="FG16" s="223">
        <v>902215</v>
      </c>
      <c r="FH16" s="175">
        <f>FG16*(POWER($FG16/$FC16,1/4))</f>
        <v>919632.75344918459</v>
      </c>
      <c r="FI16" s="175">
        <f t="shared" ref="FI16:FX19" si="11">VLOOKUP($A16, Table_Data_EBRIN, MATCH(FI$15, Header_Table_Data_EBRIN, 0), FALSE)</f>
        <v>778839</v>
      </c>
      <c r="FJ16" s="175">
        <f t="shared" si="11"/>
        <v>779426</v>
      </c>
      <c r="FK16" s="175">
        <f t="shared" si="11"/>
        <v>781110</v>
      </c>
      <c r="FL16" s="175">
        <f t="shared" si="11"/>
        <v>814467</v>
      </c>
      <c r="FM16" s="175">
        <f t="shared" si="11"/>
        <v>826964</v>
      </c>
      <c r="FN16" s="175">
        <f t="shared" si="11"/>
        <v>836055</v>
      </c>
      <c r="FO16" s="175">
        <f t="shared" si="11"/>
        <v>844153</v>
      </c>
      <c r="FP16" s="175">
        <f t="shared" si="11"/>
        <v>847766</v>
      </c>
      <c r="FQ16" s="175">
        <f t="shared" si="11"/>
        <v>851766.5</v>
      </c>
      <c r="FR16" s="175">
        <f t="shared" si="11"/>
        <v>853939</v>
      </c>
      <c r="FS16" s="175">
        <f t="shared" si="11"/>
        <v>858646.5</v>
      </c>
      <c r="FT16" s="175">
        <f t="shared" si="11"/>
        <v>878299.5</v>
      </c>
      <c r="FU16" s="175">
        <f t="shared" si="11"/>
        <v>894397</v>
      </c>
      <c r="FV16" s="175">
        <f t="shared" si="11"/>
        <v>906197.49999999977</v>
      </c>
      <c r="FW16" s="175">
        <f t="shared" si="11"/>
        <v>914602.99999999965</v>
      </c>
      <c r="FX16" s="175">
        <f t="shared" si="11"/>
        <v>920841</v>
      </c>
      <c r="FY16" s="223">
        <v>928729</v>
      </c>
      <c r="FZ16" s="175">
        <f>FY16*(POWER($FY16/$FU16,1/4))</f>
        <v>937515.97141661739</v>
      </c>
      <c r="GA16" s="175">
        <f t="shared" ref="GA16:GP19" si="12">VLOOKUP($A16, Table_Data_EBRIN, MATCH(GA$15, Header_Table_Data_EBRIN, 0), FALSE)</f>
        <v>605407.99999997998</v>
      </c>
      <c r="GB16" s="175">
        <f t="shared" si="12"/>
        <v>616585.49999997998</v>
      </c>
      <c r="GC16" s="175">
        <f t="shared" si="12"/>
        <v>627552.49999997998</v>
      </c>
      <c r="GD16" s="175">
        <f t="shared" si="12"/>
        <v>638613.49999996996</v>
      </c>
      <c r="GE16" s="175">
        <f t="shared" si="12"/>
        <v>645694.49999998999</v>
      </c>
      <c r="GF16" s="175">
        <f t="shared" si="12"/>
        <v>654640.99999997998</v>
      </c>
      <c r="GG16" s="175">
        <f t="shared" si="12"/>
        <v>668702.99999996996</v>
      </c>
      <c r="GH16" s="175">
        <f t="shared" si="12"/>
        <v>681298.99999996996</v>
      </c>
      <c r="GI16" s="175">
        <f t="shared" si="12"/>
        <v>685193.99999998999</v>
      </c>
      <c r="GJ16" s="175">
        <f t="shared" si="12"/>
        <v>706424</v>
      </c>
      <c r="GK16" s="175">
        <f t="shared" si="12"/>
        <v>712767</v>
      </c>
      <c r="GL16" s="175">
        <f t="shared" si="12"/>
        <v>734644</v>
      </c>
      <c r="GM16" s="175">
        <f t="shared" si="12"/>
        <v>741836</v>
      </c>
      <c r="GN16" s="175">
        <f t="shared" si="12"/>
        <v>762382</v>
      </c>
      <c r="GO16" s="175">
        <f t="shared" si="12"/>
        <v>776854.00000000012</v>
      </c>
      <c r="GP16" s="175">
        <f t="shared" si="12"/>
        <v>784245.5</v>
      </c>
      <c r="GQ16" s="223">
        <v>796623.5</v>
      </c>
      <c r="GR16" s="175">
        <f>GQ16*(POWER($GQ16/$GM16,1/4))</f>
        <v>810941.29434260004</v>
      </c>
      <c r="GS16" s="175">
        <f t="shared" ref="GS16:HH19" si="13">VLOOKUP($A16, Table_Data_EBRIN, MATCH(GS$15, Header_Table_Data_EBRIN, 0), FALSE)</f>
        <v>250642.5242013</v>
      </c>
      <c r="GT16" s="175">
        <f t="shared" si="13"/>
        <v>255484.38545674999</v>
      </c>
      <c r="GU16" s="175">
        <f t="shared" si="13"/>
        <v>260424.25945124001</v>
      </c>
      <c r="GV16" s="175">
        <f t="shared" si="13"/>
        <v>265464.13023523003</v>
      </c>
      <c r="GW16" s="175">
        <f t="shared" si="13"/>
        <v>270606.02202186</v>
      </c>
      <c r="GX16" s="175">
        <f t="shared" si="13"/>
        <v>275851.99999998999</v>
      </c>
      <c r="GY16" s="175">
        <f t="shared" si="13"/>
        <v>278391.99999998999</v>
      </c>
      <c r="GZ16" s="175">
        <f t="shared" si="13"/>
        <v>279867.99999998999</v>
      </c>
      <c r="HA16" s="175">
        <f t="shared" si="13"/>
        <v>280750</v>
      </c>
      <c r="HB16" s="175">
        <f t="shared" si="13"/>
        <v>283059</v>
      </c>
      <c r="HC16" s="175">
        <f t="shared" si="13"/>
        <v>285325</v>
      </c>
      <c r="HD16" s="175">
        <f t="shared" si="13"/>
        <v>287651.5001</v>
      </c>
      <c r="HE16" s="175">
        <f t="shared" si="13"/>
        <v>287936</v>
      </c>
      <c r="HF16" s="175">
        <f t="shared" si="13"/>
        <v>290446</v>
      </c>
      <c r="HG16" s="175">
        <f t="shared" si="13"/>
        <v>293949</v>
      </c>
      <c r="HH16" s="175">
        <f t="shared" si="13"/>
        <v>297656</v>
      </c>
      <c r="HI16" s="223">
        <v>301063.49999999983</v>
      </c>
      <c r="HJ16" s="236">
        <f>HI16*(1+HJ11)</f>
        <v>304182.63862820226</v>
      </c>
      <c r="HK16" s="175">
        <f t="shared" ref="HK16:HZ19" si="14">VLOOKUP($A16, Table_Data_EBRIN, MATCH(HK$15, Header_Table_Data_EBRIN, 0), FALSE)</f>
        <v>612728</v>
      </c>
      <c r="HL16" s="175">
        <f t="shared" si="14"/>
        <v>618250</v>
      </c>
      <c r="HM16" s="175">
        <f t="shared" si="14"/>
        <v>624094</v>
      </c>
      <c r="HN16" s="175">
        <f t="shared" si="14"/>
        <v>628120</v>
      </c>
      <c r="HO16" s="175">
        <f t="shared" si="14"/>
        <v>633823</v>
      </c>
      <c r="HP16" s="175">
        <f t="shared" si="14"/>
        <v>641129.77419353998</v>
      </c>
      <c r="HQ16" s="175">
        <f t="shared" si="14"/>
        <v>647892</v>
      </c>
      <c r="HR16" s="175">
        <f t="shared" si="14"/>
        <v>656516</v>
      </c>
      <c r="HS16" s="175">
        <f t="shared" si="14"/>
        <v>658453</v>
      </c>
      <c r="HT16" s="175">
        <f t="shared" si="14"/>
        <v>664549</v>
      </c>
      <c r="HU16" s="175">
        <f t="shared" si="14"/>
        <v>669826</v>
      </c>
      <c r="HV16" s="175">
        <f t="shared" si="14"/>
        <v>676807</v>
      </c>
      <c r="HW16" s="175">
        <f t="shared" si="14"/>
        <v>685025</v>
      </c>
      <c r="HX16" s="175">
        <f t="shared" si="14"/>
        <v>697594</v>
      </c>
      <c r="HY16" s="175">
        <f t="shared" si="14"/>
        <v>703119</v>
      </c>
      <c r="HZ16" s="175">
        <f t="shared" si="14"/>
        <v>705367</v>
      </c>
      <c r="IA16" s="223">
        <v>710296</v>
      </c>
      <c r="IB16" s="175">
        <f t="shared" ref="IB16:IB17" si="15">IA16*(POWER($IA16/$HW16,1/4))</f>
        <v>716758.09391323256</v>
      </c>
    </row>
    <row r="17" spans="1:236" s="177" customFormat="1" ht="13.35" customHeight="1">
      <c r="A17" s="174" t="s">
        <v>70</v>
      </c>
      <c r="B17" s="174" t="s">
        <v>69</v>
      </c>
      <c r="C17" s="175">
        <f t="shared" si="0"/>
        <v>1736.84582472181</v>
      </c>
      <c r="D17" s="175">
        <f t="shared" si="0"/>
        <v>1786.3845746249256</v>
      </c>
      <c r="E17" s="175">
        <f t="shared" si="0"/>
        <v>1837.3769311302806</v>
      </c>
      <c r="F17" s="175">
        <f t="shared" si="0"/>
        <v>1889.8668654623268</v>
      </c>
      <c r="G17" s="175">
        <f t="shared" si="0"/>
        <v>1943.8997274433566</v>
      </c>
      <c r="H17" s="175">
        <f t="shared" si="0"/>
        <v>1999.5222908777287</v>
      </c>
      <c r="I17" s="175">
        <f t="shared" si="0"/>
        <v>2056.7828005463839</v>
      </c>
      <c r="J17" s="175">
        <f t="shared" si="0"/>
        <v>2115.7310208757394</v>
      </c>
      <c r="K17" s="175">
        <f t="shared" si="0"/>
        <v>2176.4182863479991</v>
      </c>
      <c r="L17" s="175">
        <f t="shared" si="0"/>
        <v>2238.9975537230653</v>
      </c>
      <c r="M17" s="175">
        <f t="shared" si="0"/>
        <v>2303.2234561455298</v>
      </c>
      <c r="N17" s="175">
        <f t="shared" si="0"/>
        <v>2331.5310246297154</v>
      </c>
      <c r="O17" s="175">
        <f t="shared" si="0"/>
        <v>2379.3211406998435</v>
      </c>
      <c r="P17" s="175">
        <f t="shared" si="0"/>
        <v>2417.6835221160723</v>
      </c>
      <c r="Q17" s="175">
        <f t="shared" si="0"/>
        <v>2471.2599999999998</v>
      </c>
      <c r="R17" s="175">
        <f t="shared" si="0"/>
        <v>2508.67</v>
      </c>
      <c r="S17" s="223">
        <v>2526.86</v>
      </c>
      <c r="T17" s="223">
        <v>2589.38</v>
      </c>
      <c r="U17" s="175">
        <f t="shared" si="1"/>
        <v>12633.594999999999</v>
      </c>
      <c r="V17" s="175">
        <f t="shared" si="1"/>
        <v>12990.440199999999</v>
      </c>
      <c r="W17" s="175">
        <f t="shared" si="1"/>
        <v>13237.806200000001</v>
      </c>
      <c r="X17" s="175">
        <f t="shared" si="1"/>
        <v>13528.306200000001</v>
      </c>
      <c r="Y17" s="175">
        <f t="shared" si="1"/>
        <v>13778.575500000001</v>
      </c>
      <c r="Z17" s="175">
        <f t="shared" si="1"/>
        <v>14133.723</v>
      </c>
      <c r="AA17" s="175">
        <f t="shared" si="1"/>
        <v>14541.593000000001</v>
      </c>
      <c r="AB17" s="175">
        <f t="shared" si="1"/>
        <v>14891.606</v>
      </c>
      <c r="AC17" s="175">
        <f t="shared" si="1"/>
        <v>15227.388000000001</v>
      </c>
      <c r="AD17" s="175">
        <f t="shared" si="1"/>
        <v>15317.811933929999</v>
      </c>
      <c r="AE17" s="175">
        <f t="shared" si="1"/>
        <v>15519.247282660001</v>
      </c>
      <c r="AF17" s="175">
        <f t="shared" si="1"/>
        <v>15752.11791787</v>
      </c>
      <c r="AG17" s="175">
        <f t="shared" si="1"/>
        <v>15955</v>
      </c>
      <c r="AH17" s="175">
        <f t="shared" si="1"/>
        <v>16139</v>
      </c>
      <c r="AI17" s="175">
        <f t="shared" si="1"/>
        <v>16397.48</v>
      </c>
      <c r="AJ17" s="175">
        <f t="shared" si="1"/>
        <v>16569.5</v>
      </c>
      <c r="AK17" s="223">
        <v>16781.169999999998</v>
      </c>
      <c r="AL17" s="223">
        <v>17004.810000000001</v>
      </c>
      <c r="AM17" s="175">
        <f t="shared" si="2"/>
        <v>1690.75167663</v>
      </c>
      <c r="AN17" s="175">
        <f t="shared" si="2"/>
        <v>1783.5898276099999</v>
      </c>
      <c r="AO17" s="175">
        <f t="shared" si="2"/>
        <v>1843.3371883</v>
      </c>
      <c r="AP17" s="175">
        <f t="shared" si="2"/>
        <v>1877.7536800600001</v>
      </c>
      <c r="AQ17" s="175">
        <f t="shared" si="2"/>
        <v>1914.11747464</v>
      </c>
      <c r="AR17" s="175">
        <f t="shared" si="2"/>
        <v>2061</v>
      </c>
      <c r="AS17" s="175">
        <f t="shared" si="2"/>
        <v>2073</v>
      </c>
      <c r="AT17" s="175">
        <f t="shared" si="2"/>
        <v>2114</v>
      </c>
      <c r="AU17" s="175">
        <f t="shared" si="2"/>
        <v>2211.136571</v>
      </c>
      <c r="AV17" s="175">
        <f t="shared" si="2"/>
        <v>2233.2444599999999</v>
      </c>
      <c r="AW17" s="175">
        <f t="shared" si="2"/>
        <v>2266.8000000000002</v>
      </c>
      <c r="AX17" s="175">
        <f t="shared" si="2"/>
        <v>2274.46</v>
      </c>
      <c r="AY17" s="175">
        <f t="shared" si="2"/>
        <v>2268.151539</v>
      </c>
      <c r="AZ17" s="175">
        <f t="shared" si="2"/>
        <v>2289.9399999999996</v>
      </c>
      <c r="BA17" s="175">
        <f t="shared" si="2"/>
        <v>2310.1410000000001</v>
      </c>
      <c r="BB17" s="175">
        <f t="shared" si="2"/>
        <v>2324</v>
      </c>
      <c r="BC17" s="223">
        <v>2317</v>
      </c>
      <c r="BD17" s="175">
        <f>BC17*(POWER($BC17/$AY17,1/4))</f>
        <v>2329.3756187255717</v>
      </c>
      <c r="BE17" s="175">
        <f t="shared" si="3"/>
        <v>9045</v>
      </c>
      <c r="BF17" s="175">
        <f t="shared" si="3"/>
        <v>9423</v>
      </c>
      <c r="BG17" s="175">
        <f t="shared" si="3"/>
        <v>9859</v>
      </c>
      <c r="BH17" s="175">
        <f t="shared" si="3"/>
        <v>10136</v>
      </c>
      <c r="BI17" s="175">
        <f t="shared" si="3"/>
        <v>10386</v>
      </c>
      <c r="BJ17" s="175">
        <f t="shared" si="3"/>
        <v>10761</v>
      </c>
      <c r="BK17" s="175">
        <f t="shared" si="3"/>
        <v>11151</v>
      </c>
      <c r="BL17" s="175">
        <f t="shared" si="3"/>
        <v>11617</v>
      </c>
      <c r="BM17" s="175">
        <f t="shared" si="3"/>
        <v>12104.67</v>
      </c>
      <c r="BN17" s="175">
        <f t="shared" si="3"/>
        <v>12635.856619</v>
      </c>
      <c r="BO17" s="175">
        <f t="shared" si="3"/>
        <v>13173.102000000001</v>
      </c>
      <c r="BP17" s="175">
        <f t="shared" si="3"/>
        <v>13766.485129999999</v>
      </c>
      <c r="BQ17" s="175">
        <f t="shared" si="3"/>
        <v>14377.942891999999</v>
      </c>
      <c r="BR17" s="175">
        <f t="shared" si="3"/>
        <v>15235.793936</v>
      </c>
      <c r="BS17" s="175">
        <f t="shared" si="3"/>
        <v>15789.728300373552</v>
      </c>
      <c r="BT17" s="175">
        <f t="shared" si="3"/>
        <v>16276.799716602198</v>
      </c>
      <c r="BU17" s="223">
        <v>16796.914000000001</v>
      </c>
      <c r="BV17" s="223">
        <v>17423.56945680951</v>
      </c>
      <c r="BW17" s="175">
        <f t="shared" si="4"/>
        <v>12201</v>
      </c>
      <c r="BX17" s="175">
        <f t="shared" si="4"/>
        <v>13022</v>
      </c>
      <c r="BY17" s="175">
        <f t="shared" si="4"/>
        <v>13827</v>
      </c>
      <c r="BZ17" s="175">
        <f t="shared" si="4"/>
        <v>14696</v>
      </c>
      <c r="CA17" s="175">
        <f t="shared" si="4"/>
        <v>15337</v>
      </c>
      <c r="CB17" s="175">
        <f t="shared" si="4"/>
        <v>15871</v>
      </c>
      <c r="CC17" s="175">
        <f t="shared" si="4"/>
        <v>16350</v>
      </c>
      <c r="CD17" s="175">
        <f t="shared" si="4"/>
        <v>16748</v>
      </c>
      <c r="CE17" s="175">
        <f t="shared" si="4"/>
        <v>16994.710999999999</v>
      </c>
      <c r="CF17" s="175">
        <f t="shared" si="4"/>
        <v>17442.34</v>
      </c>
      <c r="CG17" s="175">
        <f t="shared" si="4"/>
        <v>18072.560000000001</v>
      </c>
      <c r="CH17" s="175">
        <f t="shared" si="4"/>
        <v>18638</v>
      </c>
      <c r="CI17" s="175">
        <f t="shared" si="4"/>
        <v>19176</v>
      </c>
      <c r="CJ17" s="175">
        <f t="shared" si="4"/>
        <v>19702</v>
      </c>
      <c r="CK17" s="175">
        <f t="shared" si="4"/>
        <v>20117</v>
      </c>
      <c r="CL17" s="175">
        <f t="shared" si="4"/>
        <v>20466</v>
      </c>
      <c r="CM17" s="223">
        <v>20791</v>
      </c>
      <c r="CN17" s="175">
        <f>CM17*(POWER($CM17/$CI17,1/4))</f>
        <v>21215.570649047055</v>
      </c>
      <c r="CO17" s="175">
        <f t="shared" si="5"/>
        <v>3957.51</v>
      </c>
      <c r="CP17" s="175">
        <f t="shared" si="5"/>
        <v>4482.4459999999999</v>
      </c>
      <c r="CQ17" s="175">
        <f t="shared" si="5"/>
        <v>5292.8770000000004</v>
      </c>
      <c r="CR17" s="175">
        <f t="shared" si="5"/>
        <v>6346.0159999999996</v>
      </c>
      <c r="CS17" s="175">
        <f t="shared" si="5"/>
        <v>6894.8040000000001</v>
      </c>
      <c r="CT17" s="175">
        <f t="shared" si="5"/>
        <v>7339.335</v>
      </c>
      <c r="CU17" s="175">
        <f t="shared" si="5"/>
        <v>7724.8860000000004</v>
      </c>
      <c r="CV17" s="175">
        <f t="shared" si="5"/>
        <v>8179.3249999999998</v>
      </c>
      <c r="CW17" s="175">
        <f t="shared" si="5"/>
        <v>8503.5529999999999</v>
      </c>
      <c r="CX17" s="175">
        <f t="shared" si="5"/>
        <v>8913.2440000000006</v>
      </c>
      <c r="CY17" s="175">
        <f t="shared" si="5"/>
        <v>9140.7352653100006</v>
      </c>
      <c r="CZ17" s="175">
        <f t="shared" si="5"/>
        <v>9315.2168051000008</v>
      </c>
      <c r="DA17" s="175">
        <f t="shared" si="5"/>
        <v>8810.0411045853289</v>
      </c>
      <c r="DB17" s="175">
        <f t="shared" si="5"/>
        <v>8979.17</v>
      </c>
      <c r="DC17" s="175">
        <f t="shared" si="5"/>
        <v>9090.2199999999993</v>
      </c>
      <c r="DD17" s="175">
        <f t="shared" si="5"/>
        <v>9237.9500000000007</v>
      </c>
      <c r="DE17" s="223">
        <v>9424.6500000000015</v>
      </c>
      <c r="DF17" s="175">
        <f t="shared" si="6"/>
        <v>9584.8882760431607</v>
      </c>
      <c r="DG17" s="175">
        <f t="shared" si="7"/>
        <v>5166</v>
      </c>
      <c r="DH17" s="175">
        <f t="shared" si="7"/>
        <v>6039</v>
      </c>
      <c r="DI17" s="175">
        <f t="shared" si="7"/>
        <v>5954</v>
      </c>
      <c r="DJ17" s="175">
        <f t="shared" si="7"/>
        <v>5989</v>
      </c>
      <c r="DK17" s="175">
        <f t="shared" si="7"/>
        <v>6203</v>
      </c>
      <c r="DL17" s="175">
        <f t="shared" si="7"/>
        <v>7066</v>
      </c>
      <c r="DM17" s="175">
        <f t="shared" si="7"/>
        <v>7365</v>
      </c>
      <c r="DN17" s="175">
        <f t="shared" si="7"/>
        <v>7607</v>
      </c>
      <c r="DO17" s="175">
        <f t="shared" si="7"/>
        <v>7665.9</v>
      </c>
      <c r="DP17" s="175">
        <f t="shared" si="7"/>
        <v>7945.5014970700004</v>
      </c>
      <c r="DQ17" s="175">
        <f t="shared" si="7"/>
        <v>8333.4244197299995</v>
      </c>
      <c r="DR17" s="175">
        <f t="shared" si="7"/>
        <v>8717.4465928099999</v>
      </c>
      <c r="DS17" s="175">
        <f t="shared" si="7"/>
        <v>8956.75</v>
      </c>
      <c r="DT17" s="175">
        <f t="shared" si="7"/>
        <v>9214.0861430000004</v>
      </c>
      <c r="DU17" s="175">
        <f t="shared" si="7"/>
        <v>9485.01</v>
      </c>
      <c r="DV17" s="175">
        <f t="shared" si="7"/>
        <v>9784.08</v>
      </c>
      <c r="DW17" s="223">
        <v>10066.470000000001</v>
      </c>
      <c r="DX17" s="223">
        <v>10383.447761854557</v>
      </c>
      <c r="DY17" s="175">
        <f t="shared" si="8"/>
        <v>1300.89040548</v>
      </c>
      <c r="DZ17" s="175">
        <f t="shared" si="8"/>
        <v>1344.330316</v>
      </c>
      <c r="EA17" s="175">
        <f t="shared" si="8"/>
        <v>1415.67628883</v>
      </c>
      <c r="EB17" s="175">
        <f t="shared" si="8"/>
        <v>1463.26622</v>
      </c>
      <c r="EC17" s="175">
        <f t="shared" si="8"/>
        <v>1507.1591800000001</v>
      </c>
      <c r="ED17" s="175">
        <f t="shared" si="8"/>
        <v>1565.6344853400001</v>
      </c>
      <c r="EE17" s="175">
        <f t="shared" si="8"/>
        <v>1630.01</v>
      </c>
      <c r="EF17" s="175">
        <f t="shared" si="8"/>
        <v>1679.2797602400001</v>
      </c>
      <c r="EG17" s="175">
        <f t="shared" si="8"/>
        <v>1725.0657418599999</v>
      </c>
      <c r="EH17" s="175">
        <f t="shared" si="8"/>
        <v>1795.4201599999999</v>
      </c>
      <c r="EI17" s="175">
        <f t="shared" si="8"/>
        <v>1851.3087937099999</v>
      </c>
      <c r="EJ17" s="175">
        <f t="shared" si="8"/>
        <v>1956.1763526899999</v>
      </c>
      <c r="EK17" s="175">
        <f t="shared" si="8"/>
        <v>2078.1</v>
      </c>
      <c r="EL17" s="175">
        <f t="shared" si="8"/>
        <v>2150.291635</v>
      </c>
      <c r="EM17" s="175">
        <f t="shared" si="8"/>
        <v>2225.6166149999999</v>
      </c>
      <c r="EN17" s="175">
        <f t="shared" si="8"/>
        <v>2249.2909690000001</v>
      </c>
      <c r="EO17" s="223">
        <v>2321.6999999999998</v>
      </c>
      <c r="EP17" s="175">
        <f t="shared" si="9"/>
        <v>2386.9373275542162</v>
      </c>
      <c r="EQ17" s="175">
        <f t="shared" si="10"/>
        <v>3323.7991023</v>
      </c>
      <c r="ER17" s="175">
        <f t="shared" si="10"/>
        <v>3512.4999999699999</v>
      </c>
      <c r="ES17" s="175">
        <f t="shared" si="10"/>
        <v>3541.49999996</v>
      </c>
      <c r="ET17" s="175">
        <f t="shared" si="10"/>
        <v>4584.7061214100004</v>
      </c>
      <c r="EU17" s="175">
        <f t="shared" si="10"/>
        <v>5128.6620489899997</v>
      </c>
      <c r="EV17" s="175">
        <f t="shared" si="10"/>
        <v>4688</v>
      </c>
      <c r="EW17" s="175">
        <f t="shared" si="10"/>
        <v>4830</v>
      </c>
      <c r="EX17" s="175">
        <f t="shared" si="10"/>
        <v>5065</v>
      </c>
      <c r="EY17" s="175">
        <f t="shared" si="10"/>
        <v>5248.4063489999999</v>
      </c>
      <c r="EZ17" s="175">
        <f t="shared" si="10"/>
        <v>5576.7225399999998</v>
      </c>
      <c r="FA17" s="175">
        <f t="shared" si="10"/>
        <v>5860.8</v>
      </c>
      <c r="FB17" s="175">
        <f t="shared" si="10"/>
        <v>6325.54</v>
      </c>
      <c r="FC17" s="175">
        <f t="shared" si="10"/>
        <v>6683.3673369999997</v>
      </c>
      <c r="FD17" s="175">
        <f t="shared" si="10"/>
        <v>7132.61</v>
      </c>
      <c r="FE17" s="175">
        <f t="shared" si="10"/>
        <v>7673.47</v>
      </c>
      <c r="FF17" s="175">
        <f t="shared" si="10"/>
        <v>7923</v>
      </c>
      <c r="FG17" s="223">
        <v>8234</v>
      </c>
      <c r="FH17" s="175">
        <f t="shared" ref="FH17:FH18" si="16">FG17*(POWER($FG17/$FC17,1/4))</f>
        <v>8674.9053573613237</v>
      </c>
      <c r="FI17" s="175">
        <f t="shared" si="11"/>
        <v>13761.84765616</v>
      </c>
      <c r="FJ17" s="175">
        <f t="shared" si="11"/>
        <v>14300.85742265</v>
      </c>
      <c r="FK17" s="175">
        <f t="shared" si="11"/>
        <v>14839.86718913</v>
      </c>
      <c r="FL17" s="175">
        <f t="shared" si="11"/>
        <v>15488.94356643</v>
      </c>
      <c r="FM17" s="175">
        <f t="shared" si="11"/>
        <v>15885.212371170001</v>
      </c>
      <c r="FN17" s="175">
        <f t="shared" si="11"/>
        <v>16127.9908681</v>
      </c>
      <c r="FO17" s="175">
        <f t="shared" si="11"/>
        <v>16499.884838459999</v>
      </c>
      <c r="FP17" s="175">
        <f t="shared" si="11"/>
        <v>16729.45</v>
      </c>
      <c r="FQ17" s="175">
        <f t="shared" si="11"/>
        <v>16922.971000000001</v>
      </c>
      <c r="FR17" s="175">
        <f t="shared" si="11"/>
        <v>16971</v>
      </c>
      <c r="FS17" s="175">
        <f t="shared" si="11"/>
        <v>17486</v>
      </c>
      <c r="FT17" s="175">
        <f t="shared" si="11"/>
        <v>17754</v>
      </c>
      <c r="FU17" s="175">
        <f t="shared" si="11"/>
        <v>18064</v>
      </c>
      <c r="FV17" s="175">
        <f t="shared" si="11"/>
        <v>18065</v>
      </c>
      <c r="FW17" s="175">
        <f t="shared" si="11"/>
        <v>18288</v>
      </c>
      <c r="FX17" s="175">
        <f t="shared" si="11"/>
        <v>18624</v>
      </c>
      <c r="FY17" s="223">
        <v>19065</v>
      </c>
      <c r="FZ17" s="175">
        <f t="shared" ref="FZ17:FZ18" si="17">FY17*(POWER($FY17/$FU17,1/4))</f>
        <v>19323.799864164019</v>
      </c>
      <c r="GA17" s="175">
        <f t="shared" si="12"/>
        <v>3864.759</v>
      </c>
      <c r="GB17" s="175">
        <f t="shared" si="12"/>
        <v>4111.4009999999998</v>
      </c>
      <c r="GC17" s="175">
        <f t="shared" si="12"/>
        <v>4290.7219999999998</v>
      </c>
      <c r="GD17" s="175">
        <f t="shared" si="12"/>
        <v>4612.5159999999996</v>
      </c>
      <c r="GE17" s="175">
        <f t="shared" si="12"/>
        <v>4792.9139999999998</v>
      </c>
      <c r="GF17" s="175">
        <f t="shared" si="12"/>
        <v>5069.076</v>
      </c>
      <c r="GG17" s="175">
        <f t="shared" si="12"/>
        <v>5322.3950000000004</v>
      </c>
      <c r="GH17" s="175">
        <f t="shared" si="12"/>
        <v>5502.2719999999999</v>
      </c>
      <c r="GI17" s="175">
        <f t="shared" si="12"/>
        <v>5728.1507942199996</v>
      </c>
      <c r="GJ17" s="175">
        <f t="shared" si="12"/>
        <v>5965.9348250000003</v>
      </c>
      <c r="GK17" s="175">
        <f t="shared" si="12"/>
        <v>6267.0513379800004</v>
      </c>
      <c r="GL17" s="175">
        <f t="shared" si="12"/>
        <v>6574.8889099799999</v>
      </c>
      <c r="GM17" s="175">
        <f t="shared" si="12"/>
        <v>6908.59</v>
      </c>
      <c r="GN17" s="175">
        <f t="shared" si="12"/>
        <v>7305.5300000000007</v>
      </c>
      <c r="GO17" s="175">
        <f t="shared" si="12"/>
        <v>7584.46</v>
      </c>
      <c r="GP17" s="175">
        <f t="shared" si="12"/>
        <v>7732.0847200000608</v>
      </c>
      <c r="GQ17" s="223">
        <v>7957.2116599999099</v>
      </c>
      <c r="GR17" s="175">
        <f t="shared" ref="GR17:GR18" si="18">GQ17*(POWER($GQ17/$GM17,1/4))</f>
        <v>8243.3508221508273</v>
      </c>
      <c r="GS17" s="175">
        <f t="shared" si="13"/>
        <v>1902.3</v>
      </c>
      <c r="GT17" s="175">
        <f t="shared" si="13"/>
        <v>1902.5</v>
      </c>
      <c r="GU17" s="175">
        <f t="shared" si="13"/>
        <v>1902.5</v>
      </c>
      <c r="GV17" s="175">
        <f t="shared" si="13"/>
        <v>1930.6</v>
      </c>
      <c r="GW17" s="175">
        <f t="shared" si="13"/>
        <v>2095.1999999999998</v>
      </c>
      <c r="GX17" s="175">
        <f t="shared" si="13"/>
        <v>2274.9</v>
      </c>
      <c r="GY17" s="175">
        <f t="shared" si="13"/>
        <v>2339.3000000000002</v>
      </c>
      <c r="GZ17" s="175">
        <f t="shared" si="13"/>
        <v>2373.6999999999998</v>
      </c>
      <c r="HA17" s="175">
        <f t="shared" si="13"/>
        <v>2432.8000000000002</v>
      </c>
      <c r="HB17" s="175">
        <f t="shared" si="13"/>
        <v>2465.2890000000002</v>
      </c>
      <c r="HC17" s="175">
        <f t="shared" si="13"/>
        <v>2502.2689999999998</v>
      </c>
      <c r="HD17" s="175">
        <f t="shared" si="13"/>
        <v>2524.422</v>
      </c>
      <c r="HE17" s="175">
        <f t="shared" si="13"/>
        <v>2560.431</v>
      </c>
      <c r="HF17" s="175">
        <f t="shared" si="13"/>
        <v>2607.6256999999832</v>
      </c>
      <c r="HG17" s="175">
        <f t="shared" si="13"/>
        <v>2648.2089999999998</v>
      </c>
      <c r="HH17" s="175">
        <f t="shared" si="13"/>
        <v>2680.0572750000092</v>
      </c>
      <c r="HI17" s="223">
        <v>2674.7302965550002</v>
      </c>
      <c r="HJ17" s="223">
        <v>2713.61617280569</v>
      </c>
      <c r="HK17" s="175">
        <f t="shared" si="14"/>
        <v>2276</v>
      </c>
      <c r="HL17" s="175">
        <f t="shared" si="14"/>
        <v>2318.4</v>
      </c>
      <c r="HM17" s="175">
        <f t="shared" si="14"/>
        <v>2386.1</v>
      </c>
      <c r="HN17" s="175">
        <f t="shared" si="14"/>
        <v>2424.3000000000002</v>
      </c>
      <c r="HO17" s="175">
        <f t="shared" si="14"/>
        <v>2496.8000000000002</v>
      </c>
      <c r="HP17" s="175">
        <f t="shared" si="14"/>
        <v>2595.4</v>
      </c>
      <c r="HQ17" s="175">
        <f t="shared" si="14"/>
        <v>2631.9</v>
      </c>
      <c r="HR17" s="175">
        <f t="shared" si="14"/>
        <v>2690.8</v>
      </c>
      <c r="HS17" s="175">
        <f t="shared" si="14"/>
        <v>2738.098</v>
      </c>
      <c r="HT17" s="175">
        <f t="shared" si="14"/>
        <v>2793.1475427</v>
      </c>
      <c r="HU17" s="175">
        <f t="shared" si="14"/>
        <v>2834.3576012600001</v>
      </c>
      <c r="HV17" s="175">
        <f t="shared" si="14"/>
        <v>3296.67</v>
      </c>
      <c r="HW17" s="175">
        <f t="shared" si="14"/>
        <v>3339.4</v>
      </c>
      <c r="HX17" s="175">
        <f t="shared" si="14"/>
        <v>3373.6400000000003</v>
      </c>
      <c r="HY17" s="175">
        <f t="shared" si="14"/>
        <v>3404.02</v>
      </c>
      <c r="HZ17" s="175">
        <f t="shared" si="14"/>
        <v>3428.34</v>
      </c>
      <c r="IA17" s="223">
        <v>3455.3</v>
      </c>
      <c r="IB17" s="175">
        <f t="shared" si="15"/>
        <v>3484.8981468471325</v>
      </c>
    </row>
    <row r="18" spans="1:236" s="177" customFormat="1" ht="13.35" customHeight="1">
      <c r="A18" s="174" t="s">
        <v>75</v>
      </c>
      <c r="B18" s="174" t="s">
        <v>69</v>
      </c>
      <c r="C18" s="175">
        <f t="shared" si="0"/>
        <v>4084.5321847789955</v>
      </c>
      <c r="D18" s="175">
        <f t="shared" si="0"/>
        <v>4127.9554778666507</v>
      </c>
      <c r="E18" s="175">
        <f t="shared" si="0"/>
        <v>4172.9126246894848</v>
      </c>
      <c r="F18" s="175">
        <f t="shared" si="0"/>
        <v>4219.4482475302621</v>
      </c>
      <c r="G18" s="175">
        <f t="shared" si="0"/>
        <v>4267.608361922521</v>
      </c>
      <c r="H18" s="175">
        <f t="shared" si="0"/>
        <v>4317.4404222804797</v>
      </c>
      <c r="I18" s="175">
        <f t="shared" si="0"/>
        <v>4368.9933691436127</v>
      </c>
      <c r="J18" s="175">
        <f t="shared" si="0"/>
        <v>4422.3176781000857</v>
      </c>
      <c r="K18" s="175">
        <f t="shared" si="0"/>
        <v>4477.4654104561523</v>
      </c>
      <c r="L18" s="175">
        <f t="shared" si="0"/>
        <v>4534.5902657217903</v>
      </c>
      <c r="M18" s="175">
        <f t="shared" si="0"/>
        <v>4593.4476359861201</v>
      </c>
      <c r="N18" s="175">
        <f t="shared" si="0"/>
        <v>4619.0951432816964</v>
      </c>
      <c r="O18" s="175">
        <f t="shared" si="0"/>
        <v>4664.475195998175</v>
      </c>
      <c r="P18" s="175">
        <f t="shared" si="0"/>
        <v>4698.647447101609</v>
      </c>
      <c r="Q18" s="175">
        <f t="shared" si="0"/>
        <v>4774.07</v>
      </c>
      <c r="R18" s="175">
        <f t="shared" si="0"/>
        <v>4812.54</v>
      </c>
      <c r="S18" s="223">
        <v>4828.1400000000003</v>
      </c>
      <c r="T18" s="223">
        <v>4886.7000000000007</v>
      </c>
      <c r="U18" s="175">
        <f t="shared" si="1"/>
        <v>38742.394999999997</v>
      </c>
      <c r="V18" s="175">
        <f t="shared" si="1"/>
        <v>38874.940199999997</v>
      </c>
      <c r="W18" s="175">
        <f t="shared" si="1"/>
        <v>39223.906199999998</v>
      </c>
      <c r="X18" s="175">
        <f t="shared" si="1"/>
        <v>39462.306199999999</v>
      </c>
      <c r="Y18" s="175">
        <f t="shared" si="1"/>
        <v>39745.275500000003</v>
      </c>
      <c r="Z18" s="175">
        <f t="shared" si="1"/>
        <v>40272.423000000003</v>
      </c>
      <c r="AA18" s="175">
        <f t="shared" si="1"/>
        <v>40626.293000000005</v>
      </c>
      <c r="AB18" s="175">
        <f t="shared" si="1"/>
        <v>40963.506000000001</v>
      </c>
      <c r="AC18" s="175">
        <f t="shared" si="1"/>
        <v>41271.487999999998</v>
      </c>
      <c r="AD18" s="175">
        <f t="shared" si="1"/>
        <v>41323.58393845</v>
      </c>
      <c r="AE18" s="175">
        <f t="shared" si="1"/>
        <v>41453.2107359</v>
      </c>
      <c r="AF18" s="175">
        <f t="shared" si="1"/>
        <v>41642.275513569999</v>
      </c>
      <c r="AG18" s="175">
        <f t="shared" si="1"/>
        <v>41847</v>
      </c>
      <c r="AH18" s="175">
        <f t="shared" si="1"/>
        <v>42007</v>
      </c>
      <c r="AI18" s="175">
        <f t="shared" si="1"/>
        <v>42294.520000000004</v>
      </c>
      <c r="AJ18" s="175">
        <f t="shared" si="1"/>
        <v>42484.79</v>
      </c>
      <c r="AK18" s="223">
        <v>42714.15</v>
      </c>
      <c r="AL18" s="223">
        <v>42942.89</v>
      </c>
      <c r="AM18" s="175">
        <f t="shared" si="2"/>
        <v>3951.6253540100001</v>
      </c>
      <c r="AN18" s="175">
        <f t="shared" si="2"/>
        <v>4075.7738424899999</v>
      </c>
      <c r="AO18" s="175">
        <f t="shared" si="2"/>
        <v>4036.36450483</v>
      </c>
      <c r="AP18" s="175">
        <f t="shared" si="2"/>
        <v>4069.7536800400003</v>
      </c>
      <c r="AQ18" s="175">
        <f t="shared" si="2"/>
        <v>4099.4109698000002</v>
      </c>
      <c r="AR18" s="175">
        <f t="shared" si="2"/>
        <v>4284</v>
      </c>
      <c r="AS18" s="175">
        <f t="shared" si="2"/>
        <v>4303</v>
      </c>
      <c r="AT18" s="175">
        <f t="shared" si="2"/>
        <v>4347</v>
      </c>
      <c r="AU18" s="175">
        <f t="shared" si="2"/>
        <v>4481.4749609999999</v>
      </c>
      <c r="AV18" s="175">
        <f t="shared" si="2"/>
        <v>4505.4781199999998</v>
      </c>
      <c r="AW18" s="175">
        <f t="shared" si="2"/>
        <v>4541.2000000000007</v>
      </c>
      <c r="AX18" s="175">
        <f t="shared" si="2"/>
        <v>4549.55</v>
      </c>
      <c r="AY18" s="175">
        <f t="shared" si="2"/>
        <v>4535.9908390000001</v>
      </c>
      <c r="AZ18" s="175">
        <f t="shared" si="2"/>
        <v>4557.5199999999995</v>
      </c>
      <c r="BA18" s="175">
        <f t="shared" si="2"/>
        <v>4569.1409999999996</v>
      </c>
      <c r="BB18" s="175">
        <f t="shared" si="2"/>
        <v>4582.7268300000005</v>
      </c>
      <c r="BC18" s="223">
        <v>4578</v>
      </c>
      <c r="BD18" s="175">
        <f>BC18*(POWER($BC18/$AY18,1/4))</f>
        <v>4588.5629405897025</v>
      </c>
      <c r="BE18" s="175">
        <f t="shared" si="3"/>
        <v>32432</v>
      </c>
      <c r="BF18" s="175">
        <f t="shared" si="3"/>
        <v>32832</v>
      </c>
      <c r="BG18" s="175">
        <f t="shared" si="3"/>
        <v>33299</v>
      </c>
      <c r="BH18" s="175">
        <f t="shared" si="3"/>
        <v>33579</v>
      </c>
      <c r="BI18" s="175">
        <f t="shared" si="3"/>
        <v>33817</v>
      </c>
      <c r="BJ18" s="175">
        <f t="shared" si="3"/>
        <v>34172</v>
      </c>
      <c r="BK18" s="175">
        <f t="shared" si="3"/>
        <v>34568</v>
      </c>
      <c r="BL18" s="175">
        <f t="shared" si="3"/>
        <v>35029</v>
      </c>
      <c r="BM18" s="175">
        <f t="shared" si="3"/>
        <v>35491.989000000001</v>
      </c>
      <c r="BN18" s="175">
        <f t="shared" si="3"/>
        <v>36005.181619000003</v>
      </c>
      <c r="BO18" s="175">
        <f t="shared" si="3"/>
        <v>36467.860999999997</v>
      </c>
      <c r="BP18" s="175">
        <f t="shared" si="3"/>
        <v>36993.039377000001</v>
      </c>
      <c r="BQ18" s="175">
        <f t="shared" si="3"/>
        <v>37543.074810000006</v>
      </c>
      <c r="BR18" s="175">
        <f t="shared" si="3"/>
        <v>38284.300771000002</v>
      </c>
      <c r="BS18" s="175">
        <f t="shared" si="3"/>
        <v>38725.005837251832</v>
      </c>
      <c r="BT18" s="175">
        <f t="shared" si="3"/>
        <v>39146.327922462529</v>
      </c>
      <c r="BU18" s="223">
        <v>39622.208000000006</v>
      </c>
      <c r="BV18" s="223">
        <v>40170.006490599844</v>
      </c>
      <c r="BW18" s="175">
        <f t="shared" si="4"/>
        <v>46658</v>
      </c>
      <c r="BX18" s="175">
        <f t="shared" si="4"/>
        <v>47645</v>
      </c>
      <c r="BY18" s="175">
        <f t="shared" si="4"/>
        <v>48486</v>
      </c>
      <c r="BZ18" s="175">
        <f t="shared" si="4"/>
        <v>49427</v>
      </c>
      <c r="CA18" s="175">
        <f t="shared" si="4"/>
        <v>50117</v>
      </c>
      <c r="CB18" s="175">
        <f t="shared" si="4"/>
        <v>50771</v>
      </c>
      <c r="CC18" s="175">
        <f t="shared" si="4"/>
        <v>51342</v>
      </c>
      <c r="CD18" s="175">
        <f t="shared" si="4"/>
        <v>51781</v>
      </c>
      <c r="CE18" s="175">
        <f t="shared" si="4"/>
        <v>52097.040999999997</v>
      </c>
      <c r="CF18" s="175">
        <f t="shared" si="4"/>
        <v>52564.710000000006</v>
      </c>
      <c r="CG18" s="175">
        <f t="shared" si="4"/>
        <v>53201.880000000005</v>
      </c>
      <c r="CH18" s="175">
        <f t="shared" si="4"/>
        <v>53757</v>
      </c>
      <c r="CI18" s="175">
        <f t="shared" si="4"/>
        <v>54266</v>
      </c>
      <c r="CJ18" s="175">
        <f t="shared" si="4"/>
        <v>54777</v>
      </c>
      <c r="CK18" s="175">
        <f t="shared" si="4"/>
        <v>55190</v>
      </c>
      <c r="CL18" s="175">
        <f t="shared" si="4"/>
        <v>55530</v>
      </c>
      <c r="CM18" s="223">
        <v>55887</v>
      </c>
      <c r="CN18" s="175">
        <f>CM18*(POWER($CM18/$CI18,1/4))</f>
        <v>56299.760084862835</v>
      </c>
      <c r="CO18" s="175">
        <f t="shared" si="5"/>
        <v>148353.43893726001</v>
      </c>
      <c r="CP18" s="175">
        <f t="shared" si="5"/>
        <v>150136.49844103999</v>
      </c>
      <c r="CQ18" s="175">
        <f t="shared" si="5"/>
        <v>150660.03925174</v>
      </c>
      <c r="CR18" s="175">
        <f t="shared" si="5"/>
        <v>151770.05533772</v>
      </c>
      <c r="CS18" s="175">
        <f t="shared" si="5"/>
        <v>152579.65545786</v>
      </c>
      <c r="CT18" s="175">
        <f t="shared" si="5"/>
        <v>152729.53246679998</v>
      </c>
      <c r="CU18" s="175">
        <f t="shared" si="5"/>
        <v>153747.85140546001</v>
      </c>
      <c r="CV18" s="175">
        <f t="shared" si="5"/>
        <v>150472.37732775</v>
      </c>
      <c r="CW18" s="175">
        <f t="shared" si="5"/>
        <v>151121.81199999998</v>
      </c>
      <c r="CX18" s="175">
        <f t="shared" si="5"/>
        <v>152459.5</v>
      </c>
      <c r="CY18" s="175">
        <f t="shared" si="5"/>
        <v>152254.63888908</v>
      </c>
      <c r="CZ18" s="175">
        <f t="shared" si="5"/>
        <v>152491.37408914001</v>
      </c>
      <c r="DA18" s="175">
        <f t="shared" si="5"/>
        <v>151975.9735270222</v>
      </c>
      <c r="DB18" s="175">
        <f t="shared" si="5"/>
        <v>152279.1829897149</v>
      </c>
      <c r="DC18" s="175">
        <f t="shared" si="5"/>
        <v>152896.21000000002</v>
      </c>
      <c r="DD18" s="175">
        <f t="shared" si="5"/>
        <v>153798.52000000002</v>
      </c>
      <c r="DE18" s="223">
        <v>154176.4</v>
      </c>
      <c r="DF18" s="175">
        <f>DE18*(POWER($DE18/$DA18,1/4))</f>
        <v>154731.46675743861</v>
      </c>
      <c r="DG18" s="175">
        <f t="shared" si="7"/>
        <v>199551</v>
      </c>
      <c r="DH18" s="175">
        <f t="shared" si="7"/>
        <v>189452</v>
      </c>
      <c r="DI18" s="175">
        <f t="shared" si="7"/>
        <v>185829</v>
      </c>
      <c r="DJ18" s="175">
        <f t="shared" si="7"/>
        <v>187750</v>
      </c>
      <c r="DK18" s="175">
        <f t="shared" si="7"/>
        <v>188634</v>
      </c>
      <c r="DL18" s="175">
        <f t="shared" si="7"/>
        <v>190592</v>
      </c>
      <c r="DM18" s="175">
        <f t="shared" si="7"/>
        <v>190819</v>
      </c>
      <c r="DN18" s="175">
        <f t="shared" si="7"/>
        <v>191107</v>
      </c>
      <c r="DO18" s="175">
        <f t="shared" si="7"/>
        <v>191156.07199999999</v>
      </c>
      <c r="DP18" s="175">
        <f t="shared" si="7"/>
        <v>191475.29249707001</v>
      </c>
      <c r="DQ18" s="175">
        <f t="shared" si="7"/>
        <v>191945.32419555</v>
      </c>
      <c r="DR18" s="175">
        <f t="shared" si="7"/>
        <v>192103.12437839</v>
      </c>
      <c r="DS18" s="175">
        <f t="shared" si="7"/>
        <v>192203.6</v>
      </c>
      <c r="DT18" s="175">
        <f t="shared" si="7"/>
        <v>192537.939828</v>
      </c>
      <c r="DU18" s="175">
        <f t="shared" si="7"/>
        <v>192685.01</v>
      </c>
      <c r="DV18" s="175">
        <f t="shared" si="7"/>
        <v>192882.72</v>
      </c>
      <c r="DW18" s="223">
        <v>193123.5</v>
      </c>
      <c r="DX18" s="223">
        <v>193349.70820191366</v>
      </c>
      <c r="DY18" s="175">
        <f t="shared" si="8"/>
        <v>5718.7325857100004</v>
      </c>
      <c r="DZ18" s="175">
        <f t="shared" si="8"/>
        <v>5769.8560802100001</v>
      </c>
      <c r="EA18" s="175">
        <f t="shared" si="8"/>
        <v>5868.0882146499998</v>
      </c>
      <c r="EB18" s="175">
        <f t="shared" si="8"/>
        <v>5926.7301499999994</v>
      </c>
      <c r="EC18" s="175">
        <f t="shared" si="8"/>
        <v>5970.9719999999998</v>
      </c>
      <c r="ED18" s="175">
        <f t="shared" si="8"/>
        <v>6041.5939481299993</v>
      </c>
      <c r="EE18" s="175">
        <f t="shared" si="8"/>
        <v>6102.4391066500002</v>
      </c>
      <c r="EF18" s="175">
        <f t="shared" si="8"/>
        <v>6134.8447602399992</v>
      </c>
      <c r="EG18" s="175">
        <f t="shared" si="8"/>
        <v>6160.5729461899991</v>
      </c>
      <c r="EH18" s="175">
        <f t="shared" si="8"/>
        <v>6246.3146799999995</v>
      </c>
      <c r="EI18" s="175">
        <f t="shared" si="8"/>
        <v>6300.9202911100001</v>
      </c>
      <c r="EJ18" s="175">
        <f t="shared" si="8"/>
        <v>6408.9907576099995</v>
      </c>
      <c r="EK18" s="175">
        <f t="shared" si="8"/>
        <v>6567.6</v>
      </c>
      <c r="EL18" s="175">
        <f t="shared" si="8"/>
        <v>6627.926915</v>
      </c>
      <c r="EM18" s="175">
        <f t="shared" si="8"/>
        <v>6698.6166149999999</v>
      </c>
      <c r="EN18" s="175">
        <f t="shared" si="8"/>
        <v>6755.8414250000005</v>
      </c>
      <c r="EO18" s="223">
        <v>6817.7999999999993</v>
      </c>
      <c r="EP18" s="175">
        <f>EO18*(POWER($EO18/$EK18,1/4))</f>
        <v>6881.8253669795458</v>
      </c>
      <c r="EQ18" s="175">
        <f t="shared" si="10"/>
        <v>71676.861903020006</v>
      </c>
      <c r="ER18" s="175">
        <f t="shared" si="10"/>
        <v>71930.499999939988</v>
      </c>
      <c r="ES18" s="175">
        <f t="shared" si="10"/>
        <v>72120.499999919994</v>
      </c>
      <c r="ET18" s="175">
        <f t="shared" si="10"/>
        <v>72939.230183259991</v>
      </c>
      <c r="EU18" s="175">
        <f t="shared" si="10"/>
        <v>73498.507812569995</v>
      </c>
      <c r="EV18" s="175">
        <f t="shared" si="10"/>
        <v>73133</v>
      </c>
      <c r="EW18" s="175">
        <f t="shared" si="10"/>
        <v>73597</v>
      </c>
      <c r="EX18" s="175">
        <f t="shared" si="10"/>
        <v>73889</v>
      </c>
      <c r="EY18" s="175">
        <f t="shared" si="10"/>
        <v>74181.439138999995</v>
      </c>
      <c r="EZ18" s="175">
        <f t="shared" si="10"/>
        <v>74451.769539970002</v>
      </c>
      <c r="FA18" s="175">
        <f t="shared" si="10"/>
        <v>74675.100000000006</v>
      </c>
      <c r="FB18" s="175">
        <f t="shared" si="10"/>
        <v>75120.61</v>
      </c>
      <c r="FC18" s="175">
        <f t="shared" si="10"/>
        <v>75412.168957000002</v>
      </c>
      <c r="FD18" s="175">
        <f t="shared" si="10"/>
        <v>75815.150000000009</v>
      </c>
      <c r="FE18" s="175">
        <f t="shared" si="10"/>
        <v>76306.47</v>
      </c>
      <c r="FF18" s="175">
        <f t="shared" si="10"/>
        <v>76544.926630000016</v>
      </c>
      <c r="FG18" s="223">
        <v>76999</v>
      </c>
      <c r="FH18" s="175">
        <f t="shared" si="16"/>
        <v>77400.897794990247</v>
      </c>
      <c r="FI18" s="175">
        <f t="shared" si="11"/>
        <v>84830.405693389999</v>
      </c>
      <c r="FJ18" s="175">
        <f t="shared" si="11"/>
        <v>85326.12062151001</v>
      </c>
      <c r="FK18" s="175">
        <f t="shared" si="11"/>
        <v>85821.835549620009</v>
      </c>
      <c r="FL18" s="175">
        <f t="shared" si="11"/>
        <v>86624.718034969992</v>
      </c>
      <c r="FM18" s="175">
        <f t="shared" si="11"/>
        <v>87208.550876540001</v>
      </c>
      <c r="FN18" s="175">
        <f t="shared" si="11"/>
        <v>87193.681405939991</v>
      </c>
      <c r="FO18" s="175">
        <f t="shared" si="11"/>
        <v>87647.69703553</v>
      </c>
      <c r="FP18" s="175">
        <f t="shared" si="11"/>
        <v>87882.27</v>
      </c>
      <c r="FQ18" s="175">
        <f t="shared" si="11"/>
        <v>88082.643000000011</v>
      </c>
      <c r="FR18" s="175">
        <f t="shared" si="11"/>
        <v>88201</v>
      </c>
      <c r="FS18" s="175">
        <f t="shared" si="11"/>
        <v>88808</v>
      </c>
      <c r="FT18" s="175">
        <f t="shared" si="11"/>
        <v>88971</v>
      </c>
      <c r="FU18" s="175">
        <f t="shared" si="11"/>
        <v>89311</v>
      </c>
      <c r="FV18" s="175">
        <f t="shared" si="11"/>
        <v>89298</v>
      </c>
      <c r="FW18" s="175">
        <f t="shared" si="11"/>
        <v>89416</v>
      </c>
      <c r="FX18" s="175">
        <f t="shared" si="11"/>
        <v>89608</v>
      </c>
      <c r="FY18" s="223">
        <v>90006</v>
      </c>
      <c r="FZ18" s="175">
        <f t="shared" si="17"/>
        <v>90180.593415993499</v>
      </c>
      <c r="GA18" s="175">
        <f t="shared" si="12"/>
        <v>41507.07</v>
      </c>
      <c r="GB18" s="175">
        <f t="shared" si="12"/>
        <v>41835.892999999996</v>
      </c>
      <c r="GC18" s="175">
        <f t="shared" si="12"/>
        <v>42110.843000000001</v>
      </c>
      <c r="GD18" s="175">
        <f t="shared" si="12"/>
        <v>42711.531000000003</v>
      </c>
      <c r="GE18" s="175">
        <f t="shared" si="12"/>
        <v>42968.714999999997</v>
      </c>
      <c r="GF18" s="175">
        <f t="shared" si="12"/>
        <v>43213.931000000004</v>
      </c>
      <c r="GG18" s="175">
        <f t="shared" si="12"/>
        <v>43702.130999999994</v>
      </c>
      <c r="GH18" s="175">
        <f t="shared" si="12"/>
        <v>43821.926999999996</v>
      </c>
      <c r="GI18" s="175">
        <f t="shared" si="12"/>
        <v>44255.045791259996</v>
      </c>
      <c r="GJ18" s="175">
        <f t="shared" si="12"/>
        <v>44349.203980980004</v>
      </c>
      <c r="GK18" s="175">
        <f t="shared" si="12"/>
        <v>44703.30605698</v>
      </c>
      <c r="GL18" s="175">
        <f t="shared" si="12"/>
        <v>44907.44428797</v>
      </c>
      <c r="GM18" s="175">
        <f t="shared" si="12"/>
        <v>45114.59</v>
      </c>
      <c r="GN18" s="175">
        <f t="shared" si="12"/>
        <v>45494.429999999993</v>
      </c>
      <c r="GO18" s="175">
        <f t="shared" si="12"/>
        <v>45734.09</v>
      </c>
      <c r="GP18" s="175">
        <f t="shared" si="12"/>
        <v>45878.719778999759</v>
      </c>
      <c r="GQ18" s="223">
        <v>46042.753504999404</v>
      </c>
      <c r="GR18" s="175">
        <f t="shared" si="18"/>
        <v>46277.762849927101</v>
      </c>
      <c r="GS18" s="175">
        <f t="shared" si="13"/>
        <v>21209.899999999998</v>
      </c>
      <c r="GT18" s="175">
        <f t="shared" si="13"/>
        <v>21210.1</v>
      </c>
      <c r="GU18" s="175">
        <f t="shared" si="13"/>
        <v>21210.1</v>
      </c>
      <c r="GV18" s="175">
        <f t="shared" si="13"/>
        <v>21267.8</v>
      </c>
      <c r="GW18" s="175">
        <f t="shared" si="13"/>
        <v>21631.7</v>
      </c>
      <c r="GX18" s="175">
        <f t="shared" si="13"/>
        <v>22027.100000000002</v>
      </c>
      <c r="GY18" s="175">
        <f t="shared" si="13"/>
        <v>22222.1</v>
      </c>
      <c r="GZ18" s="175">
        <f t="shared" si="13"/>
        <v>22335.9</v>
      </c>
      <c r="HA18" s="175">
        <f t="shared" si="13"/>
        <v>22495.899999999998</v>
      </c>
      <c r="HB18" s="175">
        <f t="shared" si="13"/>
        <v>22629.244999999999</v>
      </c>
      <c r="HC18" s="175">
        <f t="shared" si="13"/>
        <v>22681.082999999999</v>
      </c>
      <c r="HD18" s="175">
        <f t="shared" si="13"/>
        <v>22725.012999999999</v>
      </c>
      <c r="HE18" s="175">
        <f t="shared" si="13"/>
        <v>22767.252</v>
      </c>
      <c r="HF18" s="175">
        <f t="shared" si="13"/>
        <v>22862.294399999984</v>
      </c>
      <c r="HG18" s="175">
        <f t="shared" si="13"/>
        <v>22911.734</v>
      </c>
      <c r="HH18" s="175">
        <f t="shared" si="13"/>
        <v>22657.282275000009</v>
      </c>
      <c r="HI18" s="223">
        <v>22545.114685664965</v>
      </c>
      <c r="HJ18" s="223">
        <v>22648.909621216048</v>
      </c>
      <c r="HK18" s="175">
        <f t="shared" si="14"/>
        <v>12384</v>
      </c>
      <c r="HL18" s="175">
        <f t="shared" si="14"/>
        <v>12476.3</v>
      </c>
      <c r="HM18" s="175">
        <f t="shared" si="14"/>
        <v>12582.7</v>
      </c>
      <c r="HN18" s="175">
        <f t="shared" si="14"/>
        <v>12537.5</v>
      </c>
      <c r="HO18" s="175">
        <f t="shared" si="14"/>
        <v>12644.400000000001</v>
      </c>
      <c r="HP18" s="175">
        <f t="shared" si="14"/>
        <v>12725.4</v>
      </c>
      <c r="HQ18" s="175">
        <f t="shared" si="14"/>
        <v>12817.6</v>
      </c>
      <c r="HR18" s="175">
        <f t="shared" si="14"/>
        <v>12834.7</v>
      </c>
      <c r="HS18" s="175">
        <f t="shared" si="14"/>
        <v>12823.414999999999</v>
      </c>
      <c r="HT18" s="175">
        <f t="shared" si="14"/>
        <v>12873.2217655</v>
      </c>
      <c r="HU18" s="175">
        <f t="shared" si="14"/>
        <v>12875.46695939</v>
      </c>
      <c r="HV18" s="175">
        <f t="shared" si="14"/>
        <v>13342.25</v>
      </c>
      <c r="HW18" s="175">
        <f t="shared" si="14"/>
        <v>13381.789999999999</v>
      </c>
      <c r="HX18" s="175">
        <f t="shared" si="14"/>
        <v>13407.810000000001</v>
      </c>
      <c r="HY18" s="175">
        <f t="shared" si="14"/>
        <v>13426.19</v>
      </c>
      <c r="HZ18" s="175">
        <f t="shared" si="14"/>
        <v>13452.5</v>
      </c>
      <c r="IA18" s="223">
        <v>13474.86</v>
      </c>
      <c r="IB18" s="175">
        <f>IA18*(POWER($IA18/$HW18,1/4))</f>
        <v>13498.228465209928</v>
      </c>
    </row>
    <row r="19" spans="1:236" s="177" customFormat="1" ht="13.35" customHeight="1">
      <c r="A19" s="174" t="s">
        <v>72</v>
      </c>
      <c r="B19" s="174" t="s">
        <v>73</v>
      </c>
      <c r="C19" s="175">
        <f t="shared" si="0"/>
        <v>630.12</v>
      </c>
      <c r="D19" s="175">
        <f t="shared" si="0"/>
        <v>610.67999999999995</v>
      </c>
      <c r="E19" s="175">
        <f t="shared" si="0"/>
        <v>625.12800000000004</v>
      </c>
      <c r="F19" s="175">
        <f t="shared" si="0"/>
        <v>615.16800000000001</v>
      </c>
      <c r="G19" s="175">
        <f t="shared" si="0"/>
        <v>617.76</v>
      </c>
      <c r="H19" s="175">
        <f t="shared" si="0"/>
        <v>620.80999999999995</v>
      </c>
      <c r="I19" s="175">
        <f t="shared" si="0"/>
        <v>701.69200000000001</v>
      </c>
      <c r="J19" s="175">
        <f t="shared" si="0"/>
        <v>697.803</v>
      </c>
      <c r="K19" s="175">
        <f t="shared" si="0"/>
        <v>669.9</v>
      </c>
      <c r="L19" s="175">
        <f t="shared" si="0"/>
        <v>733</v>
      </c>
      <c r="M19" s="175">
        <f t="shared" si="0"/>
        <v>669</v>
      </c>
      <c r="N19" s="175">
        <f t="shared" si="0"/>
        <v>688</v>
      </c>
      <c r="O19" s="175">
        <f t="shared" si="0"/>
        <v>812</v>
      </c>
      <c r="P19" s="175">
        <f t="shared" si="0"/>
        <v>691</v>
      </c>
      <c r="Q19" s="175">
        <f t="shared" si="0"/>
        <v>779</v>
      </c>
      <c r="R19" s="175">
        <f t="shared" si="0"/>
        <v>844</v>
      </c>
      <c r="S19" s="175">
        <f>'Data|EBRIN'!S22</f>
        <v>871</v>
      </c>
      <c r="T19" s="232">
        <v>913</v>
      </c>
      <c r="U19" s="175">
        <f t="shared" si="1"/>
        <v>6109.7635600000003</v>
      </c>
      <c r="V19" s="175">
        <f t="shared" si="1"/>
        <v>6019.4088400000001</v>
      </c>
      <c r="W19" s="175">
        <f t="shared" si="1"/>
        <v>6280.2569100000001</v>
      </c>
      <c r="X19" s="175">
        <f t="shared" si="1"/>
        <v>6372.643</v>
      </c>
      <c r="Y19" s="175">
        <f t="shared" si="1"/>
        <v>6305.1046800000004</v>
      </c>
      <c r="Z19" s="175">
        <f t="shared" si="1"/>
        <v>6555.2656999999999</v>
      </c>
      <c r="AA19" s="175">
        <f t="shared" si="1"/>
        <v>5958.1553700000004</v>
      </c>
      <c r="AB19" s="175">
        <f t="shared" si="1"/>
        <v>6004.79190406</v>
      </c>
      <c r="AC19" s="175">
        <f t="shared" si="1"/>
        <v>5165.4497899999997</v>
      </c>
      <c r="AD19" s="175">
        <f t="shared" si="1"/>
        <v>5367.3402900000001</v>
      </c>
      <c r="AE19" s="175">
        <f t="shared" si="1"/>
        <v>5798.3421600000001</v>
      </c>
      <c r="AF19" s="175">
        <f t="shared" si="1"/>
        <v>6226.4351800000004</v>
      </c>
      <c r="AG19" s="175">
        <f t="shared" si="1"/>
        <v>5767</v>
      </c>
      <c r="AH19" s="175">
        <f t="shared" si="1"/>
        <v>5931</v>
      </c>
      <c r="AI19" s="175">
        <f t="shared" si="1"/>
        <v>6011</v>
      </c>
      <c r="AJ19" s="175">
        <f t="shared" si="1"/>
        <v>5664</v>
      </c>
      <c r="AK19" s="223">
        <v>5578</v>
      </c>
      <c r="AL19" s="232">
        <v>6104</v>
      </c>
      <c r="AM19" s="175">
        <f t="shared" si="2"/>
        <v>1311.96</v>
      </c>
      <c r="AN19" s="175">
        <f t="shared" si="2"/>
        <v>1348.64</v>
      </c>
      <c r="AO19" s="175">
        <f t="shared" si="2"/>
        <v>1410.96</v>
      </c>
      <c r="AP19" s="175">
        <f t="shared" si="2"/>
        <v>1448.8</v>
      </c>
      <c r="AQ19" s="175">
        <f t="shared" si="2"/>
        <v>1389.2</v>
      </c>
      <c r="AR19" s="175">
        <f t="shared" si="2"/>
        <v>1432.5</v>
      </c>
      <c r="AS19" s="175">
        <f t="shared" si="2"/>
        <v>1358.8</v>
      </c>
      <c r="AT19" s="175">
        <f t="shared" si="2"/>
        <v>1447.9</v>
      </c>
      <c r="AU19" s="175">
        <f t="shared" si="2"/>
        <v>1439.32</v>
      </c>
      <c r="AV19" s="175">
        <f t="shared" si="2"/>
        <v>1244.1674392</v>
      </c>
      <c r="AW19" s="175">
        <f t="shared" si="2"/>
        <v>1373</v>
      </c>
      <c r="AX19" s="175">
        <f t="shared" si="2"/>
        <v>1478</v>
      </c>
      <c r="AY19" s="175">
        <f t="shared" si="2"/>
        <v>1527.7799520000001</v>
      </c>
      <c r="AZ19" s="175">
        <f t="shared" si="2"/>
        <v>1484</v>
      </c>
      <c r="BA19" s="175">
        <f t="shared" si="2"/>
        <v>1542</v>
      </c>
      <c r="BB19" s="175">
        <f t="shared" si="2"/>
        <v>1276</v>
      </c>
      <c r="BC19" s="223">
        <v>1337.27</v>
      </c>
      <c r="BD19" s="176"/>
      <c r="BE19" s="175">
        <f t="shared" si="3"/>
        <v>3779.0286552100001</v>
      </c>
      <c r="BF19" s="175">
        <f t="shared" si="3"/>
        <v>3704.4117377299999</v>
      </c>
      <c r="BG19" s="175">
        <f t="shared" si="3"/>
        <v>3690.1265355</v>
      </c>
      <c r="BH19" s="175">
        <f t="shared" si="3"/>
        <v>4004.2594068600001</v>
      </c>
      <c r="BI19" s="175">
        <f t="shared" si="3"/>
        <v>3928.5643727000001</v>
      </c>
      <c r="BJ19" s="175">
        <f t="shared" si="3"/>
        <v>4162.0593220700002</v>
      </c>
      <c r="BK19" s="175">
        <f t="shared" si="3"/>
        <v>3377.31322821</v>
      </c>
      <c r="BL19" s="175">
        <f t="shared" si="3"/>
        <v>3825.0089998899998</v>
      </c>
      <c r="BM19" s="175">
        <f t="shared" si="3"/>
        <v>3361.1572785799999</v>
      </c>
      <c r="BN19" s="175">
        <f t="shared" si="3"/>
        <v>3592.95984146</v>
      </c>
      <c r="BO19" s="175">
        <f t="shared" si="3"/>
        <v>4096.74707253</v>
      </c>
      <c r="BP19" s="175">
        <f t="shared" si="3"/>
        <v>4344.0417028000002</v>
      </c>
      <c r="BQ19" s="175">
        <f t="shared" si="3"/>
        <v>4007.2025363243602</v>
      </c>
      <c r="BR19" s="175">
        <f t="shared" si="3"/>
        <v>4159.4866072986497</v>
      </c>
      <c r="BS19" s="175">
        <f t="shared" si="3"/>
        <v>4260.7803490849383</v>
      </c>
      <c r="BT19" s="175">
        <f t="shared" si="3"/>
        <v>3830.1281528971499</v>
      </c>
      <c r="BU19" s="223">
        <v>3691.4720000000002</v>
      </c>
      <c r="BV19" s="233">
        <v>4210.6877835312152</v>
      </c>
      <c r="BW19" s="175">
        <f t="shared" si="4"/>
        <v>4225.3853993399998</v>
      </c>
      <c r="BX19" s="175">
        <f t="shared" si="4"/>
        <v>4618</v>
      </c>
      <c r="BY19" s="175">
        <f t="shared" si="4"/>
        <v>4796.7614080399999</v>
      </c>
      <c r="BZ19" s="175">
        <f t="shared" si="4"/>
        <v>5027.5095144200004</v>
      </c>
      <c r="CA19" s="175">
        <f t="shared" si="4"/>
        <v>5297.7098321900003</v>
      </c>
      <c r="CB19" s="175">
        <f t="shared" si="4"/>
        <v>5048.7678794800004</v>
      </c>
      <c r="CC19" s="175">
        <f t="shared" si="4"/>
        <v>4633.7388400999998</v>
      </c>
      <c r="CD19" s="175">
        <f t="shared" si="4"/>
        <v>4685.88684844</v>
      </c>
      <c r="CE19" s="175">
        <f t="shared" si="4"/>
        <v>4518.2367792100003</v>
      </c>
      <c r="CF19" s="175">
        <f t="shared" si="4"/>
        <v>4744.3609999999999</v>
      </c>
      <c r="CG19" s="175">
        <f t="shared" si="4"/>
        <v>4807.4521409600002</v>
      </c>
      <c r="CH19" s="175">
        <f t="shared" si="4"/>
        <v>5047.2200098000003</v>
      </c>
      <c r="CI19" s="175">
        <f t="shared" si="4"/>
        <v>5083.9193487167395</v>
      </c>
      <c r="CJ19" s="175">
        <f t="shared" si="4"/>
        <v>5216.25</v>
      </c>
      <c r="CK19" s="175">
        <f t="shared" si="4"/>
        <v>5336</v>
      </c>
      <c r="CL19" s="175">
        <f t="shared" si="4"/>
        <v>4838</v>
      </c>
      <c r="CM19" s="223">
        <v>5576</v>
      </c>
      <c r="CN19" s="176"/>
      <c r="CO19" s="175">
        <f t="shared" si="5"/>
        <v>2804.212</v>
      </c>
      <c r="CP19" s="175">
        <f t="shared" si="5"/>
        <v>2851.5990000000002</v>
      </c>
      <c r="CQ19" s="175">
        <f t="shared" si="5"/>
        <v>3078.596</v>
      </c>
      <c r="CR19" s="175">
        <f t="shared" si="5"/>
        <v>3040.864</v>
      </c>
      <c r="CS19" s="175">
        <f t="shared" si="5"/>
        <v>3238.0459999999998</v>
      </c>
      <c r="CT19" s="175">
        <f t="shared" si="5"/>
        <v>3057.3649999999998</v>
      </c>
      <c r="CU19" s="175">
        <f t="shared" si="5"/>
        <v>3212.5889999999999</v>
      </c>
      <c r="CV19" s="175">
        <f t="shared" si="5"/>
        <v>3149.4879999999998</v>
      </c>
      <c r="CW19" s="175">
        <f t="shared" si="5"/>
        <v>3083.3670000000002</v>
      </c>
      <c r="CX19" s="175">
        <f t="shared" si="5"/>
        <v>3113.0050005899998</v>
      </c>
      <c r="CY19" s="175">
        <f t="shared" si="5"/>
        <v>3060.09299087</v>
      </c>
      <c r="CZ19" s="175">
        <f t="shared" si="5"/>
        <v>3152.9</v>
      </c>
      <c r="DA19" s="175">
        <f t="shared" si="5"/>
        <v>3091.36</v>
      </c>
      <c r="DB19" s="175">
        <f t="shared" si="5"/>
        <v>3108.277</v>
      </c>
      <c r="DC19" s="175">
        <f t="shared" si="5"/>
        <v>2976</v>
      </c>
      <c r="DD19" s="175">
        <f t="shared" si="5"/>
        <v>2962</v>
      </c>
      <c r="DE19" s="223">
        <v>3046</v>
      </c>
      <c r="DF19" s="176"/>
      <c r="DG19" s="175">
        <f t="shared" si="7"/>
        <v>2473.79407167</v>
      </c>
      <c r="DH19" s="175">
        <f t="shared" si="7"/>
        <v>2586.2495781600001</v>
      </c>
      <c r="DI19" s="175">
        <f t="shared" si="7"/>
        <v>2558.21198774</v>
      </c>
      <c r="DJ19" s="175">
        <f t="shared" si="7"/>
        <v>2589.0927531799998</v>
      </c>
      <c r="DK19" s="175">
        <f t="shared" si="7"/>
        <v>2589.9727824299998</v>
      </c>
      <c r="DL19" s="175">
        <f t="shared" si="7"/>
        <v>2541.78606124</v>
      </c>
      <c r="DM19" s="175">
        <f t="shared" si="7"/>
        <v>2462.9661823699998</v>
      </c>
      <c r="DN19" s="175">
        <f t="shared" si="7"/>
        <v>2562.8678676899999</v>
      </c>
      <c r="DO19" s="175">
        <f t="shared" si="7"/>
        <v>2967.8844979999999</v>
      </c>
      <c r="DP19" s="175">
        <f t="shared" si="7"/>
        <v>2724.0675080000001</v>
      </c>
      <c r="DQ19" s="175">
        <f t="shared" si="7"/>
        <v>2847.7780039999998</v>
      </c>
      <c r="DR19" s="175">
        <f t="shared" si="7"/>
        <v>2964.6780480000002</v>
      </c>
      <c r="DS19" s="175">
        <f t="shared" si="7"/>
        <v>2965</v>
      </c>
      <c r="DT19" s="175">
        <f t="shared" si="7"/>
        <v>3031</v>
      </c>
      <c r="DU19" s="175">
        <f t="shared" si="7"/>
        <v>2994</v>
      </c>
      <c r="DV19" s="175">
        <f t="shared" si="7"/>
        <v>3011</v>
      </c>
      <c r="DW19" s="223">
        <v>3080</v>
      </c>
      <c r="DX19" s="233">
        <v>3055</v>
      </c>
      <c r="DY19" s="175">
        <f t="shared" si="8"/>
        <v>836.98500799999999</v>
      </c>
      <c r="DZ19" s="175">
        <f t="shared" si="8"/>
        <v>901.72535600000003</v>
      </c>
      <c r="EA19" s="175">
        <f t="shared" si="8"/>
        <v>958.34431600000005</v>
      </c>
      <c r="EB19" s="175">
        <f t="shared" si="8"/>
        <v>1019.66512</v>
      </c>
      <c r="EC19" s="175">
        <f t="shared" si="8"/>
        <v>993.45596399999999</v>
      </c>
      <c r="ED19" s="175">
        <f t="shared" si="8"/>
        <v>1017.041108</v>
      </c>
      <c r="EE19" s="175">
        <f t="shared" si="8"/>
        <v>892.449252</v>
      </c>
      <c r="EF19" s="175">
        <f t="shared" si="8"/>
        <v>977</v>
      </c>
      <c r="EG19" s="175">
        <f t="shared" si="8"/>
        <v>1013.2929901</v>
      </c>
      <c r="EH19" s="175">
        <f t="shared" si="8"/>
        <v>876.42929976000005</v>
      </c>
      <c r="EI19" s="175">
        <f t="shared" si="8"/>
        <v>987.00584000000003</v>
      </c>
      <c r="EJ19" s="175">
        <f t="shared" si="8"/>
        <v>956.53558655999996</v>
      </c>
      <c r="EK19" s="175">
        <f t="shared" si="8"/>
        <v>982.80725600000005</v>
      </c>
      <c r="EL19" s="175">
        <f t="shared" si="8"/>
        <v>1026.0431919615999</v>
      </c>
      <c r="EM19" s="175">
        <f t="shared" si="8"/>
        <v>1050.4283640000001</v>
      </c>
      <c r="EN19" s="175">
        <f t="shared" si="8"/>
        <v>947.88464399999998</v>
      </c>
      <c r="EO19" s="223">
        <v>993.43737799999997</v>
      </c>
      <c r="EP19" s="176"/>
      <c r="EQ19" s="175">
        <f t="shared" si="10"/>
        <v>2069.6999999999998</v>
      </c>
      <c r="ER19" s="175">
        <f t="shared" si="10"/>
        <v>2183.549</v>
      </c>
      <c r="ES19" s="175">
        <f t="shared" si="10"/>
        <v>2313.63</v>
      </c>
      <c r="ET19" s="175">
        <f t="shared" si="10"/>
        <v>2516.69</v>
      </c>
      <c r="EU19" s="175">
        <f t="shared" si="10"/>
        <v>2446.64</v>
      </c>
      <c r="EV19" s="175">
        <f t="shared" si="10"/>
        <v>2383.48</v>
      </c>
      <c r="EW19" s="175">
        <f t="shared" si="10"/>
        <v>2267.0300000000002</v>
      </c>
      <c r="EX19" s="175">
        <f t="shared" si="10"/>
        <v>2413.48</v>
      </c>
      <c r="EY19" s="175">
        <f t="shared" si="10"/>
        <v>2571.31</v>
      </c>
      <c r="EZ19" s="175">
        <f t="shared" si="10"/>
        <v>2301.43869</v>
      </c>
      <c r="FA19" s="175">
        <f t="shared" si="10"/>
        <v>2524</v>
      </c>
      <c r="FB19" s="175">
        <f t="shared" si="10"/>
        <v>2505</v>
      </c>
      <c r="FC19" s="175">
        <f t="shared" si="10"/>
        <v>2614.17022</v>
      </c>
      <c r="FD19" s="175">
        <f t="shared" si="10"/>
        <v>2626</v>
      </c>
      <c r="FE19" s="175">
        <f t="shared" si="10"/>
        <v>2679</v>
      </c>
      <c r="FF19" s="175">
        <f t="shared" si="10"/>
        <v>2349</v>
      </c>
      <c r="FG19" s="223">
        <v>2540.89</v>
      </c>
      <c r="FH19" s="176"/>
      <c r="FI19" s="175">
        <f t="shared" si="11"/>
        <v>2765.2886760000001</v>
      </c>
      <c r="FJ19" s="175">
        <f t="shared" si="11"/>
        <v>2746.0278239999998</v>
      </c>
      <c r="FK19" s="175">
        <f t="shared" si="11"/>
        <v>2959.9079360000001</v>
      </c>
      <c r="FL19" s="175">
        <f t="shared" si="11"/>
        <v>3192.7919959999999</v>
      </c>
      <c r="FM19" s="175">
        <f t="shared" si="11"/>
        <v>3096.2725460000001</v>
      </c>
      <c r="FN19" s="175">
        <f t="shared" si="11"/>
        <v>3096.3392140000001</v>
      </c>
      <c r="FO19" s="175">
        <f t="shared" si="11"/>
        <v>2768.2162320000002</v>
      </c>
      <c r="FP19" s="175">
        <f t="shared" si="11"/>
        <v>2902.2357059999999</v>
      </c>
      <c r="FQ19" s="175">
        <f t="shared" si="11"/>
        <v>3048.9762519999999</v>
      </c>
      <c r="FR19" s="175">
        <f t="shared" si="11"/>
        <v>2746.4357559999999</v>
      </c>
      <c r="FS19" s="175">
        <f t="shared" si="11"/>
        <v>2775.961812</v>
      </c>
      <c r="FT19" s="175">
        <f t="shared" si="11"/>
        <v>2939.338526</v>
      </c>
      <c r="FU19" s="175">
        <f t="shared" si="11"/>
        <v>2787.5683640000002</v>
      </c>
      <c r="FV19" s="175">
        <f t="shared" si="11"/>
        <v>3118</v>
      </c>
      <c r="FW19" s="175">
        <f t="shared" si="11"/>
        <v>2947.15663</v>
      </c>
      <c r="FX19" s="175">
        <f t="shared" si="11"/>
        <v>2673</v>
      </c>
      <c r="FY19" s="223">
        <v>2530.2125999999998</v>
      </c>
      <c r="FZ19" s="176"/>
      <c r="GA19" s="175">
        <f t="shared" si="12"/>
        <v>1616.768</v>
      </c>
      <c r="GB19" s="175">
        <f t="shared" si="12"/>
        <v>1689.1969999999999</v>
      </c>
      <c r="GC19" s="175">
        <f t="shared" si="12"/>
        <v>1801.394</v>
      </c>
      <c r="GD19" s="175">
        <f t="shared" si="12"/>
        <v>1930.99232807</v>
      </c>
      <c r="GE19" s="175">
        <f t="shared" si="12"/>
        <v>1937.704264</v>
      </c>
      <c r="GF19" s="175">
        <f t="shared" si="12"/>
        <v>1838.472352</v>
      </c>
      <c r="GG19" s="175">
        <f t="shared" si="12"/>
        <v>1793.255484</v>
      </c>
      <c r="GH19" s="175">
        <f t="shared" si="12"/>
        <v>1881.4148680000001</v>
      </c>
      <c r="GI19" s="175">
        <f t="shared" si="12"/>
        <v>1942.955156</v>
      </c>
      <c r="GJ19" s="175">
        <f t="shared" si="12"/>
        <v>1816.759</v>
      </c>
      <c r="GK19" s="175">
        <f t="shared" si="12"/>
        <v>1951.7954540000001</v>
      </c>
      <c r="GL19" s="175">
        <f t="shared" si="12"/>
        <v>1942.0717212</v>
      </c>
      <c r="GM19" s="175">
        <f t="shared" si="12"/>
        <v>1942.1035879999999</v>
      </c>
      <c r="GN19" s="175">
        <f t="shared" si="12"/>
        <v>2026.9370560000002</v>
      </c>
      <c r="GO19" s="175">
        <f t="shared" si="12"/>
        <v>2114.9357599999998</v>
      </c>
      <c r="GP19" s="175">
        <f t="shared" si="12"/>
        <v>1876.6215480000001</v>
      </c>
      <c r="GQ19" s="223">
        <v>1988.4895481999999</v>
      </c>
      <c r="GR19" s="176"/>
      <c r="GS19" s="175">
        <f t="shared" si="13"/>
        <v>1063</v>
      </c>
      <c r="GT19" s="175">
        <f t="shared" si="13"/>
        <v>1148</v>
      </c>
      <c r="GU19" s="175">
        <f t="shared" si="13"/>
        <v>1154</v>
      </c>
      <c r="GV19" s="175">
        <f t="shared" si="13"/>
        <v>1134</v>
      </c>
      <c r="GW19" s="175">
        <f t="shared" si="13"/>
        <v>1111</v>
      </c>
      <c r="GX19" s="175">
        <f t="shared" si="13"/>
        <v>1082</v>
      </c>
      <c r="GY19" s="175">
        <f t="shared" si="13"/>
        <v>1042</v>
      </c>
      <c r="GZ19" s="175">
        <f t="shared" si="13"/>
        <v>1022</v>
      </c>
      <c r="HA19" s="175">
        <f t="shared" si="13"/>
        <v>1052.3589992</v>
      </c>
      <c r="HB19" s="175">
        <f t="shared" si="13"/>
        <v>1044.250546</v>
      </c>
      <c r="HC19" s="175">
        <f t="shared" si="13"/>
        <v>1075.038816</v>
      </c>
      <c r="HD19" s="175">
        <f t="shared" si="13"/>
        <v>1064.268376</v>
      </c>
      <c r="HE19" s="175">
        <f t="shared" si="13"/>
        <v>1064.7223899999999</v>
      </c>
      <c r="HF19" s="175">
        <f t="shared" si="13"/>
        <v>1026.4160747088699</v>
      </c>
      <c r="HG19" s="175">
        <f t="shared" si="13"/>
        <v>1079.383921874</v>
      </c>
      <c r="HH19" s="175">
        <f t="shared" si="13"/>
        <v>1096.5808899040001</v>
      </c>
      <c r="HI19" s="223">
        <v>1073.6078374000001</v>
      </c>
      <c r="HJ19" s="233">
        <v>1086.2013335257361</v>
      </c>
      <c r="HK19" s="175">
        <f t="shared" si="14"/>
        <v>1724.0199811800001</v>
      </c>
      <c r="HL19" s="175">
        <f t="shared" si="14"/>
        <v>1819.64476949</v>
      </c>
      <c r="HM19" s="175">
        <f t="shared" si="14"/>
        <v>1949.3399704399999</v>
      </c>
      <c r="HN19" s="175">
        <f t="shared" si="14"/>
        <v>2136.74219451</v>
      </c>
      <c r="HO19" s="175">
        <f t="shared" si="14"/>
        <v>2038.7711396</v>
      </c>
      <c r="HP19" s="175">
        <f t="shared" si="14"/>
        <v>1975.2444353599999</v>
      </c>
      <c r="HQ19" s="175">
        <f t="shared" si="14"/>
        <v>1814.848504</v>
      </c>
      <c r="HR19" s="175">
        <f t="shared" si="14"/>
        <v>2037.0437320000001</v>
      </c>
      <c r="HS19" s="175">
        <f t="shared" si="14"/>
        <v>2142.611222</v>
      </c>
      <c r="HT19" s="175">
        <f t="shared" si="14"/>
        <v>1823.9849107800001</v>
      </c>
      <c r="HU19" s="175">
        <f t="shared" si="14"/>
        <v>2008.7</v>
      </c>
      <c r="HV19" s="175">
        <f t="shared" si="14"/>
        <v>1989.64</v>
      </c>
      <c r="HW19" s="175">
        <f t="shared" si="14"/>
        <v>2060.1515262197099</v>
      </c>
      <c r="HX19" s="175">
        <f t="shared" si="14"/>
        <v>2103.748</v>
      </c>
      <c r="HY19" s="175">
        <f t="shared" si="14"/>
        <v>2102.9459999999999</v>
      </c>
      <c r="HZ19" s="175">
        <f t="shared" si="14"/>
        <v>1797.973</v>
      </c>
      <c r="IA19" s="223">
        <v>1888.2280000000001</v>
      </c>
      <c r="IB19" s="176"/>
    </row>
    <row r="20" spans="1:236" s="177" customFormat="1" ht="13.35" customHeight="1">
      <c r="A20" s="174" t="s">
        <v>47</v>
      </c>
      <c r="B20" s="174" t="s">
        <v>73</v>
      </c>
      <c r="C20" s="175">
        <f>C19</f>
        <v>630.12</v>
      </c>
      <c r="D20" s="175">
        <f t="shared" ref="D20:R20" si="19">MAX(D19, C20)</f>
        <v>630.12</v>
      </c>
      <c r="E20" s="175">
        <f t="shared" si="19"/>
        <v>630.12</v>
      </c>
      <c r="F20" s="175">
        <f t="shared" si="19"/>
        <v>630.12</v>
      </c>
      <c r="G20" s="175">
        <f t="shared" si="19"/>
        <v>630.12</v>
      </c>
      <c r="H20" s="175">
        <f t="shared" si="19"/>
        <v>630.12</v>
      </c>
      <c r="I20" s="175">
        <f t="shared" si="19"/>
        <v>701.69200000000001</v>
      </c>
      <c r="J20" s="175">
        <f t="shared" si="19"/>
        <v>701.69200000000001</v>
      </c>
      <c r="K20" s="175">
        <f t="shared" si="19"/>
        <v>701.69200000000001</v>
      </c>
      <c r="L20" s="175">
        <f t="shared" si="19"/>
        <v>733</v>
      </c>
      <c r="M20" s="175">
        <f t="shared" si="19"/>
        <v>733</v>
      </c>
      <c r="N20" s="175">
        <f t="shared" si="19"/>
        <v>733</v>
      </c>
      <c r="O20" s="175">
        <f t="shared" si="19"/>
        <v>812</v>
      </c>
      <c r="P20" s="175">
        <f t="shared" si="19"/>
        <v>812</v>
      </c>
      <c r="Q20" s="175">
        <f t="shared" si="19"/>
        <v>812</v>
      </c>
      <c r="R20" s="175">
        <f t="shared" si="19"/>
        <v>844</v>
      </c>
      <c r="S20" s="175">
        <f>MAX(R20,S19)</f>
        <v>871</v>
      </c>
      <c r="T20" s="175">
        <f>MAX(S20,T19)</f>
        <v>913</v>
      </c>
      <c r="U20" s="175">
        <f>U19</f>
        <v>6109.7635600000003</v>
      </c>
      <c r="V20" s="175">
        <f>MAX(V19, U20)</f>
        <v>6109.7635600000003</v>
      </c>
      <c r="W20" s="175">
        <f t="shared" ref="W20:AJ20" si="20">MAX(W19, V20)</f>
        <v>6280.2569100000001</v>
      </c>
      <c r="X20" s="175">
        <f t="shared" si="20"/>
        <v>6372.643</v>
      </c>
      <c r="Y20" s="175">
        <f t="shared" si="20"/>
        <v>6372.643</v>
      </c>
      <c r="Z20" s="175">
        <f t="shared" si="20"/>
        <v>6555.2656999999999</v>
      </c>
      <c r="AA20" s="175">
        <f t="shared" si="20"/>
        <v>6555.2656999999999</v>
      </c>
      <c r="AB20" s="175">
        <f t="shared" si="20"/>
        <v>6555.2656999999999</v>
      </c>
      <c r="AC20" s="175">
        <f t="shared" si="20"/>
        <v>6555.2656999999999</v>
      </c>
      <c r="AD20" s="175">
        <f t="shared" si="20"/>
        <v>6555.2656999999999</v>
      </c>
      <c r="AE20" s="175">
        <f t="shared" si="20"/>
        <v>6555.2656999999999</v>
      </c>
      <c r="AF20" s="175">
        <f t="shared" si="20"/>
        <v>6555.2656999999999</v>
      </c>
      <c r="AG20" s="175">
        <f t="shared" si="20"/>
        <v>6555.2656999999999</v>
      </c>
      <c r="AH20" s="175">
        <f t="shared" si="20"/>
        <v>6555.2656999999999</v>
      </c>
      <c r="AI20" s="175">
        <f t="shared" si="20"/>
        <v>6555.2656999999999</v>
      </c>
      <c r="AJ20" s="175">
        <f t="shared" si="20"/>
        <v>6555.2656999999999</v>
      </c>
      <c r="AK20" s="175">
        <f>MAX(AJ20,AK19)</f>
        <v>6555.2656999999999</v>
      </c>
      <c r="AL20" s="175">
        <f>MAX(AK20,AL19)</f>
        <v>6555.2656999999999</v>
      </c>
      <c r="AM20" s="175">
        <f>AM19</f>
        <v>1311.96</v>
      </c>
      <c r="AN20" s="175">
        <f>MAX(AN19, AM20)</f>
        <v>1348.64</v>
      </c>
      <c r="AO20" s="175">
        <f t="shared" ref="AO20:BB20" si="21">MAX(AO19, AN20)</f>
        <v>1410.96</v>
      </c>
      <c r="AP20" s="175">
        <f t="shared" si="21"/>
        <v>1448.8</v>
      </c>
      <c r="AQ20" s="175">
        <f t="shared" si="21"/>
        <v>1448.8</v>
      </c>
      <c r="AR20" s="175">
        <f t="shared" si="21"/>
        <v>1448.8</v>
      </c>
      <c r="AS20" s="175">
        <f t="shared" si="21"/>
        <v>1448.8</v>
      </c>
      <c r="AT20" s="175">
        <f t="shared" si="21"/>
        <v>1448.8</v>
      </c>
      <c r="AU20" s="175">
        <f t="shared" si="21"/>
        <v>1448.8</v>
      </c>
      <c r="AV20" s="175">
        <f t="shared" si="21"/>
        <v>1448.8</v>
      </c>
      <c r="AW20" s="175">
        <f t="shared" si="21"/>
        <v>1448.8</v>
      </c>
      <c r="AX20" s="175">
        <f t="shared" si="21"/>
        <v>1478</v>
      </c>
      <c r="AY20" s="175">
        <f t="shared" si="21"/>
        <v>1527.7799520000001</v>
      </c>
      <c r="AZ20" s="175">
        <f t="shared" si="21"/>
        <v>1527.7799520000001</v>
      </c>
      <c r="BA20" s="175">
        <f t="shared" si="21"/>
        <v>1542</v>
      </c>
      <c r="BB20" s="175">
        <f t="shared" si="21"/>
        <v>1542</v>
      </c>
      <c r="BC20" s="175">
        <f t="shared" ref="BC20" si="22">MAX(BC19, BB20)</f>
        <v>1542</v>
      </c>
      <c r="BD20" s="175">
        <f>MAX(BC20,BD19)</f>
        <v>1542</v>
      </c>
      <c r="BE20" s="175">
        <f>BE19</f>
        <v>3779.0286552100001</v>
      </c>
      <c r="BF20" s="175">
        <f>MAX(BF19, BE20)</f>
        <v>3779.0286552100001</v>
      </c>
      <c r="BG20" s="175">
        <f t="shared" ref="BG20:BU20" si="23">MAX(BG19, BF20)</f>
        <v>3779.0286552100001</v>
      </c>
      <c r="BH20" s="175">
        <f t="shared" si="23"/>
        <v>4004.2594068600001</v>
      </c>
      <c r="BI20" s="175">
        <f t="shared" si="23"/>
        <v>4004.2594068600001</v>
      </c>
      <c r="BJ20" s="175">
        <f t="shared" si="23"/>
        <v>4162.0593220700002</v>
      </c>
      <c r="BK20" s="175">
        <f t="shared" si="23"/>
        <v>4162.0593220700002</v>
      </c>
      <c r="BL20" s="175">
        <f t="shared" si="23"/>
        <v>4162.0593220700002</v>
      </c>
      <c r="BM20" s="175">
        <f t="shared" si="23"/>
        <v>4162.0593220700002</v>
      </c>
      <c r="BN20" s="175">
        <f t="shared" si="23"/>
        <v>4162.0593220700002</v>
      </c>
      <c r="BO20" s="175">
        <f t="shared" si="23"/>
        <v>4162.0593220700002</v>
      </c>
      <c r="BP20" s="175">
        <f t="shared" si="23"/>
        <v>4344.0417028000002</v>
      </c>
      <c r="BQ20" s="175">
        <f t="shared" si="23"/>
        <v>4344.0417028000002</v>
      </c>
      <c r="BR20" s="175">
        <f t="shared" si="23"/>
        <v>4344.0417028000002</v>
      </c>
      <c r="BS20" s="175">
        <f t="shared" si="23"/>
        <v>4344.0417028000002</v>
      </c>
      <c r="BT20" s="175">
        <f t="shared" si="23"/>
        <v>4344.0417028000002</v>
      </c>
      <c r="BU20" s="175">
        <f t="shared" si="23"/>
        <v>4344.0417028000002</v>
      </c>
      <c r="BV20" s="175">
        <f>MAX(BU20,BV19)</f>
        <v>4344.0417028000002</v>
      </c>
      <c r="BW20" s="175">
        <f>BW19</f>
        <v>4225.3853993399998</v>
      </c>
      <c r="BX20" s="175">
        <f>MAX(BX19, BW20)</f>
        <v>4618</v>
      </c>
      <c r="BY20" s="175">
        <f t="shared" ref="BY20:CL20" si="24">MAX(BY19, BX20)</f>
        <v>4796.7614080399999</v>
      </c>
      <c r="BZ20" s="175">
        <f t="shared" si="24"/>
        <v>5027.5095144200004</v>
      </c>
      <c r="CA20" s="175">
        <f t="shared" si="24"/>
        <v>5297.7098321900003</v>
      </c>
      <c r="CB20" s="175">
        <f t="shared" si="24"/>
        <v>5297.7098321900003</v>
      </c>
      <c r="CC20" s="175">
        <f t="shared" si="24"/>
        <v>5297.7098321900003</v>
      </c>
      <c r="CD20" s="175">
        <f t="shared" si="24"/>
        <v>5297.7098321900003</v>
      </c>
      <c r="CE20" s="175">
        <f t="shared" si="24"/>
        <v>5297.7098321900003</v>
      </c>
      <c r="CF20" s="175">
        <f t="shared" si="24"/>
        <v>5297.7098321900003</v>
      </c>
      <c r="CG20" s="175">
        <f t="shared" si="24"/>
        <v>5297.7098321900003</v>
      </c>
      <c r="CH20" s="175">
        <f t="shared" si="24"/>
        <v>5297.7098321900003</v>
      </c>
      <c r="CI20" s="175">
        <f t="shared" si="24"/>
        <v>5297.7098321900003</v>
      </c>
      <c r="CJ20" s="175">
        <f t="shared" si="24"/>
        <v>5297.7098321900003</v>
      </c>
      <c r="CK20" s="175">
        <f t="shared" si="24"/>
        <v>5336</v>
      </c>
      <c r="CL20" s="175">
        <f t="shared" si="24"/>
        <v>5336</v>
      </c>
      <c r="CM20" s="175">
        <f t="shared" ref="CM20" si="25">MAX(CM19, CL20)</f>
        <v>5576</v>
      </c>
      <c r="CN20" s="175">
        <f t="shared" ref="CN20" si="26">MAX(CN19, CM20)</f>
        <v>5576</v>
      </c>
      <c r="CO20" s="175">
        <f>CO19</f>
        <v>2804.212</v>
      </c>
      <c r="CP20" s="175">
        <f>MAX(CP19, CO20)</f>
        <v>2851.5990000000002</v>
      </c>
      <c r="CQ20" s="175">
        <f t="shared" ref="CQ20:DD20" si="27">MAX(CQ19, CP20)</f>
        <v>3078.596</v>
      </c>
      <c r="CR20" s="175">
        <f t="shared" si="27"/>
        <v>3078.596</v>
      </c>
      <c r="CS20" s="175">
        <f t="shared" si="27"/>
        <v>3238.0459999999998</v>
      </c>
      <c r="CT20" s="175">
        <f t="shared" si="27"/>
        <v>3238.0459999999998</v>
      </c>
      <c r="CU20" s="175">
        <f t="shared" si="27"/>
        <v>3238.0459999999998</v>
      </c>
      <c r="CV20" s="175">
        <f t="shared" si="27"/>
        <v>3238.0459999999998</v>
      </c>
      <c r="CW20" s="175">
        <f t="shared" si="27"/>
        <v>3238.0459999999998</v>
      </c>
      <c r="CX20" s="175">
        <f t="shared" si="27"/>
        <v>3238.0459999999998</v>
      </c>
      <c r="CY20" s="175">
        <f t="shared" si="27"/>
        <v>3238.0459999999998</v>
      </c>
      <c r="CZ20" s="175">
        <f t="shared" si="27"/>
        <v>3238.0459999999998</v>
      </c>
      <c r="DA20" s="175">
        <f t="shared" si="27"/>
        <v>3238.0459999999998</v>
      </c>
      <c r="DB20" s="175">
        <f t="shared" si="27"/>
        <v>3238.0459999999998</v>
      </c>
      <c r="DC20" s="175">
        <f t="shared" si="27"/>
        <v>3238.0459999999998</v>
      </c>
      <c r="DD20" s="175">
        <f t="shared" si="27"/>
        <v>3238.0459999999998</v>
      </c>
      <c r="DE20" s="175">
        <f t="shared" ref="DE20" si="28">MAX(DE19, DD20)</f>
        <v>3238.0459999999998</v>
      </c>
      <c r="DF20" s="175">
        <f>MAX(DE20,DF19)</f>
        <v>3238.0459999999998</v>
      </c>
      <c r="DG20" s="175">
        <f>DG19</f>
        <v>2473.79407167</v>
      </c>
      <c r="DH20" s="175">
        <f>MAX(DH19, DG20)</f>
        <v>2586.2495781600001</v>
      </c>
      <c r="DI20" s="175">
        <f t="shared" ref="DI20:DV20" si="29">MAX(DI19, DH20)</f>
        <v>2586.2495781600001</v>
      </c>
      <c r="DJ20" s="175">
        <f t="shared" si="29"/>
        <v>2589.0927531799998</v>
      </c>
      <c r="DK20" s="175">
        <f t="shared" si="29"/>
        <v>2589.9727824299998</v>
      </c>
      <c r="DL20" s="175">
        <f t="shared" si="29"/>
        <v>2589.9727824299998</v>
      </c>
      <c r="DM20" s="175">
        <f t="shared" si="29"/>
        <v>2589.9727824299998</v>
      </c>
      <c r="DN20" s="175">
        <f t="shared" si="29"/>
        <v>2589.9727824299998</v>
      </c>
      <c r="DO20" s="175">
        <f t="shared" si="29"/>
        <v>2967.8844979999999</v>
      </c>
      <c r="DP20" s="175">
        <f t="shared" si="29"/>
        <v>2967.8844979999999</v>
      </c>
      <c r="DQ20" s="175">
        <f t="shared" si="29"/>
        <v>2967.8844979999999</v>
      </c>
      <c r="DR20" s="175">
        <f t="shared" si="29"/>
        <v>2967.8844979999999</v>
      </c>
      <c r="DS20" s="175">
        <f t="shared" si="29"/>
        <v>2967.8844979999999</v>
      </c>
      <c r="DT20" s="175">
        <f t="shared" si="29"/>
        <v>3031</v>
      </c>
      <c r="DU20" s="175">
        <f t="shared" si="29"/>
        <v>3031</v>
      </c>
      <c r="DV20" s="175">
        <f t="shared" si="29"/>
        <v>3031</v>
      </c>
      <c r="DW20" s="175">
        <f t="shared" ref="DW20" si="30">MAX(DW19, DV20)</f>
        <v>3080</v>
      </c>
      <c r="DX20" s="175">
        <f>MAX(DW20,DX19)</f>
        <v>3080</v>
      </c>
      <c r="DY20" s="175">
        <f>DY19</f>
        <v>836.98500799999999</v>
      </c>
      <c r="DZ20" s="175">
        <f>MAX(DZ19, DY20)</f>
        <v>901.72535600000003</v>
      </c>
      <c r="EA20" s="175">
        <f t="shared" ref="EA20:EN20" si="31">MAX(EA19, DZ20)</f>
        <v>958.34431600000005</v>
      </c>
      <c r="EB20" s="175">
        <f t="shared" si="31"/>
        <v>1019.66512</v>
      </c>
      <c r="EC20" s="175">
        <f t="shared" si="31"/>
        <v>1019.66512</v>
      </c>
      <c r="ED20" s="175">
        <f t="shared" si="31"/>
        <v>1019.66512</v>
      </c>
      <c r="EE20" s="175">
        <f t="shared" si="31"/>
        <v>1019.66512</v>
      </c>
      <c r="EF20" s="175">
        <f t="shared" si="31"/>
        <v>1019.66512</v>
      </c>
      <c r="EG20" s="175">
        <f t="shared" si="31"/>
        <v>1019.66512</v>
      </c>
      <c r="EH20" s="175">
        <f t="shared" si="31"/>
        <v>1019.66512</v>
      </c>
      <c r="EI20" s="175">
        <f t="shared" si="31"/>
        <v>1019.66512</v>
      </c>
      <c r="EJ20" s="175">
        <f t="shared" si="31"/>
        <v>1019.66512</v>
      </c>
      <c r="EK20" s="175">
        <f t="shared" si="31"/>
        <v>1019.66512</v>
      </c>
      <c r="EL20" s="175">
        <f t="shared" si="31"/>
        <v>1026.0431919615999</v>
      </c>
      <c r="EM20" s="175">
        <f t="shared" si="31"/>
        <v>1050.4283640000001</v>
      </c>
      <c r="EN20" s="175">
        <f t="shared" si="31"/>
        <v>1050.4283640000001</v>
      </c>
      <c r="EO20" s="175">
        <f t="shared" ref="EO20" si="32">MAX(EO19, EN20)</f>
        <v>1050.4283640000001</v>
      </c>
      <c r="EP20" s="175">
        <f>MAX(EO20,EP19)</f>
        <v>1050.4283640000001</v>
      </c>
      <c r="EQ20" s="175">
        <f>EQ19</f>
        <v>2069.6999999999998</v>
      </c>
      <c r="ER20" s="175">
        <f>MAX(ER19, EQ20)</f>
        <v>2183.549</v>
      </c>
      <c r="ES20" s="175">
        <f t="shared" ref="ES20:FF20" si="33">MAX(ES19, ER20)</f>
        <v>2313.63</v>
      </c>
      <c r="ET20" s="175">
        <f t="shared" si="33"/>
        <v>2516.69</v>
      </c>
      <c r="EU20" s="175">
        <f t="shared" si="33"/>
        <v>2516.69</v>
      </c>
      <c r="EV20" s="175">
        <f t="shared" si="33"/>
        <v>2516.69</v>
      </c>
      <c r="EW20" s="175">
        <f t="shared" si="33"/>
        <v>2516.69</v>
      </c>
      <c r="EX20" s="175">
        <f t="shared" si="33"/>
        <v>2516.69</v>
      </c>
      <c r="EY20" s="175">
        <f t="shared" si="33"/>
        <v>2571.31</v>
      </c>
      <c r="EZ20" s="175">
        <f t="shared" si="33"/>
        <v>2571.31</v>
      </c>
      <c r="FA20" s="175">
        <f t="shared" si="33"/>
        <v>2571.31</v>
      </c>
      <c r="FB20" s="175">
        <f t="shared" si="33"/>
        <v>2571.31</v>
      </c>
      <c r="FC20" s="175">
        <f t="shared" si="33"/>
        <v>2614.17022</v>
      </c>
      <c r="FD20" s="175">
        <f t="shared" si="33"/>
        <v>2626</v>
      </c>
      <c r="FE20" s="175">
        <f t="shared" si="33"/>
        <v>2679</v>
      </c>
      <c r="FF20" s="175">
        <f t="shared" si="33"/>
        <v>2679</v>
      </c>
      <c r="FG20" s="175">
        <f>MAX(FF20,FG19)</f>
        <v>2679</v>
      </c>
      <c r="FH20" s="175">
        <f>MAX(FG20,FH19)</f>
        <v>2679</v>
      </c>
      <c r="FI20" s="175">
        <f>FI19</f>
        <v>2765.2886760000001</v>
      </c>
      <c r="FJ20" s="175">
        <f>MAX(FJ19, FI20)</f>
        <v>2765.2886760000001</v>
      </c>
      <c r="FK20" s="175">
        <f t="shared" ref="FK20:FX20" si="34">MAX(FK19, FJ20)</f>
        <v>2959.9079360000001</v>
      </c>
      <c r="FL20" s="175">
        <f t="shared" si="34"/>
        <v>3192.7919959999999</v>
      </c>
      <c r="FM20" s="175">
        <f t="shared" si="34"/>
        <v>3192.7919959999999</v>
      </c>
      <c r="FN20" s="175">
        <f t="shared" si="34"/>
        <v>3192.7919959999999</v>
      </c>
      <c r="FO20" s="175">
        <f t="shared" si="34"/>
        <v>3192.7919959999999</v>
      </c>
      <c r="FP20" s="175">
        <f t="shared" si="34"/>
        <v>3192.7919959999999</v>
      </c>
      <c r="FQ20" s="175">
        <f t="shared" si="34"/>
        <v>3192.7919959999999</v>
      </c>
      <c r="FR20" s="175">
        <f t="shared" si="34"/>
        <v>3192.7919959999999</v>
      </c>
      <c r="FS20" s="175">
        <f t="shared" si="34"/>
        <v>3192.7919959999999</v>
      </c>
      <c r="FT20" s="175">
        <f t="shared" si="34"/>
        <v>3192.7919959999999</v>
      </c>
      <c r="FU20" s="175">
        <f t="shared" si="34"/>
        <v>3192.7919959999999</v>
      </c>
      <c r="FV20" s="175">
        <f t="shared" si="34"/>
        <v>3192.7919959999999</v>
      </c>
      <c r="FW20" s="175">
        <f t="shared" si="34"/>
        <v>3192.7919959999999</v>
      </c>
      <c r="FX20" s="175">
        <f t="shared" si="34"/>
        <v>3192.7919959999999</v>
      </c>
      <c r="FY20" s="175">
        <f>MAX(FX20,FY19)</f>
        <v>3192.7919959999999</v>
      </c>
      <c r="FZ20" s="175">
        <f>MAX(FY20,FZ19)</f>
        <v>3192.7919959999999</v>
      </c>
      <c r="GA20" s="175">
        <f>GA19</f>
        <v>1616.768</v>
      </c>
      <c r="GB20" s="175">
        <f>MAX(GB19, GA20)</f>
        <v>1689.1969999999999</v>
      </c>
      <c r="GC20" s="175">
        <f t="shared" ref="GC20:GP20" si="35">MAX(GC19, GB20)</f>
        <v>1801.394</v>
      </c>
      <c r="GD20" s="175">
        <f t="shared" si="35"/>
        <v>1930.99232807</v>
      </c>
      <c r="GE20" s="175">
        <f t="shared" si="35"/>
        <v>1937.704264</v>
      </c>
      <c r="GF20" s="175">
        <f t="shared" si="35"/>
        <v>1937.704264</v>
      </c>
      <c r="GG20" s="175">
        <f t="shared" si="35"/>
        <v>1937.704264</v>
      </c>
      <c r="GH20" s="175">
        <f t="shared" si="35"/>
        <v>1937.704264</v>
      </c>
      <c r="GI20" s="175">
        <f t="shared" si="35"/>
        <v>1942.955156</v>
      </c>
      <c r="GJ20" s="175">
        <f t="shared" si="35"/>
        <v>1942.955156</v>
      </c>
      <c r="GK20" s="175">
        <f t="shared" si="35"/>
        <v>1951.7954540000001</v>
      </c>
      <c r="GL20" s="175">
        <f t="shared" si="35"/>
        <v>1951.7954540000001</v>
      </c>
      <c r="GM20" s="175">
        <f t="shared" si="35"/>
        <v>1951.7954540000001</v>
      </c>
      <c r="GN20" s="175">
        <f t="shared" si="35"/>
        <v>2026.9370560000002</v>
      </c>
      <c r="GO20" s="175">
        <f t="shared" si="35"/>
        <v>2114.9357599999998</v>
      </c>
      <c r="GP20" s="175">
        <f t="shared" si="35"/>
        <v>2114.9357599999998</v>
      </c>
      <c r="GQ20" s="175">
        <f>MAX(GP20,GQ19)</f>
        <v>2114.9357599999998</v>
      </c>
      <c r="GR20" s="175">
        <f>MAX(GQ20,GR19)</f>
        <v>2114.9357599999998</v>
      </c>
      <c r="GS20" s="175">
        <f>GS19</f>
        <v>1063</v>
      </c>
      <c r="GT20" s="175">
        <f>MAX(GT19, GS20)</f>
        <v>1148</v>
      </c>
      <c r="GU20" s="175">
        <f t="shared" ref="GU20:HH20" si="36">MAX(GU19, GT20)</f>
        <v>1154</v>
      </c>
      <c r="GV20" s="175">
        <f t="shared" si="36"/>
        <v>1154</v>
      </c>
      <c r="GW20" s="175">
        <f t="shared" si="36"/>
        <v>1154</v>
      </c>
      <c r="GX20" s="175">
        <f t="shared" si="36"/>
        <v>1154</v>
      </c>
      <c r="GY20" s="175">
        <f t="shared" si="36"/>
        <v>1154</v>
      </c>
      <c r="GZ20" s="175">
        <f t="shared" si="36"/>
        <v>1154</v>
      </c>
      <c r="HA20" s="175">
        <f t="shared" si="36"/>
        <v>1154</v>
      </c>
      <c r="HB20" s="175">
        <f t="shared" si="36"/>
        <v>1154</v>
      </c>
      <c r="HC20" s="175">
        <f t="shared" si="36"/>
        <v>1154</v>
      </c>
      <c r="HD20" s="175">
        <f t="shared" si="36"/>
        <v>1154</v>
      </c>
      <c r="HE20" s="175">
        <f t="shared" si="36"/>
        <v>1154</v>
      </c>
      <c r="HF20" s="175">
        <f t="shared" si="36"/>
        <v>1154</v>
      </c>
      <c r="HG20" s="175">
        <f t="shared" si="36"/>
        <v>1154</v>
      </c>
      <c r="HH20" s="175">
        <f t="shared" si="36"/>
        <v>1154</v>
      </c>
      <c r="HI20" s="175">
        <f t="shared" ref="HI20" si="37">MAX(HI19, HH20)</f>
        <v>1154</v>
      </c>
      <c r="HJ20" s="175">
        <f t="shared" ref="HJ20" si="38">MAX(HJ19, HI20)</f>
        <v>1154</v>
      </c>
      <c r="HK20" s="175">
        <f>HK19</f>
        <v>1724.0199811800001</v>
      </c>
      <c r="HL20" s="175">
        <f>MAX(HL19, HK20)</f>
        <v>1819.64476949</v>
      </c>
      <c r="HM20" s="175">
        <f t="shared" ref="HM20:HZ20" si="39">MAX(HM19, HL20)</f>
        <v>1949.3399704399999</v>
      </c>
      <c r="HN20" s="175">
        <f t="shared" si="39"/>
        <v>2136.74219451</v>
      </c>
      <c r="HO20" s="175">
        <f t="shared" si="39"/>
        <v>2136.74219451</v>
      </c>
      <c r="HP20" s="175">
        <f t="shared" si="39"/>
        <v>2136.74219451</v>
      </c>
      <c r="HQ20" s="175">
        <f t="shared" si="39"/>
        <v>2136.74219451</v>
      </c>
      <c r="HR20" s="175">
        <f t="shared" si="39"/>
        <v>2136.74219451</v>
      </c>
      <c r="HS20" s="175">
        <f t="shared" si="39"/>
        <v>2142.611222</v>
      </c>
      <c r="HT20" s="175">
        <f t="shared" si="39"/>
        <v>2142.611222</v>
      </c>
      <c r="HU20" s="175">
        <f t="shared" si="39"/>
        <v>2142.611222</v>
      </c>
      <c r="HV20" s="175">
        <f t="shared" si="39"/>
        <v>2142.611222</v>
      </c>
      <c r="HW20" s="175">
        <f t="shared" si="39"/>
        <v>2142.611222</v>
      </c>
      <c r="HX20" s="175">
        <f t="shared" si="39"/>
        <v>2142.611222</v>
      </c>
      <c r="HY20" s="175">
        <f t="shared" si="39"/>
        <v>2142.611222</v>
      </c>
      <c r="HZ20" s="175">
        <f t="shared" si="39"/>
        <v>2142.611222</v>
      </c>
      <c r="IA20" s="175">
        <f t="shared" ref="IA20" si="40">MAX(IA19, HZ20)</f>
        <v>2142.611222</v>
      </c>
      <c r="IB20" s="175">
        <f t="shared" ref="IB20" si="41">MAX(IB19, IA20)</f>
        <v>2142.611222</v>
      </c>
    </row>
    <row r="21" spans="1:236" s="177" customFormat="1" ht="13.35" customHeight="1">
      <c r="A21" s="178" t="s">
        <v>46</v>
      </c>
      <c r="B21" s="178" t="s">
        <v>360</v>
      </c>
      <c r="C21" s="179">
        <f t="shared" ref="C21:T21" si="42">C17/C18</f>
        <v>0.42522515337109201</v>
      </c>
      <c r="D21" s="179">
        <f t="shared" si="42"/>
        <v>0.43275286863029311</v>
      </c>
      <c r="E21" s="179">
        <f t="shared" si="42"/>
        <v>0.44031042496774148</v>
      </c>
      <c r="F21" s="179">
        <f t="shared" si="42"/>
        <v>0.44789431096080118</v>
      </c>
      <c r="G21" s="179">
        <f t="shared" si="42"/>
        <v>0.4555009650809772</v>
      </c>
      <c r="H21" s="179">
        <f t="shared" si="42"/>
        <v>0.46312678237759619</v>
      </c>
      <c r="I21" s="179">
        <f t="shared" si="42"/>
        <v>0.47076812134176887</v>
      </c>
      <c r="J21" s="179">
        <f t="shared" si="42"/>
        <v>0.47842131092325751</v>
      </c>
      <c r="K21" s="179">
        <f t="shared" si="42"/>
        <v>0.48608265767178116</v>
      </c>
      <c r="L21" s="179">
        <f t="shared" si="42"/>
        <v>0.4937596171914938</v>
      </c>
      <c r="M21" s="179">
        <f t="shared" si="42"/>
        <v>0.50141498035191479</v>
      </c>
      <c r="N21" s="179">
        <f t="shared" si="42"/>
        <v>0.50475925528852583</v>
      </c>
      <c r="O21" s="179">
        <f t="shared" si="42"/>
        <v>0.51009407076301971</v>
      </c>
      <c r="P21" s="179">
        <f t="shared" si="42"/>
        <v>0.5145488248128588</v>
      </c>
      <c r="Q21" s="179">
        <f t="shared" si="42"/>
        <v>0.51764217952397007</v>
      </c>
      <c r="R21" s="179">
        <f t="shared" si="42"/>
        <v>0.52127774522393577</v>
      </c>
      <c r="S21" s="179">
        <f t="shared" si="42"/>
        <v>0.52336096302095625</v>
      </c>
      <c r="T21" s="179">
        <f t="shared" si="42"/>
        <v>0.52988315222952087</v>
      </c>
      <c r="U21" s="179">
        <f t="shared" ref="U21:AI21" si="43">U17/U18</f>
        <v>0.32609225629959121</v>
      </c>
      <c r="V21" s="179">
        <f t="shared" si="43"/>
        <v>0.3341597474663125</v>
      </c>
      <c r="W21" s="179">
        <f t="shared" si="43"/>
        <v>0.33749331676710981</v>
      </c>
      <c r="X21" s="179">
        <f t="shared" si="43"/>
        <v>0.34281590466195311</v>
      </c>
      <c r="Y21" s="179">
        <f t="shared" si="43"/>
        <v>0.34667203401319985</v>
      </c>
      <c r="Z21" s="179">
        <f t="shared" si="43"/>
        <v>0.35095288406163194</v>
      </c>
      <c r="AA21" s="179">
        <f t="shared" si="43"/>
        <v>0.35793551235403137</v>
      </c>
      <c r="AB21" s="179">
        <f t="shared" si="43"/>
        <v>0.36353348270531333</v>
      </c>
      <c r="AC21" s="179">
        <f t="shared" si="43"/>
        <v>0.36895660267931218</v>
      </c>
      <c r="AD21" s="179">
        <f t="shared" si="43"/>
        <v>0.37067965732946428</v>
      </c>
      <c r="AE21" s="179">
        <f t="shared" si="43"/>
        <v>0.37437986122555672</v>
      </c>
      <c r="AF21" s="179">
        <f t="shared" si="43"/>
        <v>0.3782722659509048</v>
      </c>
      <c r="AG21" s="179">
        <f t="shared" si="43"/>
        <v>0.38126986402848473</v>
      </c>
      <c r="AH21" s="179">
        <f t="shared" si="43"/>
        <v>0.38419787178327419</v>
      </c>
      <c r="AI21" s="179">
        <f t="shared" si="43"/>
        <v>0.38769750785680979</v>
      </c>
      <c r="AJ21" s="179">
        <f t="shared" ref="AJ21" si="44">AJ17/AJ18</f>
        <v>0.39001016599117</v>
      </c>
      <c r="AK21" s="179">
        <f>AK17/AK18</f>
        <v>0.39287144892266374</v>
      </c>
      <c r="AL21" s="179">
        <f>AL17/AL18</f>
        <v>0.39598662316392774</v>
      </c>
      <c r="AM21" s="179">
        <f t="shared" ref="AM21:BA21" si="45">AM17/AM18</f>
        <v>0.42786234148292218</v>
      </c>
      <c r="AN21" s="179">
        <f t="shared" si="45"/>
        <v>0.43760765354938264</v>
      </c>
      <c r="AO21" s="179">
        <f t="shared" si="45"/>
        <v>0.45668253848090856</v>
      </c>
      <c r="AP21" s="179">
        <f t="shared" si="45"/>
        <v>0.46139246443080661</v>
      </c>
      <c r="AQ21" s="179">
        <f t="shared" si="45"/>
        <v>0.46692500184566388</v>
      </c>
      <c r="AR21" s="179">
        <f t="shared" si="45"/>
        <v>0.48109243697478993</v>
      </c>
      <c r="AS21" s="179">
        <f t="shared" si="45"/>
        <v>0.48175691378108298</v>
      </c>
      <c r="AT21" s="179">
        <f t="shared" si="45"/>
        <v>0.48631239935587761</v>
      </c>
      <c r="AU21" s="179">
        <f t="shared" si="45"/>
        <v>0.49339482876561808</v>
      </c>
      <c r="AV21" s="179">
        <f t="shared" si="45"/>
        <v>0.49567313402023577</v>
      </c>
      <c r="AW21" s="179">
        <f t="shared" si="45"/>
        <v>0.49916321677089753</v>
      </c>
      <c r="AX21" s="179">
        <f t="shared" si="45"/>
        <v>0.49993076238309281</v>
      </c>
      <c r="AY21" s="179">
        <f t="shared" si="45"/>
        <v>0.50003441794869985</v>
      </c>
      <c r="AZ21" s="179">
        <f t="shared" si="45"/>
        <v>0.50245308852182757</v>
      </c>
      <c r="BA21" s="179">
        <f t="shared" si="45"/>
        <v>0.50559634732217729</v>
      </c>
      <c r="BB21" s="179">
        <f t="shared" ref="BB21" si="46">BB17/BB18</f>
        <v>0.50712165184849123</v>
      </c>
      <c r="BC21" s="179">
        <f>BC17/BC18</f>
        <v>0.50611620795107037</v>
      </c>
      <c r="BD21" s="179">
        <f>BD17/BD18</f>
        <v>0.50764817850056787</v>
      </c>
      <c r="BE21" s="179">
        <f t="shared" ref="BE21:BS21" si="47">BE17/BE18</f>
        <v>0.27889121854958066</v>
      </c>
      <c r="BF21" s="179">
        <f t="shared" si="47"/>
        <v>0.28700657894736842</v>
      </c>
      <c r="BG21" s="179">
        <f t="shared" si="47"/>
        <v>0.29607495720592208</v>
      </c>
      <c r="BH21" s="179">
        <f t="shared" si="47"/>
        <v>0.30185532624557015</v>
      </c>
      <c r="BI21" s="179">
        <f t="shared" si="47"/>
        <v>0.30712363604104442</v>
      </c>
      <c r="BJ21" s="179">
        <f t="shared" si="47"/>
        <v>0.31490694135549574</v>
      </c>
      <c r="BK21" s="179">
        <f t="shared" si="47"/>
        <v>0.32258157833834761</v>
      </c>
      <c r="BL21" s="179">
        <f t="shared" si="47"/>
        <v>0.33163949870107623</v>
      </c>
      <c r="BM21" s="179">
        <f t="shared" si="47"/>
        <v>0.34105358254224638</v>
      </c>
      <c r="BN21" s="179">
        <f t="shared" si="47"/>
        <v>0.35094550425297771</v>
      </c>
      <c r="BO21" s="179">
        <f t="shared" si="47"/>
        <v>0.36122497011820909</v>
      </c>
      <c r="BP21" s="179">
        <f t="shared" si="47"/>
        <v>0.3721371739614116</v>
      </c>
      <c r="BQ21" s="179">
        <f t="shared" si="47"/>
        <v>0.38297190533179976</v>
      </c>
      <c r="BR21" s="179">
        <f t="shared" si="47"/>
        <v>0.39796453452640751</v>
      </c>
      <c r="BS21" s="179">
        <f t="shared" si="47"/>
        <v>0.40773985591461154</v>
      </c>
      <c r="BT21" s="179">
        <f t="shared" ref="BT21" si="48">BT17/BT18</f>
        <v>0.41579378144590717</v>
      </c>
      <c r="BU21" s="179">
        <f>BU17/BU18</f>
        <v>0.42392675340051716</v>
      </c>
      <c r="BV21" s="179">
        <f>BV17/BV18</f>
        <v>0.43374574661537052</v>
      </c>
      <c r="BW21" s="179">
        <f t="shared" ref="BW21:CK21" si="49">BW17/BW18</f>
        <v>0.2614985640190321</v>
      </c>
      <c r="BX21" s="179">
        <f t="shared" si="49"/>
        <v>0.273313044390807</v>
      </c>
      <c r="BY21" s="179">
        <f t="shared" si="49"/>
        <v>0.28517510209132535</v>
      </c>
      <c r="BZ21" s="179">
        <f t="shared" si="49"/>
        <v>0.29732737167944645</v>
      </c>
      <c r="CA21" s="179">
        <f t="shared" si="49"/>
        <v>0.30602390406448909</v>
      </c>
      <c r="CB21" s="179">
        <f t="shared" si="49"/>
        <v>0.31259971243426365</v>
      </c>
      <c r="CC21" s="179">
        <f t="shared" si="49"/>
        <v>0.31845272876007946</v>
      </c>
      <c r="CD21" s="179">
        <f t="shared" si="49"/>
        <v>0.32343909928352099</v>
      </c>
      <c r="CE21" s="179">
        <f t="shared" si="49"/>
        <v>0.3262125962201961</v>
      </c>
      <c r="CF21" s="179">
        <f t="shared" si="49"/>
        <v>0.33182604831264167</v>
      </c>
      <c r="CG21" s="179">
        <f t="shared" si="49"/>
        <v>0.3396977700788017</v>
      </c>
      <c r="CH21" s="179">
        <f t="shared" si="49"/>
        <v>0.34670833565861192</v>
      </c>
      <c r="CI21" s="179">
        <f t="shared" si="49"/>
        <v>0.35337043452622269</v>
      </c>
      <c r="CJ21" s="179">
        <f t="shared" si="49"/>
        <v>0.35967650656297351</v>
      </c>
      <c r="CK21" s="179">
        <f t="shared" si="49"/>
        <v>0.36450443921000181</v>
      </c>
      <c r="CL21" s="179">
        <f t="shared" ref="CL21" si="50">CL17/CL18</f>
        <v>0.36855753646677469</v>
      </c>
      <c r="CM21" s="179">
        <f>CM17/CM18</f>
        <v>0.37201853740583679</v>
      </c>
      <c r="CN21" s="179">
        <f>CN17/CN18</f>
        <v>0.37683234559202372</v>
      </c>
      <c r="CO21" s="179">
        <f t="shared" ref="CO21:DC21" si="51">CO17/CO18</f>
        <v>2.6676226910207768E-2</v>
      </c>
      <c r="CP21" s="179">
        <f t="shared" si="51"/>
        <v>2.9855804861203011E-2</v>
      </c>
      <c r="CQ21" s="179">
        <f t="shared" si="51"/>
        <v>3.5131259929887956E-2</v>
      </c>
      <c r="CR21" s="179">
        <f t="shared" si="51"/>
        <v>4.1813360256598653E-2</v>
      </c>
      <c r="CS21" s="179">
        <f t="shared" si="51"/>
        <v>4.5188226302583519E-2</v>
      </c>
      <c r="CT21" s="179">
        <f t="shared" si="51"/>
        <v>4.8054458633240489E-2</v>
      </c>
      <c r="CU21" s="179">
        <f t="shared" si="51"/>
        <v>5.0243863113430598E-2</v>
      </c>
      <c r="CV21" s="179">
        <f t="shared" si="51"/>
        <v>5.4357651186598056E-2</v>
      </c>
      <c r="CW21" s="179">
        <f t="shared" si="51"/>
        <v>5.6269527789939426E-2</v>
      </c>
      <c r="CX21" s="179">
        <f t="shared" si="51"/>
        <v>5.8463027886094344E-2</v>
      </c>
      <c r="CY21" s="179">
        <f t="shared" si="51"/>
        <v>6.0035840825639314E-2</v>
      </c>
      <c r="CZ21" s="179">
        <f t="shared" si="51"/>
        <v>6.1086844162442387E-2</v>
      </c>
      <c r="DA21" s="179">
        <f t="shared" si="51"/>
        <v>5.79699599885692E-2</v>
      </c>
      <c r="DB21" s="179">
        <f t="shared" si="51"/>
        <v>5.896518370870471E-2</v>
      </c>
      <c r="DC21" s="179">
        <f t="shared" si="51"/>
        <v>5.9453533871114253E-2</v>
      </c>
      <c r="DD21" s="179">
        <f t="shared" ref="DD21" si="52">DD17/DD18</f>
        <v>6.0065272409643468E-2</v>
      </c>
      <c r="DE21" s="179">
        <f>DE17/DE18</f>
        <v>6.1129005476843419E-2</v>
      </c>
      <c r="DF21" s="179">
        <f>DF17/DF18</f>
        <v>6.1945307421332085E-2</v>
      </c>
      <c r="DG21" s="179">
        <f t="shared" ref="DG21:DU21" si="53">DG17/DG18</f>
        <v>2.5888118826766091E-2</v>
      </c>
      <c r="DH21" s="179">
        <f t="shared" si="53"/>
        <v>3.1876148048054387E-2</v>
      </c>
      <c r="DI21" s="179">
        <f t="shared" si="53"/>
        <v>3.2040209009358063E-2</v>
      </c>
      <c r="DJ21" s="179">
        <f t="shared" si="53"/>
        <v>3.1898801597869508E-2</v>
      </c>
      <c r="DK21" s="179">
        <f t="shared" si="53"/>
        <v>3.2883785531770515E-2</v>
      </c>
      <c r="DL21" s="179">
        <f t="shared" si="53"/>
        <v>3.7073959032907992E-2</v>
      </c>
      <c r="DM21" s="179">
        <f t="shared" si="53"/>
        <v>3.8596785435412617E-2</v>
      </c>
      <c r="DN21" s="179">
        <f t="shared" si="53"/>
        <v>3.9804926036199617E-2</v>
      </c>
      <c r="DO21" s="179">
        <f t="shared" si="53"/>
        <v>4.0102832830756219E-2</v>
      </c>
      <c r="DP21" s="179">
        <f t="shared" si="53"/>
        <v>4.1496223316601459E-2</v>
      </c>
      <c r="DQ21" s="179">
        <f t="shared" si="53"/>
        <v>4.3415615642921714E-2</v>
      </c>
      <c r="DR21" s="179">
        <f t="shared" si="53"/>
        <v>4.5378994334517135E-2</v>
      </c>
      <c r="DS21" s="179">
        <f t="shared" si="53"/>
        <v>4.6600323823279062E-2</v>
      </c>
      <c r="DT21" s="179">
        <f t="shared" si="53"/>
        <v>4.7855950630983295E-2</v>
      </c>
      <c r="DU21" s="179">
        <f t="shared" si="53"/>
        <v>4.9225469069960344E-2</v>
      </c>
      <c r="DV21" s="179">
        <f t="shared" ref="DV21" si="54">DV17/DV18</f>
        <v>5.0725539332916916E-2</v>
      </c>
      <c r="DW21" s="179">
        <f>DW17/DW18</f>
        <v>5.212452135550568E-2</v>
      </c>
      <c r="DX21" s="179">
        <f>DX17/DX18</f>
        <v>5.3702939913471193E-2</v>
      </c>
      <c r="DY21" s="179">
        <f t="shared" ref="DY21:EM21" si="55">DY17/DY18</f>
        <v>0.22747879639112203</v>
      </c>
      <c r="DZ21" s="179">
        <f t="shared" si="55"/>
        <v>0.23299200141419674</v>
      </c>
      <c r="EA21" s="179">
        <f t="shared" si="55"/>
        <v>0.24125000120067852</v>
      </c>
      <c r="EB21" s="179">
        <f t="shared" si="55"/>
        <v>0.24689266812662292</v>
      </c>
      <c r="EC21" s="179">
        <f t="shared" si="55"/>
        <v>0.25241437742464712</v>
      </c>
      <c r="ED21" s="179">
        <f t="shared" si="55"/>
        <v>0.25914262010683403</v>
      </c>
      <c r="EE21" s="179">
        <f t="shared" si="55"/>
        <v>0.26710795003652427</v>
      </c>
      <c r="EF21" s="179">
        <f t="shared" si="55"/>
        <v>0.27372815871779377</v>
      </c>
      <c r="EG21" s="179">
        <f t="shared" si="55"/>
        <v>0.28001709531365349</v>
      </c>
      <c r="EH21" s="179">
        <f t="shared" si="55"/>
        <v>0.28743671300274615</v>
      </c>
      <c r="EI21" s="179">
        <f t="shared" si="55"/>
        <v>0.29381561869970341</v>
      </c>
      <c r="EJ21" s="179">
        <f t="shared" si="55"/>
        <v>0.30522377495508901</v>
      </c>
      <c r="EK21" s="179">
        <f t="shared" si="55"/>
        <v>0.3164169559656495</v>
      </c>
      <c r="EL21" s="179">
        <f t="shared" si="55"/>
        <v>0.32442899002606157</v>
      </c>
      <c r="EM21" s="179">
        <f t="shared" si="55"/>
        <v>0.33225018580944715</v>
      </c>
      <c r="EN21" s="179">
        <f t="shared" ref="EN21" si="56">EN17/EN18</f>
        <v>0.33294016651671188</v>
      </c>
      <c r="EO21" s="179">
        <f>EO17/EO18</f>
        <v>0.34053506996391797</v>
      </c>
      <c r="EP21" s="179">
        <f>EP17/EP18</f>
        <v>0.34684654147244809</v>
      </c>
      <c r="EQ21" s="179">
        <f t="shared" ref="EQ21:FE21" si="57">EQ17/EQ18</f>
        <v>4.6371995286249496E-2</v>
      </c>
      <c r="ER21" s="179">
        <f t="shared" si="57"/>
        <v>4.8831858529732597E-2</v>
      </c>
      <c r="ES21" s="179">
        <f t="shared" si="57"/>
        <v>4.9105316795695103E-2</v>
      </c>
      <c r="ET21" s="179">
        <f t="shared" si="57"/>
        <v>6.2856519185778559E-2</v>
      </c>
      <c r="EU21" s="179">
        <f t="shared" si="57"/>
        <v>6.9779131599089092E-2</v>
      </c>
      <c r="EV21" s="179">
        <f t="shared" si="57"/>
        <v>6.4102388798490423E-2</v>
      </c>
      <c r="EW21" s="179">
        <f t="shared" si="57"/>
        <v>6.5627675041102215E-2</v>
      </c>
      <c r="EX21" s="179">
        <f t="shared" si="57"/>
        <v>6.8548769099595341E-2</v>
      </c>
      <c r="EY21" s="179">
        <f t="shared" si="57"/>
        <v>7.0750937295320199E-2</v>
      </c>
      <c r="EZ21" s="179">
        <f t="shared" si="57"/>
        <v>7.4903828001107398E-2</v>
      </c>
      <c r="FA21" s="179">
        <f t="shared" si="57"/>
        <v>7.8483992656186594E-2</v>
      </c>
      <c r="FB21" s="179">
        <f t="shared" si="57"/>
        <v>8.4205120272585643E-2</v>
      </c>
      <c r="FC21" s="179">
        <f t="shared" si="57"/>
        <v>8.862452080924571E-2</v>
      </c>
      <c r="FD21" s="179">
        <f t="shared" si="57"/>
        <v>9.4078953876632815E-2</v>
      </c>
      <c r="FE21" s="179">
        <f t="shared" si="57"/>
        <v>0.1005611974974075</v>
      </c>
      <c r="FF21" s="179">
        <f t="shared" ref="FF21" si="58">FF17/FF18</f>
        <v>0.10350783975922923</v>
      </c>
      <c r="FG21" s="179">
        <f>FG17/FG18</f>
        <v>0.10693645372017818</v>
      </c>
      <c r="FH21" s="179">
        <f>FH17/FH18</f>
        <v>0.11207758055130472</v>
      </c>
      <c r="FI21" s="179">
        <f t="shared" ref="FI21:FW21" si="59">FI17/FI18</f>
        <v>0.16222777132412472</v>
      </c>
      <c r="FJ21" s="179">
        <f t="shared" si="59"/>
        <v>0.16760233933622518</v>
      </c>
      <c r="FK21" s="179">
        <f t="shared" si="59"/>
        <v>0.17291481933580838</v>
      </c>
      <c r="FL21" s="179">
        <f t="shared" si="59"/>
        <v>0.17880512534744628</v>
      </c>
      <c r="FM21" s="179">
        <f t="shared" si="59"/>
        <v>0.18215200472323506</v>
      </c>
      <c r="FN21" s="179">
        <f t="shared" si="59"/>
        <v>0.1849674266305413</v>
      </c>
      <c r="FO21" s="179">
        <f t="shared" si="59"/>
        <v>0.1882523488526047</v>
      </c>
      <c r="FP21" s="179">
        <f t="shared" si="59"/>
        <v>0.19036206051573315</v>
      </c>
      <c r="FQ21" s="179">
        <f t="shared" si="59"/>
        <v>0.19212605825190782</v>
      </c>
      <c r="FR21" s="179">
        <f t="shared" si="59"/>
        <v>0.19241278443555063</v>
      </c>
      <c r="FS21" s="179">
        <f t="shared" si="59"/>
        <v>0.19689667597513738</v>
      </c>
      <c r="FT21" s="179">
        <f t="shared" si="59"/>
        <v>0.19954816738038236</v>
      </c>
      <c r="FU21" s="179">
        <f t="shared" si="59"/>
        <v>0.20225952010390658</v>
      </c>
      <c r="FV21" s="179">
        <f t="shared" si="59"/>
        <v>0.20230016349750274</v>
      </c>
      <c r="FW21" s="179">
        <f t="shared" si="59"/>
        <v>0.20452715397691687</v>
      </c>
      <c r="FX21" s="179">
        <f t="shared" ref="FX21" si="60">FX17/FX18</f>
        <v>0.20783858584054996</v>
      </c>
      <c r="FY21" s="179">
        <f>FY17/FY18</f>
        <v>0.21181921205252982</v>
      </c>
      <c r="FZ21" s="179">
        <f>FZ17/FZ18</f>
        <v>0.21427891669580595</v>
      </c>
      <c r="GA21" s="179">
        <f t="shared" ref="GA21:GO21" si="61">GA17/GA18</f>
        <v>9.3110860390771988E-2</v>
      </c>
      <c r="GB21" s="179">
        <f t="shared" si="61"/>
        <v>9.827448884621634E-2</v>
      </c>
      <c r="GC21" s="179">
        <f t="shared" si="61"/>
        <v>0.10189114475813271</v>
      </c>
      <c r="GD21" s="179">
        <f t="shared" si="61"/>
        <v>0.10799228901441157</v>
      </c>
      <c r="GE21" s="179">
        <f t="shared" si="61"/>
        <v>0.11154427122151547</v>
      </c>
      <c r="GF21" s="179">
        <f t="shared" si="61"/>
        <v>0.11730189507638172</v>
      </c>
      <c r="GG21" s="179">
        <f t="shared" si="61"/>
        <v>0.12178799702009957</v>
      </c>
      <c r="GH21" s="179">
        <f t="shared" si="61"/>
        <v>0.12555979110640206</v>
      </c>
      <c r="GI21" s="179">
        <f t="shared" si="61"/>
        <v>0.12943497609827945</v>
      </c>
      <c r="GJ21" s="179">
        <f t="shared" si="61"/>
        <v>0.13452180173422287</v>
      </c>
      <c r="GK21" s="179">
        <f t="shared" si="61"/>
        <v>0.14019212203213458</v>
      </c>
      <c r="GL21" s="179">
        <f t="shared" si="61"/>
        <v>0.14640977713668976</v>
      </c>
      <c r="GM21" s="179">
        <f t="shared" si="61"/>
        <v>0.15313427430017651</v>
      </c>
      <c r="GN21" s="179">
        <f t="shared" si="61"/>
        <v>0.16058075680913031</v>
      </c>
      <c r="GO21" s="179">
        <f t="shared" si="61"/>
        <v>0.16583821827437695</v>
      </c>
      <c r="GP21" s="179">
        <f t="shared" ref="GP21" si="62">GP17/GP18</f>
        <v>0.16853314035888373</v>
      </c>
      <c r="GQ21" s="179">
        <f>GQ17/GQ18</f>
        <v>0.17282223703532201</v>
      </c>
      <c r="GR21" s="179">
        <f>GR17/GR18</f>
        <v>0.17812768626873701</v>
      </c>
      <c r="GS21" s="179">
        <f t="shared" ref="GS21:HG21" si="63">GS17/GS18</f>
        <v>8.9689248888490752E-2</v>
      </c>
      <c r="GT21" s="179">
        <f t="shared" si="63"/>
        <v>8.9697832636338348E-2</v>
      </c>
      <c r="GU21" s="179">
        <f t="shared" si="63"/>
        <v>8.9697832636338348E-2</v>
      </c>
      <c r="GV21" s="179">
        <f t="shared" si="63"/>
        <v>9.0775726685411742E-2</v>
      </c>
      <c r="GW21" s="179">
        <f t="shared" si="63"/>
        <v>9.6857852133674177E-2</v>
      </c>
      <c r="GX21" s="179">
        <f t="shared" si="63"/>
        <v>0.10327732656591199</v>
      </c>
      <c r="GY21" s="179">
        <f t="shared" si="63"/>
        <v>0.1052690789799344</v>
      </c>
      <c r="GZ21" s="179">
        <f t="shared" si="63"/>
        <v>0.10627286117864065</v>
      </c>
      <c r="HA21" s="179">
        <f t="shared" si="63"/>
        <v>0.10814415071190753</v>
      </c>
      <c r="HB21" s="179">
        <f t="shared" si="63"/>
        <v>0.10894260944189699</v>
      </c>
      <c r="HC21" s="179">
        <f t="shared" si="63"/>
        <v>0.11032405286819857</v>
      </c>
      <c r="HD21" s="179">
        <f t="shared" si="63"/>
        <v>0.11108561302033139</v>
      </c>
      <c r="HE21" s="179">
        <f t="shared" si="63"/>
        <v>0.11246113496701314</v>
      </c>
      <c r="HF21" s="179">
        <f t="shared" si="63"/>
        <v>0.11405791800144018</v>
      </c>
      <c r="HG21" s="179">
        <f t="shared" si="63"/>
        <v>0.11558308943356273</v>
      </c>
      <c r="HH21" s="179">
        <f t="shared" ref="HH21" si="64">HH17/HH18</f>
        <v>0.11828679373241414</v>
      </c>
      <c r="HI21" s="179">
        <f>HI17/HI18</f>
        <v>0.11863901931071988</v>
      </c>
      <c r="HJ21" s="179">
        <f>HJ17/HJ18</f>
        <v>0.11981222134701568</v>
      </c>
      <c r="HK21" s="179">
        <f t="shared" ref="HK21:HY21" si="65">HK17/HK18</f>
        <v>0.18378552971576229</v>
      </c>
      <c r="HL21" s="179">
        <f t="shared" si="65"/>
        <v>0.18582432291624923</v>
      </c>
      <c r="HM21" s="179">
        <f t="shared" si="65"/>
        <v>0.18963338552139047</v>
      </c>
      <c r="HN21" s="179">
        <f t="shared" si="65"/>
        <v>0.1933639082751745</v>
      </c>
      <c r="HO21" s="179">
        <f t="shared" si="65"/>
        <v>0.19746290848122489</v>
      </c>
      <c r="HP21" s="179">
        <f t="shared" si="65"/>
        <v>0.20395429613214516</v>
      </c>
      <c r="HQ21" s="179">
        <f t="shared" si="65"/>
        <v>0.20533485207839222</v>
      </c>
      <c r="HR21" s="179">
        <f t="shared" si="65"/>
        <v>0.20965040086640124</v>
      </c>
      <c r="HS21" s="179">
        <f t="shared" si="65"/>
        <v>0.21352330872860312</v>
      </c>
      <c r="HT21" s="179">
        <f t="shared" si="65"/>
        <v>0.21697346581767002</v>
      </c>
      <c r="HU21" s="179">
        <f t="shared" si="65"/>
        <v>0.22013629565434287</v>
      </c>
      <c r="HV21" s="179">
        <f t="shared" si="65"/>
        <v>0.24708501189829302</v>
      </c>
      <c r="HW21" s="179">
        <f t="shared" si="65"/>
        <v>0.24954807989065741</v>
      </c>
      <c r="HX21" s="179">
        <f t="shared" si="65"/>
        <v>0.25161752739634585</v>
      </c>
      <c r="HY21" s="179">
        <f t="shared" si="65"/>
        <v>0.25353581321283253</v>
      </c>
      <c r="HZ21" s="179">
        <f t="shared" ref="HZ21" si="66">HZ17/HZ18</f>
        <v>0.25484779780709904</v>
      </c>
      <c r="IA21" s="179">
        <f>IA17/IA18</f>
        <v>0.2564256697286651</v>
      </c>
      <c r="IB21" s="179">
        <f>IB17/IB18</f>
        <v>0.25817448236478152</v>
      </c>
    </row>
    <row r="22" spans="1:236" s="177" customFormat="1" ht="13.35" customHeight="1">
      <c r="A22" s="174" t="s">
        <v>74</v>
      </c>
      <c r="B22" s="174" t="s">
        <v>769</v>
      </c>
      <c r="C22" s="175">
        <f t="shared" ref="C22:R22" si="67">VLOOKUP($A22, Table_Data_opex_selected, MATCH(C$15, Header_Table_Data_EBRIN, 0), FALSE)</f>
        <v>38538.624900945346</v>
      </c>
      <c r="D22" s="175">
        <f t="shared" si="67"/>
        <v>40555.568802439702</v>
      </c>
      <c r="E22" s="175">
        <f t="shared" si="67"/>
        <v>44812.70258129912</v>
      </c>
      <c r="F22" s="175">
        <f t="shared" si="67"/>
        <v>46821.896889849857</v>
      </c>
      <c r="G22" s="175">
        <f t="shared" si="67"/>
        <v>55266.38145396336</v>
      </c>
      <c r="H22" s="175">
        <f t="shared" si="67"/>
        <v>63737.765832817691</v>
      </c>
      <c r="I22" s="175">
        <f t="shared" si="67"/>
        <v>70608.373543978203</v>
      </c>
      <c r="J22" s="175">
        <f t="shared" si="67"/>
        <v>77834.327675292603</v>
      </c>
      <c r="K22" s="175">
        <f t="shared" si="67"/>
        <v>88864.580625233939</v>
      </c>
      <c r="L22" s="175">
        <f t="shared" si="67"/>
        <v>86548.092643177908</v>
      </c>
      <c r="M22" s="175">
        <f t="shared" si="67"/>
        <v>52497.721534325196</v>
      </c>
      <c r="N22" s="175">
        <f t="shared" si="67"/>
        <v>58245.248035999997</v>
      </c>
      <c r="O22" s="175">
        <f t="shared" si="67"/>
        <v>72071.139840504809</v>
      </c>
      <c r="P22" s="175">
        <f t="shared" si="67"/>
        <v>70694.304359999995</v>
      </c>
      <c r="Q22" s="175">
        <f t="shared" si="67"/>
        <v>68958.093410000001</v>
      </c>
      <c r="R22" s="175">
        <f t="shared" si="67"/>
        <v>66360.226999999999</v>
      </c>
      <c r="S22" s="175">
        <f>VLOOKUP(Parameter_Scenario, Table_data_opexforecast_alternative, MATCH(S32, Header_Table_Data_opex_proposed, 0), FALSE)</f>
        <v>70623.540977441007</v>
      </c>
      <c r="T22" s="175">
        <f>VLOOKUP(Parameter_Scenario, Table_data_opexforecast_alternative, MATCH(T32, Header_Table_Data_opex_proposed, 0), FALSE)</f>
        <v>84858.588351146347</v>
      </c>
      <c r="U22" s="175">
        <f t="shared" ref="U22:AJ22" si="68">VLOOKUP($A22, Table_Data_opex_selected, MATCH(U$15, Header_Table_Data_EBRIN, 0), FALSE)</f>
        <v>359429.30472414085</v>
      </c>
      <c r="V22" s="175">
        <f t="shared" si="68"/>
        <v>319120.88969815226</v>
      </c>
      <c r="W22" s="175">
        <f t="shared" si="68"/>
        <v>470681.79458618024</v>
      </c>
      <c r="X22" s="175">
        <f t="shared" si="68"/>
        <v>443489.44696764805</v>
      </c>
      <c r="Y22" s="175">
        <f t="shared" si="68"/>
        <v>515512.72259464307</v>
      </c>
      <c r="Z22" s="175">
        <f t="shared" si="68"/>
        <v>512241.43077591294</v>
      </c>
      <c r="AA22" s="175">
        <f t="shared" si="68"/>
        <v>582528.6565686391</v>
      </c>
      <c r="AB22" s="175">
        <f t="shared" si="68"/>
        <v>475011.13446981501</v>
      </c>
      <c r="AC22" s="175">
        <f t="shared" si="68"/>
        <v>542633.90420160326</v>
      </c>
      <c r="AD22" s="175">
        <f t="shared" si="68"/>
        <v>651511.13329349505</v>
      </c>
      <c r="AE22" s="175">
        <f t="shared" si="68"/>
        <v>590102.08599726495</v>
      </c>
      <c r="AF22" s="175">
        <f t="shared" si="68"/>
        <v>532963.94004261005</v>
      </c>
      <c r="AG22" s="175">
        <f t="shared" si="68"/>
        <v>467337.86054000002</v>
      </c>
      <c r="AH22" s="175">
        <f t="shared" si="68"/>
        <v>454424.70699999999</v>
      </c>
      <c r="AI22" s="175">
        <f t="shared" si="68"/>
        <v>409523.11597899999</v>
      </c>
      <c r="AJ22" s="175">
        <f t="shared" si="68"/>
        <v>391128.56099999999</v>
      </c>
      <c r="AK22" s="175">
        <f>VLOOKUP(Parameter_Scenario, Table_data_opexforecast_alternative, MATCH(AK32, Header_Table_Data_opex_proposed, 0), FALSE)</f>
        <v>350363.98099999997</v>
      </c>
      <c r="AL22" s="175">
        <f>VLOOKUP(Parameter_Scenario, Table_data_opexforecast_alternative, MATCH(AL32, Header_Table_Data_opex_proposed, 0), FALSE)</f>
        <v>391306.02510397579</v>
      </c>
      <c r="AM22" s="175">
        <f t="shared" ref="AM22:BB22" si="69">VLOOKUP($A22, Table_Data_opex_selected, MATCH(AM$15, Header_Table_Data_EBRIN, 0), FALSE)</f>
        <v>37898.188999999998</v>
      </c>
      <c r="AN22" s="175">
        <f t="shared" si="69"/>
        <v>40582.080999999998</v>
      </c>
      <c r="AO22" s="175">
        <f t="shared" si="69"/>
        <v>41333.470999999998</v>
      </c>
      <c r="AP22" s="175">
        <f t="shared" si="69"/>
        <v>50008.286836201994</v>
      </c>
      <c r="AQ22" s="175">
        <f t="shared" si="69"/>
        <v>54297.417209442443</v>
      </c>
      <c r="AR22" s="175">
        <f t="shared" si="69"/>
        <v>54486.114272112434</v>
      </c>
      <c r="AS22" s="175">
        <f t="shared" si="69"/>
        <v>67739.510590000005</v>
      </c>
      <c r="AT22" s="175">
        <f t="shared" si="69"/>
        <v>68089.082299999995</v>
      </c>
      <c r="AU22" s="175">
        <f t="shared" si="69"/>
        <v>73439.955393108001</v>
      </c>
      <c r="AV22" s="175">
        <f t="shared" si="69"/>
        <v>71997.882248406604</v>
      </c>
      <c r="AW22" s="175">
        <f t="shared" si="69"/>
        <v>73454.018770187686</v>
      </c>
      <c r="AX22" s="175">
        <f t="shared" si="69"/>
        <v>73056.219669490965</v>
      </c>
      <c r="AY22" s="175">
        <f t="shared" si="69"/>
        <v>67694.236446691008</v>
      </c>
      <c r="AZ22" s="175">
        <f t="shared" si="69"/>
        <v>75670.104999999996</v>
      </c>
      <c r="BA22" s="175">
        <f t="shared" si="69"/>
        <v>74131.675000000003</v>
      </c>
      <c r="BB22" s="175">
        <f t="shared" si="69"/>
        <v>67493.260999999999</v>
      </c>
      <c r="BC22" s="175">
        <f>VLOOKUP(Parameter_Scenario, Table_data_opexforecast_alternative, MATCH(BC32, Header_Table_Data_opex_proposed, 0), FALSE)</f>
        <v>72884.255999999994</v>
      </c>
      <c r="BD22" s="175">
        <f>VLOOKUP(Parameter_Scenario, Table_data_opexforecast_alternative, MATCH(BD32, Header_Table_Data_opex_proposed, 0), FALSE)</f>
        <v>74242.781204652449</v>
      </c>
      <c r="BE22" s="175">
        <f t="shared" ref="BE22:BT22" si="70">VLOOKUP($A22, Table_Data_opex_selected, MATCH(BE$15, Header_Table_Data_EBRIN, 0), FALSE)</f>
        <v>173158.03593754568</v>
      </c>
      <c r="BF22" s="175">
        <f t="shared" si="70"/>
        <v>192755.56936652676</v>
      </c>
      <c r="BG22" s="175">
        <f t="shared" si="70"/>
        <v>243136.6498313061</v>
      </c>
      <c r="BH22" s="175">
        <f t="shared" si="70"/>
        <v>229075.96469774732</v>
      </c>
      <c r="BI22" s="175">
        <f t="shared" si="70"/>
        <v>228043.59112183331</v>
      </c>
      <c r="BJ22" s="175">
        <f t="shared" si="70"/>
        <v>244517.0998057948</v>
      </c>
      <c r="BK22" s="175">
        <f t="shared" si="70"/>
        <v>276189.14942971262</v>
      </c>
      <c r="BL22" s="175">
        <f t="shared" si="70"/>
        <v>248232.2275998212</v>
      </c>
      <c r="BM22" s="175">
        <f t="shared" si="70"/>
        <v>295997.52023237501</v>
      </c>
      <c r="BN22" s="175">
        <f t="shared" si="70"/>
        <v>300530.03952954285</v>
      </c>
      <c r="BO22" s="175">
        <f t="shared" si="70"/>
        <v>316821.14712986699</v>
      </c>
      <c r="BP22" s="175">
        <f t="shared" si="70"/>
        <v>290656.54168067907</v>
      </c>
      <c r="BQ22" s="175">
        <f t="shared" si="70"/>
        <v>278512.48718438006</v>
      </c>
      <c r="BR22" s="175">
        <f t="shared" si="70"/>
        <v>291794.86913370003</v>
      </c>
      <c r="BS22" s="175">
        <f t="shared" si="70"/>
        <v>259970.16376625502</v>
      </c>
      <c r="BT22" s="175">
        <f t="shared" si="70"/>
        <v>272205.97344527696</v>
      </c>
      <c r="BU22" s="175">
        <f>VLOOKUP(Parameter_Scenario, Table_data_opexforecast_alternative, MATCH(BU32, Header_Table_Data_opex_proposed, 0), FALSE)</f>
        <v>276174.46400000004</v>
      </c>
      <c r="BV22" s="175">
        <f>VLOOKUP(Parameter_Scenario, Table_data_opexforecast_alternative, MATCH(BV32, Header_Table_Data_opex_proposed, 0), FALSE)</f>
        <v>281055.83851902164</v>
      </c>
      <c r="BW22" s="175">
        <f t="shared" ref="BW22:CL22" si="71">VLOOKUP($A22, Table_Data_opex_selected, MATCH(BW$15, Header_Table_Data_EBRIN, 0), FALSE)</f>
        <v>195841.37997680341</v>
      </c>
      <c r="BX22" s="175">
        <f t="shared" si="71"/>
        <v>235942.90209180053</v>
      </c>
      <c r="BY22" s="175">
        <f t="shared" si="71"/>
        <v>260685.30782541275</v>
      </c>
      <c r="BZ22" s="175">
        <f t="shared" si="71"/>
        <v>278613.38784547138</v>
      </c>
      <c r="CA22" s="175">
        <f t="shared" si="71"/>
        <v>278963.37942219886</v>
      </c>
      <c r="CB22" s="175">
        <f t="shared" si="71"/>
        <v>319938.20025678875</v>
      </c>
      <c r="CC22" s="175">
        <f t="shared" si="71"/>
        <v>353345.50223678484</v>
      </c>
      <c r="CD22" s="175">
        <f t="shared" si="71"/>
        <v>389595.26694668876</v>
      </c>
      <c r="CE22" s="175">
        <f t="shared" si="71"/>
        <v>371246.57651295455</v>
      </c>
      <c r="CF22" s="175">
        <f t="shared" si="71"/>
        <v>404381.90633752808</v>
      </c>
      <c r="CG22" s="175">
        <f t="shared" si="71"/>
        <v>370301.37575120613</v>
      </c>
      <c r="CH22" s="175">
        <f t="shared" si="71"/>
        <v>369715.3843810751</v>
      </c>
      <c r="CI22" s="175">
        <f t="shared" si="71"/>
        <v>383928.83497152582</v>
      </c>
      <c r="CJ22" s="175">
        <f t="shared" si="71"/>
        <v>371664.06018304254</v>
      </c>
      <c r="CK22" s="175">
        <f t="shared" si="71"/>
        <v>365649.56511857896</v>
      </c>
      <c r="CL22" s="175">
        <f t="shared" si="71"/>
        <v>384744.80699999997</v>
      </c>
      <c r="CM22" s="175">
        <f>VLOOKUP(Parameter_Scenario, Table_data_opexforecast_alternative, MATCH(CM32, Header_Table_Data_opex_proposed, 0), FALSE)</f>
        <v>412216.255</v>
      </c>
      <c r="CN22" s="175">
        <f>VLOOKUP(Parameter_Scenario, Table_data_opexforecast_alternative, MATCH(CN32, Header_Table_Data_opex_proposed, 0), FALSE)</f>
        <v>419607.95109564625</v>
      </c>
      <c r="CO22" s="175">
        <f t="shared" ref="CO22:DD22" si="72">VLOOKUP($A22, Table_Data_opex_selected, MATCH(CO$15, Header_Table_Data_EBRIN, 0), FALSE)</f>
        <v>318782.82525500719</v>
      </c>
      <c r="CP22" s="175">
        <f t="shared" si="72"/>
        <v>304871.48501219461</v>
      </c>
      <c r="CQ22" s="175">
        <f t="shared" si="72"/>
        <v>341596.92872631224</v>
      </c>
      <c r="CR22" s="175">
        <f t="shared" si="72"/>
        <v>345197.45259026939</v>
      </c>
      <c r="CS22" s="175">
        <f t="shared" si="72"/>
        <v>350080.58861427777</v>
      </c>
      <c r="CT22" s="175">
        <f t="shared" si="72"/>
        <v>429135.24431857927</v>
      </c>
      <c r="CU22" s="175">
        <f t="shared" si="72"/>
        <v>461769.5851572908</v>
      </c>
      <c r="CV22" s="175">
        <f t="shared" si="72"/>
        <v>385820.66083545203</v>
      </c>
      <c r="CW22" s="175">
        <f t="shared" si="72"/>
        <v>400945.39909878507</v>
      </c>
      <c r="CX22" s="175">
        <f t="shared" si="72"/>
        <v>448512.98567271308</v>
      </c>
      <c r="CY22" s="175">
        <f t="shared" si="72"/>
        <v>439434.14878798177</v>
      </c>
      <c r="CZ22" s="175">
        <f t="shared" si="72"/>
        <v>397874.63111855858</v>
      </c>
      <c r="DA22" s="175">
        <f t="shared" si="72"/>
        <v>407226.50224288809</v>
      </c>
      <c r="DB22" s="175">
        <f t="shared" si="72"/>
        <v>423925.31857431849</v>
      </c>
      <c r="DC22" s="175">
        <f t="shared" si="72"/>
        <v>451408.39377688797</v>
      </c>
      <c r="DD22" s="175">
        <f t="shared" si="72"/>
        <v>368645.44645632891</v>
      </c>
      <c r="DE22" s="175">
        <f>VLOOKUP(Parameter_Scenario, Table_data_opexforecast_alternative, MATCH(DE32, Header_Table_Data_opex_proposed, 0), FALSE)</f>
        <v>378858.63400000002</v>
      </c>
      <c r="DF22" s="175">
        <f>VLOOKUP(Parameter_Scenario, Table_data_opexforecast_alternative, MATCH(DF32, Header_Table_Data_opex_proposed, 0), FALSE)</f>
        <v>372080.98636913794</v>
      </c>
      <c r="DG22" s="175">
        <f t="shared" ref="DG22:DV22" si="73">VLOOKUP($A22, Table_Data_opex_selected, MATCH(DG$15, Header_Table_Data_EBRIN, 0), FALSE)</f>
        <v>259512.70302584243</v>
      </c>
      <c r="DH22" s="175">
        <f t="shared" si="73"/>
        <v>321110.07103787101</v>
      </c>
      <c r="DI22" s="175">
        <f t="shared" si="73"/>
        <v>382924.51082332933</v>
      </c>
      <c r="DJ22" s="175">
        <f t="shared" si="73"/>
        <v>366150.1169553746</v>
      </c>
      <c r="DK22" s="175">
        <f t="shared" si="73"/>
        <v>408797.33885724487</v>
      </c>
      <c r="DL22" s="175">
        <f t="shared" si="73"/>
        <v>428987.86973761127</v>
      </c>
      <c r="DM22" s="175">
        <f t="shared" si="73"/>
        <v>545508.47029752308</v>
      </c>
      <c r="DN22" s="175">
        <f t="shared" si="73"/>
        <v>498609.56726852624</v>
      </c>
      <c r="DO22" s="175">
        <f t="shared" si="73"/>
        <v>491882.73613880406</v>
      </c>
      <c r="DP22" s="175">
        <f t="shared" si="73"/>
        <v>442683.02080096811</v>
      </c>
      <c r="DQ22" s="175">
        <f t="shared" si="73"/>
        <v>365550.70929830213</v>
      </c>
      <c r="DR22" s="175">
        <f t="shared" si="73"/>
        <v>358375.09771504463</v>
      </c>
      <c r="DS22" s="175">
        <f t="shared" si="73"/>
        <v>380873.63400000002</v>
      </c>
      <c r="DT22" s="175">
        <f t="shared" si="73"/>
        <v>442180.00900000002</v>
      </c>
      <c r="DU22" s="175">
        <f t="shared" si="73"/>
        <v>431036.37299999996</v>
      </c>
      <c r="DV22" s="175">
        <f t="shared" si="73"/>
        <v>449786.75</v>
      </c>
      <c r="DW22" s="175">
        <f>VLOOKUP(Parameter_Scenario, Table_data_opexforecast_alternative, MATCH(DW32, Header_Table_Data_opex_proposed, 0), FALSE)</f>
        <v>413880.68200000003</v>
      </c>
      <c r="DX22" s="175">
        <f>VLOOKUP(Parameter_Scenario, Table_data_opexforecast_alternative, MATCH(DX32, Header_Table_Data_opex_proposed, 0), FALSE)</f>
        <v>483847.00924621726</v>
      </c>
      <c r="DY22" s="175">
        <f t="shared" ref="DY22:EN22" si="74">VLOOKUP($A22, Table_Data_opex_selected, MATCH(DY$15, Header_Table_Data_EBRIN, 0), FALSE)</f>
        <v>46756.092287101899</v>
      </c>
      <c r="DZ22" s="175">
        <f t="shared" si="74"/>
        <v>51252.352222211397</v>
      </c>
      <c r="EA22" s="175">
        <f t="shared" si="74"/>
        <v>43220.358648427202</v>
      </c>
      <c r="EB22" s="175">
        <f t="shared" si="74"/>
        <v>48349.725749867001</v>
      </c>
      <c r="EC22" s="175">
        <f t="shared" si="74"/>
        <v>58605.575110382997</v>
      </c>
      <c r="ED22" s="175">
        <f t="shared" si="74"/>
        <v>66223.988115314729</v>
      </c>
      <c r="EE22" s="175">
        <f t="shared" si="74"/>
        <v>82861.176102655692</v>
      </c>
      <c r="EF22" s="175">
        <f t="shared" si="74"/>
        <v>83295.789556688193</v>
      </c>
      <c r="EG22" s="175">
        <f t="shared" si="74"/>
        <v>81839.89075075349</v>
      </c>
      <c r="EH22" s="175">
        <f t="shared" si="74"/>
        <v>83810.675510022906</v>
      </c>
      <c r="EI22" s="175">
        <f t="shared" si="74"/>
        <v>89922.443806029289</v>
      </c>
      <c r="EJ22" s="175">
        <f t="shared" si="74"/>
        <v>95124.824283925991</v>
      </c>
      <c r="EK22" s="175">
        <f t="shared" si="74"/>
        <v>90354.527270000006</v>
      </c>
      <c r="EL22" s="175">
        <f t="shared" si="74"/>
        <v>92437.99136</v>
      </c>
      <c r="EM22" s="175">
        <f t="shared" si="74"/>
        <v>83587.755040000004</v>
      </c>
      <c r="EN22" s="175">
        <f t="shared" si="74"/>
        <v>75656.824590000004</v>
      </c>
      <c r="EO22" s="175">
        <f>VLOOKUP(Parameter_Scenario, Table_data_opexforecast_alternative, MATCH(EO32, Header_Table_Data_opex_proposed, 0), FALSE)</f>
        <v>78487.144260000001</v>
      </c>
      <c r="EP22" s="175">
        <f>VLOOKUP(Parameter_Scenario, Table_data_opexforecast_alternative, MATCH(EP32, Header_Table_Data_opex_proposed, 0), FALSE)</f>
        <v>75772.33663605059</v>
      </c>
      <c r="EQ22" s="175">
        <f t="shared" ref="EQ22:FF22" si="75">VLOOKUP($A22, Table_Data_opex_selected, MATCH(EQ$15, Header_Table_Data_EBRIN, 0), FALSE)</f>
        <v>134374.549</v>
      </c>
      <c r="ER22" s="175">
        <f t="shared" si="75"/>
        <v>124619.18799999999</v>
      </c>
      <c r="ES22" s="175">
        <f t="shared" si="75"/>
        <v>131719.929</v>
      </c>
      <c r="ET22" s="175">
        <f t="shared" si="75"/>
        <v>149199.54840999999</v>
      </c>
      <c r="EU22" s="175">
        <f t="shared" si="75"/>
        <v>152376.32739999998</v>
      </c>
      <c r="EV22" s="175">
        <f t="shared" si="75"/>
        <v>158210.78294999999</v>
      </c>
      <c r="EW22" s="175">
        <f t="shared" si="75"/>
        <v>193863.29666137332</v>
      </c>
      <c r="EX22" s="175">
        <f t="shared" si="75"/>
        <v>211476.52206592911</v>
      </c>
      <c r="EY22" s="175">
        <f t="shared" si="75"/>
        <v>204553.83417000002</v>
      </c>
      <c r="EZ22" s="175">
        <f t="shared" si="75"/>
        <v>218764.51264158211</v>
      </c>
      <c r="FA22" s="175">
        <f t="shared" si="75"/>
        <v>193867.98746270817</v>
      </c>
      <c r="FB22" s="175">
        <f t="shared" si="75"/>
        <v>211012.4831935305</v>
      </c>
      <c r="FC22" s="175">
        <f t="shared" si="75"/>
        <v>221767.02495278599</v>
      </c>
      <c r="FD22" s="175">
        <f t="shared" si="75"/>
        <v>221423.82199999999</v>
      </c>
      <c r="FE22" s="175">
        <f t="shared" si="75"/>
        <v>214972.49</v>
      </c>
      <c r="FF22" s="175">
        <f t="shared" si="75"/>
        <v>218274.83</v>
      </c>
      <c r="FG22" s="175">
        <f>VLOOKUP(Parameter_Scenario, Table_data_opexforecast_alternative, MATCH(FG32, Header_Table_Data_opex_proposed, 0), FALSE)</f>
        <v>234183.25</v>
      </c>
      <c r="FH22" s="175">
        <f>VLOOKUP(Parameter_Scenario, Table_data_opexforecast_alternative, MATCH(FH32, Header_Table_Data_opex_proposed, 0), FALSE)</f>
        <v>237394.44017537782</v>
      </c>
      <c r="FI22" s="175">
        <f t="shared" ref="FI22:FX22" si="76">VLOOKUP($A22, Table_Data_opex_selected, MATCH(FI$15, Header_Table_Data_EBRIN, 0), FALSE)</f>
        <v>116302.749904419</v>
      </c>
      <c r="FJ22" s="175">
        <f t="shared" si="76"/>
        <v>112914.640378019</v>
      </c>
      <c r="FK22" s="175">
        <f t="shared" si="76"/>
        <v>130933.87803296199</v>
      </c>
      <c r="FL22" s="175">
        <f t="shared" si="76"/>
        <v>149173.38508183201</v>
      </c>
      <c r="FM22" s="175">
        <f t="shared" si="76"/>
        <v>152669.628414626</v>
      </c>
      <c r="FN22" s="175">
        <f t="shared" si="76"/>
        <v>197231.65958920601</v>
      </c>
      <c r="FO22" s="175">
        <f t="shared" si="76"/>
        <v>210494.32048673902</v>
      </c>
      <c r="FP22" s="175">
        <f t="shared" si="76"/>
        <v>228733.33101324001</v>
      </c>
      <c r="FQ22" s="175">
        <f t="shared" si="76"/>
        <v>233849.701</v>
      </c>
      <c r="FR22" s="175">
        <f t="shared" si="76"/>
        <v>248377.486889666</v>
      </c>
      <c r="FS22" s="175">
        <f t="shared" si="76"/>
        <v>211867.16309531001</v>
      </c>
      <c r="FT22" s="175">
        <f t="shared" si="76"/>
        <v>248667.39895521599</v>
      </c>
      <c r="FU22" s="175">
        <f t="shared" si="76"/>
        <v>249010.83126000001</v>
      </c>
      <c r="FV22" s="175">
        <f t="shared" si="76"/>
        <v>261706.81672</v>
      </c>
      <c r="FW22" s="175">
        <f t="shared" si="76"/>
        <v>237845.67388999998</v>
      </c>
      <c r="FX22" s="175">
        <f t="shared" si="76"/>
        <v>245707.57653999998</v>
      </c>
      <c r="FY22" s="175">
        <f>VLOOKUP(Parameter_Scenario, Table_data_opexforecast_alternative, MATCH(FY32, Header_Table_Data_opex_proposed, 0), FALSE)</f>
        <v>262416.00308999995</v>
      </c>
      <c r="FZ22" s="175">
        <f>VLOOKUP(Parameter_Scenario, Table_data_opexforecast_alternative, MATCH(FZ32, Header_Table_Data_opex_proposed, 0), FALSE)</f>
        <v>267708.07032973674</v>
      </c>
      <c r="GA22" s="175">
        <f t="shared" ref="GA22:GP22" si="77">VLOOKUP($A22, Table_Data_opex_selected, MATCH(GA$15, Header_Table_Data_EBRIN, 0), FALSE)</f>
        <v>91512.370999999999</v>
      </c>
      <c r="GB22" s="175">
        <f t="shared" si="77"/>
        <v>111659.02499999999</v>
      </c>
      <c r="GC22" s="175">
        <f t="shared" si="77"/>
        <v>126954.183</v>
      </c>
      <c r="GD22" s="175">
        <f t="shared" si="77"/>
        <v>147045.14508703566</v>
      </c>
      <c r="GE22" s="175">
        <f t="shared" si="77"/>
        <v>148249.28921411154</v>
      </c>
      <c r="GF22" s="175">
        <f t="shared" si="77"/>
        <v>156451.11528364252</v>
      </c>
      <c r="GG22" s="175">
        <f t="shared" si="77"/>
        <v>173292.1959652995</v>
      </c>
      <c r="GH22" s="175">
        <f t="shared" si="77"/>
        <v>188964.70734896982</v>
      </c>
      <c r="GI22" s="175">
        <f t="shared" si="77"/>
        <v>198623.8972691597</v>
      </c>
      <c r="GJ22" s="175">
        <f t="shared" si="77"/>
        <v>216635.19392531272</v>
      </c>
      <c r="GK22" s="175">
        <f t="shared" si="77"/>
        <v>236404.80011395976</v>
      </c>
      <c r="GL22" s="175">
        <f t="shared" si="77"/>
        <v>210858.53991651189</v>
      </c>
      <c r="GM22" s="175">
        <f t="shared" si="77"/>
        <v>196660.56693628174</v>
      </c>
      <c r="GN22" s="175">
        <f t="shared" si="77"/>
        <v>206835.57642502763</v>
      </c>
      <c r="GO22" s="175">
        <f t="shared" si="77"/>
        <v>219275.6828572416</v>
      </c>
      <c r="GP22" s="175">
        <f t="shared" si="77"/>
        <v>224571.33601183179</v>
      </c>
      <c r="GQ22" s="175">
        <f>VLOOKUP(Parameter_Scenario, Table_data_opexforecast_alternative, MATCH(GQ32, Header_Table_Data_opex_proposed, 0), FALSE)</f>
        <v>221633.79366366842</v>
      </c>
      <c r="GR22" s="175">
        <f>VLOOKUP(Parameter_Scenario, Table_data_opexforecast_alternative, MATCH(GR32, Header_Table_Data_opex_proposed, 0), FALSE)</f>
        <v>228425.67381065062</v>
      </c>
      <c r="GS22" s="175">
        <f t="shared" ref="GS22:HH22" si="78">VLOOKUP($A22, Table_Data_opex_selected, MATCH(GS$15, Header_Table_Data_EBRIN, 0), FALSE)</f>
        <v>52868.241597880879</v>
      </c>
      <c r="GT22" s="175">
        <f t="shared" si="78"/>
        <v>55158.45329777195</v>
      </c>
      <c r="GU22" s="175">
        <f t="shared" si="78"/>
        <v>57916.22277341369</v>
      </c>
      <c r="GV22" s="175">
        <f t="shared" si="78"/>
        <v>67194.460550882941</v>
      </c>
      <c r="GW22" s="175">
        <f t="shared" si="78"/>
        <v>81545.096734338353</v>
      </c>
      <c r="GX22" s="175">
        <f t="shared" si="78"/>
        <v>81632.886673280795</v>
      </c>
      <c r="GY22" s="175">
        <f t="shared" si="78"/>
        <v>93877.759666273836</v>
      </c>
      <c r="GZ22" s="175">
        <f t="shared" si="78"/>
        <v>74956.74567742864</v>
      </c>
      <c r="HA22" s="175">
        <f t="shared" si="78"/>
        <v>78193.911082667109</v>
      </c>
      <c r="HB22" s="175">
        <f t="shared" si="78"/>
        <v>65602.40088127373</v>
      </c>
      <c r="HC22" s="175">
        <f t="shared" si="78"/>
        <v>72920.104480320268</v>
      </c>
      <c r="HD22" s="175">
        <f t="shared" si="78"/>
        <v>98348.727444605931</v>
      </c>
      <c r="HE22" s="175">
        <f t="shared" si="78"/>
        <v>97037.359690964702</v>
      </c>
      <c r="HF22" s="175">
        <f t="shared" si="78"/>
        <v>91107.370435041899</v>
      </c>
      <c r="HG22" s="175">
        <f t="shared" si="78"/>
        <v>98523.05692312849</v>
      </c>
      <c r="HH22" s="175">
        <f t="shared" si="78"/>
        <v>104019.59618108421</v>
      </c>
      <c r="HI22" s="175">
        <f>VLOOKUP(Parameter_Scenario, Table_data_opexforecast_alternative, MATCH(HI32, Header_Table_Data_opex_proposed, 0), FALSE)</f>
        <v>105315.0092425849</v>
      </c>
      <c r="HJ22" s="175">
        <f>VLOOKUP(Parameter_Scenario, Table_data_opexforecast_alternative, MATCH(HJ32, Header_Table_Data_opex_proposed, 0), FALSE)</f>
        <v>115139.34703349153</v>
      </c>
      <c r="HK22" s="175">
        <f t="shared" ref="HK22:HZ22" si="79">VLOOKUP($A22, Table_Data_opex_selected, MATCH(HK$15, Header_Table_Data_EBRIN, 0), FALSE)</f>
        <v>83237</v>
      </c>
      <c r="HL22" s="175">
        <f t="shared" si="79"/>
        <v>81473</v>
      </c>
      <c r="HM22" s="175">
        <f t="shared" si="79"/>
        <v>85413.886309046997</v>
      </c>
      <c r="HN22" s="175">
        <f t="shared" si="79"/>
        <v>89047.922493129998</v>
      </c>
      <c r="HO22" s="175">
        <f t="shared" si="79"/>
        <v>96130.066559793398</v>
      </c>
      <c r="HP22" s="175">
        <f t="shared" si="79"/>
        <v>121992.755514909</v>
      </c>
      <c r="HQ22" s="175">
        <f t="shared" si="79"/>
        <v>126519.882999029</v>
      </c>
      <c r="HR22" s="175">
        <f t="shared" si="79"/>
        <v>116175.49106407601</v>
      </c>
      <c r="HS22" s="175">
        <f t="shared" si="79"/>
        <v>121867.70902049799</v>
      </c>
      <c r="HT22" s="175">
        <f t="shared" si="79"/>
        <v>117721.494565381</v>
      </c>
      <c r="HU22" s="175">
        <f t="shared" si="79"/>
        <v>138427.94329502599</v>
      </c>
      <c r="HV22" s="175">
        <f t="shared" si="79"/>
        <v>132835.09312937901</v>
      </c>
      <c r="HW22" s="175">
        <f t="shared" si="79"/>
        <v>108242.14191396099</v>
      </c>
      <c r="HX22" s="175">
        <f t="shared" si="79"/>
        <v>110815.785</v>
      </c>
      <c r="HY22" s="175">
        <f t="shared" si="79"/>
        <v>118042.307</v>
      </c>
      <c r="HZ22" s="175">
        <f t="shared" si="79"/>
        <v>118292.577</v>
      </c>
      <c r="IA22" s="175">
        <f>VLOOKUP(Parameter_Scenario, Table_data_opexforecast_alternative, MATCH(IA32, Header_Table_Data_opex_proposed, 0), FALSE)</f>
        <v>124679.376</v>
      </c>
      <c r="IB22" s="175">
        <f>VLOOKUP(Parameter_Scenario, Table_data_opexforecast_alternative, MATCH(IB32, Header_Table_Data_opex_proposed, 0), FALSE)</f>
        <v>129164.80143730638</v>
      </c>
    </row>
    <row r="23" spans="1:236" s="177" customFormat="1" ht="13.35" customHeight="1">
      <c r="A23" s="174" t="s">
        <v>740</v>
      </c>
      <c r="B23" s="174" t="s">
        <v>769</v>
      </c>
      <c r="C23" s="173">
        <v>0</v>
      </c>
      <c r="D23" s="173">
        <v>0</v>
      </c>
      <c r="E23" s="173">
        <v>0</v>
      </c>
      <c r="F23" s="173">
        <v>0</v>
      </c>
      <c r="G23" s="173">
        <v>0</v>
      </c>
      <c r="H23" s="173">
        <v>0</v>
      </c>
      <c r="I23" s="173">
        <v>0</v>
      </c>
      <c r="J23" s="173">
        <v>0</v>
      </c>
      <c r="K23" s="173">
        <v>0</v>
      </c>
      <c r="L23" s="173">
        <v>0</v>
      </c>
      <c r="M23" s="173">
        <v>0</v>
      </c>
      <c r="N23" s="173">
        <v>0</v>
      </c>
      <c r="O23" s="173">
        <v>0</v>
      </c>
      <c r="P23" s="173">
        <v>0</v>
      </c>
      <c r="Q23" s="173">
        <v>0</v>
      </c>
      <c r="R23" s="173">
        <v>0</v>
      </c>
      <c r="S23" s="173">
        <v>0</v>
      </c>
      <c r="T23" s="173">
        <v>0</v>
      </c>
      <c r="U23" s="173">
        <v>0</v>
      </c>
      <c r="V23" s="173">
        <v>0</v>
      </c>
      <c r="W23" s="173">
        <v>0</v>
      </c>
      <c r="X23" s="173">
        <v>0</v>
      </c>
      <c r="Y23" s="173">
        <v>0</v>
      </c>
      <c r="Z23" s="173">
        <v>0</v>
      </c>
      <c r="AA23" s="173">
        <v>0</v>
      </c>
      <c r="AB23" s="173">
        <v>0</v>
      </c>
      <c r="AC23" s="173">
        <v>0</v>
      </c>
      <c r="AD23" s="173">
        <v>0</v>
      </c>
      <c r="AE23" s="173">
        <v>0</v>
      </c>
      <c r="AF23" s="173">
        <v>0</v>
      </c>
      <c r="AG23" s="173">
        <v>0</v>
      </c>
      <c r="AH23" s="173">
        <v>0</v>
      </c>
      <c r="AI23" s="173">
        <v>0</v>
      </c>
      <c r="AJ23" s="173">
        <v>0</v>
      </c>
      <c r="AK23" s="176">
        <v>0</v>
      </c>
      <c r="AL23" s="176">
        <v>0</v>
      </c>
      <c r="AM23" s="176">
        <v>0</v>
      </c>
      <c r="AN23" s="176">
        <v>0</v>
      </c>
      <c r="AO23" s="176">
        <v>0</v>
      </c>
      <c r="AP23" s="176">
        <v>0</v>
      </c>
      <c r="AQ23" s="176">
        <v>0</v>
      </c>
      <c r="AR23" s="176">
        <v>0</v>
      </c>
      <c r="AS23" s="176">
        <v>0</v>
      </c>
      <c r="AT23" s="176">
        <v>0</v>
      </c>
      <c r="AU23" s="176">
        <v>0</v>
      </c>
      <c r="AV23" s="176">
        <v>0</v>
      </c>
      <c r="AW23" s="176">
        <v>0</v>
      </c>
      <c r="AX23" s="176">
        <v>0</v>
      </c>
      <c r="AY23" s="176">
        <v>0</v>
      </c>
      <c r="AZ23" s="176">
        <v>0</v>
      </c>
      <c r="BA23" s="176">
        <v>0</v>
      </c>
      <c r="BB23" s="176">
        <v>0</v>
      </c>
      <c r="BC23" s="176">
        <v>0</v>
      </c>
      <c r="BD23" s="176">
        <v>0</v>
      </c>
      <c r="BE23" s="176">
        <v>0</v>
      </c>
      <c r="BF23" s="176">
        <v>0</v>
      </c>
      <c r="BG23" s="176">
        <v>0</v>
      </c>
      <c r="BH23" s="176">
        <v>0</v>
      </c>
      <c r="BI23" s="176">
        <v>0</v>
      </c>
      <c r="BJ23" s="176">
        <v>0</v>
      </c>
      <c r="BK23" s="176">
        <v>0</v>
      </c>
      <c r="BL23" s="176">
        <v>0</v>
      </c>
      <c r="BM23" s="176">
        <v>0</v>
      </c>
      <c r="BN23" s="176">
        <v>0</v>
      </c>
      <c r="BO23" s="176">
        <v>0</v>
      </c>
      <c r="BP23" s="176">
        <v>0</v>
      </c>
      <c r="BQ23" s="176">
        <v>0</v>
      </c>
      <c r="BR23" s="176">
        <v>0</v>
      </c>
      <c r="BS23" s="176">
        <v>0</v>
      </c>
      <c r="BT23" s="176">
        <v>0</v>
      </c>
      <c r="BU23" s="176">
        <v>0</v>
      </c>
      <c r="BV23" s="176">
        <v>0</v>
      </c>
      <c r="BW23" s="176">
        <v>0</v>
      </c>
      <c r="BX23" s="176">
        <v>0</v>
      </c>
      <c r="BY23" s="176">
        <v>0</v>
      </c>
      <c r="BZ23" s="176">
        <v>0</v>
      </c>
      <c r="CA23" s="176">
        <v>0</v>
      </c>
      <c r="CB23" s="176">
        <v>0</v>
      </c>
      <c r="CC23" s="176">
        <v>0</v>
      </c>
      <c r="CD23" s="176">
        <v>0</v>
      </c>
      <c r="CE23" s="176">
        <v>0</v>
      </c>
      <c r="CF23" s="176">
        <v>0</v>
      </c>
      <c r="CG23" s="176">
        <v>0</v>
      </c>
      <c r="CH23" s="176">
        <v>0</v>
      </c>
      <c r="CI23" s="176">
        <v>0</v>
      </c>
      <c r="CJ23" s="176">
        <v>0</v>
      </c>
      <c r="CK23" s="176">
        <v>0</v>
      </c>
      <c r="CL23" s="176">
        <v>0</v>
      </c>
      <c r="CM23" s="176">
        <v>0</v>
      </c>
      <c r="CN23" s="176">
        <v>0</v>
      </c>
      <c r="CO23" s="176">
        <v>0</v>
      </c>
      <c r="CP23" s="176">
        <v>0</v>
      </c>
      <c r="CQ23" s="176">
        <v>0</v>
      </c>
      <c r="CR23" s="176">
        <v>0</v>
      </c>
      <c r="CS23" s="176">
        <v>0</v>
      </c>
      <c r="CT23" s="176">
        <v>0</v>
      </c>
      <c r="CU23" s="176">
        <v>0</v>
      </c>
      <c r="CV23" s="176">
        <v>0</v>
      </c>
      <c r="CW23" s="176">
        <v>0</v>
      </c>
      <c r="CX23" s="176">
        <v>0</v>
      </c>
      <c r="CY23" s="176">
        <v>0</v>
      </c>
      <c r="CZ23" s="176">
        <v>0</v>
      </c>
      <c r="DA23" s="176">
        <v>0</v>
      </c>
      <c r="DB23" s="176">
        <v>0</v>
      </c>
      <c r="DC23" s="176">
        <v>0</v>
      </c>
      <c r="DD23" s="176">
        <v>0</v>
      </c>
      <c r="DE23" s="176">
        <v>0</v>
      </c>
      <c r="DF23" s="176">
        <v>0</v>
      </c>
      <c r="DG23" s="176">
        <v>0</v>
      </c>
      <c r="DH23" s="176">
        <v>0</v>
      </c>
      <c r="DI23" s="176">
        <v>0</v>
      </c>
      <c r="DJ23" s="176">
        <v>0</v>
      </c>
      <c r="DK23" s="176">
        <v>0</v>
      </c>
      <c r="DL23" s="176">
        <v>0</v>
      </c>
      <c r="DM23" s="176">
        <v>0</v>
      </c>
      <c r="DN23" s="176">
        <v>0</v>
      </c>
      <c r="DO23" s="176">
        <v>0</v>
      </c>
      <c r="DP23" s="176">
        <v>0</v>
      </c>
      <c r="DQ23" s="176">
        <v>0</v>
      </c>
      <c r="DR23" s="176">
        <v>0</v>
      </c>
      <c r="DS23" s="176">
        <v>0</v>
      </c>
      <c r="DT23" s="176">
        <v>0</v>
      </c>
      <c r="DU23" s="176">
        <v>0</v>
      </c>
      <c r="DV23" s="176">
        <v>0</v>
      </c>
      <c r="DW23" s="176">
        <v>0</v>
      </c>
      <c r="DX23" s="176">
        <v>0</v>
      </c>
      <c r="DY23" s="176">
        <v>0</v>
      </c>
      <c r="DZ23" s="176">
        <v>0</v>
      </c>
      <c r="EA23" s="176">
        <v>0</v>
      </c>
      <c r="EB23" s="176">
        <v>0</v>
      </c>
      <c r="EC23" s="176">
        <v>0</v>
      </c>
      <c r="ED23" s="176">
        <v>0</v>
      </c>
      <c r="EE23" s="176">
        <v>0</v>
      </c>
      <c r="EF23" s="176">
        <v>0</v>
      </c>
      <c r="EG23" s="176">
        <v>0</v>
      </c>
      <c r="EH23" s="176">
        <v>0</v>
      </c>
      <c r="EI23" s="176">
        <v>0</v>
      </c>
      <c r="EJ23" s="176">
        <v>0</v>
      </c>
      <c r="EK23" s="176">
        <v>0</v>
      </c>
      <c r="EL23" s="176">
        <v>0</v>
      </c>
      <c r="EM23" s="176">
        <v>0</v>
      </c>
      <c r="EN23" s="176">
        <v>0</v>
      </c>
      <c r="EO23" s="176">
        <v>0</v>
      </c>
      <c r="EP23" s="176">
        <v>0</v>
      </c>
      <c r="EQ23" s="176">
        <v>0</v>
      </c>
      <c r="ER23" s="176">
        <v>0</v>
      </c>
      <c r="ES23" s="176">
        <v>0</v>
      </c>
      <c r="ET23" s="176">
        <v>0</v>
      </c>
      <c r="EU23" s="176">
        <v>0</v>
      </c>
      <c r="EV23" s="176">
        <v>0</v>
      </c>
      <c r="EW23" s="176">
        <v>0</v>
      </c>
      <c r="EX23" s="176">
        <v>0</v>
      </c>
      <c r="EY23" s="176">
        <v>0</v>
      </c>
      <c r="EZ23" s="176">
        <v>0</v>
      </c>
      <c r="FA23" s="176">
        <v>0</v>
      </c>
      <c r="FB23" s="176">
        <v>0</v>
      </c>
      <c r="FC23" s="176">
        <v>0</v>
      </c>
      <c r="FD23" s="176">
        <v>0</v>
      </c>
      <c r="FE23" s="176">
        <v>0</v>
      </c>
      <c r="FF23" s="176">
        <v>0</v>
      </c>
      <c r="FG23" s="176">
        <v>0</v>
      </c>
      <c r="FH23" s="176">
        <v>0</v>
      </c>
      <c r="FI23" s="176">
        <v>0</v>
      </c>
      <c r="FJ23" s="176">
        <v>0</v>
      </c>
      <c r="FK23" s="176">
        <v>0</v>
      </c>
      <c r="FL23" s="176">
        <v>0</v>
      </c>
      <c r="FM23" s="176">
        <v>0</v>
      </c>
      <c r="FN23" s="176">
        <v>0</v>
      </c>
      <c r="FO23" s="176">
        <v>0</v>
      </c>
      <c r="FP23" s="176">
        <v>0</v>
      </c>
      <c r="FQ23" s="176">
        <v>0</v>
      </c>
      <c r="FR23" s="176">
        <v>0</v>
      </c>
      <c r="FS23" s="176">
        <v>0</v>
      </c>
      <c r="FT23" s="176">
        <v>0</v>
      </c>
      <c r="FU23" s="176">
        <v>0</v>
      </c>
      <c r="FV23" s="176">
        <v>0</v>
      </c>
      <c r="FW23" s="176">
        <v>0</v>
      </c>
      <c r="FX23" s="176">
        <v>0</v>
      </c>
      <c r="FY23" s="176">
        <v>0</v>
      </c>
      <c r="FZ23" s="176">
        <v>0</v>
      </c>
      <c r="GA23" s="176">
        <v>0</v>
      </c>
      <c r="GB23" s="176">
        <v>0</v>
      </c>
      <c r="GC23" s="176">
        <v>0</v>
      </c>
      <c r="GD23" s="176">
        <v>0</v>
      </c>
      <c r="GE23" s="176">
        <v>0</v>
      </c>
      <c r="GF23" s="176">
        <v>0</v>
      </c>
      <c r="GG23" s="176">
        <v>0</v>
      </c>
      <c r="GH23" s="176">
        <v>0</v>
      </c>
      <c r="GI23" s="176">
        <v>0</v>
      </c>
      <c r="GJ23" s="176">
        <v>0</v>
      </c>
      <c r="GK23" s="176">
        <v>0</v>
      </c>
      <c r="GL23" s="176">
        <v>0</v>
      </c>
      <c r="GM23" s="176">
        <v>0</v>
      </c>
      <c r="GN23" s="176">
        <v>0</v>
      </c>
      <c r="GO23" s="176">
        <v>0</v>
      </c>
      <c r="GP23" s="176">
        <v>0</v>
      </c>
      <c r="GQ23" s="176">
        <v>0</v>
      </c>
      <c r="GR23" s="176">
        <v>0</v>
      </c>
      <c r="GS23" s="176">
        <v>0</v>
      </c>
      <c r="GT23" s="176">
        <v>0</v>
      </c>
      <c r="GU23" s="176">
        <v>0</v>
      </c>
      <c r="GV23" s="176">
        <v>0</v>
      </c>
      <c r="GW23" s="176">
        <v>0</v>
      </c>
      <c r="GX23" s="176">
        <v>0</v>
      </c>
      <c r="GY23" s="176">
        <v>0</v>
      </c>
      <c r="GZ23" s="176">
        <v>0</v>
      </c>
      <c r="HA23" s="176">
        <v>0</v>
      </c>
      <c r="HB23" s="176">
        <v>0</v>
      </c>
      <c r="HC23" s="176">
        <v>0</v>
      </c>
      <c r="HD23" s="176">
        <v>0</v>
      </c>
      <c r="HE23" s="176">
        <v>0</v>
      </c>
      <c r="HF23" s="176">
        <v>0</v>
      </c>
      <c r="HG23" s="176">
        <v>0</v>
      </c>
      <c r="HH23" s="176">
        <v>0</v>
      </c>
      <c r="HI23" s="176">
        <v>0</v>
      </c>
      <c r="HJ23" s="176">
        <v>0</v>
      </c>
      <c r="HK23" s="176">
        <v>0</v>
      </c>
      <c r="HL23" s="176">
        <v>0</v>
      </c>
      <c r="HM23" s="176">
        <v>0</v>
      </c>
      <c r="HN23" s="176">
        <v>0</v>
      </c>
      <c r="HO23" s="176">
        <v>0</v>
      </c>
      <c r="HP23" s="176">
        <v>0</v>
      </c>
      <c r="HQ23" s="176">
        <v>0</v>
      </c>
      <c r="HR23" s="176">
        <v>0</v>
      </c>
      <c r="HS23" s="176">
        <v>0</v>
      </c>
      <c r="HT23" s="176">
        <v>0</v>
      </c>
      <c r="HU23" s="176">
        <v>0</v>
      </c>
      <c r="HV23" s="176">
        <v>0</v>
      </c>
      <c r="HW23" s="176">
        <v>0</v>
      </c>
      <c r="HX23" s="176">
        <v>0</v>
      </c>
      <c r="HY23" s="176">
        <v>0</v>
      </c>
      <c r="HZ23" s="176">
        <v>0</v>
      </c>
      <c r="IA23" s="176">
        <v>0</v>
      </c>
      <c r="IB23" s="176">
        <v>0</v>
      </c>
    </row>
    <row r="24" spans="1:236" s="177" customFormat="1" ht="13.35" customHeight="1">
      <c r="A24" s="174" t="s">
        <v>770</v>
      </c>
      <c r="B24" s="174" t="s">
        <v>769</v>
      </c>
      <c r="C24" s="180">
        <f t="shared" ref="C24:AH24" si="80">C22 * (1 + Parameter_Opex_forecast_error) + C23</f>
        <v>38538.624900945346</v>
      </c>
      <c r="D24" s="180">
        <f t="shared" si="80"/>
        <v>40555.568802439702</v>
      </c>
      <c r="E24" s="180">
        <f t="shared" si="80"/>
        <v>44812.70258129912</v>
      </c>
      <c r="F24" s="180">
        <f t="shared" si="80"/>
        <v>46821.896889849857</v>
      </c>
      <c r="G24" s="180">
        <f t="shared" si="80"/>
        <v>55266.38145396336</v>
      </c>
      <c r="H24" s="180">
        <f t="shared" si="80"/>
        <v>63737.765832817691</v>
      </c>
      <c r="I24" s="180">
        <f t="shared" si="80"/>
        <v>70608.373543978203</v>
      </c>
      <c r="J24" s="180">
        <f t="shared" si="80"/>
        <v>77834.327675292603</v>
      </c>
      <c r="K24" s="180">
        <f t="shared" si="80"/>
        <v>88864.580625233939</v>
      </c>
      <c r="L24" s="180">
        <f t="shared" si="80"/>
        <v>86548.092643177908</v>
      </c>
      <c r="M24" s="180">
        <f t="shared" si="80"/>
        <v>52497.721534325196</v>
      </c>
      <c r="N24" s="180">
        <f t="shared" si="80"/>
        <v>58245.248035999997</v>
      </c>
      <c r="O24" s="180">
        <f t="shared" si="80"/>
        <v>72071.139840504809</v>
      </c>
      <c r="P24" s="180">
        <f t="shared" si="80"/>
        <v>70694.304359999995</v>
      </c>
      <c r="Q24" s="180">
        <f t="shared" si="80"/>
        <v>68958.093410000001</v>
      </c>
      <c r="R24" s="180">
        <f t="shared" si="80"/>
        <v>66360.226999999999</v>
      </c>
      <c r="S24" s="180">
        <f t="shared" si="80"/>
        <v>70623.540977441007</v>
      </c>
      <c r="T24" s="180">
        <f t="shared" si="80"/>
        <v>84858.588351146347</v>
      </c>
      <c r="U24" s="180">
        <f t="shared" si="80"/>
        <v>359429.30472414085</v>
      </c>
      <c r="V24" s="180">
        <f t="shared" si="80"/>
        <v>319120.88969815226</v>
      </c>
      <c r="W24" s="180">
        <f t="shared" si="80"/>
        <v>470681.79458618024</v>
      </c>
      <c r="X24" s="180">
        <f t="shared" si="80"/>
        <v>443489.44696764805</v>
      </c>
      <c r="Y24" s="180">
        <f t="shared" si="80"/>
        <v>515512.72259464307</v>
      </c>
      <c r="Z24" s="180">
        <f t="shared" si="80"/>
        <v>512241.43077591294</v>
      </c>
      <c r="AA24" s="180">
        <f t="shared" si="80"/>
        <v>582528.6565686391</v>
      </c>
      <c r="AB24" s="180">
        <f t="shared" si="80"/>
        <v>475011.13446981501</v>
      </c>
      <c r="AC24" s="180">
        <f t="shared" si="80"/>
        <v>542633.90420160326</v>
      </c>
      <c r="AD24" s="180">
        <f t="shared" si="80"/>
        <v>651511.13329349505</v>
      </c>
      <c r="AE24" s="180">
        <f t="shared" si="80"/>
        <v>590102.08599726495</v>
      </c>
      <c r="AF24" s="180">
        <f t="shared" si="80"/>
        <v>532963.94004261005</v>
      </c>
      <c r="AG24" s="180">
        <f t="shared" si="80"/>
        <v>467337.86054000002</v>
      </c>
      <c r="AH24" s="180">
        <f t="shared" si="80"/>
        <v>454424.70699999999</v>
      </c>
      <c r="AI24" s="180">
        <f t="shared" ref="AI24:BN24" si="81">AI22 * (1 + Parameter_Opex_forecast_error) + AI23</f>
        <v>409523.11597899999</v>
      </c>
      <c r="AJ24" s="180">
        <f t="shared" si="81"/>
        <v>391128.56099999999</v>
      </c>
      <c r="AK24" s="180">
        <f t="shared" si="81"/>
        <v>350363.98099999997</v>
      </c>
      <c r="AL24" s="180">
        <f t="shared" si="81"/>
        <v>391306.02510397579</v>
      </c>
      <c r="AM24" s="180">
        <f t="shared" si="81"/>
        <v>37898.188999999998</v>
      </c>
      <c r="AN24" s="180">
        <f t="shared" si="81"/>
        <v>40582.080999999998</v>
      </c>
      <c r="AO24" s="180">
        <f t="shared" si="81"/>
        <v>41333.470999999998</v>
      </c>
      <c r="AP24" s="180">
        <f t="shared" si="81"/>
        <v>50008.286836201994</v>
      </c>
      <c r="AQ24" s="180">
        <f t="shared" si="81"/>
        <v>54297.417209442443</v>
      </c>
      <c r="AR24" s="180">
        <f t="shared" si="81"/>
        <v>54486.114272112434</v>
      </c>
      <c r="AS24" s="180">
        <f t="shared" si="81"/>
        <v>67739.510590000005</v>
      </c>
      <c r="AT24" s="180">
        <f t="shared" si="81"/>
        <v>68089.082299999995</v>
      </c>
      <c r="AU24" s="180">
        <f t="shared" si="81"/>
        <v>73439.955393108001</v>
      </c>
      <c r="AV24" s="180">
        <f t="shared" si="81"/>
        <v>71997.882248406604</v>
      </c>
      <c r="AW24" s="180">
        <f t="shared" si="81"/>
        <v>73454.018770187686</v>
      </c>
      <c r="AX24" s="180">
        <f t="shared" si="81"/>
        <v>73056.219669490965</v>
      </c>
      <c r="AY24" s="180">
        <f t="shared" si="81"/>
        <v>67694.236446691008</v>
      </c>
      <c r="AZ24" s="180">
        <f t="shared" si="81"/>
        <v>75670.104999999996</v>
      </c>
      <c r="BA24" s="180">
        <f t="shared" si="81"/>
        <v>74131.675000000003</v>
      </c>
      <c r="BB24" s="180">
        <f t="shared" si="81"/>
        <v>67493.260999999999</v>
      </c>
      <c r="BC24" s="180">
        <f t="shared" si="81"/>
        <v>72884.255999999994</v>
      </c>
      <c r="BD24" s="180">
        <f t="shared" si="81"/>
        <v>74242.781204652449</v>
      </c>
      <c r="BE24" s="180">
        <f t="shared" si="81"/>
        <v>173158.03593754568</v>
      </c>
      <c r="BF24" s="180">
        <f t="shared" si="81"/>
        <v>192755.56936652676</v>
      </c>
      <c r="BG24" s="180">
        <f t="shared" si="81"/>
        <v>243136.6498313061</v>
      </c>
      <c r="BH24" s="180">
        <f t="shared" si="81"/>
        <v>229075.96469774732</v>
      </c>
      <c r="BI24" s="180">
        <f t="shared" si="81"/>
        <v>228043.59112183331</v>
      </c>
      <c r="BJ24" s="180">
        <f t="shared" si="81"/>
        <v>244517.0998057948</v>
      </c>
      <c r="BK24" s="180">
        <f t="shared" si="81"/>
        <v>276189.14942971262</v>
      </c>
      <c r="BL24" s="180">
        <f t="shared" si="81"/>
        <v>248232.2275998212</v>
      </c>
      <c r="BM24" s="180">
        <f t="shared" si="81"/>
        <v>295997.52023237501</v>
      </c>
      <c r="BN24" s="180">
        <f t="shared" si="81"/>
        <v>300530.03952954285</v>
      </c>
      <c r="BO24" s="180">
        <f t="shared" ref="BO24:DZ24" si="82">BO22 * (1 + Parameter_Opex_forecast_error) + BO23</f>
        <v>316821.14712986699</v>
      </c>
      <c r="BP24" s="180">
        <f t="shared" si="82"/>
        <v>290656.54168067907</v>
      </c>
      <c r="BQ24" s="180">
        <f t="shared" si="82"/>
        <v>278512.48718438006</v>
      </c>
      <c r="BR24" s="180">
        <f t="shared" si="82"/>
        <v>291794.86913370003</v>
      </c>
      <c r="BS24" s="180">
        <f t="shared" si="82"/>
        <v>259970.16376625502</v>
      </c>
      <c r="BT24" s="180">
        <f t="shared" si="82"/>
        <v>272205.97344527696</v>
      </c>
      <c r="BU24" s="180">
        <f t="shared" si="82"/>
        <v>276174.46400000004</v>
      </c>
      <c r="BV24" s="180">
        <f t="shared" si="82"/>
        <v>281055.83851902164</v>
      </c>
      <c r="BW24" s="180">
        <f t="shared" si="82"/>
        <v>195841.37997680341</v>
      </c>
      <c r="BX24" s="180">
        <f t="shared" si="82"/>
        <v>235942.90209180053</v>
      </c>
      <c r="BY24" s="180">
        <f t="shared" si="82"/>
        <v>260685.30782541275</v>
      </c>
      <c r="BZ24" s="180">
        <f t="shared" si="82"/>
        <v>278613.38784547138</v>
      </c>
      <c r="CA24" s="180">
        <f t="shared" si="82"/>
        <v>278963.37942219886</v>
      </c>
      <c r="CB24" s="180">
        <f t="shared" si="82"/>
        <v>319938.20025678875</v>
      </c>
      <c r="CC24" s="180">
        <f t="shared" si="82"/>
        <v>353345.50223678484</v>
      </c>
      <c r="CD24" s="180">
        <f t="shared" si="82"/>
        <v>389595.26694668876</v>
      </c>
      <c r="CE24" s="180">
        <f t="shared" si="82"/>
        <v>371246.57651295455</v>
      </c>
      <c r="CF24" s="180">
        <f t="shared" si="82"/>
        <v>404381.90633752808</v>
      </c>
      <c r="CG24" s="180">
        <f t="shared" si="82"/>
        <v>370301.37575120613</v>
      </c>
      <c r="CH24" s="180">
        <f t="shared" si="82"/>
        <v>369715.3843810751</v>
      </c>
      <c r="CI24" s="180">
        <f t="shared" si="82"/>
        <v>383928.83497152582</v>
      </c>
      <c r="CJ24" s="180">
        <f t="shared" si="82"/>
        <v>371664.06018304254</v>
      </c>
      <c r="CK24" s="180">
        <f t="shared" si="82"/>
        <v>365649.56511857896</v>
      </c>
      <c r="CL24" s="180">
        <f t="shared" si="82"/>
        <v>384744.80699999997</v>
      </c>
      <c r="CM24" s="180">
        <f t="shared" si="82"/>
        <v>412216.255</v>
      </c>
      <c r="CN24" s="180">
        <f t="shared" si="82"/>
        <v>419607.95109564625</v>
      </c>
      <c r="CO24" s="180">
        <f t="shared" si="82"/>
        <v>318782.82525500719</v>
      </c>
      <c r="CP24" s="180">
        <f t="shared" si="82"/>
        <v>304871.48501219461</v>
      </c>
      <c r="CQ24" s="180">
        <f t="shared" si="82"/>
        <v>341596.92872631224</v>
      </c>
      <c r="CR24" s="180">
        <f t="shared" si="82"/>
        <v>345197.45259026939</v>
      </c>
      <c r="CS24" s="180">
        <f t="shared" si="82"/>
        <v>350080.58861427777</v>
      </c>
      <c r="CT24" s="180">
        <f t="shared" si="82"/>
        <v>429135.24431857927</v>
      </c>
      <c r="CU24" s="180">
        <f t="shared" si="82"/>
        <v>461769.5851572908</v>
      </c>
      <c r="CV24" s="180">
        <f t="shared" si="82"/>
        <v>385820.66083545203</v>
      </c>
      <c r="CW24" s="180">
        <f t="shared" si="82"/>
        <v>400945.39909878507</v>
      </c>
      <c r="CX24" s="180">
        <f t="shared" si="82"/>
        <v>448512.98567271308</v>
      </c>
      <c r="CY24" s="180">
        <f t="shared" si="82"/>
        <v>439434.14878798177</v>
      </c>
      <c r="CZ24" s="180">
        <f t="shared" si="82"/>
        <v>397874.63111855858</v>
      </c>
      <c r="DA24" s="180">
        <f t="shared" si="82"/>
        <v>407226.50224288809</v>
      </c>
      <c r="DB24" s="180">
        <f t="shared" si="82"/>
        <v>423925.31857431849</v>
      </c>
      <c r="DC24" s="180">
        <f t="shared" si="82"/>
        <v>451408.39377688797</v>
      </c>
      <c r="DD24" s="180">
        <f t="shared" si="82"/>
        <v>368645.44645632891</v>
      </c>
      <c r="DE24" s="180">
        <f t="shared" si="82"/>
        <v>378858.63400000002</v>
      </c>
      <c r="DF24" s="180">
        <f t="shared" si="82"/>
        <v>372080.98636913794</v>
      </c>
      <c r="DG24" s="180">
        <f t="shared" si="82"/>
        <v>259512.70302584243</v>
      </c>
      <c r="DH24" s="180">
        <f t="shared" si="82"/>
        <v>321110.07103787101</v>
      </c>
      <c r="DI24" s="180">
        <f t="shared" si="82"/>
        <v>382924.51082332933</v>
      </c>
      <c r="DJ24" s="180">
        <f t="shared" si="82"/>
        <v>366150.1169553746</v>
      </c>
      <c r="DK24" s="180">
        <f t="shared" si="82"/>
        <v>408797.33885724487</v>
      </c>
      <c r="DL24" s="180">
        <f t="shared" si="82"/>
        <v>428987.86973761127</v>
      </c>
      <c r="DM24" s="180">
        <f t="shared" si="82"/>
        <v>545508.47029752308</v>
      </c>
      <c r="DN24" s="180">
        <f t="shared" si="82"/>
        <v>498609.56726852624</v>
      </c>
      <c r="DO24" s="180">
        <f t="shared" si="82"/>
        <v>491882.73613880406</v>
      </c>
      <c r="DP24" s="180">
        <f t="shared" si="82"/>
        <v>442683.02080096811</v>
      </c>
      <c r="DQ24" s="180">
        <f t="shared" si="82"/>
        <v>365550.70929830213</v>
      </c>
      <c r="DR24" s="180">
        <f t="shared" si="82"/>
        <v>358375.09771504463</v>
      </c>
      <c r="DS24" s="180">
        <f t="shared" si="82"/>
        <v>380873.63400000002</v>
      </c>
      <c r="DT24" s="180">
        <f t="shared" si="82"/>
        <v>442180.00900000002</v>
      </c>
      <c r="DU24" s="180">
        <f t="shared" si="82"/>
        <v>431036.37299999996</v>
      </c>
      <c r="DV24" s="180">
        <f t="shared" si="82"/>
        <v>449786.75</v>
      </c>
      <c r="DW24" s="180">
        <f t="shared" si="82"/>
        <v>413880.68200000003</v>
      </c>
      <c r="DX24" s="180">
        <f t="shared" si="82"/>
        <v>483847.00924621726</v>
      </c>
      <c r="DY24" s="180">
        <f t="shared" si="82"/>
        <v>46756.092287101899</v>
      </c>
      <c r="DZ24" s="180">
        <f t="shared" si="82"/>
        <v>51252.352222211397</v>
      </c>
      <c r="EA24" s="180">
        <f t="shared" ref="EA24:GL24" si="83">EA22 * (1 + Parameter_Opex_forecast_error) + EA23</f>
        <v>43220.358648427202</v>
      </c>
      <c r="EB24" s="180">
        <f t="shared" si="83"/>
        <v>48349.725749867001</v>
      </c>
      <c r="EC24" s="180">
        <f t="shared" si="83"/>
        <v>58605.575110382997</v>
      </c>
      <c r="ED24" s="180">
        <f t="shared" si="83"/>
        <v>66223.988115314729</v>
      </c>
      <c r="EE24" s="180">
        <f t="shared" si="83"/>
        <v>82861.176102655692</v>
      </c>
      <c r="EF24" s="180">
        <f t="shared" si="83"/>
        <v>83295.789556688193</v>
      </c>
      <c r="EG24" s="180">
        <f t="shared" si="83"/>
        <v>81839.89075075349</v>
      </c>
      <c r="EH24" s="180">
        <f t="shared" si="83"/>
        <v>83810.675510022906</v>
      </c>
      <c r="EI24" s="180">
        <f t="shared" si="83"/>
        <v>89922.443806029289</v>
      </c>
      <c r="EJ24" s="180">
        <f t="shared" si="83"/>
        <v>95124.824283925991</v>
      </c>
      <c r="EK24" s="180">
        <f t="shared" si="83"/>
        <v>90354.527270000006</v>
      </c>
      <c r="EL24" s="180">
        <f t="shared" si="83"/>
        <v>92437.99136</v>
      </c>
      <c r="EM24" s="180">
        <f t="shared" si="83"/>
        <v>83587.755040000004</v>
      </c>
      <c r="EN24" s="180">
        <f t="shared" si="83"/>
        <v>75656.824590000004</v>
      </c>
      <c r="EO24" s="180">
        <f t="shared" si="83"/>
        <v>78487.144260000001</v>
      </c>
      <c r="EP24" s="180">
        <f t="shared" si="83"/>
        <v>75772.33663605059</v>
      </c>
      <c r="EQ24" s="180">
        <f t="shared" si="83"/>
        <v>134374.549</v>
      </c>
      <c r="ER24" s="180">
        <f t="shared" si="83"/>
        <v>124619.18799999999</v>
      </c>
      <c r="ES24" s="180">
        <f t="shared" si="83"/>
        <v>131719.929</v>
      </c>
      <c r="ET24" s="180">
        <f t="shared" si="83"/>
        <v>149199.54840999999</v>
      </c>
      <c r="EU24" s="180">
        <f t="shared" si="83"/>
        <v>152376.32739999998</v>
      </c>
      <c r="EV24" s="180">
        <f t="shared" si="83"/>
        <v>158210.78294999999</v>
      </c>
      <c r="EW24" s="180">
        <f t="shared" si="83"/>
        <v>193863.29666137332</v>
      </c>
      <c r="EX24" s="180">
        <f t="shared" si="83"/>
        <v>211476.52206592911</v>
      </c>
      <c r="EY24" s="180">
        <f t="shared" si="83"/>
        <v>204553.83417000002</v>
      </c>
      <c r="EZ24" s="180">
        <f t="shared" si="83"/>
        <v>218764.51264158211</v>
      </c>
      <c r="FA24" s="180">
        <f t="shared" si="83"/>
        <v>193867.98746270817</v>
      </c>
      <c r="FB24" s="180">
        <f t="shared" si="83"/>
        <v>211012.4831935305</v>
      </c>
      <c r="FC24" s="180">
        <f t="shared" si="83"/>
        <v>221767.02495278599</v>
      </c>
      <c r="FD24" s="180">
        <f t="shared" si="83"/>
        <v>221423.82199999999</v>
      </c>
      <c r="FE24" s="180">
        <f t="shared" si="83"/>
        <v>214972.49</v>
      </c>
      <c r="FF24" s="180">
        <f t="shared" si="83"/>
        <v>218274.83</v>
      </c>
      <c r="FG24" s="180">
        <f t="shared" si="83"/>
        <v>234183.25</v>
      </c>
      <c r="FH24" s="180">
        <f t="shared" si="83"/>
        <v>237394.44017537782</v>
      </c>
      <c r="FI24" s="180">
        <f t="shared" si="83"/>
        <v>116302.749904419</v>
      </c>
      <c r="FJ24" s="180">
        <f t="shared" si="83"/>
        <v>112914.640378019</v>
      </c>
      <c r="FK24" s="180">
        <f t="shared" si="83"/>
        <v>130933.87803296199</v>
      </c>
      <c r="FL24" s="180">
        <f t="shared" si="83"/>
        <v>149173.38508183201</v>
      </c>
      <c r="FM24" s="180">
        <f t="shared" si="83"/>
        <v>152669.628414626</v>
      </c>
      <c r="FN24" s="180">
        <f t="shared" si="83"/>
        <v>197231.65958920601</v>
      </c>
      <c r="FO24" s="180">
        <f t="shared" si="83"/>
        <v>210494.32048673902</v>
      </c>
      <c r="FP24" s="180">
        <f t="shared" si="83"/>
        <v>228733.33101324001</v>
      </c>
      <c r="FQ24" s="180">
        <f t="shared" si="83"/>
        <v>233849.701</v>
      </c>
      <c r="FR24" s="180">
        <f t="shared" si="83"/>
        <v>248377.486889666</v>
      </c>
      <c r="FS24" s="180">
        <f t="shared" si="83"/>
        <v>211867.16309531001</v>
      </c>
      <c r="FT24" s="180">
        <f t="shared" si="83"/>
        <v>248667.39895521599</v>
      </c>
      <c r="FU24" s="180">
        <f t="shared" si="83"/>
        <v>249010.83126000001</v>
      </c>
      <c r="FV24" s="180">
        <f t="shared" si="83"/>
        <v>261706.81672</v>
      </c>
      <c r="FW24" s="180">
        <f t="shared" si="83"/>
        <v>237845.67388999998</v>
      </c>
      <c r="FX24" s="180">
        <f t="shared" si="83"/>
        <v>245707.57653999998</v>
      </c>
      <c r="FY24" s="180">
        <f t="shared" si="83"/>
        <v>262416.00308999995</v>
      </c>
      <c r="FZ24" s="180">
        <f t="shared" si="83"/>
        <v>267708.07032973674</v>
      </c>
      <c r="GA24" s="180">
        <f t="shared" si="83"/>
        <v>91512.370999999999</v>
      </c>
      <c r="GB24" s="180">
        <f t="shared" si="83"/>
        <v>111659.02499999999</v>
      </c>
      <c r="GC24" s="180">
        <f t="shared" si="83"/>
        <v>126954.183</v>
      </c>
      <c r="GD24" s="180">
        <f t="shared" si="83"/>
        <v>147045.14508703566</v>
      </c>
      <c r="GE24" s="180">
        <f t="shared" si="83"/>
        <v>148249.28921411154</v>
      </c>
      <c r="GF24" s="180">
        <f t="shared" si="83"/>
        <v>156451.11528364252</v>
      </c>
      <c r="GG24" s="180">
        <f t="shared" si="83"/>
        <v>173292.1959652995</v>
      </c>
      <c r="GH24" s="180">
        <f t="shared" si="83"/>
        <v>188964.70734896982</v>
      </c>
      <c r="GI24" s="180">
        <f t="shared" si="83"/>
        <v>198623.8972691597</v>
      </c>
      <c r="GJ24" s="180">
        <f t="shared" si="83"/>
        <v>216635.19392531272</v>
      </c>
      <c r="GK24" s="180">
        <f t="shared" si="83"/>
        <v>236404.80011395976</v>
      </c>
      <c r="GL24" s="180">
        <f t="shared" si="83"/>
        <v>210858.53991651189</v>
      </c>
      <c r="GM24" s="180">
        <f t="shared" ref="GM24:IB24" si="84">GM22 * (1 + Parameter_Opex_forecast_error) + GM23</f>
        <v>196660.56693628174</v>
      </c>
      <c r="GN24" s="180">
        <f t="shared" si="84"/>
        <v>206835.57642502763</v>
      </c>
      <c r="GO24" s="180">
        <f t="shared" si="84"/>
        <v>219275.6828572416</v>
      </c>
      <c r="GP24" s="180">
        <f t="shared" si="84"/>
        <v>224571.33601183179</v>
      </c>
      <c r="GQ24" s="180">
        <f t="shared" si="84"/>
        <v>221633.79366366842</v>
      </c>
      <c r="GR24" s="180">
        <f t="shared" si="84"/>
        <v>228425.67381065062</v>
      </c>
      <c r="GS24" s="180">
        <f t="shared" si="84"/>
        <v>52868.241597880879</v>
      </c>
      <c r="GT24" s="180">
        <f t="shared" si="84"/>
        <v>55158.45329777195</v>
      </c>
      <c r="GU24" s="180">
        <f t="shared" si="84"/>
        <v>57916.22277341369</v>
      </c>
      <c r="GV24" s="180">
        <f t="shared" si="84"/>
        <v>67194.460550882941</v>
      </c>
      <c r="GW24" s="180">
        <f t="shared" si="84"/>
        <v>81545.096734338353</v>
      </c>
      <c r="GX24" s="180">
        <f t="shared" si="84"/>
        <v>81632.886673280795</v>
      </c>
      <c r="GY24" s="180">
        <f t="shared" si="84"/>
        <v>93877.759666273836</v>
      </c>
      <c r="GZ24" s="180">
        <f t="shared" si="84"/>
        <v>74956.74567742864</v>
      </c>
      <c r="HA24" s="180">
        <f t="shared" si="84"/>
        <v>78193.911082667109</v>
      </c>
      <c r="HB24" s="180">
        <f t="shared" si="84"/>
        <v>65602.40088127373</v>
      </c>
      <c r="HC24" s="180">
        <f t="shared" si="84"/>
        <v>72920.104480320268</v>
      </c>
      <c r="HD24" s="180">
        <f t="shared" si="84"/>
        <v>98348.727444605931</v>
      </c>
      <c r="HE24" s="180">
        <f t="shared" si="84"/>
        <v>97037.359690964702</v>
      </c>
      <c r="HF24" s="180">
        <f t="shared" si="84"/>
        <v>91107.370435041899</v>
      </c>
      <c r="HG24" s="180">
        <f t="shared" si="84"/>
        <v>98523.05692312849</v>
      </c>
      <c r="HH24" s="180">
        <f t="shared" si="84"/>
        <v>104019.59618108421</v>
      </c>
      <c r="HI24" s="180">
        <f t="shared" si="84"/>
        <v>105315.0092425849</v>
      </c>
      <c r="HJ24" s="180">
        <f t="shared" si="84"/>
        <v>115139.34703349153</v>
      </c>
      <c r="HK24" s="180">
        <f t="shared" si="84"/>
        <v>83237</v>
      </c>
      <c r="HL24" s="180">
        <f t="shared" si="84"/>
        <v>81473</v>
      </c>
      <c r="HM24" s="180">
        <f t="shared" si="84"/>
        <v>85413.886309046997</v>
      </c>
      <c r="HN24" s="180">
        <f t="shared" si="84"/>
        <v>89047.922493129998</v>
      </c>
      <c r="HO24" s="180">
        <f t="shared" si="84"/>
        <v>96130.066559793398</v>
      </c>
      <c r="HP24" s="180">
        <f t="shared" si="84"/>
        <v>121992.755514909</v>
      </c>
      <c r="HQ24" s="180">
        <f t="shared" si="84"/>
        <v>126519.882999029</v>
      </c>
      <c r="HR24" s="180">
        <f t="shared" si="84"/>
        <v>116175.49106407601</v>
      </c>
      <c r="HS24" s="180">
        <f t="shared" si="84"/>
        <v>121867.70902049799</v>
      </c>
      <c r="HT24" s="180">
        <f t="shared" si="84"/>
        <v>117721.494565381</v>
      </c>
      <c r="HU24" s="180">
        <f t="shared" si="84"/>
        <v>138427.94329502599</v>
      </c>
      <c r="HV24" s="180">
        <f t="shared" si="84"/>
        <v>132835.09312937901</v>
      </c>
      <c r="HW24" s="180">
        <f t="shared" si="84"/>
        <v>108242.14191396099</v>
      </c>
      <c r="HX24" s="180">
        <f t="shared" si="84"/>
        <v>110815.785</v>
      </c>
      <c r="HY24" s="180">
        <f t="shared" si="84"/>
        <v>118042.307</v>
      </c>
      <c r="HZ24" s="180">
        <f t="shared" si="84"/>
        <v>118292.577</v>
      </c>
      <c r="IA24" s="180">
        <f t="shared" si="84"/>
        <v>124679.376</v>
      </c>
      <c r="IB24" s="180">
        <f t="shared" si="84"/>
        <v>129164.80143730638</v>
      </c>
    </row>
    <row r="25" spans="1:236" ht="13.35" customHeight="1">
      <c r="R25" s="166"/>
      <c r="S25" s="166"/>
      <c r="T25" s="166"/>
      <c r="HU25" s="74"/>
    </row>
    <row r="26" spans="1:236" s="22" customFormat="1" ht="13.35" customHeight="1">
      <c r="A26" s="2" t="s">
        <v>106</v>
      </c>
      <c r="B26" s="4"/>
      <c r="C26" s="4"/>
    </row>
    <row r="27" spans="1:236" ht="13.35" customHeight="1">
      <c r="HU27" s="67"/>
    </row>
    <row r="28" spans="1:236" ht="13.35" customHeight="1">
      <c r="Q28" s="23" t="s">
        <v>1034</v>
      </c>
      <c r="S28" s="175">
        <f>'Data|Overheads'!O94 / 1000</f>
        <v>11534.218000000001</v>
      </c>
      <c r="T28" s="175">
        <f>'Data|Overheads'!P94 / 1000 * ('Data|CPI'!B325/'Data|CPI'!B331)</f>
        <v>18289.673576236783</v>
      </c>
      <c r="AI28" s="23" t="s">
        <v>1034</v>
      </c>
      <c r="AK28" s="175">
        <f>'Data|Overheads'!O17 / 1000</f>
        <v>4279.317</v>
      </c>
      <c r="AL28" s="175">
        <f>'Data|Overheads'!P17 / 1000 * ('Data|CPI'!B325/'Data|CPI'!B331)</f>
        <v>5494.9783211997137</v>
      </c>
      <c r="BA28" s="23" t="s">
        <v>1034</v>
      </c>
      <c r="BC28" s="175">
        <f>'Data|Overheads'!O39/1000</f>
        <v>0</v>
      </c>
      <c r="BD28" s="175">
        <f>'Data|Overheads'!P39/1000</f>
        <v>0</v>
      </c>
      <c r="BS28" s="23" t="s">
        <v>1034</v>
      </c>
      <c r="BU28" s="175">
        <f>'Data|Overheads'!O50/1000</f>
        <v>30749.359</v>
      </c>
      <c r="BV28" s="175">
        <f>'Data|Overheads'!P50/1000 * ('Data|CPI'!B325/'Data|CPI'!B331)</f>
        <v>29371.804249223842</v>
      </c>
      <c r="CK28" s="23" t="s">
        <v>1034</v>
      </c>
      <c r="CM28" s="175">
        <f>'Data|Overheads'!O61/1000</f>
        <v>41693.46</v>
      </c>
      <c r="CN28" s="175">
        <f>'Data|Overheads'!P61/1000</f>
        <v>33462.875821563823</v>
      </c>
      <c r="DC28" s="23" t="s">
        <v>1034</v>
      </c>
      <c r="DE28" s="175">
        <f>'Data|Overheads'!O72/1000</f>
        <v>65815.176999999996</v>
      </c>
      <c r="DF28" s="175">
        <f>'Data|Overheads'!P72/1000</f>
        <v>59119.02157473722</v>
      </c>
      <c r="DU28" s="23" t="s">
        <v>1034</v>
      </c>
      <c r="DW28" s="175">
        <f>'Data|Overheads'!O83 / 1000</f>
        <v>53008.987999999998</v>
      </c>
      <c r="DX28" s="175">
        <f>'Data|Overheads'!P83 / 1000 * ('Data|CPI'!B325/'Data|CPI'!B331)</f>
        <v>64081.522159956286</v>
      </c>
      <c r="EM28" s="23" t="s">
        <v>1034</v>
      </c>
      <c r="EO28" s="175">
        <f>'Data|Overheads'!O105/1000</f>
        <v>0</v>
      </c>
      <c r="EP28" s="175">
        <f>'Data|Overheads'!P105/1000</f>
        <v>0</v>
      </c>
      <c r="FE28" s="23" t="s">
        <v>1034</v>
      </c>
      <c r="FG28" s="175">
        <f>'Data|Overheads'!O116/1000</f>
        <v>0</v>
      </c>
      <c r="FH28" s="175">
        <f>'Data|Overheads'!P116/1000</f>
        <v>0</v>
      </c>
      <c r="FW28" s="23" t="s">
        <v>1034</v>
      </c>
      <c r="FY28" s="175">
        <f>'Data|Overheads'!O127/1000</f>
        <v>-5922.46</v>
      </c>
      <c r="FZ28" s="175">
        <f>'Data|Overheads'!P127/1000</f>
        <v>-5692.3012657057916</v>
      </c>
      <c r="GO28" s="23" t="s">
        <v>1034</v>
      </c>
      <c r="GQ28" s="175">
        <f>'Data|Overheads'!O28/1000</f>
        <v>2344.8470000000002</v>
      </c>
      <c r="GR28" s="175">
        <f>'Data|Overheads'!P28/1000</f>
        <v>2186.3038353581064</v>
      </c>
      <c r="HG28" s="23" t="s">
        <v>1034</v>
      </c>
      <c r="HI28" s="175">
        <f>'Data|Overheads'!O138/1000</f>
        <v>13924.776</v>
      </c>
      <c r="HJ28" s="175">
        <f>'Data|Overheads'!P138/1000 * ('Data|CPI'!B325/'Data|CPI'!B331)</f>
        <v>18549.767140803327</v>
      </c>
      <c r="HU28" s="74"/>
      <c r="HY28" s="23" t="s">
        <v>1034</v>
      </c>
      <c r="IA28" s="175">
        <f>'Data|Overheads'!O149/1000</f>
        <v>0</v>
      </c>
      <c r="IB28" s="175">
        <f>'Data|Overheads'!P149/1000</f>
        <v>0</v>
      </c>
    </row>
    <row r="29" spans="1:236" ht="13.35" customHeight="1">
      <c r="HU29" s="65"/>
    </row>
    <row r="30" spans="1:236" ht="13.35" customHeight="1">
      <c r="K30" s="23" t="s">
        <v>1031</v>
      </c>
      <c r="L30" s="175">
        <f>'Data|EBRIN'!L22</f>
        <v>733</v>
      </c>
      <c r="M30" s="175">
        <f>'Data|EBRIN'!M22</f>
        <v>669</v>
      </c>
      <c r="N30" s="175">
        <f>'Data|EBRIN'!N22</f>
        <v>688</v>
      </c>
      <c r="O30" s="175">
        <f>'Data|EBRIN'!O22</f>
        <v>812</v>
      </c>
      <c r="P30" s="175">
        <f>'Data|EBRIN'!P22</f>
        <v>691</v>
      </c>
      <c r="Q30" s="175">
        <f>'Data|EBRIN'!Q22</f>
        <v>779</v>
      </c>
      <c r="R30" s="175">
        <f>'Data|EBRIN'!R22</f>
        <v>844</v>
      </c>
      <c r="S30" s="175">
        <f>'Data|EBRIN'!S22</f>
        <v>871</v>
      </c>
      <c r="HU30" s="67"/>
    </row>
    <row r="31" spans="1:236" ht="13.35" customHeight="1">
      <c r="K31" s="23" t="s">
        <v>1032</v>
      </c>
      <c r="L31" s="175">
        <f>'Data|EBRIN'!L23</f>
        <v>723.98900000000003</v>
      </c>
      <c r="M31" s="175">
        <f>'Data|EBRIN'!M23</f>
        <v>669.24199999999996</v>
      </c>
      <c r="N31" s="175">
        <f>'Data|EBRIN'!N23</f>
        <v>682</v>
      </c>
      <c r="O31" s="175">
        <f>'Data|EBRIN'!O23</f>
        <v>690.8768</v>
      </c>
      <c r="P31" s="175">
        <f>'Data|EBRIN'!P23</f>
        <v>691</v>
      </c>
      <c r="Q31" s="175">
        <f>'Data|EBRIN'!Q23</f>
        <v>684</v>
      </c>
      <c r="R31" s="175">
        <f>'Data|EBRIN'!R23</f>
        <v>664</v>
      </c>
      <c r="S31" s="175">
        <f>'Data|EBRIN'!S23</f>
        <v>871</v>
      </c>
      <c r="HU31" s="67"/>
    </row>
    <row r="32" spans="1:236" ht="13.35" customHeight="1">
      <c r="A32" s="24" t="s">
        <v>110</v>
      </c>
      <c r="B32" s="24" t="s">
        <v>88</v>
      </c>
      <c r="C32" s="228" t="s">
        <v>163</v>
      </c>
      <c r="D32" s="228" t="s">
        <v>164</v>
      </c>
      <c r="E32" s="228" t="s">
        <v>165</v>
      </c>
      <c r="F32" s="228" t="s">
        <v>166</v>
      </c>
      <c r="G32" s="228" t="s">
        <v>167</v>
      </c>
      <c r="H32" s="228" t="s">
        <v>168</v>
      </c>
      <c r="I32" s="228" t="s">
        <v>169</v>
      </c>
      <c r="J32" s="228" t="s">
        <v>170</v>
      </c>
      <c r="K32" s="228" t="s">
        <v>171</v>
      </c>
      <c r="L32" s="228" t="s">
        <v>172</v>
      </c>
      <c r="M32" s="228" t="s">
        <v>173</v>
      </c>
      <c r="N32" s="228" t="s">
        <v>174</v>
      </c>
      <c r="O32" s="228" t="s">
        <v>175</v>
      </c>
      <c r="P32" s="228" t="s">
        <v>176</v>
      </c>
      <c r="Q32" s="228" t="s">
        <v>177</v>
      </c>
      <c r="R32" s="228" t="s">
        <v>704</v>
      </c>
      <c r="S32" s="228" t="s">
        <v>705</v>
      </c>
      <c r="T32" s="228" t="s">
        <v>706</v>
      </c>
      <c r="U32" s="228" t="s">
        <v>178</v>
      </c>
      <c r="V32" s="228" t="s">
        <v>179</v>
      </c>
      <c r="W32" s="228" t="s">
        <v>180</v>
      </c>
      <c r="X32" s="228" t="s">
        <v>181</v>
      </c>
      <c r="Y32" s="228" t="s">
        <v>182</v>
      </c>
      <c r="Z32" s="228" t="s">
        <v>183</v>
      </c>
      <c r="AA32" s="228" t="s">
        <v>184</v>
      </c>
      <c r="AB32" s="228" t="s">
        <v>185</v>
      </c>
      <c r="AC32" s="228" t="s">
        <v>186</v>
      </c>
      <c r="AD32" s="228" t="s">
        <v>187</v>
      </c>
      <c r="AE32" s="228" t="s">
        <v>188</v>
      </c>
      <c r="AF32" s="228" t="s">
        <v>189</v>
      </c>
      <c r="AG32" s="228" t="s">
        <v>190</v>
      </c>
      <c r="AH32" s="228" t="s">
        <v>191</v>
      </c>
      <c r="AI32" s="228" t="s">
        <v>192</v>
      </c>
      <c r="AJ32" s="228" t="s">
        <v>364</v>
      </c>
      <c r="AK32" s="228" t="s">
        <v>365</v>
      </c>
      <c r="AL32" s="228" t="s">
        <v>366</v>
      </c>
      <c r="AM32" s="228" t="s">
        <v>193</v>
      </c>
      <c r="AN32" s="228" t="s">
        <v>194</v>
      </c>
      <c r="AO32" s="228" t="s">
        <v>195</v>
      </c>
      <c r="AP32" s="228" t="s">
        <v>196</v>
      </c>
      <c r="AQ32" s="228" t="s">
        <v>197</v>
      </c>
      <c r="AR32" s="228" t="s">
        <v>198</v>
      </c>
      <c r="AS32" s="228" t="s">
        <v>199</v>
      </c>
      <c r="AT32" s="228" t="s">
        <v>200</v>
      </c>
      <c r="AU32" s="228" t="s">
        <v>201</v>
      </c>
      <c r="AV32" s="228" t="s">
        <v>202</v>
      </c>
      <c r="AW32" s="228" t="s">
        <v>203</v>
      </c>
      <c r="AX32" s="228" t="s">
        <v>204</v>
      </c>
      <c r="AY32" s="228" t="s">
        <v>205</v>
      </c>
      <c r="AZ32" s="228" t="s">
        <v>206</v>
      </c>
      <c r="BA32" s="228" t="s">
        <v>207</v>
      </c>
      <c r="BB32" s="228" t="s">
        <v>707</v>
      </c>
      <c r="BC32" s="228" t="s">
        <v>708</v>
      </c>
      <c r="BD32" s="228" t="s">
        <v>709</v>
      </c>
      <c r="BE32" s="228" t="s">
        <v>208</v>
      </c>
      <c r="BF32" s="228" t="s">
        <v>209</v>
      </c>
      <c r="BG32" s="228" t="s">
        <v>210</v>
      </c>
      <c r="BH32" s="228" t="s">
        <v>211</v>
      </c>
      <c r="BI32" s="228" t="s">
        <v>212</v>
      </c>
      <c r="BJ32" s="228" t="s">
        <v>213</v>
      </c>
      <c r="BK32" s="228" t="s">
        <v>214</v>
      </c>
      <c r="BL32" s="228" t="s">
        <v>215</v>
      </c>
      <c r="BM32" s="228" t="s">
        <v>216</v>
      </c>
      <c r="BN32" s="228" t="s">
        <v>217</v>
      </c>
      <c r="BO32" s="228" t="s">
        <v>218</v>
      </c>
      <c r="BP32" s="228" t="s">
        <v>219</v>
      </c>
      <c r="BQ32" s="228" t="s">
        <v>220</v>
      </c>
      <c r="BR32" s="228" t="s">
        <v>221</v>
      </c>
      <c r="BS32" s="228" t="s">
        <v>222</v>
      </c>
      <c r="BT32" s="228" t="s">
        <v>710</v>
      </c>
      <c r="BU32" s="228" t="s">
        <v>711</v>
      </c>
      <c r="BV32" s="228" t="s">
        <v>712</v>
      </c>
      <c r="BW32" s="228" t="s">
        <v>223</v>
      </c>
      <c r="BX32" s="228" t="s">
        <v>224</v>
      </c>
      <c r="BY32" s="228" t="s">
        <v>225</v>
      </c>
      <c r="BZ32" s="228" t="s">
        <v>226</v>
      </c>
      <c r="CA32" s="228" t="s">
        <v>227</v>
      </c>
      <c r="CB32" s="228" t="s">
        <v>228</v>
      </c>
      <c r="CC32" s="228" t="s">
        <v>229</v>
      </c>
      <c r="CD32" s="228" t="s">
        <v>230</v>
      </c>
      <c r="CE32" s="228" t="s">
        <v>231</v>
      </c>
      <c r="CF32" s="228" t="s">
        <v>232</v>
      </c>
      <c r="CG32" s="228" t="s">
        <v>233</v>
      </c>
      <c r="CH32" s="228" t="s">
        <v>234</v>
      </c>
      <c r="CI32" s="228" t="s">
        <v>235</v>
      </c>
      <c r="CJ32" s="228" t="s">
        <v>236</v>
      </c>
      <c r="CK32" s="228" t="s">
        <v>237</v>
      </c>
      <c r="CL32" s="228" t="s">
        <v>713</v>
      </c>
      <c r="CM32" s="228" t="s">
        <v>714</v>
      </c>
      <c r="CN32" s="228" t="s">
        <v>715</v>
      </c>
      <c r="CO32" s="228" t="s">
        <v>238</v>
      </c>
      <c r="CP32" s="228" t="s">
        <v>239</v>
      </c>
      <c r="CQ32" s="228" t="s">
        <v>240</v>
      </c>
      <c r="CR32" s="228" t="s">
        <v>241</v>
      </c>
      <c r="CS32" s="228" t="s">
        <v>242</v>
      </c>
      <c r="CT32" s="228" t="s">
        <v>243</v>
      </c>
      <c r="CU32" s="228" t="s">
        <v>244</v>
      </c>
      <c r="CV32" s="228" t="s">
        <v>245</v>
      </c>
      <c r="CW32" s="228" t="s">
        <v>246</v>
      </c>
      <c r="CX32" s="228" t="s">
        <v>247</v>
      </c>
      <c r="CY32" s="228" t="s">
        <v>248</v>
      </c>
      <c r="CZ32" s="228" t="s">
        <v>249</v>
      </c>
      <c r="DA32" s="228" t="s">
        <v>250</v>
      </c>
      <c r="DB32" s="228" t="s">
        <v>251</v>
      </c>
      <c r="DC32" s="228" t="s">
        <v>252</v>
      </c>
      <c r="DD32" s="228" t="s">
        <v>716</v>
      </c>
      <c r="DE32" s="228" t="s">
        <v>717</v>
      </c>
      <c r="DF32" s="228" t="s">
        <v>718</v>
      </c>
      <c r="DG32" s="228" t="s">
        <v>253</v>
      </c>
      <c r="DH32" s="228" t="s">
        <v>254</v>
      </c>
      <c r="DI32" s="228" t="s">
        <v>255</v>
      </c>
      <c r="DJ32" s="228" t="s">
        <v>256</v>
      </c>
      <c r="DK32" s="228" t="s">
        <v>257</v>
      </c>
      <c r="DL32" s="228" t="s">
        <v>258</v>
      </c>
      <c r="DM32" s="228" t="s">
        <v>259</v>
      </c>
      <c r="DN32" s="228" t="s">
        <v>260</v>
      </c>
      <c r="DO32" s="228" t="s">
        <v>261</v>
      </c>
      <c r="DP32" s="228" t="s">
        <v>262</v>
      </c>
      <c r="DQ32" s="228" t="s">
        <v>263</v>
      </c>
      <c r="DR32" s="228" t="s">
        <v>264</v>
      </c>
      <c r="DS32" s="228" t="s">
        <v>265</v>
      </c>
      <c r="DT32" s="228" t="s">
        <v>266</v>
      </c>
      <c r="DU32" s="228" t="s">
        <v>267</v>
      </c>
      <c r="DV32" s="228" t="s">
        <v>719</v>
      </c>
      <c r="DW32" s="228" t="s">
        <v>720</v>
      </c>
      <c r="DX32" s="228" t="s">
        <v>721</v>
      </c>
      <c r="DY32" s="228" t="s">
        <v>268</v>
      </c>
      <c r="DZ32" s="228" t="s">
        <v>269</v>
      </c>
      <c r="EA32" s="228" t="s">
        <v>270</v>
      </c>
      <c r="EB32" s="228" t="s">
        <v>271</v>
      </c>
      <c r="EC32" s="228" t="s">
        <v>272</v>
      </c>
      <c r="ED32" s="228" t="s">
        <v>273</v>
      </c>
      <c r="EE32" s="228" t="s">
        <v>274</v>
      </c>
      <c r="EF32" s="228" t="s">
        <v>275</v>
      </c>
      <c r="EG32" s="228" t="s">
        <v>276</v>
      </c>
      <c r="EH32" s="228" t="s">
        <v>277</v>
      </c>
      <c r="EI32" s="228" t="s">
        <v>278</v>
      </c>
      <c r="EJ32" s="228" t="s">
        <v>279</v>
      </c>
      <c r="EK32" s="228" t="s">
        <v>280</v>
      </c>
      <c r="EL32" s="228" t="s">
        <v>281</v>
      </c>
      <c r="EM32" s="228" t="s">
        <v>282</v>
      </c>
      <c r="EN32" s="228" t="s">
        <v>722</v>
      </c>
      <c r="EO32" s="228" t="s">
        <v>723</v>
      </c>
      <c r="EP32" s="228" t="s">
        <v>724</v>
      </c>
      <c r="EQ32" s="228" t="s">
        <v>283</v>
      </c>
      <c r="ER32" s="228" t="s">
        <v>284</v>
      </c>
      <c r="ES32" s="228" t="s">
        <v>285</v>
      </c>
      <c r="ET32" s="228" t="s">
        <v>286</v>
      </c>
      <c r="EU32" s="228" t="s">
        <v>287</v>
      </c>
      <c r="EV32" s="228" t="s">
        <v>288</v>
      </c>
      <c r="EW32" s="228" t="s">
        <v>289</v>
      </c>
      <c r="EX32" s="228" t="s">
        <v>290</v>
      </c>
      <c r="EY32" s="228" t="s">
        <v>291</v>
      </c>
      <c r="EZ32" s="228" t="s">
        <v>292</v>
      </c>
      <c r="FA32" s="228" t="s">
        <v>293</v>
      </c>
      <c r="FB32" s="228" t="s">
        <v>294</v>
      </c>
      <c r="FC32" s="228" t="s">
        <v>295</v>
      </c>
      <c r="FD32" s="228" t="s">
        <v>296</v>
      </c>
      <c r="FE32" s="228" t="s">
        <v>297</v>
      </c>
      <c r="FF32" s="228" t="s">
        <v>725</v>
      </c>
      <c r="FG32" s="228" t="s">
        <v>726</v>
      </c>
      <c r="FH32" s="228" t="s">
        <v>727</v>
      </c>
      <c r="FI32" s="228" t="s">
        <v>298</v>
      </c>
      <c r="FJ32" s="228" t="s">
        <v>299</v>
      </c>
      <c r="FK32" s="228" t="s">
        <v>300</v>
      </c>
      <c r="FL32" s="228" t="s">
        <v>301</v>
      </c>
      <c r="FM32" s="228" t="s">
        <v>302</v>
      </c>
      <c r="FN32" s="228" t="s">
        <v>303</v>
      </c>
      <c r="FO32" s="228" t="s">
        <v>304</v>
      </c>
      <c r="FP32" s="228" t="s">
        <v>305</v>
      </c>
      <c r="FQ32" s="228" t="s">
        <v>306</v>
      </c>
      <c r="FR32" s="228" t="s">
        <v>307</v>
      </c>
      <c r="FS32" s="228" t="s">
        <v>308</v>
      </c>
      <c r="FT32" s="228" t="s">
        <v>309</v>
      </c>
      <c r="FU32" s="228" t="s">
        <v>310</v>
      </c>
      <c r="FV32" s="228" t="s">
        <v>311</v>
      </c>
      <c r="FW32" s="228" t="s">
        <v>312</v>
      </c>
      <c r="FX32" s="228" t="s">
        <v>728</v>
      </c>
      <c r="FY32" s="228" t="s">
        <v>729</v>
      </c>
      <c r="FZ32" s="228" t="s">
        <v>730</v>
      </c>
      <c r="GA32" s="228" t="s">
        <v>313</v>
      </c>
      <c r="GB32" s="228" t="s">
        <v>314</v>
      </c>
      <c r="GC32" s="228" t="s">
        <v>315</v>
      </c>
      <c r="GD32" s="228" t="s">
        <v>316</v>
      </c>
      <c r="GE32" s="228" t="s">
        <v>317</v>
      </c>
      <c r="GF32" s="228" t="s">
        <v>318</v>
      </c>
      <c r="GG32" s="228" t="s">
        <v>319</v>
      </c>
      <c r="GH32" s="228" t="s">
        <v>320</v>
      </c>
      <c r="GI32" s="228" t="s">
        <v>321</v>
      </c>
      <c r="GJ32" s="228" t="s">
        <v>322</v>
      </c>
      <c r="GK32" s="228" t="s">
        <v>323</v>
      </c>
      <c r="GL32" s="228" t="s">
        <v>324</v>
      </c>
      <c r="GM32" s="228" t="s">
        <v>325</v>
      </c>
      <c r="GN32" s="228" t="s">
        <v>326</v>
      </c>
      <c r="GO32" s="228" t="s">
        <v>327</v>
      </c>
      <c r="GP32" s="228" t="s">
        <v>731</v>
      </c>
      <c r="GQ32" s="228" t="s">
        <v>732</v>
      </c>
      <c r="GR32" s="228" t="s">
        <v>733</v>
      </c>
      <c r="GS32" s="228" t="s">
        <v>328</v>
      </c>
      <c r="GT32" s="228" t="s">
        <v>329</v>
      </c>
      <c r="GU32" s="228" t="s">
        <v>330</v>
      </c>
      <c r="GV32" s="228" t="s">
        <v>331</v>
      </c>
      <c r="GW32" s="228" t="s">
        <v>332</v>
      </c>
      <c r="GX32" s="228" t="s">
        <v>333</v>
      </c>
      <c r="GY32" s="228" t="s">
        <v>334</v>
      </c>
      <c r="GZ32" s="228" t="s">
        <v>335</v>
      </c>
      <c r="HA32" s="228" t="s">
        <v>336</v>
      </c>
      <c r="HB32" s="228" t="s">
        <v>337</v>
      </c>
      <c r="HC32" s="228" t="s">
        <v>338</v>
      </c>
      <c r="HD32" s="228" t="s">
        <v>339</v>
      </c>
      <c r="HE32" s="228" t="s">
        <v>340</v>
      </c>
      <c r="HF32" s="228" t="s">
        <v>341</v>
      </c>
      <c r="HG32" s="228" t="s">
        <v>342</v>
      </c>
      <c r="HH32" s="228" t="s">
        <v>734</v>
      </c>
      <c r="HI32" s="228" t="s">
        <v>735</v>
      </c>
      <c r="HJ32" s="228" t="s">
        <v>736</v>
      </c>
      <c r="HK32" s="228" t="s">
        <v>343</v>
      </c>
      <c r="HL32" s="228" t="s">
        <v>344</v>
      </c>
      <c r="HM32" s="228" t="s">
        <v>345</v>
      </c>
      <c r="HN32" s="228" t="s">
        <v>346</v>
      </c>
      <c r="HO32" s="228" t="s">
        <v>347</v>
      </c>
      <c r="HP32" s="228" t="s">
        <v>348</v>
      </c>
      <c r="HQ32" s="228" t="s">
        <v>349</v>
      </c>
      <c r="HR32" s="228" t="s">
        <v>350</v>
      </c>
      <c r="HS32" s="228" t="s">
        <v>351</v>
      </c>
      <c r="HT32" s="228" t="s">
        <v>352</v>
      </c>
      <c r="HU32" s="229" t="s">
        <v>353</v>
      </c>
      <c r="HV32" s="228" t="s">
        <v>354</v>
      </c>
      <c r="HW32" s="228" t="s">
        <v>355</v>
      </c>
      <c r="HX32" s="228" t="s">
        <v>356</v>
      </c>
      <c r="HY32" s="228" t="s">
        <v>357</v>
      </c>
      <c r="HZ32" s="228" t="s">
        <v>737</v>
      </c>
      <c r="IA32" s="228" t="s">
        <v>738</v>
      </c>
      <c r="IB32" s="228" t="s">
        <v>739</v>
      </c>
    </row>
    <row r="33" spans="1:236" ht="13.35" customHeight="1">
      <c r="A33" s="69" t="s">
        <v>981</v>
      </c>
      <c r="B33" s="69">
        <v>12</v>
      </c>
      <c r="S33" s="175">
        <f>59090.065085441-S44</f>
        <v>59089.322977440999</v>
      </c>
      <c r="T33" s="256">
        <v>66568.914774909557</v>
      </c>
      <c r="U33" s="69"/>
      <c r="V33" s="69"/>
      <c r="W33" s="69"/>
      <c r="X33" s="69"/>
      <c r="Y33" s="69"/>
      <c r="Z33" s="69"/>
      <c r="AA33" s="69"/>
      <c r="AB33" s="69"/>
      <c r="AC33" s="69"/>
      <c r="AD33" s="69"/>
      <c r="AE33" s="69"/>
      <c r="AF33" s="69"/>
      <c r="AG33" s="69"/>
      <c r="AH33" s="69"/>
      <c r="AI33" s="69"/>
      <c r="AJ33" s="69"/>
      <c r="AK33" s="256">
        <v>346084.66399999999</v>
      </c>
      <c r="AL33" s="256">
        <v>385811.04678277607</v>
      </c>
      <c r="AM33" s="69"/>
      <c r="AN33" s="69"/>
      <c r="AO33" s="69"/>
      <c r="AP33" s="69"/>
      <c r="AQ33" s="69"/>
      <c r="AR33" s="69"/>
      <c r="AS33" s="69"/>
      <c r="AT33" s="69"/>
      <c r="AU33" s="69"/>
      <c r="AV33" s="69"/>
      <c r="AW33" s="69"/>
      <c r="AX33" s="69"/>
      <c r="AY33" s="69"/>
      <c r="AZ33" s="69"/>
      <c r="BA33" s="69"/>
      <c r="BB33" s="69"/>
      <c r="BC33" s="256">
        <v>49770.854958085292</v>
      </c>
      <c r="BD33" s="175">
        <f>BC33*POWER(BC33/'Data|EBRIN'!AU39,1/4)</f>
        <v>50020.04900857537</v>
      </c>
      <c r="BE33" s="69"/>
      <c r="BF33" s="69"/>
      <c r="BG33" s="69"/>
      <c r="BH33" s="69"/>
      <c r="BI33" s="69"/>
      <c r="BJ33" s="69"/>
      <c r="BK33" s="69"/>
      <c r="BL33" s="69"/>
      <c r="BM33" s="69"/>
      <c r="BN33" s="69"/>
      <c r="BO33" s="69"/>
      <c r="BP33" s="69"/>
      <c r="BQ33" s="69"/>
      <c r="BR33" s="69"/>
      <c r="BS33" s="69"/>
      <c r="BT33" s="69"/>
      <c r="BU33" s="256">
        <v>245425.10500000001</v>
      </c>
      <c r="BV33" s="256">
        <v>251684.03426979779</v>
      </c>
      <c r="BW33" s="69"/>
      <c r="BX33" s="69"/>
      <c r="BY33" s="69"/>
      <c r="BZ33" s="69"/>
      <c r="CA33" s="69"/>
      <c r="CB33" s="69"/>
      <c r="CC33" s="69"/>
      <c r="CD33" s="69"/>
      <c r="CE33" s="69"/>
      <c r="CF33" s="69"/>
      <c r="CG33" s="69"/>
      <c r="CH33" s="69"/>
      <c r="CI33" s="69"/>
      <c r="CJ33" s="69"/>
      <c r="CK33" s="69"/>
      <c r="CL33" s="69"/>
      <c r="CM33" s="256">
        <v>422580.21130494471</v>
      </c>
      <c r="CN33" s="175">
        <f>CM33*POWER(CM33/'Data|EBRIN'!CA39,1/4)</f>
        <v>439176.31030040258</v>
      </c>
      <c r="CO33" s="69"/>
      <c r="CP33" s="69"/>
      <c r="CQ33" s="69"/>
      <c r="CR33" s="69"/>
      <c r="CS33" s="69"/>
      <c r="CT33" s="69"/>
      <c r="CU33" s="69"/>
      <c r="CV33" s="69"/>
      <c r="CW33" s="69"/>
      <c r="CX33" s="69"/>
      <c r="CY33" s="69"/>
      <c r="CZ33" s="69"/>
      <c r="DA33" s="69"/>
      <c r="DB33" s="69"/>
      <c r="DC33" s="69"/>
      <c r="DD33" s="69"/>
      <c r="DE33" s="256">
        <v>359914.5709396</v>
      </c>
      <c r="DF33" s="175">
        <f>DE33*POWER(DE33/'Data|EBRIN'!CQ39,1/4)</f>
        <v>360404.20416548557</v>
      </c>
      <c r="DG33" s="69"/>
      <c r="DH33" s="69"/>
      <c r="DI33" s="69"/>
      <c r="DJ33" s="69"/>
      <c r="DK33" s="69"/>
      <c r="DL33" s="69"/>
      <c r="DM33" s="69"/>
      <c r="DN33" s="69"/>
      <c r="DO33" s="69"/>
      <c r="DP33" s="69"/>
      <c r="DQ33" s="69"/>
      <c r="DR33" s="69"/>
      <c r="DS33" s="69"/>
      <c r="DT33" s="69"/>
      <c r="DU33" s="69"/>
      <c r="DV33" s="69"/>
      <c r="DW33" s="256">
        <v>360871.69400000002</v>
      </c>
      <c r="DX33" s="256">
        <v>419765.48708626098</v>
      </c>
      <c r="DY33" s="69"/>
      <c r="DZ33" s="69"/>
      <c r="EA33" s="69"/>
      <c r="EB33" s="69"/>
      <c r="EC33" s="69"/>
      <c r="ED33" s="69"/>
      <c r="EE33" s="69"/>
      <c r="EF33" s="69"/>
      <c r="EG33" s="69"/>
      <c r="EH33" s="69"/>
      <c r="EI33" s="69"/>
      <c r="EJ33" s="69"/>
      <c r="EK33" s="69"/>
      <c r="EL33" s="69"/>
      <c r="EM33" s="69"/>
      <c r="EN33" s="69"/>
      <c r="EO33" s="256">
        <v>58309.291075907073</v>
      </c>
      <c r="EP33" s="175">
        <f>EO33*POWER(EO33/'Data|EBRIN'!DW39,1/4)</f>
        <v>54012.289863170168</v>
      </c>
      <c r="EQ33" s="69"/>
      <c r="ER33" s="69"/>
      <c r="ES33" s="69"/>
      <c r="ET33" s="69"/>
      <c r="EU33" s="69"/>
      <c r="EV33" s="69"/>
      <c r="EW33" s="69"/>
      <c r="EX33" s="69"/>
      <c r="EY33" s="69"/>
      <c r="EZ33" s="69"/>
      <c r="FA33" s="69"/>
      <c r="FB33" s="69"/>
      <c r="FC33" s="69"/>
      <c r="FD33" s="69"/>
      <c r="FE33" s="69"/>
      <c r="FF33" s="69"/>
      <c r="FG33" s="256">
        <v>191487.34181872383</v>
      </c>
      <c r="FH33" s="175">
        <f>FG33*POWER(FG33/'Data|EBRIN'!EM39,1/4)</f>
        <v>192427.27313868696</v>
      </c>
      <c r="FI33" s="69"/>
      <c r="FJ33" s="69"/>
      <c r="FK33" s="69"/>
      <c r="FL33" s="69"/>
      <c r="FM33" s="69"/>
      <c r="FN33" s="69"/>
      <c r="FO33" s="69"/>
      <c r="FP33" s="69"/>
      <c r="FQ33" s="69"/>
      <c r="FR33" s="69"/>
      <c r="FS33" s="69"/>
      <c r="FT33" s="69"/>
      <c r="FU33" s="69"/>
      <c r="FV33" s="69"/>
      <c r="FW33" s="69"/>
      <c r="FX33" s="69"/>
      <c r="FY33" s="256">
        <v>268338.46308999998</v>
      </c>
      <c r="FZ33" s="175">
        <f>FY33*POWER(FY33/'Data|EBRIN'!FC39,1/4)</f>
        <v>273400.37159544253</v>
      </c>
      <c r="GA33" s="69"/>
      <c r="GB33" s="69"/>
      <c r="GC33" s="69"/>
      <c r="GD33" s="69"/>
      <c r="GE33" s="69"/>
      <c r="GF33" s="69"/>
      <c r="GG33" s="69"/>
      <c r="GH33" s="69"/>
      <c r="GI33" s="69"/>
      <c r="GJ33" s="69"/>
      <c r="GK33" s="69"/>
      <c r="GL33" s="69"/>
      <c r="GM33" s="69"/>
      <c r="GN33" s="69"/>
      <c r="GO33" s="69"/>
      <c r="GP33" s="69"/>
      <c r="GQ33" s="256">
        <v>219288.94666366841</v>
      </c>
      <c r="GR33" s="175">
        <f>GQ33*POWER(GQ33/'Data|EBRIN'!FS39,1/4)</f>
        <v>226239.36997529253</v>
      </c>
      <c r="GS33" s="69"/>
      <c r="GT33" s="69"/>
      <c r="GU33" s="69"/>
      <c r="GV33" s="69"/>
      <c r="GW33" s="69"/>
      <c r="GX33" s="69"/>
      <c r="GY33" s="69"/>
      <c r="GZ33" s="69"/>
      <c r="HA33" s="69"/>
      <c r="HB33" s="69"/>
      <c r="HC33" s="69"/>
      <c r="HD33" s="69"/>
      <c r="HE33" s="69"/>
      <c r="HF33" s="69"/>
      <c r="HG33" s="69"/>
      <c r="HH33" s="69"/>
      <c r="HI33" s="256">
        <v>91390.233242584902</v>
      </c>
      <c r="HJ33" s="256">
        <v>96589.579892688213</v>
      </c>
      <c r="HK33" s="69"/>
      <c r="HL33" s="69"/>
      <c r="HM33" s="69"/>
      <c r="HN33" s="69"/>
      <c r="HO33" s="69"/>
      <c r="HP33" s="69"/>
      <c r="HQ33" s="69"/>
      <c r="HR33" s="69"/>
      <c r="HS33" s="69"/>
      <c r="HT33" s="69"/>
      <c r="HU33" s="69"/>
      <c r="HV33" s="69"/>
      <c r="HW33" s="69"/>
      <c r="HX33" s="69"/>
      <c r="HY33" s="69"/>
      <c r="HZ33" s="69"/>
      <c r="IA33" s="256">
        <v>124679.376</v>
      </c>
      <c r="IB33" s="175">
        <f>IA33*POWER(IA33/'Data|EBRIN'!GY39,1/4)</f>
        <v>129164.80143730638</v>
      </c>
    </row>
    <row r="34" spans="1:236" ht="13.35" customHeight="1">
      <c r="A34" s="69" t="s">
        <v>1051</v>
      </c>
      <c r="B34" s="69" t="s">
        <v>1048</v>
      </c>
      <c r="S34" s="175">
        <f>S33+S28</f>
        <v>70623.540977441007</v>
      </c>
      <c r="T34" s="175">
        <f>T33+T28</f>
        <v>84858.588351146347</v>
      </c>
      <c r="U34" s="69"/>
      <c r="V34" s="69"/>
      <c r="W34" s="69"/>
      <c r="X34" s="69"/>
      <c r="Y34" s="69"/>
      <c r="Z34" s="69"/>
      <c r="AA34" s="69"/>
      <c r="AB34" s="69"/>
      <c r="AC34" s="69"/>
      <c r="AD34" s="69"/>
      <c r="AE34" s="69"/>
      <c r="AF34" s="69"/>
      <c r="AG34" s="69"/>
      <c r="AH34" s="69"/>
      <c r="AI34" s="69"/>
      <c r="AJ34" s="69"/>
      <c r="AK34" s="175">
        <f>AK33+AK28</f>
        <v>350363.98099999997</v>
      </c>
      <c r="AL34" s="175">
        <f>AL33+AL28</f>
        <v>391306.02510397579</v>
      </c>
      <c r="AM34" s="69"/>
      <c r="AN34" s="69"/>
      <c r="AO34" s="69"/>
      <c r="AP34" s="69"/>
      <c r="AQ34" s="69"/>
      <c r="AR34" s="69"/>
      <c r="AS34" s="69"/>
      <c r="AT34" s="69"/>
      <c r="AU34" s="69"/>
      <c r="AV34" s="69"/>
      <c r="AW34" s="69"/>
      <c r="AX34" s="69"/>
      <c r="AY34" s="69"/>
      <c r="AZ34" s="69"/>
      <c r="BA34" s="69"/>
      <c r="BB34" s="69"/>
      <c r="BC34" s="256">
        <v>72884.255999999994</v>
      </c>
      <c r="BD34" s="175">
        <f>BC34*POWER(BC34/'Data|EBRIN'!AU40,1/4)</f>
        <v>74242.781204652449</v>
      </c>
      <c r="BE34" s="69"/>
      <c r="BF34" s="69"/>
      <c r="BG34" s="69"/>
      <c r="BH34" s="69"/>
      <c r="BI34" s="69"/>
      <c r="BJ34" s="69"/>
      <c r="BK34" s="69"/>
      <c r="BL34" s="69"/>
      <c r="BM34" s="69"/>
      <c r="BN34" s="69"/>
      <c r="BO34" s="69"/>
      <c r="BP34" s="69"/>
      <c r="BQ34" s="69"/>
      <c r="BR34" s="69"/>
      <c r="BS34" s="69"/>
      <c r="BT34" s="69"/>
      <c r="BU34" s="175">
        <f>BU33+BU28</f>
        <v>276174.46400000004</v>
      </c>
      <c r="BV34" s="175">
        <f>BV33+BV28</f>
        <v>281055.83851902164</v>
      </c>
      <c r="BW34" s="69"/>
      <c r="BX34" s="69"/>
      <c r="BY34" s="69"/>
      <c r="BZ34" s="69"/>
      <c r="CA34" s="69"/>
      <c r="CB34" s="69"/>
      <c r="CC34" s="69"/>
      <c r="CD34" s="69"/>
      <c r="CE34" s="69"/>
      <c r="CF34" s="69"/>
      <c r="CG34" s="69"/>
      <c r="CH34" s="69"/>
      <c r="CI34" s="69"/>
      <c r="CJ34" s="69"/>
      <c r="CK34" s="69"/>
      <c r="CL34" s="69"/>
      <c r="CM34" s="256">
        <v>412216.255</v>
      </c>
      <c r="CN34" s="175">
        <f>CM34*POWER(CM34/'Data|EBRIN'!CA40,1/4)</f>
        <v>419607.95109564625</v>
      </c>
      <c r="CO34" s="69"/>
      <c r="CP34" s="69"/>
      <c r="CQ34" s="69"/>
      <c r="CR34" s="69"/>
      <c r="CS34" s="69"/>
      <c r="CT34" s="69"/>
      <c r="CU34" s="69"/>
      <c r="CV34" s="69"/>
      <c r="CW34" s="69"/>
      <c r="CX34" s="69"/>
      <c r="CY34" s="69"/>
      <c r="CZ34" s="69"/>
      <c r="DA34" s="69"/>
      <c r="DB34" s="69"/>
      <c r="DC34" s="69"/>
      <c r="DD34" s="69"/>
      <c r="DE34" s="256">
        <v>378858.63400000002</v>
      </c>
      <c r="DF34" s="175">
        <f>DE34*POWER(DE34/'Data|EBRIN'!CQ40,1/4)</f>
        <v>372080.98636913794</v>
      </c>
      <c r="DG34" s="69"/>
      <c r="DH34" s="69"/>
      <c r="DI34" s="69"/>
      <c r="DJ34" s="69"/>
      <c r="DK34" s="69"/>
      <c r="DL34" s="69"/>
      <c r="DM34" s="69"/>
      <c r="DN34" s="69"/>
      <c r="DO34" s="69"/>
      <c r="DP34" s="69"/>
      <c r="DQ34" s="69"/>
      <c r="DR34" s="69"/>
      <c r="DS34" s="69"/>
      <c r="DT34" s="69"/>
      <c r="DU34" s="69"/>
      <c r="DV34" s="69"/>
      <c r="DW34" s="175">
        <f>DW33+DW28</f>
        <v>413880.68200000003</v>
      </c>
      <c r="DX34" s="175">
        <f>DX33+DX28</f>
        <v>483847.00924621726</v>
      </c>
      <c r="DY34" s="69"/>
      <c r="DZ34" s="69"/>
      <c r="EA34" s="69"/>
      <c r="EB34" s="69"/>
      <c r="EC34" s="69"/>
      <c r="ED34" s="69"/>
      <c r="EE34" s="69"/>
      <c r="EF34" s="69"/>
      <c r="EG34" s="69"/>
      <c r="EH34" s="69"/>
      <c r="EI34" s="69"/>
      <c r="EJ34" s="69"/>
      <c r="EK34" s="69"/>
      <c r="EL34" s="69"/>
      <c r="EM34" s="69"/>
      <c r="EN34" s="69"/>
      <c r="EO34" s="256">
        <v>78487.144260000001</v>
      </c>
      <c r="EP34" s="175">
        <f>EO34*POWER(EO34/'Data|EBRIN'!DW40,1/4)</f>
        <v>75772.33663605059</v>
      </c>
      <c r="EQ34" s="69"/>
      <c r="ER34" s="69"/>
      <c r="ES34" s="69"/>
      <c r="ET34" s="69"/>
      <c r="EU34" s="69"/>
      <c r="EV34" s="69"/>
      <c r="EW34" s="69"/>
      <c r="EX34" s="69"/>
      <c r="EY34" s="69"/>
      <c r="EZ34" s="69"/>
      <c r="FA34" s="69"/>
      <c r="FB34" s="69"/>
      <c r="FC34" s="69"/>
      <c r="FD34" s="69"/>
      <c r="FE34" s="69"/>
      <c r="FF34" s="69"/>
      <c r="FG34" s="256">
        <v>234183.25</v>
      </c>
      <c r="FH34" s="175">
        <f>FG34*POWER(FG34/'Data|EBRIN'!EM40,1/4)</f>
        <v>237394.44017537782</v>
      </c>
      <c r="FI34" s="69"/>
      <c r="FJ34" s="69"/>
      <c r="FK34" s="69"/>
      <c r="FL34" s="69"/>
      <c r="FM34" s="69"/>
      <c r="FN34" s="69"/>
      <c r="FO34" s="69"/>
      <c r="FP34" s="69"/>
      <c r="FQ34" s="69"/>
      <c r="FR34" s="69"/>
      <c r="FS34" s="69"/>
      <c r="FT34" s="69"/>
      <c r="FU34" s="69"/>
      <c r="FV34" s="69"/>
      <c r="FW34" s="69"/>
      <c r="FX34" s="69"/>
      <c r="FY34" s="175">
        <f>FY33+FY28</f>
        <v>262416.00308999995</v>
      </c>
      <c r="FZ34" s="175">
        <f>FZ33+FZ28</f>
        <v>267708.07032973674</v>
      </c>
      <c r="GA34" s="69"/>
      <c r="GB34" s="69"/>
      <c r="GC34" s="69"/>
      <c r="GD34" s="69"/>
      <c r="GE34" s="69"/>
      <c r="GF34" s="69"/>
      <c r="GG34" s="69"/>
      <c r="GH34" s="69"/>
      <c r="GI34" s="69"/>
      <c r="GJ34" s="69"/>
      <c r="GK34" s="69"/>
      <c r="GL34" s="69"/>
      <c r="GM34" s="69"/>
      <c r="GN34" s="69"/>
      <c r="GO34" s="69"/>
      <c r="GP34" s="69"/>
      <c r="GQ34" s="175">
        <f>GQ33+GQ28</f>
        <v>221633.79366366842</v>
      </c>
      <c r="GR34" s="175">
        <f>GR33+GR28</f>
        <v>228425.67381065062</v>
      </c>
      <c r="GS34" s="69"/>
      <c r="GT34" s="69"/>
      <c r="GU34" s="69"/>
      <c r="GV34" s="69"/>
      <c r="GW34" s="69"/>
      <c r="GX34" s="69"/>
      <c r="GY34" s="69"/>
      <c r="GZ34" s="69"/>
      <c r="HA34" s="69"/>
      <c r="HB34" s="69"/>
      <c r="HC34" s="69"/>
      <c r="HD34" s="69"/>
      <c r="HE34" s="69"/>
      <c r="HF34" s="69"/>
      <c r="HG34" s="69"/>
      <c r="HH34" s="69"/>
      <c r="HI34" s="175">
        <f>HI33+HI28</f>
        <v>105315.0092425849</v>
      </c>
      <c r="HJ34" s="175">
        <f>HJ33+HJ28</f>
        <v>115139.34703349153</v>
      </c>
      <c r="HK34" s="69"/>
      <c r="HL34" s="69"/>
      <c r="HM34" s="69"/>
      <c r="HN34" s="69"/>
      <c r="HO34" s="69"/>
      <c r="HP34" s="69"/>
      <c r="HQ34" s="69"/>
      <c r="HR34" s="69"/>
      <c r="HS34" s="69"/>
      <c r="HT34" s="69"/>
      <c r="HU34" s="69"/>
      <c r="HV34" s="69"/>
      <c r="HW34" s="69"/>
      <c r="HX34" s="69"/>
      <c r="HY34" s="69"/>
      <c r="HZ34" s="69"/>
      <c r="IA34" s="175">
        <f>IA33+IA28</f>
        <v>124679.376</v>
      </c>
      <c r="IB34" s="175">
        <f>IB33+IB28</f>
        <v>129164.80143730638</v>
      </c>
    </row>
    <row r="35" spans="1:236" ht="13.35" customHeight="1">
      <c r="A35" s="69" t="s">
        <v>1050</v>
      </c>
      <c r="B35" s="69" t="s">
        <v>1049</v>
      </c>
      <c r="S35" s="175">
        <f>S34</f>
        <v>70623.540977441007</v>
      </c>
      <c r="T35" s="175">
        <f>T34</f>
        <v>84858.588351146347</v>
      </c>
      <c r="U35" s="69"/>
      <c r="V35" s="69"/>
      <c r="W35" s="69"/>
      <c r="X35" s="69"/>
      <c r="Y35" s="69"/>
      <c r="Z35" s="69"/>
      <c r="AA35" s="69"/>
      <c r="AB35" s="69"/>
      <c r="AC35" s="69"/>
      <c r="AD35" s="69"/>
      <c r="AE35" s="69"/>
      <c r="AF35" s="69"/>
      <c r="AG35" s="69"/>
      <c r="AH35" s="69"/>
      <c r="AI35" s="69"/>
      <c r="AJ35" s="69"/>
      <c r="AK35" s="175">
        <f>AK34</f>
        <v>350363.98099999997</v>
      </c>
      <c r="AL35" s="175">
        <f>AL34</f>
        <v>391306.02510397579</v>
      </c>
      <c r="AM35" s="69"/>
      <c r="AN35" s="69"/>
      <c r="AO35" s="69"/>
      <c r="AP35" s="69"/>
      <c r="AQ35" s="69"/>
      <c r="AR35" s="69"/>
      <c r="AS35" s="69"/>
      <c r="AT35" s="69"/>
      <c r="AU35" s="69"/>
      <c r="AV35" s="69"/>
      <c r="AW35" s="69"/>
      <c r="AX35" s="69"/>
      <c r="AY35" s="69"/>
      <c r="AZ35" s="69"/>
      <c r="BA35" s="69"/>
      <c r="BB35" s="69"/>
      <c r="BC35" s="256">
        <f>BC34</f>
        <v>72884.255999999994</v>
      </c>
      <c r="BD35" s="175">
        <f>BD34</f>
        <v>74242.781204652449</v>
      </c>
      <c r="BE35" s="69"/>
      <c r="BF35" s="69"/>
      <c r="BG35" s="69"/>
      <c r="BH35" s="69"/>
      <c r="BI35" s="69"/>
      <c r="BJ35" s="69"/>
      <c r="BK35" s="69"/>
      <c r="BL35" s="69"/>
      <c r="BM35" s="69"/>
      <c r="BN35" s="69"/>
      <c r="BO35" s="69"/>
      <c r="BP35" s="69"/>
      <c r="BQ35" s="69"/>
      <c r="BR35" s="69"/>
      <c r="BS35" s="69"/>
      <c r="BT35" s="69"/>
      <c r="BU35" s="175">
        <f>BU34</f>
        <v>276174.46400000004</v>
      </c>
      <c r="BV35" s="175">
        <f>BV34</f>
        <v>281055.83851902164</v>
      </c>
      <c r="BW35" s="69"/>
      <c r="BX35" s="69"/>
      <c r="BY35" s="69"/>
      <c r="BZ35" s="69"/>
      <c r="CA35" s="69"/>
      <c r="CB35" s="69"/>
      <c r="CC35" s="69"/>
      <c r="CD35" s="69"/>
      <c r="CE35" s="69"/>
      <c r="CF35" s="69"/>
      <c r="CG35" s="69"/>
      <c r="CH35" s="69"/>
      <c r="CI35" s="69"/>
      <c r="CJ35" s="69"/>
      <c r="CK35" s="69"/>
      <c r="CL35" s="69"/>
      <c r="CM35" s="175">
        <f>CM34+CM28</f>
        <v>453909.71500000003</v>
      </c>
      <c r="CN35" s="175">
        <f>CN34+CN28</f>
        <v>453070.82691721007</v>
      </c>
      <c r="CO35" s="69"/>
      <c r="CP35" s="69"/>
      <c r="CQ35" s="69"/>
      <c r="CR35" s="69"/>
      <c r="CS35" s="69"/>
      <c r="CT35" s="69"/>
      <c r="CU35" s="69"/>
      <c r="CV35" s="69"/>
      <c r="CW35" s="69"/>
      <c r="CX35" s="69"/>
      <c r="CY35" s="69"/>
      <c r="CZ35" s="69"/>
      <c r="DA35" s="69"/>
      <c r="DB35" s="69"/>
      <c r="DC35" s="69"/>
      <c r="DD35" s="69"/>
      <c r="DE35" s="175">
        <f>DE34+DE28</f>
        <v>444673.81099999999</v>
      </c>
      <c r="DF35" s="175">
        <f>DF34+DF28</f>
        <v>431200.00794387516</v>
      </c>
      <c r="DG35" s="69"/>
      <c r="DH35" s="69"/>
      <c r="DI35" s="69"/>
      <c r="DJ35" s="69"/>
      <c r="DK35" s="69"/>
      <c r="DL35" s="69"/>
      <c r="DM35" s="69"/>
      <c r="DN35" s="69"/>
      <c r="DO35" s="69"/>
      <c r="DP35" s="69"/>
      <c r="DQ35" s="69"/>
      <c r="DR35" s="69"/>
      <c r="DS35" s="69"/>
      <c r="DT35" s="69"/>
      <c r="DU35" s="69"/>
      <c r="DV35" s="69"/>
      <c r="DW35" s="175">
        <f>DW34</f>
        <v>413880.68200000003</v>
      </c>
      <c r="DX35" s="175">
        <f>DX34</f>
        <v>483847.00924621726</v>
      </c>
      <c r="DY35" s="69"/>
      <c r="DZ35" s="69"/>
      <c r="EA35" s="69"/>
      <c r="EB35" s="69"/>
      <c r="EC35" s="69"/>
      <c r="ED35" s="69"/>
      <c r="EE35" s="69"/>
      <c r="EF35" s="69"/>
      <c r="EG35" s="69"/>
      <c r="EH35" s="69"/>
      <c r="EI35" s="69"/>
      <c r="EJ35" s="69"/>
      <c r="EK35" s="69"/>
      <c r="EL35" s="69"/>
      <c r="EM35" s="69"/>
      <c r="EN35" s="69"/>
      <c r="EO35" s="256">
        <f>EO34</f>
        <v>78487.144260000001</v>
      </c>
      <c r="EP35" s="175">
        <f>EP34</f>
        <v>75772.33663605059</v>
      </c>
      <c r="EQ35" s="69"/>
      <c r="ER35" s="69"/>
      <c r="ES35" s="69"/>
      <c r="ET35" s="69"/>
      <c r="EU35" s="69"/>
      <c r="EV35" s="69"/>
      <c r="EW35" s="69"/>
      <c r="EX35" s="69"/>
      <c r="EY35" s="69"/>
      <c r="EZ35" s="69"/>
      <c r="FA35" s="69"/>
      <c r="FB35" s="69"/>
      <c r="FC35" s="69"/>
      <c r="FD35" s="69"/>
      <c r="FE35" s="69"/>
      <c r="FF35" s="69"/>
      <c r="FG35" s="256">
        <f>FG34</f>
        <v>234183.25</v>
      </c>
      <c r="FH35" s="175">
        <f>FH34</f>
        <v>237394.44017537782</v>
      </c>
      <c r="FI35" s="69"/>
      <c r="FJ35" s="69"/>
      <c r="FK35" s="69"/>
      <c r="FL35" s="69"/>
      <c r="FM35" s="69"/>
      <c r="FN35" s="69"/>
      <c r="FO35" s="69"/>
      <c r="FP35" s="69"/>
      <c r="FQ35" s="69"/>
      <c r="FR35" s="69"/>
      <c r="FS35" s="69"/>
      <c r="FT35" s="69"/>
      <c r="FU35" s="69"/>
      <c r="FV35" s="69"/>
      <c r="FW35" s="69"/>
      <c r="FX35" s="69"/>
      <c r="FY35" s="175">
        <f>FY34</f>
        <v>262416.00308999995</v>
      </c>
      <c r="FZ35" s="175">
        <f>FZ34</f>
        <v>267708.07032973674</v>
      </c>
      <c r="GA35" s="69"/>
      <c r="GB35" s="69"/>
      <c r="GC35" s="69"/>
      <c r="GD35" s="69"/>
      <c r="GE35" s="69"/>
      <c r="GF35" s="69"/>
      <c r="GG35" s="69"/>
      <c r="GH35" s="69"/>
      <c r="GI35" s="69"/>
      <c r="GJ35" s="69"/>
      <c r="GK35" s="69"/>
      <c r="GL35" s="69"/>
      <c r="GM35" s="69"/>
      <c r="GN35" s="69"/>
      <c r="GO35" s="69"/>
      <c r="GP35" s="69"/>
      <c r="GQ35" s="175">
        <f>GQ34</f>
        <v>221633.79366366842</v>
      </c>
      <c r="GR35" s="175">
        <f>GR34</f>
        <v>228425.67381065062</v>
      </c>
      <c r="GS35" s="69"/>
      <c r="GT35" s="69"/>
      <c r="GU35" s="69"/>
      <c r="GV35" s="69"/>
      <c r="GW35" s="69"/>
      <c r="GX35" s="69"/>
      <c r="GY35" s="69"/>
      <c r="GZ35" s="69"/>
      <c r="HA35" s="69"/>
      <c r="HB35" s="69"/>
      <c r="HC35" s="69"/>
      <c r="HD35" s="69"/>
      <c r="HE35" s="69"/>
      <c r="HF35" s="69"/>
      <c r="HG35" s="69"/>
      <c r="HH35" s="69"/>
      <c r="HI35" s="175">
        <f>HI34</f>
        <v>105315.0092425849</v>
      </c>
      <c r="HJ35" s="175">
        <f>HJ34</f>
        <v>115139.34703349153</v>
      </c>
      <c r="HK35" s="69"/>
      <c r="HL35" s="69"/>
      <c r="HM35" s="69"/>
      <c r="HN35" s="69"/>
      <c r="HO35" s="69"/>
      <c r="HP35" s="69"/>
      <c r="HQ35" s="69"/>
      <c r="HR35" s="69"/>
      <c r="HS35" s="69"/>
      <c r="HT35" s="69"/>
      <c r="HU35" s="69"/>
      <c r="HV35" s="69"/>
      <c r="HW35" s="69"/>
      <c r="HX35" s="69"/>
      <c r="HY35" s="69"/>
      <c r="HZ35" s="69"/>
      <c r="IA35" s="175">
        <f>IA34</f>
        <v>124679.376</v>
      </c>
      <c r="IB35" s="175">
        <f>IB34</f>
        <v>129164.80143730638</v>
      </c>
    </row>
    <row r="37" spans="1:236" ht="13.35" customHeight="1">
      <c r="L37" s="244"/>
      <c r="M37" s="244"/>
      <c r="N37" s="244"/>
      <c r="O37" s="244"/>
      <c r="P37" s="244"/>
      <c r="Q37" s="244"/>
      <c r="R37" s="244"/>
      <c r="HU37" s="74"/>
      <c r="HV37" s="69"/>
    </row>
    <row r="38" spans="1:236" ht="13.35" customHeight="1">
      <c r="L38" s="244"/>
      <c r="M38" s="244"/>
      <c r="N38" s="244"/>
      <c r="O38" s="244"/>
      <c r="P38" s="244"/>
      <c r="Q38" s="244"/>
      <c r="R38" s="244"/>
    </row>
    <row r="39" spans="1:236" ht="13.35" customHeight="1">
      <c r="L39" s="245"/>
      <c r="M39" s="245"/>
      <c r="N39" s="245"/>
      <c r="O39" s="245"/>
      <c r="P39" s="245"/>
      <c r="Q39" s="245"/>
      <c r="R39" s="245"/>
      <c r="HU39" s="65"/>
    </row>
    <row r="40" spans="1:236" ht="13.35" customHeight="1">
      <c r="L40" s="246"/>
      <c r="M40" s="246"/>
      <c r="N40" s="246"/>
      <c r="O40" s="246"/>
      <c r="P40" s="246"/>
      <c r="Q40" s="246"/>
      <c r="R40" s="246"/>
      <c r="HU40" s="67"/>
    </row>
    <row r="41" spans="1:236" ht="13.35" customHeight="1">
      <c r="HU41" s="67"/>
    </row>
    <row r="42" spans="1:236" ht="13.35" customHeight="1">
      <c r="Q42" s="24" t="s">
        <v>1056</v>
      </c>
      <c r="HU42" s="67"/>
    </row>
    <row r="43" spans="1:236" ht="13.35" customHeight="1">
      <c r="Q43" s="257" t="s">
        <v>1052</v>
      </c>
      <c r="R43" s="258"/>
      <c r="S43" s="247">
        <v>0.51056221517357325</v>
      </c>
      <c r="HU43" s="67"/>
    </row>
    <row r="44" spans="1:236" ht="13.35" customHeight="1">
      <c r="Q44" s="257" t="s">
        <v>1053</v>
      </c>
      <c r="R44" s="258"/>
      <c r="S44" s="247">
        <v>0.74210799999999999</v>
      </c>
      <c r="HU44" s="67"/>
    </row>
    <row r="45" spans="1:236" ht="13.35" customHeight="1">
      <c r="Q45" s="257" t="s">
        <v>1054</v>
      </c>
      <c r="R45" s="258"/>
      <c r="S45" s="248">
        <v>0.40453417999999997</v>
      </c>
      <c r="HU45" s="67"/>
    </row>
    <row r="46" spans="1:236" ht="13.35" customHeight="1">
      <c r="Q46" s="249"/>
      <c r="R46" s="249"/>
      <c r="S46" s="250"/>
      <c r="HU46" s="67"/>
    </row>
    <row r="47" spans="1:236" ht="13.35" customHeight="1">
      <c r="HU47" s="67"/>
    </row>
    <row r="48" spans="1:236" ht="13.35" customHeight="1">
      <c r="S48" s="69"/>
      <c r="HU48" s="67"/>
    </row>
    <row r="49" spans="19:229" ht="13.35" customHeight="1">
      <c r="S49" s="69"/>
    </row>
    <row r="50" spans="19:229" ht="13.35" customHeight="1">
      <c r="HU50" s="74"/>
    </row>
    <row r="52" spans="19:229" ht="13.35" customHeight="1">
      <c r="S52" s="102"/>
      <c r="HU52" s="65"/>
    </row>
    <row r="53" spans="19:229" ht="13.35" customHeight="1">
      <c r="HU53" s="67"/>
    </row>
    <row r="54" spans="19:229" ht="13.35" customHeight="1">
      <c r="HU54" s="67"/>
    </row>
    <row r="55" spans="19:229" ht="13.35" customHeight="1">
      <c r="HU55" s="67"/>
    </row>
    <row r="56" spans="19:229" ht="13.35" customHeight="1">
      <c r="HU56" s="67"/>
    </row>
    <row r="57" spans="19:229" ht="13.35" customHeight="1">
      <c r="HU57" s="67"/>
    </row>
    <row r="58" spans="19:229" ht="13.35" customHeight="1">
      <c r="HU58" s="67"/>
    </row>
    <row r="59" spans="19:229" ht="13.35" customHeight="1">
      <c r="HU59" s="67"/>
    </row>
    <row r="60" spans="19:229" ht="13.35" customHeight="1">
      <c r="HU60" s="67"/>
    </row>
    <row r="61" spans="19:229" ht="13.35" customHeight="1">
      <c r="HU61" s="67"/>
    </row>
  </sheetData>
  <mergeCells count="3">
    <mergeCell ref="Q43:R43"/>
    <mergeCell ref="Q44:R44"/>
    <mergeCell ref="Q45:R45"/>
  </mergeCells>
  <dataValidations disablePrompts="1" count="1">
    <dataValidation type="list" allowBlank="1" showInputMessage="1" showErrorMessage="1" sqref="S52" xr:uid="{00000000-0002-0000-0700-000000000000}">
      <formula1>$S$50:$S$51</formula1>
    </dataValidation>
  </dataValidations>
  <hyperlinks>
    <hyperlink ref="A2" location="Index!A1" display="Index" xr:uid="{00000000-0004-0000-0700-000000000000}"/>
  </hyperlinks>
  <pageMargins left="0.7" right="0.7" top="0.75" bottom="0.75" header="0.3" footer="0.3"/>
  <pageSetup paperSize="9" orientation="portrait" r:id="rId1"/>
  <ignoredErrors>
    <ignoredError sqref="AK28 DW28"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AE54"/>
  <sheetViews>
    <sheetView workbookViewId="0">
      <selection activeCell="C13" sqref="C13"/>
    </sheetView>
  </sheetViews>
  <sheetFormatPr defaultColWidth="8.85546875" defaultRowHeight="13.35" customHeight="1"/>
  <cols>
    <col min="1" max="1" width="38.85546875" style="9" customWidth="1"/>
    <col min="2" max="2" width="45.85546875" style="35" customWidth="1"/>
    <col min="3" max="3" width="21.85546875" style="9" customWidth="1"/>
    <col min="4" max="4" width="42.7109375" style="9" customWidth="1"/>
    <col min="5" max="5" width="34.85546875" style="9" customWidth="1"/>
    <col min="6" max="6" width="11.42578125" style="9" customWidth="1"/>
    <col min="7" max="7" width="16.140625" style="9" bestFit="1" customWidth="1"/>
    <col min="8" max="8" width="18.85546875" style="9" bestFit="1" customWidth="1"/>
    <col min="9" max="9" width="16.140625" style="9" customWidth="1"/>
    <col min="10" max="10" width="18.140625" style="9" customWidth="1"/>
    <col min="11" max="11" width="15.42578125" style="9" customWidth="1"/>
    <col min="12" max="12" width="18.140625" style="9" customWidth="1"/>
    <col min="13" max="13" width="17.140625" style="9" customWidth="1"/>
    <col min="14" max="14" width="11.42578125" style="9" customWidth="1"/>
    <col min="15" max="15" width="21" style="9" bestFit="1" customWidth="1"/>
    <col min="16" max="16" width="34.42578125" style="9" bestFit="1" customWidth="1"/>
    <col min="17" max="17" width="19.5703125" style="9" bestFit="1" customWidth="1"/>
    <col min="18" max="18" width="20.140625" style="9" bestFit="1" customWidth="1"/>
    <col min="19" max="19" width="17.85546875" style="9" bestFit="1" customWidth="1"/>
    <col min="20" max="20" width="34.42578125" style="9" bestFit="1" customWidth="1"/>
    <col min="21" max="21" width="8.85546875" style="9"/>
    <col min="22" max="22" width="35.140625" style="9" bestFit="1" customWidth="1"/>
    <col min="23" max="25" width="12" style="9" bestFit="1" customWidth="1"/>
    <col min="26" max="26" width="12.85546875" style="9" bestFit="1" customWidth="1"/>
    <col min="27" max="27" width="19.5703125" style="9" bestFit="1" customWidth="1"/>
    <col min="28" max="28" width="10.5703125" style="9" bestFit="1" customWidth="1"/>
    <col min="29" max="30" width="10.42578125" style="9" bestFit="1" customWidth="1"/>
    <col min="31" max="31" width="21" style="9" bestFit="1" customWidth="1"/>
    <col min="32" max="33" width="8.85546875" style="9"/>
    <col min="34" max="34" width="34.42578125" style="9" bestFit="1" customWidth="1"/>
    <col min="35" max="43" width="7.5703125" style="9" bestFit="1" customWidth="1"/>
    <col min="44" max="16384" width="8.85546875" style="9"/>
  </cols>
  <sheetData>
    <row r="1" spans="1:31" s="7" customFormat="1" ht="15.6" customHeight="1">
      <c r="A1" s="1" t="s">
        <v>894</v>
      </c>
      <c r="B1" s="34"/>
    </row>
    <row r="2" spans="1:31" s="16" customFormat="1" ht="13.35" customHeight="1">
      <c r="A2" s="90" t="s">
        <v>86</v>
      </c>
      <c r="C2" s="15"/>
      <c r="E2" s="89"/>
    </row>
    <row r="3" spans="1:31" ht="13.35" customHeight="1" thickBot="1">
      <c r="A3" s="8" t="s">
        <v>138</v>
      </c>
    </row>
    <row r="5" spans="1:31" s="4" customFormat="1" ht="13.35" customHeight="1">
      <c r="A5" s="2" t="s">
        <v>109</v>
      </c>
      <c r="B5" s="36"/>
      <c r="C5" s="3"/>
      <c r="D5" s="3"/>
      <c r="E5" s="3"/>
      <c r="F5" s="3"/>
      <c r="G5" s="5"/>
      <c r="H5" s="6"/>
      <c r="I5" s="5"/>
      <c r="J5" s="6"/>
      <c r="K5" s="5"/>
      <c r="L5" s="5"/>
      <c r="M5" s="5"/>
      <c r="N5" s="5"/>
      <c r="O5" s="5"/>
      <c r="P5" s="5"/>
      <c r="Q5" s="5"/>
      <c r="R5" s="5"/>
      <c r="S5" s="6"/>
      <c r="T5" s="6"/>
      <c r="U5" s="5"/>
      <c r="V5" s="5"/>
      <c r="W5" s="5"/>
      <c r="X5" s="5"/>
      <c r="Y5" s="5"/>
    </row>
    <row r="6" spans="1:31" s="10" customFormat="1" ht="13.35" customHeight="1">
      <c r="B6" s="37"/>
    </row>
    <row r="7" spans="1:31" s="26" customFormat="1" ht="13.35" customHeight="1">
      <c r="A7" s="26" t="s">
        <v>105</v>
      </c>
      <c r="B7" s="26" t="s">
        <v>108</v>
      </c>
      <c r="L7" s="27"/>
      <c r="M7" s="13"/>
      <c r="V7" s="26" t="s">
        <v>104</v>
      </c>
      <c r="W7" s="26">
        <v>2016</v>
      </c>
      <c r="X7" s="26">
        <v>2017</v>
      </c>
      <c r="Y7" s="26">
        <v>2018</v>
      </c>
      <c r="Z7" s="26">
        <v>2019</v>
      </c>
      <c r="AA7" s="26">
        <v>2020</v>
      </c>
      <c r="AB7" s="26">
        <v>2021</v>
      </c>
      <c r="AC7" s="26">
        <v>2022</v>
      </c>
      <c r="AD7" s="26">
        <v>2023</v>
      </c>
      <c r="AE7" s="28">
        <v>2024</v>
      </c>
    </row>
    <row r="8" spans="1:31" s="11" customFormat="1" ht="13.35" customHeight="1">
      <c r="A8" s="10" t="s">
        <v>88</v>
      </c>
      <c r="B8" s="38" t="s">
        <v>1051</v>
      </c>
      <c r="D8" s="24"/>
      <c r="E8" s="24"/>
      <c r="L8" s="12"/>
      <c r="M8" s="13"/>
      <c r="AE8" s="14"/>
    </row>
    <row r="9" spans="1:31" s="11" customFormat="1" ht="13.35" customHeight="1">
      <c r="A9" s="10" t="s">
        <v>778</v>
      </c>
      <c r="B9" s="63" t="str">
        <f>VLOOKUP(Parameter_Scenario, Table_Scenario_number, 2, FALSE)</f>
        <v>15_lb</v>
      </c>
      <c r="D9" s="23"/>
      <c r="E9" s="25"/>
      <c r="L9" s="12"/>
      <c r="M9" s="13"/>
      <c r="AE9" s="14"/>
    </row>
    <row r="10" spans="1:31" s="11" customFormat="1" ht="13.35" customHeight="1">
      <c r="A10" s="10" t="s">
        <v>0</v>
      </c>
      <c r="B10" s="38" t="s">
        <v>14</v>
      </c>
      <c r="D10" s="23"/>
      <c r="E10" s="25"/>
      <c r="L10" s="12"/>
      <c r="M10" s="13"/>
      <c r="AE10" s="14"/>
    </row>
    <row r="11" spans="1:31" s="11" customFormat="1" ht="13.35" customHeight="1">
      <c r="A11" s="10" t="s">
        <v>118</v>
      </c>
      <c r="B11" s="46" t="str">
        <f>VLOOKUP(Parameter_DNSP, Table_DNSP, 2, FALSE)</f>
        <v>Endeavour Energy</v>
      </c>
      <c r="D11" s="23"/>
      <c r="E11" s="25"/>
      <c r="L11" s="12"/>
      <c r="M11" s="13"/>
      <c r="AE11" s="14"/>
    </row>
    <row r="12" spans="1:31" s="11" customFormat="1" ht="13.35" customHeight="1">
      <c r="A12" s="10" t="s">
        <v>978</v>
      </c>
      <c r="B12" s="46" t="str">
        <f>VLOOKUP(Parameter_DNSP, Table_Victorian_or_non_Victorian, 2, FALSE)</f>
        <v>Non-Victorian</v>
      </c>
      <c r="D12" s="23"/>
      <c r="E12" s="25"/>
      <c r="L12" s="12"/>
      <c r="M12" s="13"/>
      <c r="AE12" s="14"/>
    </row>
    <row r="13" spans="1:31" s="11" customFormat="1" ht="13.35" customHeight="1">
      <c r="A13" s="10" t="s">
        <v>765</v>
      </c>
      <c r="B13" s="149" t="s">
        <v>773</v>
      </c>
      <c r="D13" s="23"/>
      <c r="E13" s="25"/>
      <c r="L13" s="12"/>
      <c r="M13" s="13"/>
      <c r="AE13" s="14"/>
    </row>
    <row r="14" spans="1:31" s="11" customFormat="1" ht="13.35" customHeight="1">
      <c r="A14" s="10" t="s">
        <v>379</v>
      </c>
      <c r="B14" s="63">
        <f>IF(Parameter_Base_year_manual_override = "", VLOOKUP(Parameter_DNSP, Table_Base_year_default, 2, FALSE), Parameter_Base_year_manual_override)</f>
        <v>2023</v>
      </c>
      <c r="L14" s="12"/>
      <c r="M14" s="13"/>
      <c r="AE14" s="14"/>
    </row>
    <row r="15" spans="1:31" s="11" customFormat="1" ht="13.35" customHeight="1">
      <c r="A15" s="10" t="s">
        <v>378</v>
      </c>
      <c r="B15" s="64"/>
      <c r="L15" s="12"/>
      <c r="M15" s="13"/>
      <c r="AE15" s="14"/>
    </row>
    <row r="16" spans="1:31" s="11" customFormat="1" ht="13.35" customHeight="1">
      <c r="A16" s="10" t="s">
        <v>741</v>
      </c>
      <c r="B16" s="10">
        <v>2006</v>
      </c>
      <c r="L16" s="12"/>
      <c r="M16" s="13"/>
      <c r="AE16" s="14"/>
    </row>
    <row r="17" spans="1:31" s="11" customFormat="1" ht="13.35" customHeight="1">
      <c r="A17" s="10" t="s">
        <v>742</v>
      </c>
      <c r="B17" s="10">
        <v>2012</v>
      </c>
      <c r="L17" s="12"/>
      <c r="M17" s="13"/>
      <c r="AE17" s="14"/>
    </row>
    <row r="18" spans="1:31" s="11" customFormat="1" ht="13.35" customHeight="1">
      <c r="A18" s="10" t="s">
        <v>4</v>
      </c>
      <c r="B18" s="251">
        <v>2021</v>
      </c>
      <c r="L18" s="12"/>
      <c r="M18" s="13"/>
      <c r="AE18" s="14"/>
    </row>
    <row r="19" spans="1:31" s="11" customFormat="1" ht="13.35" customHeight="1">
      <c r="A19" s="252"/>
      <c r="B19" s="253"/>
      <c r="L19" s="12"/>
      <c r="M19" s="13"/>
      <c r="AE19" s="14"/>
    </row>
    <row r="20" spans="1:31" s="11" customFormat="1" ht="13.35" customHeight="1">
      <c r="A20" s="252"/>
      <c r="B20" s="253"/>
      <c r="L20" s="12"/>
      <c r="M20" s="13"/>
      <c r="AE20" s="14"/>
    </row>
    <row r="21" spans="1:31" s="11" customFormat="1" ht="13.35" customHeight="1">
      <c r="A21" s="10"/>
      <c r="L21" s="12"/>
      <c r="M21" s="13"/>
      <c r="AE21" s="14"/>
    </row>
    <row r="22" spans="1:31" s="4" customFormat="1" ht="13.35" customHeight="1">
      <c r="A22" s="2" t="s">
        <v>906</v>
      </c>
      <c r="B22" s="36"/>
      <c r="C22" s="3"/>
      <c r="D22" s="3"/>
      <c r="E22" s="3"/>
      <c r="F22" s="3"/>
      <c r="G22" s="5"/>
      <c r="H22" s="6"/>
      <c r="I22" s="5"/>
      <c r="J22" s="6"/>
      <c r="K22" s="5"/>
      <c r="L22" s="5"/>
      <c r="M22" s="5"/>
      <c r="N22" s="5"/>
      <c r="O22" s="5"/>
      <c r="P22" s="5"/>
      <c r="Q22" s="5"/>
      <c r="R22" s="5"/>
      <c r="S22" s="6"/>
      <c r="T22" s="6"/>
      <c r="U22" s="5"/>
      <c r="V22" s="5"/>
      <c r="W22" s="5"/>
      <c r="X22" s="5"/>
      <c r="Y22" s="5"/>
    </row>
    <row r="23" spans="1:31" s="11" customFormat="1" ht="13.35" customHeight="1">
      <c r="A23" s="10"/>
      <c r="B23" s="37"/>
      <c r="L23" s="12"/>
      <c r="M23" s="13"/>
      <c r="AE23" s="14"/>
    </row>
    <row r="24" spans="1:31" s="11" customFormat="1" ht="13.35" customHeight="1">
      <c r="A24" s="10" t="s">
        <v>774</v>
      </c>
      <c r="B24" s="138">
        <v>0</v>
      </c>
      <c r="L24" s="12"/>
      <c r="M24" s="13"/>
      <c r="AE24" s="14"/>
    </row>
    <row r="25" spans="1:31" s="11" customFormat="1" ht="13.35" customHeight="1">
      <c r="A25" s="10" t="s">
        <v>775</v>
      </c>
      <c r="B25" s="137" t="s">
        <v>156</v>
      </c>
      <c r="L25" s="12"/>
      <c r="M25" s="13"/>
      <c r="AE25" s="14"/>
    </row>
    <row r="26" spans="1:31" s="11" customFormat="1" ht="13.35" customHeight="1">
      <c r="A26" s="10"/>
      <c r="B26" s="37"/>
      <c r="L26" s="12"/>
      <c r="M26" s="13"/>
      <c r="AE26" s="14"/>
    </row>
    <row r="27" spans="1:31" s="4" customFormat="1" ht="13.35" customHeight="1">
      <c r="A27" s="2" t="s">
        <v>53</v>
      </c>
      <c r="B27" s="36"/>
      <c r="C27" s="3"/>
      <c r="D27" s="3"/>
      <c r="E27" s="3"/>
      <c r="F27" s="3"/>
      <c r="G27" s="5"/>
      <c r="H27" s="6"/>
      <c r="I27" s="5"/>
      <c r="J27" s="6"/>
      <c r="K27" s="5"/>
      <c r="L27" s="5"/>
      <c r="M27" s="5"/>
      <c r="N27" s="5"/>
      <c r="O27" s="5"/>
      <c r="P27" s="5"/>
      <c r="Q27" s="5"/>
      <c r="R27" s="5"/>
      <c r="S27" s="6"/>
      <c r="T27" s="6"/>
      <c r="U27" s="5"/>
      <c r="V27" s="5"/>
      <c r="W27" s="5"/>
      <c r="X27" s="5"/>
      <c r="Y27" s="5"/>
    </row>
    <row r="28" spans="1:31" s="11" customFormat="1" ht="13.35" customHeight="1">
      <c r="A28" s="10"/>
      <c r="B28" s="37"/>
      <c r="L28" s="12"/>
      <c r="M28" s="13"/>
      <c r="AE28" s="14"/>
    </row>
    <row r="29" spans="1:31" s="26" customFormat="1" ht="13.35" customHeight="1">
      <c r="A29" s="26" t="s">
        <v>105</v>
      </c>
      <c r="B29" s="26" t="s">
        <v>108</v>
      </c>
      <c r="L29" s="27"/>
      <c r="M29" s="13"/>
      <c r="AE29" s="28"/>
    </row>
    <row r="30" spans="1:31" s="11" customFormat="1" ht="13.35" customHeight="1">
      <c r="A30" s="10" t="s">
        <v>53</v>
      </c>
      <c r="B30" s="45">
        <v>0.75</v>
      </c>
      <c r="L30" s="12"/>
      <c r="M30" s="13"/>
      <c r="AE30" s="14"/>
    </row>
    <row r="31" spans="1:31" s="11" customFormat="1" ht="13.35" customHeight="1">
      <c r="A31" s="10"/>
      <c r="B31" s="39"/>
      <c r="L31" s="12"/>
      <c r="M31" s="13"/>
      <c r="AE31" s="14"/>
    </row>
    <row r="32" spans="1:31" s="4" customFormat="1" ht="13.35" customHeight="1">
      <c r="A32" s="2" t="s">
        <v>743</v>
      </c>
      <c r="B32" s="36"/>
      <c r="C32" s="3"/>
      <c r="D32" s="3"/>
      <c r="E32" s="3"/>
      <c r="F32" s="3"/>
      <c r="G32" s="5"/>
      <c r="H32" s="6"/>
      <c r="I32" s="5"/>
      <c r="J32" s="6"/>
      <c r="K32" s="5"/>
      <c r="L32" s="5"/>
      <c r="M32" s="5"/>
      <c r="N32" s="5"/>
      <c r="O32" s="5"/>
      <c r="P32" s="5"/>
      <c r="Q32" s="5"/>
      <c r="R32" s="5"/>
      <c r="S32" s="6"/>
      <c r="T32" s="6"/>
      <c r="U32" s="5"/>
      <c r="V32" s="5"/>
      <c r="W32" s="5"/>
      <c r="X32" s="5"/>
      <c r="Y32" s="5"/>
    </row>
    <row r="33" spans="1:31" s="11" customFormat="1" ht="13.35" customHeight="1">
      <c r="A33" s="10"/>
      <c r="B33" s="39"/>
      <c r="L33" s="12"/>
      <c r="M33" s="13"/>
      <c r="AE33" s="14"/>
    </row>
    <row r="34" spans="1:31" s="26" customFormat="1" ht="13.35" customHeight="1">
      <c r="A34" s="26" t="s">
        <v>105</v>
      </c>
      <c r="B34" s="26" t="s">
        <v>108</v>
      </c>
      <c r="L34" s="27"/>
      <c r="M34" s="13"/>
      <c r="AE34" s="28"/>
    </row>
    <row r="35" spans="1:31" s="26" customFormat="1" ht="13.35" customHeight="1">
      <c r="A35" s="37" t="s">
        <v>964</v>
      </c>
      <c r="B35" s="38" t="s">
        <v>776</v>
      </c>
      <c r="L35" s="27"/>
      <c r="M35" s="13"/>
      <c r="AE35" s="28"/>
    </row>
    <row r="36" spans="1:31" s="11" customFormat="1" ht="13.35" customHeight="1">
      <c r="A36" s="10" t="s">
        <v>901</v>
      </c>
      <c r="B36" s="61">
        <f>IF(Parameter_Include_OEFs = "1 - Yes", Parameter_OEF_Sapere_Merz_long + Parameter_OEF_vegetation_management_long + Parameter_OEF_capitalisation_long, 0)</f>
        <v>1.4651593831993111E-2</v>
      </c>
      <c r="L36" s="12"/>
      <c r="M36" s="13"/>
      <c r="AE36" s="14"/>
    </row>
    <row r="37" spans="1:31" s="11" customFormat="1" ht="13.35" customHeight="1">
      <c r="A37" s="10" t="s">
        <v>902</v>
      </c>
      <c r="B37" s="47">
        <f>VLOOKUP(Parameter_DNSP, Table_OEF_Sapere_Merz_long, 2, FALSE)</f>
        <v>2.8186657161604352E-2</v>
      </c>
      <c r="L37" s="12"/>
      <c r="M37" s="13"/>
      <c r="AE37" s="14"/>
    </row>
    <row r="38" spans="1:31" s="11" customFormat="1" ht="13.35" customHeight="1">
      <c r="A38" s="10" t="s">
        <v>903</v>
      </c>
      <c r="B38" s="47">
        <f>VLOOKUP(Parameter_DNSP, Table_OEF_vegetation_management_long, 2, FALSE)</f>
        <v>-1.3535063329611241E-2</v>
      </c>
      <c r="L38" s="12"/>
      <c r="M38" s="13"/>
      <c r="AE38" s="14"/>
    </row>
    <row r="39" spans="1:31" s="11" customFormat="1" ht="13.35" customHeight="1">
      <c r="A39" s="10" t="s">
        <v>904</v>
      </c>
      <c r="B39" s="47">
        <f>IF(Parameter_OEF_capitalisation_long_manual_override = "", VLOOKUP(Parameter_DNSP, Table_OEF_capitalisation_long, MATCH(Parameter_OEF_capitalisation_basis_long, Header_Table_OEF_capitalisation_long, 0), FALSE), Parameter_OEF_capitalisation_long_manual_override)</f>
        <v>0</v>
      </c>
      <c r="L39" s="12"/>
      <c r="M39" s="13"/>
      <c r="AE39" s="14"/>
    </row>
    <row r="40" spans="1:31" s="11" customFormat="1" ht="13.35" customHeight="1">
      <c r="A40" s="10" t="s">
        <v>905</v>
      </c>
      <c r="B40" s="38" t="s">
        <v>92</v>
      </c>
      <c r="L40" s="12"/>
      <c r="M40" s="13"/>
      <c r="AE40" s="14"/>
    </row>
    <row r="41" spans="1:31" s="11" customFormat="1" ht="13.35" customHeight="1">
      <c r="A41" s="10" t="s">
        <v>970</v>
      </c>
      <c r="B41" s="137">
        <v>0</v>
      </c>
      <c r="L41" s="12"/>
      <c r="M41" s="13"/>
      <c r="AE41" s="14"/>
    </row>
    <row r="42" spans="1:31" s="11" customFormat="1" ht="13.35" customHeight="1">
      <c r="A42" s="10" t="s">
        <v>1055</v>
      </c>
      <c r="B42" s="62" t="s">
        <v>1060</v>
      </c>
      <c r="L42" s="12"/>
      <c r="M42" s="13"/>
      <c r="AE42" s="14"/>
    </row>
    <row r="43" spans="1:31" s="4" customFormat="1" ht="13.35" customHeight="1">
      <c r="A43" s="2" t="s">
        <v>744</v>
      </c>
      <c r="B43" s="36"/>
      <c r="C43" s="3"/>
      <c r="D43" s="3"/>
      <c r="E43" s="3"/>
      <c r="F43" s="3"/>
      <c r="G43" s="5"/>
      <c r="H43" s="6"/>
      <c r="I43" s="5"/>
      <c r="J43" s="6"/>
      <c r="K43" s="5"/>
      <c r="L43" s="5"/>
      <c r="M43" s="5"/>
      <c r="N43" s="5"/>
      <c r="O43" s="5"/>
      <c r="P43" s="5"/>
      <c r="Q43" s="5"/>
      <c r="R43" s="5"/>
      <c r="S43" s="6"/>
      <c r="T43" s="6"/>
      <c r="U43" s="5"/>
      <c r="V43" s="5"/>
      <c r="W43" s="5"/>
      <c r="X43" s="5"/>
      <c r="Y43" s="5"/>
    </row>
    <row r="44" spans="1:31" s="11" customFormat="1" ht="13.35" customHeight="1">
      <c r="A44" s="10"/>
      <c r="B44" s="39"/>
      <c r="L44" s="12"/>
      <c r="M44" s="13"/>
      <c r="AE44" s="14"/>
    </row>
    <row r="45" spans="1:31" s="26" customFormat="1" ht="13.35" customHeight="1">
      <c r="A45" s="26" t="s">
        <v>105</v>
      </c>
      <c r="B45" s="26" t="s">
        <v>108</v>
      </c>
      <c r="L45" s="27"/>
      <c r="M45" s="13"/>
      <c r="AE45" s="28"/>
    </row>
    <row r="46" spans="1:31" s="26" customFormat="1" ht="13.35" customHeight="1">
      <c r="A46" s="37" t="s">
        <v>964</v>
      </c>
      <c r="B46" s="85" t="str">
        <f>Parameter_Include_OEFs</f>
        <v>1 - Yes</v>
      </c>
      <c r="L46" s="27"/>
      <c r="M46" s="13"/>
      <c r="AE46" s="28"/>
    </row>
    <row r="47" spans="1:31" s="11" customFormat="1" ht="13.35" customHeight="1">
      <c r="A47" s="10" t="s">
        <v>901</v>
      </c>
      <c r="B47" s="61">
        <f>IF(Parameter_Include_OEFs = "1 - Yes", Parameter_OEF_Sapere_Merz_short + Parameter_OEF_vegetation_management_short + Parameter_OEF_capitalisation_short, 0)</f>
        <v>-2.059202384375361E-3</v>
      </c>
      <c r="L47" s="12"/>
      <c r="M47" s="13"/>
      <c r="AE47" s="14"/>
    </row>
    <row r="48" spans="1:31" s="11" customFormat="1" ht="13.35" customHeight="1">
      <c r="A48" s="10" t="s">
        <v>902</v>
      </c>
      <c r="B48" s="47">
        <f>VLOOKUP(Parameter_DNSP, Table_OEF_Sapere_Merz_short, 2, FALSE)</f>
        <v>2.5934897770584716E-2</v>
      </c>
      <c r="L48" s="12"/>
      <c r="M48" s="13"/>
      <c r="AE48" s="14"/>
    </row>
    <row r="49" spans="1:31" s="11" customFormat="1" ht="13.35" customHeight="1">
      <c r="A49" s="10" t="s">
        <v>903</v>
      </c>
      <c r="B49" s="47">
        <f>VLOOKUP(Parameter_DNSP, Table_OEF_vegetation_management_short, 2, FALSE)</f>
        <v>-2.7994100154960077E-2</v>
      </c>
      <c r="L49" s="12"/>
      <c r="M49" s="13"/>
      <c r="AE49" s="14"/>
    </row>
    <row r="50" spans="1:31" s="11" customFormat="1" ht="13.35" customHeight="1">
      <c r="A50" s="10" t="s">
        <v>904</v>
      </c>
      <c r="B50" s="47">
        <f>IF(Parameter_OEF_capitalisation_short_manual_override = "", VLOOKUP(Parameter_DNSP, Table_OEF_capitalisation_short, MATCH(Parameter_OEF_capitalisation_basis_short, Header_Table_OEF_capitalisation_short, 0), FALSE), Parameter_OEF_capitalisation_short_manual_override)</f>
        <v>0</v>
      </c>
      <c r="L50" s="12"/>
      <c r="M50" s="13"/>
      <c r="AE50" s="14"/>
    </row>
    <row r="51" spans="1:31" s="11" customFormat="1" ht="13.35" customHeight="1">
      <c r="A51" s="10" t="s">
        <v>905</v>
      </c>
      <c r="B51" s="38" t="s">
        <v>92</v>
      </c>
      <c r="L51" s="12"/>
      <c r="M51" s="13"/>
      <c r="AE51" s="14"/>
    </row>
    <row r="52" spans="1:31" s="11" customFormat="1" ht="13.35" customHeight="1">
      <c r="A52" s="10" t="s">
        <v>970</v>
      </c>
      <c r="B52" s="137">
        <v>0</v>
      </c>
      <c r="L52" s="12"/>
      <c r="M52" s="13"/>
      <c r="AE52" s="14"/>
    </row>
    <row r="53" spans="1:31" s="11" customFormat="1" ht="13.35" customHeight="1">
      <c r="A53" s="10" t="s">
        <v>1055</v>
      </c>
      <c r="B53" s="62" t="str">
        <f>B42</f>
        <v>2022 ABR - Option 5</v>
      </c>
      <c r="L53" s="12"/>
      <c r="M53" s="13"/>
      <c r="AE53" s="14"/>
    </row>
    <row r="54" spans="1:31" s="4" customFormat="1" ht="13.35" customHeight="1">
      <c r="A54" s="2" t="s">
        <v>106</v>
      </c>
      <c r="B54" s="36"/>
      <c r="D54" s="3"/>
      <c r="E54" s="3"/>
      <c r="F54" s="3"/>
      <c r="G54" s="3"/>
      <c r="H54" s="5"/>
      <c r="I54" s="6"/>
      <c r="J54" s="5"/>
      <c r="K54" s="6"/>
      <c r="L54" s="5"/>
      <c r="M54" s="5"/>
      <c r="N54" s="5"/>
      <c r="O54" s="5"/>
      <c r="P54" s="5"/>
      <c r="Q54" s="5"/>
      <c r="R54" s="5"/>
      <c r="S54" s="5"/>
      <c r="T54" s="6"/>
      <c r="U54" s="6"/>
      <c r="V54" s="5"/>
      <c r="W54" s="5"/>
      <c r="X54" s="5"/>
      <c r="Y54" s="5"/>
      <c r="Z54" s="5"/>
    </row>
  </sheetData>
  <dataConsolidate/>
  <dataValidations count="5">
    <dataValidation type="list" allowBlank="1" showInputMessage="1" showErrorMessage="1" sqref="B8" xr:uid="{00000000-0002-0000-0800-000000000000}">
      <formula1>List_Scenario</formula1>
    </dataValidation>
    <dataValidation type="list" allowBlank="1" showInputMessage="1" showErrorMessage="1" sqref="B10" xr:uid="{00000000-0002-0000-0800-000001000000}">
      <formula1>List_DNSP</formula1>
    </dataValidation>
    <dataValidation type="list" allowBlank="1" showInputMessage="1" showErrorMessage="1" sqref="B40 B51" xr:uid="{00000000-0002-0000-0800-000002000000}">
      <formula1>List_OEF_capitalisation_basis</formula1>
    </dataValidation>
    <dataValidation type="list" allowBlank="1" showInputMessage="1" showErrorMessage="1" sqref="B25" xr:uid="{00000000-0002-0000-0800-000003000000}">
      <formula1>List_Apply_fixed_growth_rate</formula1>
    </dataValidation>
    <dataValidation type="list" allowBlank="1" showInputMessage="1" showErrorMessage="1" sqref="B35" xr:uid="{00000000-0002-0000-0800-000004000000}">
      <formula1>List_Include_OEFs</formula1>
    </dataValidation>
  </dataValidations>
  <hyperlinks>
    <hyperlink ref="A2" location="Index!A1" display="Index" xr:uid="{00000000-0004-0000-0800-000000000000}"/>
  </hyperlinks>
  <pageMargins left="0.7" right="0.7" top="0.75" bottom="0.75" header="0.3" footer="0.3"/>
  <pageSetup paperSize="9" scale="97" fitToWidth="0"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sheetPr>
  <dimension ref="A1:L279"/>
  <sheetViews>
    <sheetView workbookViewId="0">
      <selection activeCell="B8" sqref="B8"/>
    </sheetView>
  </sheetViews>
  <sheetFormatPr defaultColWidth="8.85546875" defaultRowHeight="14.25"/>
  <cols>
    <col min="1" max="1" width="8.85546875" style="21"/>
    <col min="2" max="2" width="12.5703125" style="21" customWidth="1"/>
    <col min="3" max="16384" width="8.85546875" style="21"/>
  </cols>
  <sheetData>
    <row r="1" spans="1:12" s="7" customFormat="1" ht="15.75">
      <c r="A1" s="1" t="s">
        <v>894</v>
      </c>
    </row>
    <row r="2" spans="1:12" s="16" customFormat="1" ht="13.35" customHeight="1">
      <c r="A2" s="90" t="s">
        <v>86</v>
      </c>
    </row>
    <row r="3" spans="1:12" s="9" customFormat="1" ht="13.35" customHeight="1" thickBot="1">
      <c r="A3" s="8" t="s">
        <v>703</v>
      </c>
    </row>
    <row r="4" spans="1:12" s="9" customFormat="1" ht="13.35" customHeight="1"/>
    <row r="5" spans="1:12" s="4" customFormat="1" ht="13.35" customHeight="1">
      <c r="A5" s="2" t="s">
        <v>119</v>
      </c>
      <c r="C5" s="5"/>
      <c r="D5" s="5"/>
      <c r="E5" s="5"/>
      <c r="F5" s="6"/>
      <c r="G5" s="6"/>
      <c r="H5" s="5"/>
      <c r="I5" s="5"/>
      <c r="J5" s="5"/>
      <c r="K5" s="5"/>
      <c r="L5" s="5"/>
    </row>
    <row r="6" spans="1:12" ht="13.35" customHeight="1"/>
    <row r="7" spans="1:12" ht="13.35" customHeight="1">
      <c r="A7" s="98" t="s">
        <v>757</v>
      </c>
      <c r="B7" s="33" t="s">
        <v>1038</v>
      </c>
      <c r="C7" s="133"/>
    </row>
    <row r="8" spans="1:12" ht="13.35" customHeight="1">
      <c r="B8" s="25" t="s">
        <v>1061</v>
      </c>
      <c r="C8" s="133"/>
    </row>
    <row r="9" spans="1:12" ht="13.35" customHeight="1">
      <c r="B9" s="238"/>
      <c r="C9" s="133"/>
    </row>
    <row r="10" spans="1:12" ht="13.35" customHeight="1">
      <c r="B10" s="195"/>
      <c r="C10" s="133"/>
    </row>
    <row r="11" spans="1:12" s="23" customFormat="1" ht="13.35" customHeight="1">
      <c r="C11" s="24" t="s">
        <v>88</v>
      </c>
    </row>
    <row r="12" spans="1:12" s="23" customFormat="1" ht="13.35" customHeight="1">
      <c r="A12" s="33" t="s">
        <v>7</v>
      </c>
      <c r="B12" s="33" t="s">
        <v>110</v>
      </c>
      <c r="C12" s="25">
        <v>12</v>
      </c>
      <c r="D12" s="25" t="s">
        <v>1048</v>
      </c>
      <c r="E12" s="25" t="s">
        <v>1049</v>
      </c>
    </row>
    <row r="13" spans="1:12" ht="13.35" customHeight="1">
      <c r="A13" s="23" t="s">
        <v>9</v>
      </c>
      <c r="B13" s="23" t="s">
        <v>112</v>
      </c>
      <c r="C13" s="230">
        <v>0.61299999999999999</v>
      </c>
      <c r="D13" s="212">
        <v>0.61099999999999999</v>
      </c>
      <c r="E13" s="230">
        <v>0.60899999999999999</v>
      </c>
    </row>
    <row r="14" spans="1:12" ht="13.35" customHeight="1">
      <c r="A14" s="23" t="s">
        <v>11</v>
      </c>
      <c r="B14" s="23" t="s">
        <v>113</v>
      </c>
      <c r="C14" s="230">
        <v>0.17899999999999999</v>
      </c>
      <c r="D14" s="212">
        <v>0.17799999999999999</v>
      </c>
      <c r="E14" s="230">
        <v>0.17799999999999999</v>
      </c>
    </row>
    <row r="15" spans="1:12" ht="13.35" customHeight="1">
      <c r="A15" s="23" t="s">
        <v>13</v>
      </c>
      <c r="B15" s="23" t="s">
        <v>114</v>
      </c>
      <c r="C15" s="230">
        <v>0.189</v>
      </c>
      <c r="D15" s="212">
        <v>0.191</v>
      </c>
      <c r="E15" s="230">
        <v>0.19400000000000001</v>
      </c>
    </row>
    <row r="16" spans="1:12" ht="13.35" customHeight="1">
      <c r="A16" s="23" t="s">
        <v>15</v>
      </c>
      <c r="B16" s="23" t="s">
        <v>115</v>
      </c>
      <c r="C16" s="230">
        <v>-0.152</v>
      </c>
      <c r="D16" s="212">
        <v>-0.152</v>
      </c>
      <c r="E16" s="230">
        <v>-0.153</v>
      </c>
    </row>
    <row r="17" spans="1:5" ht="13.35" customHeight="1">
      <c r="A17" s="23" t="s">
        <v>18</v>
      </c>
      <c r="B17" s="23" t="s">
        <v>67</v>
      </c>
      <c r="C17" s="230">
        <v>4.0000000000000001E-3</v>
      </c>
      <c r="D17" s="212">
        <v>4.0000000000000001E-3</v>
      </c>
      <c r="E17" s="230">
        <v>3.0000000000000001E-3</v>
      </c>
    </row>
    <row r="18" spans="1:5" ht="13.35" customHeight="1">
      <c r="A18" s="23" t="s">
        <v>21</v>
      </c>
      <c r="B18" s="23" t="s">
        <v>116</v>
      </c>
      <c r="C18" s="230">
        <v>-0.215</v>
      </c>
      <c r="D18" s="212">
        <v>-0.41399999999999998</v>
      </c>
      <c r="E18" s="230">
        <v>-0.41499999999999998</v>
      </c>
    </row>
    <row r="19" spans="1:5" ht="13.35" customHeight="1">
      <c r="A19" s="23" t="s">
        <v>24</v>
      </c>
      <c r="B19" s="23" t="s">
        <v>98</v>
      </c>
      <c r="C19" s="230">
        <v>-4.8000000000000001E-2</v>
      </c>
      <c r="D19" s="212">
        <v>-0.25</v>
      </c>
      <c r="E19" s="230">
        <v>-0.25</v>
      </c>
    </row>
    <row r="20" spans="1:5" ht="13.35" customHeight="1">
      <c r="A20" s="23" t="s">
        <v>28</v>
      </c>
      <c r="B20" s="23" t="s">
        <v>10</v>
      </c>
      <c r="C20" s="230">
        <v>-3.4000000000000002E-2</v>
      </c>
      <c r="D20" s="212">
        <v>-0.22500000000000001</v>
      </c>
      <c r="E20" s="230">
        <v>-0.22500000000000001</v>
      </c>
    </row>
    <row r="21" spans="1:5" ht="13.35" customHeight="1">
      <c r="A21" s="23" t="s">
        <v>31</v>
      </c>
      <c r="B21" s="23" t="s">
        <v>12</v>
      </c>
      <c r="C21" s="230">
        <v>-0.57299999999999995</v>
      </c>
      <c r="D21" s="212">
        <v>-0.47499999999999998</v>
      </c>
      <c r="E21" s="230">
        <v>-0.47399999999999998</v>
      </c>
    </row>
    <row r="22" spans="1:5" ht="13.35" customHeight="1">
      <c r="A22" s="23" t="s">
        <v>34</v>
      </c>
      <c r="B22" s="23" t="s">
        <v>14</v>
      </c>
      <c r="C22" s="230">
        <v>-0.27100000000000002</v>
      </c>
      <c r="D22" s="212">
        <v>-0.36</v>
      </c>
      <c r="E22" s="230">
        <v>-0.36</v>
      </c>
    </row>
    <row r="23" spans="1:5" ht="13.35" customHeight="1">
      <c r="A23" s="23" t="s">
        <v>36</v>
      </c>
      <c r="B23" s="23" t="s">
        <v>16</v>
      </c>
      <c r="C23" s="230">
        <v>-0.24399999999999999</v>
      </c>
      <c r="D23" s="212">
        <v>-0.42199999999999999</v>
      </c>
      <c r="E23" s="230">
        <v>-0.18099999999999999</v>
      </c>
    </row>
    <row r="24" spans="1:5" ht="13.35" customHeight="1">
      <c r="A24" s="23" t="s">
        <v>38</v>
      </c>
      <c r="B24" s="23" t="s">
        <v>19</v>
      </c>
      <c r="C24" s="230">
        <v>-0.24199999999999999</v>
      </c>
      <c r="D24" s="212">
        <v>-0.27400000000000002</v>
      </c>
      <c r="E24" s="230">
        <v>-5.0999999999999997E-2</v>
      </c>
    </row>
    <row r="25" spans="1:5" ht="13.35" customHeight="1">
      <c r="A25" s="23" t="s">
        <v>39</v>
      </c>
      <c r="B25" s="23" t="s">
        <v>22</v>
      </c>
      <c r="C25" s="230">
        <v>-0.31</v>
      </c>
      <c r="D25" s="212">
        <v>-0.35199999999999998</v>
      </c>
      <c r="E25" s="230">
        <v>-0.35399999999999998</v>
      </c>
    </row>
    <row r="26" spans="1:5" ht="13.35" customHeight="1">
      <c r="A26" s="23" t="s">
        <v>40</v>
      </c>
      <c r="B26" s="23" t="s">
        <v>1</v>
      </c>
      <c r="C26" s="230">
        <v>-0.33400000000000002</v>
      </c>
      <c r="D26" s="212">
        <v>-0.38100000000000001</v>
      </c>
      <c r="E26" s="230">
        <v>-0.38</v>
      </c>
    </row>
    <row r="27" spans="1:5" ht="13.35" customHeight="1">
      <c r="A27" s="23" t="s">
        <v>41</v>
      </c>
      <c r="B27" s="23" t="s">
        <v>27</v>
      </c>
      <c r="C27" s="230">
        <v>-0.77100000000000002</v>
      </c>
      <c r="D27" s="212">
        <v>-0.80300000000000005</v>
      </c>
      <c r="E27" s="230">
        <v>-0.80300000000000005</v>
      </c>
    </row>
    <row r="28" spans="1:5" ht="13.35" customHeight="1">
      <c r="A28" s="23" t="s">
        <v>42</v>
      </c>
      <c r="B28" s="23" t="s">
        <v>30</v>
      </c>
      <c r="C28" s="230">
        <v>-0.46700000000000003</v>
      </c>
      <c r="D28" s="212">
        <v>-0.66700000000000004</v>
      </c>
      <c r="E28" s="230">
        <v>-0.66700000000000004</v>
      </c>
    </row>
    <row r="29" spans="1:5" ht="13.35" customHeight="1">
      <c r="A29" s="23" t="s">
        <v>43</v>
      </c>
      <c r="B29" s="23" t="s">
        <v>33</v>
      </c>
      <c r="C29" s="230">
        <v>-0.377</v>
      </c>
      <c r="D29" s="212">
        <v>-0.53700000000000003</v>
      </c>
      <c r="E29" s="230">
        <v>-0.53600000000000003</v>
      </c>
    </row>
    <row r="30" spans="1:5" ht="13.35" customHeight="1">
      <c r="A30" s="23" t="s">
        <v>44</v>
      </c>
      <c r="B30" s="23" t="s">
        <v>35</v>
      </c>
      <c r="C30" s="230">
        <v>-0.48799999999999999</v>
      </c>
      <c r="D30" s="212">
        <v>-0.58399999999999996</v>
      </c>
      <c r="E30" s="230">
        <v>-0.58499999999999996</v>
      </c>
    </row>
    <row r="31" spans="1:5" ht="13.35" customHeight="1">
      <c r="A31" s="23" t="s">
        <v>45</v>
      </c>
      <c r="B31" s="23" t="s">
        <v>37</v>
      </c>
      <c r="C31" s="230">
        <v>-0.53600000000000003</v>
      </c>
      <c r="D31" s="212">
        <v>-0.73499999999999999</v>
      </c>
      <c r="E31" s="230">
        <v>-0.73499999999999999</v>
      </c>
    </row>
    <row r="32" spans="1:5" ht="13.35" customHeight="1">
      <c r="A32" s="23"/>
      <c r="B32" s="23"/>
      <c r="C32" s="230"/>
      <c r="D32" s="212"/>
      <c r="E32" s="230"/>
    </row>
    <row r="33" spans="1:12" ht="13.35" customHeight="1">
      <c r="A33" s="23"/>
      <c r="B33" s="23"/>
      <c r="C33" s="230"/>
      <c r="D33" s="212"/>
      <c r="E33" s="230"/>
    </row>
    <row r="34" spans="1:12" ht="13.35" customHeight="1">
      <c r="A34" s="23"/>
      <c r="B34" s="23"/>
      <c r="C34" s="230"/>
      <c r="D34" s="212"/>
      <c r="E34" s="230"/>
    </row>
    <row r="35" spans="1:12" ht="13.35" customHeight="1">
      <c r="A35" s="23"/>
      <c r="B35" s="23"/>
      <c r="C35" s="230"/>
      <c r="D35" s="212"/>
      <c r="E35" s="230"/>
    </row>
    <row r="36" spans="1:12" ht="13.35" customHeight="1">
      <c r="A36" s="23"/>
      <c r="B36" s="23"/>
      <c r="C36" s="230"/>
      <c r="D36" s="212"/>
      <c r="E36" s="230"/>
    </row>
    <row r="37" spans="1:12" ht="13.35" customHeight="1">
      <c r="A37" s="23"/>
      <c r="B37" s="23"/>
      <c r="C37" s="230"/>
      <c r="D37" s="212"/>
      <c r="E37" s="230"/>
    </row>
    <row r="38" spans="1:12" ht="13.35" customHeight="1">
      <c r="A38" s="23" t="s">
        <v>26</v>
      </c>
      <c r="B38" s="23" t="s">
        <v>117</v>
      </c>
      <c r="C38" s="230">
        <v>2.2170000000000001</v>
      </c>
      <c r="D38" s="212">
        <v>3.0720000000000001</v>
      </c>
      <c r="E38" s="230">
        <v>4.1029999999999998</v>
      </c>
    </row>
    <row r="39" spans="1:12" s="9" customFormat="1" ht="13.35" customHeight="1"/>
    <row r="40" spans="1:12" s="4" customFormat="1" ht="13.35" customHeight="1">
      <c r="A40" s="2" t="s">
        <v>120</v>
      </c>
      <c r="C40" s="5"/>
      <c r="D40" s="5"/>
      <c r="E40" s="5"/>
      <c r="F40" s="6"/>
      <c r="G40" s="6"/>
      <c r="H40" s="5"/>
      <c r="I40" s="5"/>
      <c r="J40" s="5"/>
      <c r="K40" s="5"/>
      <c r="L40" s="5"/>
    </row>
    <row r="42" spans="1:12" ht="13.35" customHeight="1">
      <c r="A42" s="98" t="s">
        <v>757</v>
      </c>
      <c r="B42" s="33" t="s">
        <v>1038</v>
      </c>
      <c r="C42" s="133"/>
    </row>
    <row r="43" spans="1:12" ht="13.35" customHeight="1">
      <c r="B43" s="25" t="s">
        <v>1061</v>
      </c>
      <c r="C43" s="133"/>
    </row>
    <row r="44" spans="1:12" ht="13.35" customHeight="1">
      <c r="B44" s="238"/>
      <c r="C44" s="133"/>
    </row>
    <row r="45" spans="1:12" ht="13.35" customHeight="1">
      <c r="B45" s="195"/>
      <c r="C45" s="133"/>
    </row>
    <row r="46" spans="1:12" ht="13.35" customHeight="1">
      <c r="C46" s="24" t="s">
        <v>88</v>
      </c>
    </row>
    <row r="47" spans="1:12" s="23" customFormat="1" ht="13.35" customHeight="1">
      <c r="A47" s="24" t="s">
        <v>0</v>
      </c>
      <c r="C47" s="25">
        <v>12</v>
      </c>
      <c r="D47" s="25" t="s">
        <v>1048</v>
      </c>
      <c r="E47" s="25" t="s">
        <v>1049</v>
      </c>
    </row>
    <row r="48" spans="1:12" s="23" customFormat="1" ht="13.35" customHeight="1">
      <c r="A48" s="23" t="s">
        <v>8</v>
      </c>
      <c r="C48" s="230">
        <v>0.46255028667230141</v>
      </c>
      <c r="D48" s="212">
        <v>0.44798299718474366</v>
      </c>
      <c r="E48" s="230">
        <v>0.44798299718474366</v>
      </c>
    </row>
    <row r="49" spans="1:12" s="23" customFormat="1" ht="13.35" customHeight="1">
      <c r="A49" s="23" t="s">
        <v>10</v>
      </c>
      <c r="C49" s="230">
        <v>0.47854740642884114</v>
      </c>
      <c r="D49" s="212">
        <v>0.56101928384217048</v>
      </c>
      <c r="E49" s="230">
        <v>0.56101928384217048</v>
      </c>
    </row>
    <row r="50" spans="1:12" s="23" customFormat="1" ht="13.35" customHeight="1">
      <c r="A50" s="23" t="s">
        <v>12</v>
      </c>
      <c r="C50" s="230">
        <v>0.82036985313783084</v>
      </c>
      <c r="D50" s="212">
        <v>0.72036301970530126</v>
      </c>
      <c r="E50" s="230">
        <v>0.71964301674707531</v>
      </c>
    </row>
    <row r="51" spans="1:12" s="23" customFormat="1" ht="13.35" customHeight="1">
      <c r="A51" s="23" t="s">
        <v>14</v>
      </c>
      <c r="C51" s="230">
        <v>0.60653065971263342</v>
      </c>
      <c r="D51" s="212">
        <v>0.64210720708779523</v>
      </c>
      <c r="E51" s="230">
        <v>0.64210720708779523</v>
      </c>
    </row>
    <row r="52" spans="1:12" s="23" customFormat="1" ht="13.35" customHeight="1">
      <c r="A52" s="23" t="s">
        <v>16</v>
      </c>
      <c r="C52" s="230">
        <v>0.59037343596046388</v>
      </c>
      <c r="D52" s="212">
        <v>0.68317788961989956</v>
      </c>
      <c r="E52" s="230">
        <v>0.53686962389145954</v>
      </c>
    </row>
    <row r="53" spans="1:12" s="23" customFormat="1" ht="13.35" customHeight="1">
      <c r="A53" s="23" t="s">
        <v>19</v>
      </c>
      <c r="C53" s="230">
        <v>0.58919386904864368</v>
      </c>
      <c r="D53" s="212">
        <v>0.58919386904864368</v>
      </c>
      <c r="E53" s="230">
        <v>0.47142276373913083</v>
      </c>
    </row>
    <row r="54" spans="1:12" s="23" customFormat="1" ht="13.35" customHeight="1">
      <c r="A54" s="23" t="s">
        <v>22</v>
      </c>
      <c r="C54" s="230">
        <v>0.63065267739805408</v>
      </c>
      <c r="D54" s="212">
        <v>0.63699084217798252</v>
      </c>
      <c r="E54" s="230">
        <v>0.63826609869376882</v>
      </c>
    </row>
    <row r="55" spans="1:12" s="23" customFormat="1" ht="13.35" customHeight="1">
      <c r="A55" s="23" t="s">
        <v>1</v>
      </c>
      <c r="C55" s="230">
        <v>0.64597143141062441</v>
      </c>
      <c r="D55" s="212">
        <v>0.65573403939344166</v>
      </c>
      <c r="E55" s="230">
        <v>0.65507863311180625</v>
      </c>
    </row>
    <row r="56" spans="1:12" s="23" customFormat="1" ht="13.35" customHeight="1">
      <c r="A56" s="23" t="s">
        <v>27</v>
      </c>
      <c r="C56" s="230">
        <v>1</v>
      </c>
      <c r="D56" s="212">
        <v>1</v>
      </c>
      <c r="E56" s="230">
        <v>1</v>
      </c>
    </row>
    <row r="57" spans="1:12" s="23" customFormat="1" ht="13.35" customHeight="1">
      <c r="A57" s="23" t="s">
        <v>30</v>
      </c>
      <c r="C57" s="230">
        <v>0.73786086645059112</v>
      </c>
      <c r="D57" s="212">
        <v>0.87284263248871929</v>
      </c>
      <c r="E57" s="230">
        <v>0.87284263248871929</v>
      </c>
    </row>
    <row r="58" spans="1:12" s="23" customFormat="1" ht="13.35" customHeight="1">
      <c r="A58" s="23" t="s">
        <v>33</v>
      </c>
      <c r="C58" s="230">
        <v>0.67435405624044409</v>
      </c>
      <c r="D58" s="212">
        <v>0.76643912750101917</v>
      </c>
      <c r="E58" s="230">
        <v>0.765673071465374</v>
      </c>
    </row>
    <row r="59" spans="1:12" s="23" customFormat="1" ht="13.35" customHeight="1">
      <c r="A59" s="23" t="s">
        <v>35</v>
      </c>
      <c r="C59" s="230">
        <v>0.75351978785971707</v>
      </c>
      <c r="D59" s="212">
        <v>0.80332171815362641</v>
      </c>
      <c r="E59" s="230">
        <v>0.80412544166655953</v>
      </c>
    </row>
    <row r="60" spans="1:12" s="23" customFormat="1" ht="13.35" customHeight="1">
      <c r="A60" s="23" t="s">
        <v>37</v>
      </c>
      <c r="C60" s="230">
        <v>0.79057084962873558</v>
      </c>
      <c r="D60" s="212">
        <v>0.93426047357721342</v>
      </c>
      <c r="E60" s="230">
        <v>0.93426047357721342</v>
      </c>
    </row>
    <row r="61" spans="1:12" s="23" customFormat="1" ht="13.35" customHeight="1"/>
    <row r="62" spans="1:12" s="4" customFormat="1" ht="13.35" customHeight="1">
      <c r="A62" s="2" t="s">
        <v>121</v>
      </c>
      <c r="C62" s="5"/>
      <c r="D62" s="5"/>
      <c r="E62" s="5"/>
      <c r="F62" s="6"/>
      <c r="G62" s="6"/>
      <c r="H62" s="5"/>
      <c r="I62" s="5"/>
      <c r="J62" s="5"/>
      <c r="K62" s="5"/>
      <c r="L62" s="5"/>
    </row>
    <row r="64" spans="1:12" ht="13.35" customHeight="1">
      <c r="A64" s="98" t="s">
        <v>757</v>
      </c>
      <c r="B64" s="33" t="s">
        <v>1038</v>
      </c>
      <c r="C64" s="133"/>
    </row>
    <row r="65" spans="1:5" ht="13.35" customHeight="1">
      <c r="B65" s="25" t="s">
        <v>1061</v>
      </c>
      <c r="C65" s="133"/>
    </row>
    <row r="66" spans="1:5" ht="13.35" customHeight="1">
      <c r="B66" s="238"/>
      <c r="C66" s="133"/>
    </row>
    <row r="67" spans="1:5" ht="13.35" customHeight="1">
      <c r="B67" s="195"/>
      <c r="C67" s="133"/>
    </row>
    <row r="68" spans="1:5" s="23" customFormat="1" ht="13.35" customHeight="1">
      <c r="C68" s="24" t="s">
        <v>88</v>
      </c>
    </row>
    <row r="69" spans="1:5" s="23" customFormat="1" ht="13.35" customHeight="1">
      <c r="A69" s="33" t="s">
        <v>7</v>
      </c>
      <c r="B69" s="33" t="s">
        <v>110</v>
      </c>
      <c r="C69" s="25">
        <v>12</v>
      </c>
      <c r="D69" s="25" t="s">
        <v>1048</v>
      </c>
      <c r="E69" s="25" t="s">
        <v>1049</v>
      </c>
    </row>
    <row r="70" spans="1:5" ht="13.35" customHeight="1">
      <c r="A70" s="23" t="s">
        <v>9</v>
      </c>
      <c r="B70" s="23" t="s">
        <v>112</v>
      </c>
      <c r="C70" s="230">
        <v>0.497</v>
      </c>
      <c r="D70" s="212">
        <v>0.47499999999999998</v>
      </c>
      <c r="E70" s="230">
        <v>0.44900000000000001</v>
      </c>
    </row>
    <row r="71" spans="1:5" ht="13.35" customHeight="1">
      <c r="A71" s="23" t="s">
        <v>11</v>
      </c>
      <c r="B71" s="23" t="s">
        <v>113</v>
      </c>
      <c r="C71" s="230">
        <v>0.20899999999999999</v>
      </c>
      <c r="D71" s="212">
        <v>0.19800000000000001</v>
      </c>
      <c r="E71" s="230">
        <v>0.20499999999999999</v>
      </c>
    </row>
    <row r="72" spans="1:5" ht="13.35" customHeight="1">
      <c r="A72" s="23" t="s">
        <v>13</v>
      </c>
      <c r="B72" s="23" t="s">
        <v>114</v>
      </c>
      <c r="C72" s="230">
        <v>0.255</v>
      </c>
      <c r="D72" s="212">
        <v>0.28499999999999998</v>
      </c>
      <c r="E72" s="230">
        <v>0.30499999999999999</v>
      </c>
    </row>
    <row r="73" spans="1:5" ht="13.35" customHeight="1">
      <c r="A73" s="23" t="s">
        <v>15</v>
      </c>
      <c r="B73" s="23" t="s">
        <v>115</v>
      </c>
      <c r="C73" s="230">
        <v>-0.09</v>
      </c>
      <c r="D73" s="212">
        <v>-0.11</v>
      </c>
      <c r="E73" s="230">
        <v>-0.106</v>
      </c>
    </row>
    <row r="74" spans="1:5" ht="13.35" customHeight="1">
      <c r="A74" s="23" t="s">
        <v>18</v>
      </c>
      <c r="B74" s="23" t="s">
        <v>67</v>
      </c>
      <c r="C74" s="230">
        <v>4.0000000000000001E-3</v>
      </c>
      <c r="D74" s="212">
        <v>5.0000000000000001E-3</v>
      </c>
      <c r="E74" s="230">
        <v>5.0000000000000001E-3</v>
      </c>
    </row>
    <row r="75" spans="1:5" ht="13.35" customHeight="1">
      <c r="A75" s="23" t="s">
        <v>21</v>
      </c>
      <c r="B75" s="23" t="s">
        <v>116</v>
      </c>
      <c r="C75" s="230">
        <v>0.1</v>
      </c>
      <c r="D75" s="212">
        <v>-2.5000000000000001E-2</v>
      </c>
      <c r="E75" s="230">
        <v>-4.1000000000000002E-2</v>
      </c>
    </row>
    <row r="76" spans="1:5" ht="13.35" customHeight="1">
      <c r="A76" s="23" t="s">
        <v>24</v>
      </c>
      <c r="B76" s="23" t="s">
        <v>98</v>
      </c>
      <c r="C76" s="230">
        <v>0.26600000000000001</v>
      </c>
      <c r="D76" s="212">
        <v>0.126</v>
      </c>
      <c r="E76" s="230">
        <v>0.109</v>
      </c>
    </row>
    <row r="77" spans="1:5" ht="13.35" customHeight="1">
      <c r="A77" s="23"/>
      <c r="B77" s="23"/>
      <c r="C77" s="230"/>
      <c r="D77" s="212"/>
      <c r="E77" s="230"/>
    </row>
    <row r="78" spans="1:5" ht="13.35" customHeight="1">
      <c r="A78" s="23"/>
      <c r="B78" s="23"/>
      <c r="C78" s="230"/>
      <c r="D78" s="212"/>
      <c r="E78" s="230"/>
    </row>
    <row r="79" spans="1:5" ht="13.35" customHeight="1">
      <c r="A79" s="23"/>
      <c r="B79" s="23"/>
      <c r="C79" s="230"/>
      <c r="D79" s="212"/>
      <c r="E79" s="230"/>
    </row>
    <row r="80" spans="1:5" ht="13.35" customHeight="1">
      <c r="A80" s="23"/>
      <c r="B80" s="23"/>
      <c r="C80" s="230"/>
      <c r="D80" s="212"/>
      <c r="E80" s="230"/>
    </row>
    <row r="81" spans="1:5" ht="13.35" customHeight="1">
      <c r="A81" s="23"/>
      <c r="B81" s="23"/>
      <c r="C81" s="230"/>
      <c r="D81" s="212"/>
      <c r="E81" s="230"/>
    </row>
    <row r="82" spans="1:5" ht="13.35" customHeight="1">
      <c r="A82" s="23"/>
      <c r="B82" s="23"/>
      <c r="C82" s="230"/>
      <c r="D82" s="212"/>
      <c r="E82" s="230"/>
    </row>
    <row r="83" spans="1:5" ht="13.35" customHeight="1">
      <c r="A83" s="23"/>
      <c r="B83" s="23"/>
      <c r="C83" s="230"/>
      <c r="D83" s="212"/>
      <c r="E83" s="230"/>
    </row>
    <row r="84" spans="1:5" ht="13.35" customHeight="1">
      <c r="A84" s="23"/>
      <c r="B84" s="23"/>
      <c r="C84" s="230"/>
      <c r="D84" s="212"/>
      <c r="E84" s="230"/>
    </row>
    <row r="85" spans="1:5" ht="13.35" customHeight="1">
      <c r="A85" s="23"/>
      <c r="B85" s="23"/>
      <c r="C85" s="230"/>
      <c r="D85" s="212"/>
      <c r="E85" s="230"/>
    </row>
    <row r="86" spans="1:5" ht="13.35" customHeight="1">
      <c r="A86" s="23"/>
      <c r="B86" s="23"/>
      <c r="C86" s="230"/>
      <c r="D86" s="212"/>
      <c r="E86" s="230"/>
    </row>
    <row r="87" spans="1:5" ht="13.35" customHeight="1">
      <c r="A87" s="23"/>
      <c r="B87" s="23"/>
      <c r="C87" s="230"/>
      <c r="D87" s="212"/>
      <c r="E87" s="230"/>
    </row>
    <row r="88" spans="1:5" ht="13.35" customHeight="1">
      <c r="A88" s="23"/>
      <c r="B88" s="23"/>
      <c r="C88" s="230"/>
      <c r="D88" s="212"/>
      <c r="E88" s="230"/>
    </row>
    <row r="89" spans="1:5" ht="13.35" customHeight="1">
      <c r="A89" s="23"/>
      <c r="B89" s="23"/>
      <c r="C89" s="230"/>
      <c r="D89" s="212"/>
      <c r="E89" s="230"/>
    </row>
    <row r="90" spans="1:5" ht="13.35" customHeight="1">
      <c r="A90" s="23"/>
      <c r="B90" s="23"/>
      <c r="C90" s="230"/>
      <c r="D90" s="212"/>
      <c r="E90" s="230"/>
    </row>
    <row r="91" spans="1:5" ht="13.35" customHeight="1">
      <c r="A91" s="23"/>
      <c r="B91" s="23"/>
      <c r="C91" s="230"/>
      <c r="D91" s="212"/>
      <c r="E91" s="230"/>
    </row>
    <row r="92" spans="1:5" ht="13.35" customHeight="1">
      <c r="A92" s="23"/>
      <c r="B92" s="23"/>
      <c r="C92" s="230"/>
      <c r="D92" s="212"/>
      <c r="E92" s="230"/>
    </row>
    <row r="93" spans="1:5" ht="13.35" customHeight="1">
      <c r="A93" s="23"/>
      <c r="B93" s="23"/>
      <c r="C93" s="230"/>
      <c r="D93" s="212"/>
      <c r="E93" s="230"/>
    </row>
    <row r="94" spans="1:5" ht="13.35" customHeight="1">
      <c r="A94" s="23"/>
      <c r="B94" s="23"/>
      <c r="C94" s="230"/>
      <c r="D94" s="212"/>
      <c r="E94" s="230"/>
    </row>
    <row r="95" spans="1:5" ht="13.35" customHeight="1">
      <c r="A95" s="23" t="s">
        <v>26</v>
      </c>
      <c r="B95" s="23" t="s">
        <v>117</v>
      </c>
      <c r="C95" s="230">
        <v>0.57999999999999996</v>
      </c>
      <c r="D95" s="212">
        <v>8.5999999999999993E-2</v>
      </c>
      <c r="E95" s="230">
        <v>0.60799999999999998</v>
      </c>
    </row>
    <row r="96" spans="1:5" s="9" customFormat="1" ht="13.35" customHeight="1"/>
    <row r="97" spans="1:12" s="4" customFormat="1" ht="13.35" customHeight="1">
      <c r="A97" s="2" t="s">
        <v>122</v>
      </c>
      <c r="C97" s="5"/>
      <c r="D97" s="5"/>
      <c r="E97" s="5"/>
      <c r="F97" s="6"/>
      <c r="G97" s="6"/>
      <c r="H97" s="5"/>
      <c r="I97" s="5"/>
      <c r="J97" s="5"/>
      <c r="K97" s="5"/>
      <c r="L97" s="5"/>
    </row>
    <row r="99" spans="1:12" ht="13.35" customHeight="1">
      <c r="A99" s="98" t="s">
        <v>757</v>
      </c>
      <c r="B99" s="33" t="s">
        <v>1038</v>
      </c>
      <c r="C99" s="133"/>
    </row>
    <row r="100" spans="1:12" ht="13.35" customHeight="1">
      <c r="B100" s="25" t="s">
        <v>1061</v>
      </c>
      <c r="C100" s="133"/>
    </row>
    <row r="101" spans="1:12" ht="13.35" customHeight="1">
      <c r="B101" s="238"/>
      <c r="C101" s="133"/>
    </row>
    <row r="102" spans="1:12" ht="13.35" customHeight="1">
      <c r="B102" s="218"/>
      <c r="C102" s="133"/>
    </row>
    <row r="103" spans="1:12" ht="13.35" customHeight="1">
      <c r="C103" s="24" t="s">
        <v>88</v>
      </c>
    </row>
    <row r="104" spans="1:12" s="23" customFormat="1" ht="13.35" customHeight="1">
      <c r="A104" s="24" t="s">
        <v>0</v>
      </c>
      <c r="C104" s="25">
        <v>12</v>
      </c>
      <c r="D104" s="25" t="s">
        <v>1048</v>
      </c>
      <c r="E104" s="25" t="s">
        <v>1049</v>
      </c>
    </row>
    <row r="105" spans="1:12" s="23" customFormat="1" ht="13.35" customHeight="1">
      <c r="A105" s="23" t="s">
        <v>8</v>
      </c>
      <c r="C105" s="230">
        <v>0.51608526706695557</v>
      </c>
      <c r="D105" s="212">
        <v>0.48790135979652405</v>
      </c>
      <c r="E105" s="230">
        <v>0.49257802963256836</v>
      </c>
    </row>
    <row r="106" spans="1:12" s="23" customFormat="1" ht="13.35" customHeight="1">
      <c r="A106" s="23" t="s">
        <v>10</v>
      </c>
      <c r="C106" s="230">
        <v>0.49650683999061584</v>
      </c>
      <c r="D106" s="212">
        <v>0.56682586669921875</v>
      </c>
      <c r="E106" s="230">
        <v>0.57300770282745361</v>
      </c>
    </row>
    <row r="107" spans="1:12" s="23" customFormat="1" ht="13.35" customHeight="1">
      <c r="A107" s="23" t="s">
        <v>12</v>
      </c>
      <c r="C107" s="230">
        <v>0.87013590335845947</v>
      </c>
      <c r="D107" s="212">
        <v>0.76173955202102661</v>
      </c>
      <c r="E107" s="230">
        <v>0.7684977650642395</v>
      </c>
    </row>
    <row r="108" spans="1:12" s="23" customFormat="1" ht="13.35" customHeight="1">
      <c r="A108" s="23" t="s">
        <v>14</v>
      </c>
      <c r="C108" s="230">
        <v>0.64555424451828003</v>
      </c>
      <c r="D108" s="212">
        <v>0.67028641700744629</v>
      </c>
      <c r="E108" s="230">
        <v>0.68108052015304565</v>
      </c>
    </row>
    <row r="109" spans="1:12" s="23" customFormat="1" ht="13.35" customHeight="1">
      <c r="A109" s="23" t="s">
        <v>16</v>
      </c>
      <c r="C109" s="230">
        <v>0.62816017866134644</v>
      </c>
      <c r="D109" s="212">
        <v>0.69585114717483521</v>
      </c>
      <c r="E109" s="230">
        <v>0.55874145030975342</v>
      </c>
    </row>
    <row r="110" spans="1:12" s="23" customFormat="1" ht="13.35" customHeight="1">
      <c r="A110" s="23" t="s">
        <v>19</v>
      </c>
      <c r="C110" s="230">
        <v>0.60399055480957031</v>
      </c>
      <c r="D110" s="212">
        <v>0.59687149524688721</v>
      </c>
      <c r="E110" s="230">
        <v>0.48898789286613464</v>
      </c>
    </row>
    <row r="111" spans="1:12" s="23" customFormat="1" ht="13.35" customHeight="1">
      <c r="A111" s="23" t="s">
        <v>22</v>
      </c>
      <c r="C111" s="230">
        <v>0.63971245288848877</v>
      </c>
      <c r="D111" s="212">
        <v>0.64831298589706421</v>
      </c>
      <c r="E111" s="230">
        <v>0.65881621837615967</v>
      </c>
    </row>
    <row r="112" spans="1:12" s="23" customFormat="1" ht="13.35" customHeight="1">
      <c r="A112" s="23" t="s">
        <v>1</v>
      </c>
      <c r="C112" s="230">
        <v>0.6492002010345459</v>
      </c>
      <c r="D112" s="212">
        <v>0.65490686893463135</v>
      </c>
      <c r="E112" s="230">
        <v>0.65592700242996216</v>
      </c>
    </row>
    <row r="113" spans="1:12" s="23" customFormat="1" ht="13.35" customHeight="1">
      <c r="A113" s="23" t="s">
        <v>27</v>
      </c>
      <c r="C113" s="230">
        <v>0.96357804536819458</v>
      </c>
      <c r="D113" s="212">
        <v>0.95819211006164551</v>
      </c>
      <c r="E113" s="230">
        <v>0.96467816829681396</v>
      </c>
    </row>
    <row r="114" spans="1:12" s="23" customFormat="1" ht="13.35" customHeight="1">
      <c r="A114" s="23" t="s">
        <v>30</v>
      </c>
      <c r="C114" s="230">
        <v>0.76682299375534058</v>
      </c>
      <c r="D114" s="212">
        <v>0.88168680667877197</v>
      </c>
      <c r="E114" s="230">
        <v>0.89788967370986938</v>
      </c>
    </row>
    <row r="115" spans="1:12" s="23" customFormat="1" ht="13.35" customHeight="1">
      <c r="A115" s="23" t="s">
        <v>33</v>
      </c>
      <c r="C115" s="230">
        <v>0.66617941856384277</v>
      </c>
      <c r="D115" s="212">
        <v>0.7435416579246521</v>
      </c>
      <c r="E115" s="230">
        <v>0.74894481897354126</v>
      </c>
    </row>
    <row r="116" spans="1:12" s="23" customFormat="1" ht="13.35" customHeight="1">
      <c r="A116" s="23" t="s">
        <v>35</v>
      </c>
      <c r="C116" s="230">
        <v>0.80595332384109497</v>
      </c>
      <c r="D116" s="212">
        <v>0.86513692140579224</v>
      </c>
      <c r="E116" s="230">
        <v>0.87835985422134399</v>
      </c>
    </row>
    <row r="117" spans="1:12" s="23" customFormat="1" ht="13.35" customHeight="1">
      <c r="A117" s="23" t="s">
        <v>37</v>
      </c>
      <c r="C117" s="230">
        <v>0.79973787069320679</v>
      </c>
      <c r="D117" s="212">
        <v>0.93017101287841797</v>
      </c>
      <c r="E117" s="230">
        <v>0.93304836750030518</v>
      </c>
    </row>
    <row r="118" spans="1:12" s="9" customFormat="1" ht="13.35" customHeight="1"/>
    <row r="119" spans="1:12" s="4" customFormat="1" ht="13.35" customHeight="1">
      <c r="A119" s="2" t="s">
        <v>123</v>
      </c>
      <c r="C119" s="5"/>
      <c r="D119" s="5"/>
      <c r="E119" s="5"/>
      <c r="F119" s="6"/>
      <c r="G119" s="6"/>
      <c r="H119" s="5"/>
      <c r="I119" s="5"/>
      <c r="J119" s="5"/>
      <c r="K119" s="5"/>
      <c r="L119" s="5"/>
    </row>
    <row r="121" spans="1:12" ht="13.35" customHeight="1">
      <c r="A121" s="98" t="s">
        <v>757</v>
      </c>
      <c r="B121" s="33" t="s">
        <v>1038</v>
      </c>
      <c r="C121" s="133"/>
    </row>
    <row r="122" spans="1:12" ht="13.35" customHeight="1">
      <c r="B122" s="25" t="s">
        <v>1061</v>
      </c>
      <c r="C122" s="133"/>
    </row>
    <row r="123" spans="1:12" ht="13.35" customHeight="1">
      <c r="B123" s="238"/>
      <c r="C123" s="133"/>
    </row>
    <row r="124" spans="1:12" ht="13.35" customHeight="1">
      <c r="B124" s="220"/>
      <c r="C124" s="133"/>
    </row>
    <row r="125" spans="1:12" s="23" customFormat="1" ht="13.35" customHeight="1">
      <c r="C125" s="24" t="s">
        <v>88</v>
      </c>
    </row>
    <row r="126" spans="1:12" s="23" customFormat="1" ht="13.35" customHeight="1">
      <c r="A126" s="33" t="s">
        <v>7</v>
      </c>
      <c r="B126" s="33" t="s">
        <v>110</v>
      </c>
      <c r="C126" s="25">
        <v>12</v>
      </c>
      <c r="D126" s="25" t="s">
        <v>1048</v>
      </c>
      <c r="E126" s="25" t="s">
        <v>1049</v>
      </c>
    </row>
    <row r="127" spans="1:12" ht="13.35" customHeight="1">
      <c r="A127" s="23" t="s">
        <v>9</v>
      </c>
      <c r="B127" s="23" t="s">
        <v>125</v>
      </c>
      <c r="C127" s="230">
        <v>0.40500000000000003</v>
      </c>
      <c r="D127" s="212">
        <v>0.40300000000000002</v>
      </c>
      <c r="E127" s="230">
        <v>0.39500000000000002</v>
      </c>
    </row>
    <row r="128" spans="1:12" ht="13.35" customHeight="1">
      <c r="A128" s="23" t="s">
        <v>11</v>
      </c>
      <c r="B128" s="23" t="s">
        <v>126</v>
      </c>
      <c r="C128" s="230">
        <v>0.20599999999999999</v>
      </c>
      <c r="D128" s="212">
        <v>0.20699999999999999</v>
      </c>
      <c r="E128" s="230">
        <v>0.20799999999999999</v>
      </c>
    </row>
    <row r="129" spans="1:5" ht="13.35" customHeight="1">
      <c r="A129" s="23" t="s">
        <v>13</v>
      </c>
      <c r="B129" s="23" t="s">
        <v>127</v>
      </c>
      <c r="C129" s="230">
        <v>0.35</v>
      </c>
      <c r="D129" s="212">
        <v>0.35099999999999998</v>
      </c>
      <c r="E129" s="230">
        <v>0.35799999999999998</v>
      </c>
    </row>
    <row r="130" spans="1:5" ht="13.35" customHeight="1">
      <c r="A130" s="23" t="s">
        <v>15</v>
      </c>
      <c r="B130" s="23" t="s">
        <v>115</v>
      </c>
      <c r="C130" s="230">
        <v>-0.11600000000000001</v>
      </c>
      <c r="D130" s="212">
        <v>-0.115</v>
      </c>
      <c r="E130" s="230">
        <v>-0.115</v>
      </c>
    </row>
    <row r="131" spans="1:5" ht="13.35" customHeight="1">
      <c r="A131" s="23" t="s">
        <v>18</v>
      </c>
      <c r="B131" s="23" t="s">
        <v>67</v>
      </c>
      <c r="C131" s="230">
        <v>6.0000000000000001E-3</v>
      </c>
      <c r="D131" s="212">
        <v>6.0000000000000001E-3</v>
      </c>
      <c r="E131" s="230">
        <v>5.0000000000000001E-3</v>
      </c>
    </row>
    <row r="132" spans="1:5" ht="13.35" customHeight="1">
      <c r="A132" s="23" t="s">
        <v>21</v>
      </c>
      <c r="B132" s="23" t="s">
        <v>116</v>
      </c>
      <c r="C132" s="230">
        <v>-0.32600000000000001</v>
      </c>
      <c r="D132" s="212">
        <v>-0.52700000000000002</v>
      </c>
      <c r="E132" s="230">
        <v>-0.52700000000000002</v>
      </c>
    </row>
    <row r="133" spans="1:5" ht="13.35" customHeight="1">
      <c r="A133" s="23" t="s">
        <v>24</v>
      </c>
      <c r="B133" s="23" t="s">
        <v>98</v>
      </c>
      <c r="C133" s="230">
        <v>-0.16400000000000001</v>
      </c>
      <c r="D133" s="212">
        <v>-0.36599999999999999</v>
      </c>
      <c r="E133" s="230">
        <v>-0.36799999999999999</v>
      </c>
    </row>
    <row r="134" spans="1:5" ht="13.35" customHeight="1">
      <c r="A134" s="23" t="s">
        <v>28</v>
      </c>
      <c r="B134" s="23" t="s">
        <v>10</v>
      </c>
      <c r="C134" s="230">
        <v>-2.8000000000000001E-2</v>
      </c>
      <c r="D134" s="212">
        <v>-0.21299999999999999</v>
      </c>
      <c r="E134" s="230">
        <v>-0.20100000000000001</v>
      </c>
    </row>
    <row r="135" spans="1:5" ht="13.35" customHeight="1">
      <c r="A135" s="23" t="s">
        <v>31</v>
      </c>
      <c r="B135" s="23" t="s">
        <v>12</v>
      </c>
      <c r="C135" s="230">
        <v>-0.61199999999999999</v>
      </c>
      <c r="D135" s="212">
        <v>-0.51400000000000001</v>
      </c>
      <c r="E135" s="230">
        <v>-0.51200000000000001</v>
      </c>
    </row>
    <row r="136" spans="1:5" ht="13.35" customHeight="1">
      <c r="A136" s="23" t="s">
        <v>34</v>
      </c>
      <c r="B136" s="23" t="s">
        <v>14</v>
      </c>
      <c r="C136" s="230">
        <v>-0.35199999999999998</v>
      </c>
      <c r="D136" s="212">
        <v>-0.439</v>
      </c>
      <c r="E136" s="230">
        <v>-0.437</v>
      </c>
    </row>
    <row r="137" spans="1:5" ht="13.35" customHeight="1">
      <c r="A137" s="23" t="s">
        <v>36</v>
      </c>
      <c r="B137" s="23" t="s">
        <v>16</v>
      </c>
      <c r="C137" s="230">
        <v>-0.25700000000000001</v>
      </c>
      <c r="D137" s="212">
        <v>-0.42699999999999999</v>
      </c>
      <c r="E137" s="230">
        <v>-0.17699999999999999</v>
      </c>
    </row>
    <row r="138" spans="1:5" ht="13.35" customHeight="1">
      <c r="A138" s="23" t="s">
        <v>38</v>
      </c>
      <c r="B138" s="23" t="s">
        <v>19</v>
      </c>
      <c r="C138" s="230">
        <v>-0.441</v>
      </c>
      <c r="D138" s="212">
        <v>-0.48199999999999998</v>
      </c>
      <c r="E138" s="230">
        <v>-0.27</v>
      </c>
    </row>
    <row r="139" spans="1:5" ht="13.35" customHeight="1">
      <c r="A139" s="23" t="s">
        <v>39</v>
      </c>
      <c r="B139" s="23" t="s">
        <v>22</v>
      </c>
      <c r="C139" s="230">
        <v>-0.53300000000000003</v>
      </c>
      <c r="D139" s="212">
        <v>-0.58199999999999996</v>
      </c>
      <c r="E139" s="230">
        <v>-0.58299999999999996</v>
      </c>
    </row>
    <row r="140" spans="1:5" ht="13.35" customHeight="1">
      <c r="A140" s="23" t="s">
        <v>40</v>
      </c>
      <c r="B140" s="23" t="s">
        <v>1</v>
      </c>
      <c r="C140" s="230">
        <v>-0.13700000000000001</v>
      </c>
      <c r="D140" s="212">
        <v>-0.184</v>
      </c>
      <c r="E140" s="230">
        <v>-0.17499999999999999</v>
      </c>
    </row>
    <row r="141" spans="1:5" ht="13.35" customHeight="1">
      <c r="A141" s="23" t="s">
        <v>41</v>
      </c>
      <c r="B141" s="23" t="s">
        <v>27</v>
      </c>
      <c r="C141" s="230">
        <v>-0.81299999999999994</v>
      </c>
      <c r="D141" s="212">
        <v>-0.84399999999999997</v>
      </c>
      <c r="E141" s="230">
        <v>-0.83799999999999997</v>
      </c>
    </row>
    <row r="142" spans="1:5" ht="13.35" customHeight="1">
      <c r="A142" s="23" t="s">
        <v>42</v>
      </c>
      <c r="B142" s="23" t="s">
        <v>30</v>
      </c>
      <c r="C142" s="230">
        <v>-0.58599999999999997</v>
      </c>
      <c r="D142" s="212">
        <v>-0.78800000000000003</v>
      </c>
      <c r="E142" s="230">
        <v>-0.78700000000000003</v>
      </c>
    </row>
    <row r="143" spans="1:5" ht="13.35" customHeight="1">
      <c r="A143" s="23" t="s">
        <v>43</v>
      </c>
      <c r="B143" s="23" t="s">
        <v>33</v>
      </c>
      <c r="C143" s="230">
        <v>-0.307</v>
      </c>
      <c r="D143" s="212">
        <v>-0.46200000000000002</v>
      </c>
      <c r="E143" s="230">
        <v>-0.44900000000000001</v>
      </c>
    </row>
    <row r="144" spans="1:5" ht="13.35" customHeight="1">
      <c r="A144" s="23" t="s">
        <v>44</v>
      </c>
      <c r="B144" s="23" t="s">
        <v>35</v>
      </c>
      <c r="C144" s="230">
        <v>-0.52800000000000002</v>
      </c>
      <c r="D144" s="212">
        <v>-0.627</v>
      </c>
      <c r="E144" s="230">
        <v>-0.63</v>
      </c>
    </row>
    <row r="145" spans="1:12" ht="13.35" customHeight="1">
      <c r="A145" s="23" t="s">
        <v>45</v>
      </c>
      <c r="B145" s="23" t="s">
        <v>37</v>
      </c>
      <c r="C145" s="230">
        <v>-0.34399999999999997</v>
      </c>
      <c r="D145" s="212">
        <v>-0.53900000000000003</v>
      </c>
      <c r="E145" s="230">
        <v>-0.52600000000000002</v>
      </c>
    </row>
    <row r="146" spans="1:12" ht="13.35" customHeight="1">
      <c r="A146" s="23" t="s">
        <v>17</v>
      </c>
      <c r="B146" s="23" t="s">
        <v>128</v>
      </c>
      <c r="C146" s="230">
        <v>-0.85299999999999998</v>
      </c>
      <c r="D146" s="212">
        <v>-0.86</v>
      </c>
      <c r="E146" s="230">
        <v>-0.88700000000000001</v>
      </c>
    </row>
    <row r="147" spans="1:12" ht="13.35" customHeight="1">
      <c r="A147" s="23" t="s">
        <v>20</v>
      </c>
      <c r="B147" s="23" t="s">
        <v>129</v>
      </c>
      <c r="C147" s="230">
        <v>0.27200000000000002</v>
      </c>
      <c r="D147" s="212">
        <v>0.26500000000000001</v>
      </c>
      <c r="E147" s="230">
        <v>0.26100000000000001</v>
      </c>
    </row>
    <row r="148" spans="1:12" ht="13.35" customHeight="1">
      <c r="A148" s="23" t="s">
        <v>23</v>
      </c>
      <c r="B148" s="23" t="s">
        <v>130</v>
      </c>
      <c r="C148" s="230">
        <v>0.434</v>
      </c>
      <c r="D148" s="212">
        <v>0.439</v>
      </c>
      <c r="E148" s="230">
        <v>0.45500000000000002</v>
      </c>
    </row>
    <row r="149" spans="1:12" ht="13.35" customHeight="1">
      <c r="A149" s="23" t="s">
        <v>25</v>
      </c>
      <c r="B149" s="23" t="s">
        <v>131</v>
      </c>
      <c r="C149" s="230">
        <v>4.5999999999999999E-2</v>
      </c>
      <c r="D149" s="212">
        <v>0.05</v>
      </c>
      <c r="E149" s="230">
        <v>5.1999999999999998E-2</v>
      </c>
    </row>
    <row r="150" spans="1:12" ht="13.35" customHeight="1">
      <c r="A150" s="23" t="s">
        <v>29</v>
      </c>
      <c r="B150" s="23" t="s">
        <v>132</v>
      </c>
      <c r="C150" s="230">
        <v>-0.28799999999999998</v>
      </c>
      <c r="D150" s="212">
        <v>-0.28399999999999997</v>
      </c>
      <c r="E150" s="230">
        <v>-0.27900000000000003</v>
      </c>
    </row>
    <row r="151" spans="1:12" ht="13.35" customHeight="1">
      <c r="A151" s="23" t="s">
        <v>32</v>
      </c>
      <c r="B151" s="23" t="s">
        <v>133</v>
      </c>
      <c r="C151" s="230">
        <v>2E-3</v>
      </c>
      <c r="D151" s="212">
        <v>-2E-3</v>
      </c>
      <c r="E151" s="230">
        <v>-1.2E-2</v>
      </c>
    </row>
    <row r="152" spans="1:12" ht="13.35" customHeight="1">
      <c r="A152" s="23" t="s">
        <v>26</v>
      </c>
      <c r="B152" s="23" t="s">
        <v>117</v>
      </c>
      <c r="C152" s="230">
        <v>-1.897</v>
      </c>
      <c r="D152" s="212">
        <v>-1.0409999999999999</v>
      </c>
      <c r="E152" s="230">
        <v>-0.11899999999999999</v>
      </c>
    </row>
    <row r="153" spans="1:12" s="9" customFormat="1" ht="13.35" customHeight="1"/>
    <row r="154" spans="1:12" s="4" customFormat="1" ht="13.35" customHeight="1">
      <c r="A154" s="2" t="s">
        <v>124</v>
      </c>
      <c r="C154" s="5"/>
      <c r="D154" s="5"/>
      <c r="E154" s="5"/>
      <c r="F154" s="6"/>
      <c r="G154" s="6"/>
      <c r="H154" s="5"/>
      <c r="I154" s="5"/>
      <c r="J154" s="5"/>
      <c r="K154" s="5"/>
      <c r="L154" s="5"/>
    </row>
    <row r="156" spans="1:12" ht="13.35" customHeight="1">
      <c r="A156" s="98" t="s">
        <v>757</v>
      </c>
      <c r="B156" s="33" t="s">
        <v>1038</v>
      </c>
      <c r="C156" s="133"/>
    </row>
    <row r="157" spans="1:12" ht="13.35" customHeight="1">
      <c r="B157" s="25" t="s">
        <v>1061</v>
      </c>
      <c r="C157" s="133"/>
    </row>
    <row r="158" spans="1:12" ht="13.35" customHeight="1">
      <c r="B158" s="238"/>
      <c r="C158" s="133"/>
    </row>
    <row r="159" spans="1:12" ht="13.35" customHeight="1">
      <c r="B159" s="220"/>
      <c r="C159" s="133"/>
    </row>
    <row r="160" spans="1:12" ht="13.35" customHeight="1">
      <c r="C160" s="24" t="s">
        <v>88</v>
      </c>
    </row>
    <row r="161" spans="1:12" s="23" customFormat="1" ht="13.35" customHeight="1">
      <c r="A161" s="24" t="s">
        <v>0</v>
      </c>
      <c r="C161" s="25">
        <v>12</v>
      </c>
      <c r="D161" s="25" t="s">
        <v>1048</v>
      </c>
      <c r="E161" s="25" t="s">
        <v>1049</v>
      </c>
    </row>
    <row r="162" spans="1:12" s="23" customFormat="1" ht="13.35" customHeight="1">
      <c r="A162" s="23" t="s">
        <v>8</v>
      </c>
      <c r="C162" s="230">
        <v>0.44352549188520951</v>
      </c>
      <c r="D162" s="212">
        <v>0.4299871304192398</v>
      </c>
      <c r="E162" s="230">
        <v>0.43257480847288665</v>
      </c>
    </row>
    <row r="163" spans="1:12" s="23" customFormat="1" ht="13.35" customHeight="1">
      <c r="A163" s="23" t="s">
        <v>10</v>
      </c>
      <c r="C163" s="230">
        <v>0.45611970178563926</v>
      </c>
      <c r="D163" s="212">
        <v>0.53205947541304766</v>
      </c>
      <c r="E163" s="230">
        <v>0.52887667650568249</v>
      </c>
    </row>
    <row r="164" spans="1:12" s="23" customFormat="1" ht="13.35" customHeight="1">
      <c r="A164" s="23" t="s">
        <v>12</v>
      </c>
      <c r="C164" s="230">
        <v>0.8179124315538594</v>
      </c>
      <c r="D164" s="212">
        <v>0.71892373343192628</v>
      </c>
      <c r="E164" s="230">
        <v>0.72180518743171584</v>
      </c>
    </row>
    <row r="165" spans="1:12" s="23" customFormat="1" ht="13.35" customHeight="1">
      <c r="A165" s="23" t="s">
        <v>14</v>
      </c>
      <c r="C165" s="230">
        <v>0.6306526773980542</v>
      </c>
      <c r="D165" s="212">
        <v>0.66697681085847438</v>
      </c>
      <c r="E165" s="230">
        <v>0.66965006103793456</v>
      </c>
    </row>
    <row r="166" spans="1:12" s="23" customFormat="1" ht="13.35" customHeight="1">
      <c r="A166" s="23" t="s">
        <v>16</v>
      </c>
      <c r="C166" s="230">
        <v>0.57349847587571545</v>
      </c>
      <c r="D166" s="212">
        <v>0.65902091994412071</v>
      </c>
      <c r="E166" s="230">
        <v>0.5163347414967544</v>
      </c>
    </row>
    <row r="167" spans="1:12" s="23" customFormat="1" ht="13.35" customHeight="1">
      <c r="A167" s="23" t="s">
        <v>19</v>
      </c>
      <c r="C167" s="230">
        <v>0.68935424252422239</v>
      </c>
      <c r="D167" s="212">
        <v>0.696282367841771</v>
      </c>
      <c r="E167" s="230">
        <v>0.56665762138222464</v>
      </c>
    </row>
    <row r="168" spans="1:12" s="23" customFormat="1" ht="13.35" customHeight="1">
      <c r="A168" s="23" t="s">
        <v>22</v>
      </c>
      <c r="C168" s="230">
        <v>0.75578374145572547</v>
      </c>
      <c r="D168" s="212">
        <v>0.76951102370757585</v>
      </c>
      <c r="E168" s="230">
        <v>0.77491649796108086</v>
      </c>
    </row>
    <row r="169" spans="1:12" s="23" customFormat="1" ht="13.35" customHeight="1">
      <c r="A169" s="23" t="s">
        <v>1</v>
      </c>
      <c r="C169" s="230">
        <v>0.50864751868031377</v>
      </c>
      <c r="D169" s="212">
        <v>0.51685133449169929</v>
      </c>
      <c r="E169" s="230">
        <v>0.51530310399514168</v>
      </c>
    </row>
    <row r="170" spans="1:12" s="23" customFormat="1" ht="13.35" customHeight="1">
      <c r="A170" s="23" t="s">
        <v>27</v>
      </c>
      <c r="C170" s="230">
        <v>1</v>
      </c>
      <c r="D170" s="212">
        <v>1</v>
      </c>
      <c r="E170" s="230">
        <v>1</v>
      </c>
    </row>
    <row r="171" spans="1:12" s="23" customFormat="1" ht="13.35" customHeight="1">
      <c r="A171" s="23" t="s">
        <v>30</v>
      </c>
      <c r="C171" s="230">
        <v>0.79692078229013963</v>
      </c>
      <c r="D171" s="212">
        <v>0.94553913589039629</v>
      </c>
      <c r="E171" s="230">
        <v>0.95027867053242698</v>
      </c>
    </row>
    <row r="172" spans="1:12" s="23" customFormat="1" ht="13.35" customHeight="1">
      <c r="A172" s="23" t="s">
        <v>33</v>
      </c>
      <c r="C172" s="230">
        <v>0.60290237150384207</v>
      </c>
      <c r="D172" s="212">
        <v>0.68249505320539017</v>
      </c>
      <c r="E172" s="230">
        <v>0.67773427001397113</v>
      </c>
    </row>
    <row r="173" spans="1:12" s="23" customFormat="1" ht="13.35" customHeight="1">
      <c r="A173" s="23" t="s">
        <v>35</v>
      </c>
      <c r="C173" s="230">
        <v>0.75201425431938274</v>
      </c>
      <c r="D173" s="212">
        <v>0.80492996930500149</v>
      </c>
      <c r="E173" s="230">
        <v>0.81220703671193906</v>
      </c>
    </row>
    <row r="174" spans="1:12" s="23" customFormat="1" ht="13.35" customHeight="1">
      <c r="A174" s="23" t="s">
        <v>37</v>
      </c>
      <c r="C174" s="230">
        <v>0.62562758315631073</v>
      </c>
      <c r="D174" s="212">
        <v>0.73712337439162778</v>
      </c>
      <c r="E174" s="230">
        <v>0.73198152822831253</v>
      </c>
    </row>
    <row r="175" spans="1:12" s="23" customFormat="1" ht="13.35" customHeight="1"/>
    <row r="176" spans="1:12" s="4" customFormat="1" ht="13.35" customHeight="1">
      <c r="A176" s="2" t="s">
        <v>136</v>
      </c>
      <c r="C176" s="5"/>
      <c r="D176" s="5"/>
      <c r="E176" s="5"/>
      <c r="F176" s="6"/>
      <c r="G176" s="6"/>
      <c r="H176" s="5"/>
      <c r="I176" s="5"/>
      <c r="J176" s="5"/>
      <c r="K176" s="5"/>
      <c r="L176" s="5"/>
    </row>
    <row r="178" spans="1:5" ht="13.35" customHeight="1">
      <c r="A178" s="98" t="s">
        <v>757</v>
      </c>
      <c r="B178" s="33" t="s">
        <v>1038</v>
      </c>
      <c r="C178" s="133"/>
    </row>
    <row r="179" spans="1:5" ht="13.35" customHeight="1">
      <c r="B179" s="25" t="s">
        <v>1061</v>
      </c>
      <c r="C179" s="133"/>
    </row>
    <row r="180" spans="1:5" ht="13.35" customHeight="1">
      <c r="B180" s="238"/>
      <c r="C180" s="133"/>
    </row>
    <row r="181" spans="1:5" ht="13.35" customHeight="1">
      <c r="B181" s="220"/>
      <c r="C181" s="133"/>
    </row>
    <row r="182" spans="1:5" ht="13.35" customHeight="1">
      <c r="C182" s="24" t="s">
        <v>88</v>
      </c>
    </row>
    <row r="183" spans="1:5" s="23" customFormat="1" ht="13.35" customHeight="1">
      <c r="A183" s="24" t="s">
        <v>0</v>
      </c>
      <c r="C183" s="25">
        <v>12</v>
      </c>
      <c r="D183" s="25" t="s">
        <v>1048</v>
      </c>
      <c r="E183" s="25" t="s">
        <v>1049</v>
      </c>
    </row>
    <row r="184" spans="1:5" s="23" customFormat="1" ht="13.35" customHeight="1">
      <c r="A184" s="23" t="s">
        <v>8</v>
      </c>
      <c r="C184" s="231">
        <v>0</v>
      </c>
      <c r="D184" s="43">
        <v>0</v>
      </c>
      <c r="E184" s="231">
        <v>0</v>
      </c>
    </row>
    <row r="185" spans="1:5" s="23" customFormat="1" ht="13.35" customHeight="1">
      <c r="A185" s="23" t="s">
        <v>10</v>
      </c>
      <c r="C185" s="231">
        <v>1</v>
      </c>
      <c r="D185" s="43">
        <v>1</v>
      </c>
      <c r="E185" s="231">
        <v>1</v>
      </c>
    </row>
    <row r="186" spans="1:5" s="23" customFormat="1" ht="13.35" customHeight="1">
      <c r="A186" s="23" t="s">
        <v>12</v>
      </c>
      <c r="C186" s="231">
        <v>1</v>
      </c>
      <c r="D186" s="43">
        <v>1</v>
      </c>
      <c r="E186" s="231">
        <v>1</v>
      </c>
    </row>
    <row r="187" spans="1:5" s="23" customFormat="1" ht="13.35" customHeight="1">
      <c r="A187" s="23" t="s">
        <v>14</v>
      </c>
      <c r="C187" s="231">
        <v>0</v>
      </c>
      <c r="D187" s="43">
        <v>0</v>
      </c>
      <c r="E187" s="231">
        <v>0</v>
      </c>
    </row>
    <row r="188" spans="1:5" s="23" customFormat="1" ht="13.35" customHeight="1">
      <c r="A188" s="23" t="s">
        <v>16</v>
      </c>
      <c r="C188" s="231">
        <v>1</v>
      </c>
      <c r="D188" s="43">
        <v>1</v>
      </c>
      <c r="E188" s="231">
        <v>1</v>
      </c>
    </row>
    <row r="189" spans="1:5" s="23" customFormat="1" ht="13.35" customHeight="1">
      <c r="A189" s="23" t="s">
        <v>19</v>
      </c>
      <c r="C189" s="231">
        <v>0</v>
      </c>
      <c r="D189" s="43">
        <v>0</v>
      </c>
      <c r="E189" s="231">
        <v>0</v>
      </c>
    </row>
    <row r="190" spans="1:5" s="23" customFormat="1" ht="13.35" customHeight="1">
      <c r="A190" s="23" t="s">
        <v>22</v>
      </c>
      <c r="C190" s="231">
        <v>0</v>
      </c>
      <c r="D190" s="43">
        <v>0</v>
      </c>
      <c r="E190" s="231">
        <v>0</v>
      </c>
    </row>
    <row r="191" spans="1:5" s="23" customFormat="1" ht="13.35" customHeight="1">
      <c r="A191" s="23" t="s">
        <v>1</v>
      </c>
      <c r="C191" s="231">
        <v>1</v>
      </c>
      <c r="D191" s="43">
        <v>1</v>
      </c>
      <c r="E191" s="231">
        <v>1</v>
      </c>
    </row>
    <row r="192" spans="1:5" s="23" customFormat="1" ht="13.35" customHeight="1">
      <c r="A192" s="23" t="s">
        <v>27</v>
      </c>
      <c r="C192" s="231">
        <v>0</v>
      </c>
      <c r="D192" s="43">
        <v>0</v>
      </c>
      <c r="E192" s="231">
        <v>0</v>
      </c>
    </row>
    <row r="193" spans="1:12" s="23" customFormat="1" ht="13.35" customHeight="1">
      <c r="A193" s="23" t="s">
        <v>30</v>
      </c>
      <c r="C193" s="231">
        <v>0</v>
      </c>
      <c r="D193" s="43">
        <v>0</v>
      </c>
      <c r="E193" s="231">
        <v>0</v>
      </c>
    </row>
    <row r="194" spans="1:12" s="23" customFormat="1" ht="13.35" customHeight="1">
      <c r="A194" s="23" t="s">
        <v>33</v>
      </c>
      <c r="C194" s="231">
        <v>0</v>
      </c>
      <c r="D194" s="43">
        <v>0</v>
      </c>
      <c r="E194" s="231">
        <v>1</v>
      </c>
    </row>
    <row r="195" spans="1:12" s="23" customFormat="1" ht="13.35" customHeight="1">
      <c r="A195" s="23" t="s">
        <v>35</v>
      </c>
      <c r="C195" s="231">
        <v>0</v>
      </c>
      <c r="D195" s="43">
        <v>0</v>
      </c>
      <c r="E195" s="231">
        <v>0</v>
      </c>
    </row>
    <row r="196" spans="1:12" s="23" customFormat="1" ht="13.35" customHeight="1">
      <c r="A196" s="23" t="s">
        <v>37</v>
      </c>
      <c r="C196" s="231">
        <v>1</v>
      </c>
      <c r="D196" s="43">
        <v>1</v>
      </c>
      <c r="E196" s="231">
        <v>1</v>
      </c>
    </row>
    <row r="197" spans="1:12" s="183" customFormat="1" ht="15">
      <c r="A197" s="24" t="s">
        <v>996</v>
      </c>
      <c r="C197" s="184">
        <f t="shared" ref="C197:E197" si="0">SUM(C184:C196)</f>
        <v>5</v>
      </c>
      <c r="D197" s="184">
        <f t="shared" si="0"/>
        <v>5</v>
      </c>
      <c r="E197" s="184">
        <f t="shared" si="0"/>
        <v>6</v>
      </c>
    </row>
    <row r="198" spans="1:12">
      <c r="C198" s="182"/>
      <c r="D198" s="210"/>
      <c r="E198" s="210"/>
    </row>
    <row r="199" spans="1:12" s="4" customFormat="1" ht="13.35" customHeight="1">
      <c r="A199" s="2" t="s">
        <v>134</v>
      </c>
      <c r="C199" s="5"/>
      <c r="D199" s="5"/>
      <c r="E199" s="5"/>
      <c r="F199" s="6"/>
      <c r="G199" s="6"/>
      <c r="H199" s="5"/>
      <c r="I199" s="5"/>
      <c r="J199" s="5"/>
      <c r="K199" s="5"/>
      <c r="L199" s="5"/>
    </row>
    <row r="201" spans="1:12" ht="13.35" customHeight="1">
      <c r="A201" s="98" t="s">
        <v>757</v>
      </c>
      <c r="B201" s="33" t="s">
        <v>1038</v>
      </c>
      <c r="C201" s="133"/>
    </row>
    <row r="202" spans="1:12" ht="13.35" customHeight="1">
      <c r="B202" s="25" t="s">
        <v>1061</v>
      </c>
      <c r="C202" s="133"/>
    </row>
    <row r="203" spans="1:12" ht="13.35" customHeight="1">
      <c r="B203" s="238"/>
      <c r="C203" s="133"/>
    </row>
    <row r="204" spans="1:12" ht="13.35" customHeight="1">
      <c r="B204" s="219"/>
      <c r="C204" s="133"/>
    </row>
    <row r="205" spans="1:12" s="23" customFormat="1" ht="13.35" customHeight="1">
      <c r="C205" s="24" t="s">
        <v>88</v>
      </c>
    </row>
    <row r="206" spans="1:12" s="23" customFormat="1" ht="13.35" customHeight="1">
      <c r="A206" s="33" t="s">
        <v>7</v>
      </c>
      <c r="B206" s="33" t="s">
        <v>110</v>
      </c>
      <c r="C206" s="25">
        <v>12</v>
      </c>
      <c r="D206" s="25" t="s">
        <v>1048</v>
      </c>
      <c r="E206" s="25" t="s">
        <v>1049</v>
      </c>
    </row>
    <row r="207" spans="1:12" ht="13.35" customHeight="1">
      <c r="A207" s="23" t="s">
        <v>9</v>
      </c>
      <c r="B207" s="23" t="s">
        <v>125</v>
      </c>
      <c r="C207" s="230">
        <v>0.48099999999999998</v>
      </c>
      <c r="D207" s="212">
        <v>0.49099999999999999</v>
      </c>
      <c r="E207" s="230">
        <v>0.48499999999999999</v>
      </c>
    </row>
    <row r="208" spans="1:12" ht="13.35" customHeight="1">
      <c r="A208" s="23" t="s">
        <v>11</v>
      </c>
      <c r="B208" s="23" t="s">
        <v>126</v>
      </c>
      <c r="C208" s="230">
        <v>0.20200000000000001</v>
      </c>
      <c r="D208" s="212">
        <v>0.184</v>
      </c>
      <c r="E208" s="230">
        <v>0.19400000000000001</v>
      </c>
    </row>
    <row r="209" spans="1:5" ht="13.35" customHeight="1">
      <c r="A209" s="23" t="s">
        <v>13</v>
      </c>
      <c r="B209" s="23" t="s">
        <v>127</v>
      </c>
      <c r="C209" s="230">
        <v>0.28999999999999998</v>
      </c>
      <c r="D209" s="212">
        <v>0.29599999999999999</v>
      </c>
      <c r="E209" s="230">
        <v>0.29699999999999999</v>
      </c>
    </row>
    <row r="210" spans="1:5" ht="13.35" customHeight="1">
      <c r="A210" s="23" t="s">
        <v>15</v>
      </c>
      <c r="B210" s="23" t="s">
        <v>115</v>
      </c>
      <c r="C210" s="230">
        <v>-7.0999999999999994E-2</v>
      </c>
      <c r="D210" s="212">
        <v>-8.5999999999999993E-2</v>
      </c>
      <c r="E210" s="230">
        <v>-7.1999999999999995E-2</v>
      </c>
    </row>
    <row r="211" spans="1:5" ht="13.35" customHeight="1">
      <c r="A211" s="23" t="s">
        <v>18</v>
      </c>
      <c r="B211" s="23" t="s">
        <v>67</v>
      </c>
      <c r="C211" s="230">
        <v>5.0000000000000001E-3</v>
      </c>
      <c r="D211" s="212">
        <v>5.0000000000000001E-3</v>
      </c>
      <c r="E211" s="230">
        <v>5.0000000000000001E-3</v>
      </c>
    </row>
    <row r="212" spans="1:5" ht="13.35" customHeight="1">
      <c r="A212" s="23" t="s">
        <v>21</v>
      </c>
      <c r="B212" s="23" t="s">
        <v>116</v>
      </c>
      <c r="C212" s="230">
        <v>-2.4E-2</v>
      </c>
      <c r="D212" s="212">
        <v>-0.15</v>
      </c>
      <c r="E212" s="230">
        <v>-0.17100000000000001</v>
      </c>
    </row>
    <row r="213" spans="1:5" ht="13.35" customHeight="1">
      <c r="A213" s="23" t="s">
        <v>24</v>
      </c>
      <c r="B213" s="23" t="s">
        <v>98</v>
      </c>
      <c r="C213" s="230">
        <v>0.14199999999999999</v>
      </c>
      <c r="D213" s="212">
        <v>-1.2E-2</v>
      </c>
      <c r="E213" s="230">
        <v>-3.3000000000000002E-2</v>
      </c>
    </row>
    <row r="214" spans="1:5" ht="13.35" customHeight="1">
      <c r="A214" s="23"/>
      <c r="B214" s="23"/>
      <c r="C214" s="230"/>
      <c r="D214" s="212"/>
      <c r="E214" s="230"/>
    </row>
    <row r="215" spans="1:5" ht="13.35" customHeight="1">
      <c r="A215" s="23"/>
      <c r="B215" s="23"/>
      <c r="C215" s="230"/>
      <c r="D215" s="212"/>
      <c r="E215" s="230"/>
    </row>
    <row r="216" spans="1:5" ht="13.35" customHeight="1">
      <c r="A216" s="23"/>
      <c r="B216" s="23"/>
      <c r="C216" s="230"/>
      <c r="D216" s="212"/>
      <c r="E216" s="230"/>
    </row>
    <row r="217" spans="1:5" ht="13.35" customHeight="1">
      <c r="A217" s="23"/>
      <c r="B217" s="23"/>
      <c r="C217" s="230"/>
      <c r="D217" s="212"/>
      <c r="E217" s="230"/>
    </row>
    <row r="218" spans="1:5" ht="13.35" customHeight="1">
      <c r="A218" s="23"/>
      <c r="B218" s="23"/>
      <c r="C218" s="230"/>
      <c r="D218" s="212"/>
      <c r="E218" s="230"/>
    </row>
    <row r="219" spans="1:5" ht="13.35" customHeight="1">
      <c r="A219" s="23"/>
      <c r="B219" s="23"/>
      <c r="C219" s="230"/>
      <c r="D219" s="212"/>
      <c r="E219" s="230"/>
    </row>
    <row r="220" spans="1:5" ht="13.35" customHeight="1">
      <c r="A220" s="23"/>
      <c r="B220" s="23"/>
      <c r="C220" s="230"/>
      <c r="D220" s="212"/>
      <c r="E220" s="230"/>
    </row>
    <row r="221" spans="1:5" ht="13.35" customHeight="1">
      <c r="A221" s="23"/>
      <c r="B221" s="23"/>
      <c r="C221" s="230"/>
      <c r="D221" s="212"/>
      <c r="E221" s="230"/>
    </row>
    <row r="222" spans="1:5" ht="13.35" customHeight="1">
      <c r="A222" s="23"/>
      <c r="B222" s="23"/>
      <c r="C222" s="230"/>
      <c r="D222" s="212"/>
      <c r="E222" s="230"/>
    </row>
    <row r="223" spans="1:5" ht="13.35" customHeight="1">
      <c r="A223" s="23"/>
      <c r="B223" s="23"/>
      <c r="C223" s="230"/>
      <c r="D223" s="212"/>
      <c r="E223" s="230"/>
    </row>
    <row r="224" spans="1:5" ht="13.35" customHeight="1">
      <c r="A224" s="23"/>
      <c r="B224" s="23"/>
      <c r="C224" s="230"/>
      <c r="D224" s="212"/>
      <c r="E224" s="230"/>
    </row>
    <row r="225" spans="1:12" ht="13.35" customHeight="1">
      <c r="A225" s="23"/>
      <c r="B225" s="23"/>
      <c r="C225" s="230"/>
      <c r="D225" s="212"/>
      <c r="E225" s="230"/>
    </row>
    <row r="226" spans="1:12" ht="13.35" customHeight="1">
      <c r="A226" s="23" t="s">
        <v>17</v>
      </c>
      <c r="B226" s="23" t="s">
        <v>128</v>
      </c>
      <c r="C226" s="230">
        <v>-0.96499999999999997</v>
      </c>
      <c r="D226" s="212">
        <v>-0.91500000000000004</v>
      </c>
      <c r="E226" s="230">
        <v>-0.88100000000000001</v>
      </c>
    </row>
    <row r="227" spans="1:12" ht="13.35" customHeight="1">
      <c r="A227" s="23" t="s">
        <v>20</v>
      </c>
      <c r="B227" s="23" t="s">
        <v>129</v>
      </c>
      <c r="C227" s="230">
        <v>0.255</v>
      </c>
      <c r="D227" s="212">
        <v>0.20399999999999999</v>
      </c>
      <c r="E227" s="230">
        <v>0.159</v>
      </c>
    </row>
    <row r="228" spans="1:12" ht="13.35" customHeight="1">
      <c r="A228" s="23" t="s">
        <v>23</v>
      </c>
      <c r="B228" s="23" t="s">
        <v>130</v>
      </c>
      <c r="C228" s="230">
        <v>0.46100000000000002</v>
      </c>
      <c r="D228" s="212">
        <v>0.42499999999999999</v>
      </c>
      <c r="E228" s="230">
        <v>0.39400000000000002</v>
      </c>
    </row>
    <row r="229" spans="1:12" ht="13.35" customHeight="1">
      <c r="A229" s="23" t="s">
        <v>25</v>
      </c>
      <c r="B229" s="23" t="s">
        <v>131</v>
      </c>
      <c r="C229" s="230">
        <v>7.3999999999999996E-2</v>
      </c>
      <c r="D229" s="212">
        <v>0.123</v>
      </c>
      <c r="E229" s="230">
        <v>0.152</v>
      </c>
    </row>
    <row r="230" spans="1:12" ht="13.35" customHeight="1">
      <c r="A230" s="23" t="s">
        <v>29</v>
      </c>
      <c r="B230" s="23" t="s">
        <v>132</v>
      </c>
      <c r="C230" s="230">
        <v>-0.28599999999999998</v>
      </c>
      <c r="D230" s="212">
        <v>-0.27600000000000002</v>
      </c>
      <c r="E230" s="230">
        <v>-0.248</v>
      </c>
    </row>
    <row r="231" spans="1:12" ht="13.35" customHeight="1">
      <c r="A231" s="23" t="s">
        <v>32</v>
      </c>
      <c r="B231" s="23" t="s">
        <v>133</v>
      </c>
      <c r="C231" s="230">
        <v>-2.3E-2</v>
      </c>
      <c r="D231" s="212">
        <v>8.0000000000000002E-3</v>
      </c>
      <c r="E231" s="230">
        <v>3.1E-2</v>
      </c>
    </row>
    <row r="232" spans="1:12" ht="13.35" customHeight="1">
      <c r="A232" s="23" t="s">
        <v>26</v>
      </c>
      <c r="B232" s="23" t="s">
        <v>117</v>
      </c>
      <c r="C232" s="230">
        <v>-1.2130000000000001</v>
      </c>
      <c r="D232" s="212">
        <v>-1.24</v>
      </c>
      <c r="E232" s="230">
        <v>-6.9000000000000006E-2</v>
      </c>
    </row>
    <row r="233" spans="1:12" s="9" customFormat="1" ht="13.35" customHeight="1"/>
    <row r="234" spans="1:12" s="4" customFormat="1" ht="13.35" customHeight="1">
      <c r="A234" s="2" t="s">
        <v>135</v>
      </c>
      <c r="C234" s="5"/>
      <c r="D234" s="5"/>
      <c r="E234" s="5"/>
      <c r="F234" s="6"/>
      <c r="G234" s="6"/>
      <c r="H234" s="5"/>
      <c r="I234" s="5"/>
      <c r="J234" s="5"/>
      <c r="K234" s="5"/>
      <c r="L234" s="5"/>
    </row>
    <row r="236" spans="1:12" ht="13.35" customHeight="1">
      <c r="A236" s="98" t="s">
        <v>757</v>
      </c>
      <c r="B236" s="33" t="s">
        <v>1038</v>
      </c>
      <c r="C236" s="133"/>
    </row>
    <row r="237" spans="1:12" ht="13.35" customHeight="1">
      <c r="B237" s="25" t="s">
        <v>1061</v>
      </c>
      <c r="C237" s="133"/>
    </row>
    <row r="238" spans="1:12" ht="13.35" customHeight="1">
      <c r="B238" s="238"/>
      <c r="C238" s="133"/>
    </row>
    <row r="239" spans="1:12" ht="13.35" customHeight="1">
      <c r="B239" s="220"/>
      <c r="C239" s="133"/>
    </row>
    <row r="240" spans="1:12" ht="13.35" customHeight="1">
      <c r="C240" s="24" t="s">
        <v>88</v>
      </c>
    </row>
    <row r="241" spans="1:12" s="23" customFormat="1" ht="13.35" customHeight="1">
      <c r="A241" s="24" t="s">
        <v>0</v>
      </c>
      <c r="C241" s="25">
        <v>12</v>
      </c>
      <c r="D241" s="25" t="s">
        <v>1048</v>
      </c>
      <c r="E241" s="25" t="s">
        <v>1049</v>
      </c>
    </row>
    <row r="242" spans="1:12" s="23" customFormat="1" ht="13.35" customHeight="1">
      <c r="A242" s="23" t="s">
        <v>8</v>
      </c>
      <c r="C242" s="230">
        <v>0.52313244342803955</v>
      </c>
      <c r="D242" s="212">
        <v>0.51402145624160767</v>
      </c>
      <c r="E242" s="230">
        <v>0.51736730337142944</v>
      </c>
    </row>
    <row r="243" spans="1:12" s="23" customFormat="1" ht="13.35" customHeight="1">
      <c r="A243" s="23" t="s">
        <v>10</v>
      </c>
      <c r="C243" s="230">
        <v>0.38993659615516663</v>
      </c>
      <c r="D243" s="212">
        <v>0.41907313466072083</v>
      </c>
      <c r="E243" s="230">
        <v>0.40373200178146362</v>
      </c>
    </row>
    <row r="244" spans="1:12" s="23" customFormat="1" ht="13.35" customHeight="1">
      <c r="A244" s="23" t="s">
        <v>12</v>
      </c>
      <c r="C244" s="230">
        <v>0.89839309453964233</v>
      </c>
      <c r="D244" s="212">
        <v>0.82006168365478516</v>
      </c>
      <c r="E244" s="230">
        <v>0.81965577602386475</v>
      </c>
    </row>
    <row r="245" spans="1:12" s="23" customFormat="1" ht="13.35" customHeight="1">
      <c r="A245" s="23" t="s">
        <v>14</v>
      </c>
      <c r="C245" s="230">
        <v>0.59973865747451782</v>
      </c>
      <c r="D245" s="212">
        <v>0.60680502653121948</v>
      </c>
      <c r="E245" s="230">
        <v>0.60366916656494141</v>
      </c>
    </row>
    <row r="246" spans="1:12" s="23" customFormat="1" ht="13.35" customHeight="1">
      <c r="A246" s="23" t="s">
        <v>16</v>
      </c>
      <c r="C246" s="230">
        <v>0.51948195695877075</v>
      </c>
      <c r="D246" s="212">
        <v>0.54904431104660034</v>
      </c>
      <c r="E246" s="230">
        <v>0.42569312453269958</v>
      </c>
    </row>
    <row r="247" spans="1:12" s="23" customFormat="1" ht="13.35" customHeight="1">
      <c r="A247" s="23" t="s">
        <v>19</v>
      </c>
      <c r="C247" s="230">
        <v>0.68934619426727295</v>
      </c>
      <c r="D247" s="212">
        <v>0.72772175073623657</v>
      </c>
      <c r="E247" s="230">
        <v>0.62899166345596313</v>
      </c>
    </row>
    <row r="248" spans="1:12" s="23" customFormat="1" ht="13.35" customHeight="1">
      <c r="A248" s="23" t="s">
        <v>22</v>
      </c>
      <c r="C248" s="230">
        <v>0.75573617219924927</v>
      </c>
      <c r="D248" s="212">
        <v>0.81587070226669312</v>
      </c>
      <c r="E248" s="230">
        <v>0.86020702123641968</v>
      </c>
    </row>
    <row r="249" spans="1:12" s="23" customFormat="1" ht="13.35" customHeight="1">
      <c r="A249" s="23" t="s">
        <v>1</v>
      </c>
      <c r="C249" s="230">
        <v>0.55421555042266846</v>
      </c>
      <c r="D249" s="212">
        <v>0.5799328088760376</v>
      </c>
      <c r="E249" s="230">
        <v>0.57485449314117432</v>
      </c>
    </row>
    <row r="250" spans="1:12" s="23" customFormat="1" ht="13.35" customHeight="1">
      <c r="A250" s="23" t="s">
        <v>27</v>
      </c>
      <c r="C250" s="230">
        <v>0.9500046968460083</v>
      </c>
      <c r="D250" s="212">
        <v>0.95005571842193604</v>
      </c>
      <c r="E250" s="230">
        <v>0.95262962579727173</v>
      </c>
    </row>
    <row r="251" spans="1:12" s="23" customFormat="1" ht="13.35" customHeight="1">
      <c r="A251" s="23" t="s">
        <v>30</v>
      </c>
      <c r="C251" s="230">
        <v>0.77973455190658569</v>
      </c>
      <c r="D251" s="212">
        <v>0.9081883430480957</v>
      </c>
      <c r="E251" s="230">
        <v>0.93313425779342651</v>
      </c>
    </row>
    <row r="252" spans="1:12" s="23" customFormat="1" ht="13.35" customHeight="1">
      <c r="A252" s="23" t="s">
        <v>33</v>
      </c>
      <c r="C252" s="230">
        <v>0.59397321939468384</v>
      </c>
      <c r="D252" s="212">
        <v>0.66490530967712402</v>
      </c>
      <c r="E252" s="230">
        <v>0.65507429838180542</v>
      </c>
    </row>
    <row r="253" spans="1:12" s="23" customFormat="1" ht="13.35" customHeight="1">
      <c r="A253" s="23" t="s">
        <v>35</v>
      </c>
      <c r="C253" s="230">
        <v>0.83282804489135742</v>
      </c>
      <c r="D253" s="212">
        <v>0.92350560426712036</v>
      </c>
      <c r="E253" s="230">
        <v>0.93568634986877441</v>
      </c>
    </row>
    <row r="254" spans="1:12" s="23" customFormat="1" ht="13.35" customHeight="1">
      <c r="A254" s="23" t="s">
        <v>37</v>
      </c>
      <c r="C254" s="230">
        <v>0.63391780853271484</v>
      </c>
      <c r="D254" s="212">
        <v>0.74067676067352295</v>
      </c>
      <c r="E254" s="230">
        <v>0.72041183710098267</v>
      </c>
    </row>
    <row r="256" spans="1:12" s="4" customFormat="1" ht="13.35" customHeight="1">
      <c r="A256" s="2" t="s">
        <v>137</v>
      </c>
      <c r="C256" s="5"/>
      <c r="D256" s="5"/>
      <c r="E256" s="5"/>
      <c r="F256" s="6"/>
      <c r="G256" s="6"/>
      <c r="H256" s="5"/>
      <c r="I256" s="5"/>
      <c r="J256" s="5"/>
      <c r="K256" s="5"/>
      <c r="L256" s="5"/>
    </row>
    <row r="258" spans="1:5" ht="13.35" customHeight="1">
      <c r="A258" s="98" t="s">
        <v>757</v>
      </c>
      <c r="B258" s="33" t="s">
        <v>1038</v>
      </c>
      <c r="C258" s="133"/>
    </row>
    <row r="259" spans="1:5" ht="13.35" customHeight="1">
      <c r="B259" s="25" t="s">
        <v>1061</v>
      </c>
      <c r="C259" s="133"/>
    </row>
    <row r="260" spans="1:5" ht="13.35" customHeight="1">
      <c r="B260" s="238"/>
      <c r="C260" s="133"/>
    </row>
    <row r="261" spans="1:5" ht="13.35" customHeight="1">
      <c r="B261" s="218"/>
      <c r="C261" s="133"/>
    </row>
    <row r="262" spans="1:5" ht="13.35" customHeight="1">
      <c r="C262" s="24" t="s">
        <v>88</v>
      </c>
    </row>
    <row r="263" spans="1:5" s="23" customFormat="1" ht="13.35" customHeight="1">
      <c r="A263" s="24" t="s">
        <v>0</v>
      </c>
      <c r="C263" s="25">
        <v>12</v>
      </c>
      <c r="D263" s="25" t="s">
        <v>1048</v>
      </c>
      <c r="E263" s="25" t="s">
        <v>1049</v>
      </c>
    </row>
    <row r="264" spans="1:5" s="23" customFormat="1" ht="13.35" customHeight="1">
      <c r="A264" s="23" t="s">
        <v>8</v>
      </c>
      <c r="C264" s="231">
        <v>0</v>
      </c>
      <c r="D264" s="43">
        <v>0</v>
      </c>
      <c r="E264" s="231">
        <v>0</v>
      </c>
    </row>
    <row r="265" spans="1:5" s="23" customFormat="1" ht="13.35" customHeight="1">
      <c r="A265" s="23" t="s">
        <v>10</v>
      </c>
      <c r="C265" s="231">
        <v>1</v>
      </c>
      <c r="D265" s="43">
        <v>1</v>
      </c>
      <c r="E265" s="231">
        <v>1</v>
      </c>
    </row>
    <row r="266" spans="1:5" s="23" customFormat="1" ht="13.35" customHeight="1">
      <c r="A266" s="23" t="s">
        <v>12</v>
      </c>
      <c r="C266" s="231">
        <v>1</v>
      </c>
      <c r="D266" s="43">
        <v>1</v>
      </c>
      <c r="E266" s="231">
        <v>1</v>
      </c>
    </row>
    <row r="267" spans="1:5" s="23" customFormat="1" ht="13.35" customHeight="1">
      <c r="A267" s="23" t="s">
        <v>14</v>
      </c>
      <c r="C267" s="231">
        <v>1</v>
      </c>
      <c r="D267" s="43">
        <v>1</v>
      </c>
      <c r="E267" s="231">
        <v>1</v>
      </c>
    </row>
    <row r="268" spans="1:5" s="23" customFormat="1" ht="13.35" customHeight="1">
      <c r="A268" s="23" t="s">
        <v>16</v>
      </c>
      <c r="C268" s="231">
        <v>1</v>
      </c>
      <c r="D268" s="43">
        <v>1</v>
      </c>
      <c r="E268" s="231">
        <v>1</v>
      </c>
    </row>
    <row r="269" spans="1:5" s="23" customFormat="1" ht="13.35" customHeight="1">
      <c r="A269" s="23" t="s">
        <v>19</v>
      </c>
      <c r="C269" s="231">
        <v>0</v>
      </c>
      <c r="D269" s="43">
        <v>0</v>
      </c>
      <c r="E269" s="231">
        <v>0</v>
      </c>
    </row>
    <row r="270" spans="1:5" s="23" customFormat="1" ht="13.35" customHeight="1">
      <c r="A270" s="23" t="s">
        <v>22</v>
      </c>
      <c r="C270" s="231">
        <v>0</v>
      </c>
      <c r="D270" s="43">
        <v>0</v>
      </c>
      <c r="E270" s="231">
        <v>1</v>
      </c>
    </row>
    <row r="271" spans="1:5" s="23" customFormat="1" ht="13.35" customHeight="1">
      <c r="A271" s="23" t="s">
        <v>1</v>
      </c>
      <c r="C271" s="231">
        <v>1</v>
      </c>
      <c r="D271" s="43">
        <v>1</v>
      </c>
      <c r="E271" s="231">
        <v>1</v>
      </c>
    </row>
    <row r="272" spans="1:5" s="23" customFormat="1" ht="13.35" customHeight="1">
      <c r="A272" s="23" t="s">
        <v>27</v>
      </c>
      <c r="C272" s="231">
        <v>0</v>
      </c>
      <c r="D272" s="43">
        <v>1</v>
      </c>
      <c r="E272" s="231">
        <v>1</v>
      </c>
    </row>
    <row r="273" spans="1:5" s="23" customFormat="1" ht="13.35" customHeight="1">
      <c r="A273" s="23" t="s">
        <v>30</v>
      </c>
      <c r="C273" s="231">
        <v>0</v>
      </c>
      <c r="D273" s="43">
        <v>0</v>
      </c>
      <c r="E273" s="231">
        <v>1</v>
      </c>
    </row>
    <row r="274" spans="1:5" s="23" customFormat="1" ht="13.35" customHeight="1">
      <c r="A274" s="23" t="s">
        <v>33</v>
      </c>
      <c r="C274" s="231">
        <v>1</v>
      </c>
      <c r="D274" s="43">
        <v>1</v>
      </c>
      <c r="E274" s="231">
        <v>1</v>
      </c>
    </row>
    <row r="275" spans="1:5" s="23" customFormat="1" ht="13.35" customHeight="1">
      <c r="A275" s="23" t="s">
        <v>35</v>
      </c>
      <c r="C275" s="231">
        <v>0</v>
      </c>
      <c r="D275" s="43">
        <v>0</v>
      </c>
      <c r="E275" s="231">
        <v>0</v>
      </c>
    </row>
    <row r="276" spans="1:5" s="23" customFormat="1" ht="13.35" customHeight="1">
      <c r="A276" s="23" t="s">
        <v>37</v>
      </c>
      <c r="C276" s="231">
        <v>1</v>
      </c>
      <c r="D276" s="43">
        <v>1</v>
      </c>
      <c r="E276" s="231">
        <v>1</v>
      </c>
    </row>
    <row r="277" spans="1:5" s="183" customFormat="1" ht="15">
      <c r="A277" s="24" t="s">
        <v>996</v>
      </c>
      <c r="C277" s="184">
        <f t="shared" ref="C277" si="1">SUM(C264:C276)</f>
        <v>7</v>
      </c>
      <c r="D277" s="211">
        <f t="shared" ref="D277:E277" si="2">SUM(D264:D276)</f>
        <v>8</v>
      </c>
      <c r="E277" s="211">
        <f t="shared" si="2"/>
        <v>10</v>
      </c>
    </row>
    <row r="278" spans="1:5">
      <c r="D278" s="210"/>
      <c r="E278" s="210"/>
    </row>
    <row r="279" spans="1:5" s="22" customFormat="1" ht="13.35" customHeight="1">
      <c r="A279" s="2" t="s">
        <v>106</v>
      </c>
      <c r="B279" s="4"/>
    </row>
  </sheetData>
  <hyperlinks>
    <hyperlink ref="A2" location="Index!A1" display="Index" xr:uid="{00000000-0004-0000-0900-000000000000}"/>
  </hyperlinks>
  <pageMargins left="0.7" right="0.7" top="0.75" bottom="0.75" header="0.3" footer="0.3"/>
  <pageSetup paperSize="9" orientation="portrait" r:id="rId1"/>
  <ignoredErrors>
    <ignoredError sqref="C277" formulaRange="1"/>
    <ignoredError sqref="C197" formulaRange="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CC"/>
  </sheetPr>
  <dimension ref="A1:L279"/>
  <sheetViews>
    <sheetView topLeftCell="A172" workbookViewId="0">
      <selection activeCell="A181" sqref="A181"/>
    </sheetView>
  </sheetViews>
  <sheetFormatPr defaultColWidth="8.85546875" defaultRowHeight="13.35" customHeight="1"/>
  <cols>
    <col min="1" max="1" width="8.85546875" style="21"/>
    <col min="2" max="2" width="12.5703125" style="21" customWidth="1"/>
    <col min="3" max="3" width="8.85546875" style="21"/>
    <col min="4" max="5" width="9" style="21" bestFit="1" customWidth="1"/>
    <col min="6" max="16384" width="8.85546875" style="21"/>
  </cols>
  <sheetData>
    <row r="1" spans="1:12" s="7" customFormat="1" ht="15.75">
      <c r="A1" s="1" t="s">
        <v>894</v>
      </c>
    </row>
    <row r="2" spans="1:12" s="16" customFormat="1" ht="13.35" customHeight="1">
      <c r="A2" s="90" t="s">
        <v>86</v>
      </c>
    </row>
    <row r="3" spans="1:12" s="9" customFormat="1" ht="13.35" customHeight="1" thickBot="1">
      <c r="A3" s="8" t="s">
        <v>702</v>
      </c>
    </row>
    <row r="4" spans="1:12" s="9" customFormat="1" ht="13.35" customHeight="1"/>
    <row r="5" spans="1:12" s="4" customFormat="1" ht="13.35" customHeight="1">
      <c r="A5" s="2" t="s">
        <v>119</v>
      </c>
      <c r="C5" s="5"/>
      <c r="D5" s="5"/>
      <c r="E5" s="5"/>
      <c r="F5" s="6"/>
      <c r="G5" s="6"/>
      <c r="H5" s="5"/>
      <c r="I5" s="5"/>
      <c r="J5" s="5"/>
      <c r="K5" s="5"/>
      <c r="L5" s="5"/>
    </row>
    <row r="7" spans="1:12" ht="13.35" customHeight="1">
      <c r="A7" s="98" t="s">
        <v>757</v>
      </c>
      <c r="B7" s="33" t="s">
        <v>1038</v>
      </c>
      <c r="C7" s="133"/>
    </row>
    <row r="8" spans="1:12" ht="13.35" customHeight="1">
      <c r="B8" s="25" t="s">
        <v>1061</v>
      </c>
      <c r="C8" s="133"/>
    </row>
    <row r="9" spans="1:12" ht="13.35" customHeight="1">
      <c r="B9" s="238"/>
      <c r="C9" s="133"/>
    </row>
    <row r="10" spans="1:12" ht="13.35" customHeight="1">
      <c r="B10" s="195"/>
      <c r="C10" s="133"/>
    </row>
    <row r="11" spans="1:12" s="23" customFormat="1" ht="13.35" customHeight="1">
      <c r="C11" s="24" t="s">
        <v>88</v>
      </c>
    </row>
    <row r="12" spans="1:12" s="23" customFormat="1" ht="13.35" customHeight="1">
      <c r="A12" s="33" t="s">
        <v>7</v>
      </c>
      <c r="B12" s="33" t="s">
        <v>110</v>
      </c>
      <c r="C12" s="25">
        <v>12</v>
      </c>
      <c r="D12" s="25" t="s">
        <v>1048</v>
      </c>
      <c r="E12" s="25" t="s">
        <v>1049</v>
      </c>
    </row>
    <row r="13" spans="1:12" ht="13.35" customHeight="1">
      <c r="A13" s="23" t="s">
        <v>9</v>
      </c>
      <c r="B13" s="23" t="s">
        <v>112</v>
      </c>
      <c r="C13" s="230">
        <v>0.59499999999999997</v>
      </c>
      <c r="D13" s="212">
        <v>0.59099999999999997</v>
      </c>
      <c r="E13" s="230">
        <v>0.59</v>
      </c>
    </row>
    <row r="14" spans="1:12" ht="13.35" customHeight="1">
      <c r="A14" s="23" t="s">
        <v>11</v>
      </c>
      <c r="B14" s="23" t="s">
        <v>113</v>
      </c>
      <c r="C14" s="230">
        <v>0.153</v>
      </c>
      <c r="D14" s="212">
        <v>0.154</v>
      </c>
      <c r="E14" s="230">
        <v>0.154</v>
      </c>
    </row>
    <row r="15" spans="1:12" ht="13.35" customHeight="1">
      <c r="A15" s="23" t="s">
        <v>13</v>
      </c>
      <c r="B15" s="23" t="s">
        <v>114</v>
      </c>
      <c r="C15" s="230">
        <v>0.22600000000000001</v>
      </c>
      <c r="D15" s="212">
        <v>0.22800000000000001</v>
      </c>
      <c r="E15" s="230">
        <v>0.23</v>
      </c>
    </row>
    <row r="16" spans="1:12" ht="13.35" customHeight="1">
      <c r="A16" s="23" t="s">
        <v>15</v>
      </c>
      <c r="B16" s="23" t="s">
        <v>115</v>
      </c>
      <c r="C16" s="230">
        <v>-0.14899999999999999</v>
      </c>
      <c r="D16" s="212">
        <v>-0.14699999999999999</v>
      </c>
      <c r="E16" s="230">
        <v>-0.14799999999999999</v>
      </c>
    </row>
    <row r="17" spans="1:5" ht="13.35" customHeight="1">
      <c r="A17" s="23" t="s">
        <v>18</v>
      </c>
      <c r="B17" s="23" t="s">
        <v>67</v>
      </c>
      <c r="C17" s="230">
        <v>1.0999999999999999E-2</v>
      </c>
      <c r="D17" s="212">
        <v>1.0999999999999999E-2</v>
      </c>
      <c r="E17" s="230">
        <v>1.0999999999999999E-2</v>
      </c>
    </row>
    <row r="18" spans="1:5" ht="13.35" customHeight="1">
      <c r="A18" s="23" t="s">
        <v>21</v>
      </c>
      <c r="B18" s="23" t="s">
        <v>116</v>
      </c>
      <c r="C18" s="230">
        <v>-0.20899999999999999</v>
      </c>
      <c r="D18" s="212">
        <v>-0.39800000000000002</v>
      </c>
      <c r="E18" s="230">
        <v>-0.39700000000000002</v>
      </c>
    </row>
    <row r="19" spans="1:5" ht="13.35" customHeight="1">
      <c r="A19" s="23" t="s">
        <v>24</v>
      </c>
      <c r="B19" s="23" t="s">
        <v>98</v>
      </c>
      <c r="C19" s="230">
        <v>-5.8000000000000003E-2</v>
      </c>
      <c r="D19" s="212">
        <v>-0.246</v>
      </c>
      <c r="E19" s="230">
        <v>-0.247</v>
      </c>
    </row>
    <row r="20" spans="1:5" ht="13.35" customHeight="1">
      <c r="A20" s="23" t="s">
        <v>28</v>
      </c>
      <c r="B20" s="23" t="s">
        <v>10</v>
      </c>
      <c r="C20" s="230">
        <v>2.3E-2</v>
      </c>
      <c r="D20" s="212">
        <v>-0.158</v>
      </c>
      <c r="E20" s="230">
        <v>-0.158</v>
      </c>
    </row>
    <row r="21" spans="1:5" ht="13.35" customHeight="1">
      <c r="A21" s="23" t="s">
        <v>31</v>
      </c>
      <c r="B21" s="23" t="s">
        <v>12</v>
      </c>
      <c r="C21" s="230">
        <v>-0.64900000000000002</v>
      </c>
      <c r="D21" s="212">
        <v>-0.52600000000000002</v>
      </c>
      <c r="E21" s="230">
        <v>-0.52600000000000002</v>
      </c>
    </row>
    <row r="22" spans="1:5" ht="13.35" customHeight="1">
      <c r="A22" s="23" t="s">
        <v>34</v>
      </c>
      <c r="B22" s="23" t="s">
        <v>14</v>
      </c>
      <c r="C22" s="230">
        <v>-0.219</v>
      </c>
      <c r="D22" s="212">
        <v>-0.309</v>
      </c>
      <c r="E22" s="230">
        <v>-0.31</v>
      </c>
    </row>
    <row r="23" spans="1:5" ht="13.35" customHeight="1">
      <c r="A23" s="23" t="s">
        <v>36</v>
      </c>
      <c r="B23" s="23" t="s">
        <v>16</v>
      </c>
      <c r="C23" s="230">
        <v>-0.23799999999999999</v>
      </c>
      <c r="D23" s="212">
        <v>-0.40100000000000002</v>
      </c>
      <c r="E23" s="230">
        <v>-0.126</v>
      </c>
    </row>
    <row r="24" spans="1:5" ht="13.35" customHeight="1">
      <c r="A24" s="23" t="s">
        <v>38</v>
      </c>
      <c r="B24" s="23" t="s">
        <v>19</v>
      </c>
      <c r="C24" s="230">
        <v>-0.154</v>
      </c>
      <c r="D24" s="212">
        <v>-0.161</v>
      </c>
      <c r="E24" s="230">
        <v>7.8E-2</v>
      </c>
    </row>
    <row r="25" spans="1:5" ht="13.35" customHeight="1">
      <c r="A25" s="23" t="s">
        <v>39</v>
      </c>
      <c r="B25" s="23" t="s">
        <v>22</v>
      </c>
      <c r="C25" s="230">
        <v>-0.28699999999999998</v>
      </c>
      <c r="D25" s="212">
        <v>-0.28999999999999998</v>
      </c>
      <c r="E25" s="230">
        <v>-0.29099999999999998</v>
      </c>
    </row>
    <row r="26" spans="1:5" ht="13.35" customHeight="1">
      <c r="A26" s="23" t="s">
        <v>40</v>
      </c>
      <c r="B26" s="23" t="s">
        <v>1</v>
      </c>
      <c r="C26" s="230">
        <v>-0.32900000000000001</v>
      </c>
      <c r="D26" s="212">
        <v>-0.42099999999999999</v>
      </c>
      <c r="E26" s="230">
        <v>-0.42099999999999999</v>
      </c>
    </row>
    <row r="27" spans="1:5" ht="13.35" customHeight="1">
      <c r="A27" s="23" t="s">
        <v>41</v>
      </c>
      <c r="B27" s="23" t="s">
        <v>27</v>
      </c>
      <c r="C27" s="230">
        <v>-0.72199999999999998</v>
      </c>
      <c r="D27" s="212">
        <v>-0.74399999999999999</v>
      </c>
      <c r="E27" s="230">
        <v>-0.74399999999999999</v>
      </c>
    </row>
    <row r="28" spans="1:5" ht="13.35" customHeight="1">
      <c r="A28" s="23" t="s">
        <v>42</v>
      </c>
      <c r="B28" s="23" t="s">
        <v>30</v>
      </c>
      <c r="C28" s="230">
        <v>-0.48499999999999999</v>
      </c>
      <c r="D28" s="212">
        <v>-0.67400000000000004</v>
      </c>
      <c r="E28" s="230">
        <v>-0.67400000000000004</v>
      </c>
    </row>
    <row r="29" spans="1:5" ht="13.35" customHeight="1">
      <c r="A29" s="23" t="s">
        <v>43</v>
      </c>
      <c r="B29" s="23" t="s">
        <v>33</v>
      </c>
      <c r="C29" s="230">
        <v>-0.40699999999999997</v>
      </c>
      <c r="D29" s="212">
        <v>-0.54200000000000004</v>
      </c>
      <c r="E29" s="230">
        <v>-0.54100000000000004</v>
      </c>
    </row>
    <row r="30" spans="1:5" ht="13.35" customHeight="1">
      <c r="A30" s="23" t="s">
        <v>44</v>
      </c>
      <c r="B30" s="23" t="s">
        <v>35</v>
      </c>
      <c r="C30" s="230">
        <v>-0.46</v>
      </c>
      <c r="D30" s="212">
        <v>-0.55100000000000005</v>
      </c>
      <c r="E30" s="230">
        <v>-0.55100000000000005</v>
      </c>
    </row>
    <row r="31" spans="1:5" ht="13.35" customHeight="1">
      <c r="A31" s="23" t="s">
        <v>45</v>
      </c>
      <c r="B31" s="23" t="s">
        <v>37</v>
      </c>
      <c r="C31" s="230">
        <v>-0.51300000000000001</v>
      </c>
      <c r="D31" s="212">
        <v>-0.69799999999999995</v>
      </c>
      <c r="E31" s="230">
        <v>-0.69799999999999995</v>
      </c>
    </row>
    <row r="32" spans="1:5" ht="13.35" customHeight="1">
      <c r="A32" s="23"/>
      <c r="B32" s="23"/>
      <c r="C32" s="230"/>
      <c r="D32" s="212"/>
      <c r="E32" s="230"/>
    </row>
    <row r="33" spans="1:12" ht="13.35" customHeight="1">
      <c r="A33" s="23"/>
      <c r="B33" s="23"/>
      <c r="C33" s="230"/>
      <c r="D33" s="212"/>
      <c r="E33" s="230"/>
    </row>
    <row r="34" spans="1:12" ht="13.35" customHeight="1">
      <c r="A34" s="23"/>
      <c r="B34" s="23"/>
      <c r="C34" s="230"/>
      <c r="D34" s="212"/>
      <c r="E34" s="230"/>
    </row>
    <row r="35" spans="1:12" ht="13.35" customHeight="1">
      <c r="A35" s="23"/>
      <c r="B35" s="23"/>
      <c r="C35" s="230"/>
      <c r="D35" s="212"/>
      <c r="E35" s="230"/>
    </row>
    <row r="36" spans="1:12" ht="13.35" customHeight="1">
      <c r="A36" s="23"/>
      <c r="B36" s="23"/>
      <c r="C36" s="230"/>
      <c r="D36" s="212"/>
      <c r="E36" s="230"/>
    </row>
    <row r="37" spans="1:12" ht="13.35" customHeight="1">
      <c r="A37" s="23"/>
      <c r="B37" s="23"/>
      <c r="C37" s="230"/>
      <c r="D37" s="212"/>
      <c r="E37" s="230"/>
    </row>
    <row r="38" spans="1:12" ht="13.35" customHeight="1">
      <c r="A38" s="23" t="s">
        <v>26</v>
      </c>
      <c r="B38" s="23" t="s">
        <v>117</v>
      </c>
      <c r="C38" s="230">
        <v>-12.731</v>
      </c>
      <c r="D38" s="212">
        <v>-12.294</v>
      </c>
      <c r="E38" s="230">
        <v>-11.564</v>
      </c>
    </row>
    <row r="39" spans="1:12" s="9" customFormat="1" ht="13.35" customHeight="1"/>
    <row r="40" spans="1:12" s="4" customFormat="1" ht="13.35" customHeight="1">
      <c r="A40" s="2" t="s">
        <v>120</v>
      </c>
      <c r="C40" s="5"/>
      <c r="D40" s="5"/>
      <c r="E40" s="5"/>
      <c r="F40" s="6"/>
      <c r="G40" s="6"/>
      <c r="H40" s="5"/>
      <c r="I40" s="5"/>
      <c r="J40" s="5"/>
      <c r="K40" s="5"/>
      <c r="L40" s="5"/>
    </row>
    <row r="42" spans="1:12" ht="13.35" customHeight="1">
      <c r="A42" s="98" t="s">
        <v>757</v>
      </c>
      <c r="B42" s="33" t="s">
        <v>1038</v>
      </c>
      <c r="C42" s="133"/>
    </row>
    <row r="43" spans="1:12" ht="13.35" customHeight="1">
      <c r="B43" s="25" t="s">
        <v>1061</v>
      </c>
      <c r="C43" s="133"/>
    </row>
    <row r="44" spans="1:12" ht="13.35" customHeight="1">
      <c r="B44" s="238"/>
      <c r="C44" s="133"/>
    </row>
    <row r="45" spans="1:12" ht="13.35" customHeight="1">
      <c r="B45" s="195"/>
      <c r="C45" s="133"/>
    </row>
    <row r="46" spans="1:12" ht="13.35" customHeight="1">
      <c r="C46" s="24" t="s">
        <v>88</v>
      </c>
    </row>
    <row r="47" spans="1:12" s="23" customFormat="1" ht="13.35" customHeight="1">
      <c r="A47" s="24" t="s">
        <v>0</v>
      </c>
      <c r="C47" s="25">
        <v>12</v>
      </c>
      <c r="D47" s="25" t="s">
        <v>1048</v>
      </c>
      <c r="E47" s="25" t="s">
        <v>1049</v>
      </c>
    </row>
    <row r="48" spans="1:12" s="23" customFormat="1" ht="13.35" customHeight="1">
      <c r="A48" s="23" t="s">
        <v>8</v>
      </c>
      <c r="C48" s="230">
        <v>0.485779724303885</v>
      </c>
      <c r="D48" s="212">
        <v>0.47520927168614446</v>
      </c>
      <c r="E48" s="230">
        <v>0.47520927168614446</v>
      </c>
    </row>
    <row r="49" spans="1:12" s="23" customFormat="1" ht="13.35" customHeight="1">
      <c r="A49" s="23" t="s">
        <v>10</v>
      </c>
      <c r="C49" s="230">
        <v>0.4747342999399124</v>
      </c>
      <c r="D49" s="212">
        <v>0.55654903441046488</v>
      </c>
      <c r="E49" s="230">
        <v>0.55654903441046488</v>
      </c>
    </row>
    <row r="50" spans="1:12" s="23" customFormat="1" ht="13.35" customHeight="1">
      <c r="A50" s="23" t="s">
        <v>12</v>
      </c>
      <c r="C50" s="230">
        <v>0.92960083002579275</v>
      </c>
      <c r="D50" s="212">
        <v>0.80412544166655964</v>
      </c>
      <c r="E50" s="230">
        <v>0.80412544166655964</v>
      </c>
    </row>
    <row r="51" spans="1:12" s="23" customFormat="1" ht="13.35" customHeight="1">
      <c r="A51" s="23" t="s">
        <v>14</v>
      </c>
      <c r="C51" s="230">
        <v>0.60471379439412209</v>
      </c>
      <c r="D51" s="212">
        <v>0.64726466707803465</v>
      </c>
      <c r="E51" s="230">
        <v>0.64791225548535059</v>
      </c>
    </row>
    <row r="52" spans="1:12" s="23" customFormat="1" ht="13.35" customHeight="1">
      <c r="A52" s="23" t="s">
        <v>16</v>
      </c>
      <c r="C52" s="230">
        <v>0.61631320191228967</v>
      </c>
      <c r="D52" s="212">
        <v>0.70963821156020868</v>
      </c>
      <c r="E52" s="230">
        <v>0.53902140307635704</v>
      </c>
    </row>
    <row r="53" spans="1:12" s="23" customFormat="1" ht="13.35" customHeight="1">
      <c r="A53" s="23" t="s">
        <v>19</v>
      </c>
      <c r="C53" s="230">
        <v>0.56665762138222464</v>
      </c>
      <c r="D53" s="212">
        <v>0.55822118849070124</v>
      </c>
      <c r="E53" s="230">
        <v>0.43955167147334762</v>
      </c>
    </row>
    <row r="54" spans="1:12" s="23" customFormat="1" ht="13.35" customHeight="1">
      <c r="A54" s="23" t="s">
        <v>22</v>
      </c>
      <c r="C54" s="230">
        <v>0.64726466707803465</v>
      </c>
      <c r="D54" s="212">
        <v>0.63508273324592812</v>
      </c>
      <c r="E54" s="230">
        <v>0.63571813362641427</v>
      </c>
    </row>
    <row r="55" spans="1:12" s="23" customFormat="1" ht="13.35" customHeight="1">
      <c r="A55" s="23" t="s">
        <v>1</v>
      </c>
      <c r="C55" s="230">
        <v>0.67502874758613318</v>
      </c>
      <c r="D55" s="212">
        <v>0.72397385436791528</v>
      </c>
      <c r="E55" s="230">
        <v>0.72397385436791528</v>
      </c>
    </row>
    <row r="56" spans="1:12" s="23" customFormat="1" ht="13.35" customHeight="1">
      <c r="A56" s="23" t="s">
        <v>27</v>
      </c>
      <c r="C56" s="230">
        <v>1</v>
      </c>
      <c r="D56" s="212">
        <v>1</v>
      </c>
      <c r="E56" s="230">
        <v>1</v>
      </c>
    </row>
    <row r="57" spans="1:12" s="23" customFormat="1" ht="13.35" customHeight="1">
      <c r="A57" s="23" t="s">
        <v>30</v>
      </c>
      <c r="C57" s="230">
        <v>0.78899128801760965</v>
      </c>
      <c r="D57" s="212">
        <v>0.93239381990594838</v>
      </c>
      <c r="E57" s="230">
        <v>0.93239381990594838</v>
      </c>
    </row>
    <row r="58" spans="1:12" s="23" customFormat="1" ht="13.35" customHeight="1">
      <c r="A58" s="23" t="s">
        <v>33</v>
      </c>
      <c r="C58" s="230">
        <v>0.72978887426905681</v>
      </c>
      <c r="D58" s="212">
        <v>0.81709492794223659</v>
      </c>
      <c r="E58" s="230">
        <v>0.8162782414256099</v>
      </c>
    </row>
    <row r="59" spans="1:12" s="23" customFormat="1" ht="13.35" customHeight="1">
      <c r="A59" s="23" t="s">
        <v>35</v>
      </c>
      <c r="C59" s="230">
        <v>0.76951102370757585</v>
      </c>
      <c r="D59" s="212">
        <v>0.82448197413910818</v>
      </c>
      <c r="E59" s="230">
        <v>0.82448197413910818</v>
      </c>
    </row>
    <row r="60" spans="1:12" s="23" customFormat="1" ht="13.35" customHeight="1">
      <c r="A60" s="23" t="s">
        <v>37</v>
      </c>
      <c r="C60" s="230">
        <v>0.81139523564341143</v>
      </c>
      <c r="D60" s="212">
        <v>0.95504196219071458</v>
      </c>
      <c r="E60" s="230">
        <v>0.95504196219071458</v>
      </c>
    </row>
    <row r="61" spans="1:12" s="23" customFormat="1" ht="13.35" customHeight="1"/>
    <row r="62" spans="1:12" s="4" customFormat="1" ht="13.35" customHeight="1">
      <c r="A62" s="2" t="s">
        <v>121</v>
      </c>
      <c r="C62" s="5"/>
      <c r="D62" s="5"/>
      <c r="E62" s="5"/>
      <c r="F62" s="6"/>
      <c r="G62" s="6"/>
      <c r="H62" s="5"/>
      <c r="I62" s="5"/>
      <c r="J62" s="5"/>
      <c r="K62" s="5"/>
      <c r="L62" s="5"/>
    </row>
    <row r="64" spans="1:12" ht="13.35" customHeight="1">
      <c r="A64" s="98" t="s">
        <v>757</v>
      </c>
      <c r="B64" s="33" t="s">
        <v>1038</v>
      </c>
      <c r="C64" s="133"/>
    </row>
    <row r="65" spans="1:5" ht="13.35" customHeight="1">
      <c r="B65" s="25" t="s">
        <v>1061</v>
      </c>
      <c r="C65" s="133"/>
    </row>
    <row r="66" spans="1:5" ht="13.35" customHeight="1">
      <c r="B66" s="238"/>
      <c r="C66" s="133"/>
    </row>
    <row r="67" spans="1:5" ht="13.35" customHeight="1">
      <c r="B67" s="195"/>
      <c r="C67" s="133"/>
    </row>
    <row r="68" spans="1:5" s="23" customFormat="1" ht="13.35" customHeight="1">
      <c r="C68" s="24" t="s">
        <v>88</v>
      </c>
    </row>
    <row r="69" spans="1:5" s="23" customFormat="1" ht="13.35" customHeight="1">
      <c r="A69" s="33" t="s">
        <v>7</v>
      </c>
      <c r="B69" s="33" t="s">
        <v>110</v>
      </c>
      <c r="C69" s="25">
        <v>12</v>
      </c>
      <c r="D69" s="25" t="s">
        <v>1048</v>
      </c>
      <c r="E69" s="25" t="s">
        <v>1049</v>
      </c>
    </row>
    <row r="70" spans="1:5" ht="13.35" customHeight="1">
      <c r="A70" s="23" t="s">
        <v>9</v>
      </c>
      <c r="B70" s="23" t="s">
        <v>112</v>
      </c>
      <c r="C70" s="230">
        <v>0.44900000000000001</v>
      </c>
      <c r="D70" s="212">
        <v>0.45200000000000001</v>
      </c>
      <c r="E70" s="230">
        <v>0.433</v>
      </c>
    </row>
    <row r="71" spans="1:5" ht="13.35" customHeight="1">
      <c r="A71" s="23" t="s">
        <v>11</v>
      </c>
      <c r="B71" s="23" t="s">
        <v>113</v>
      </c>
      <c r="C71" s="230">
        <v>0.109</v>
      </c>
      <c r="D71" s="212">
        <v>0.104</v>
      </c>
      <c r="E71" s="230">
        <v>0.104</v>
      </c>
    </row>
    <row r="72" spans="1:5" ht="13.35" customHeight="1">
      <c r="A72" s="23" t="s">
        <v>13</v>
      </c>
      <c r="B72" s="23" t="s">
        <v>114</v>
      </c>
      <c r="C72" s="230">
        <v>0.41299999999999998</v>
      </c>
      <c r="D72" s="212">
        <v>0.41099999999999998</v>
      </c>
      <c r="E72" s="230">
        <v>0.432</v>
      </c>
    </row>
    <row r="73" spans="1:5" ht="13.35" customHeight="1">
      <c r="A73" s="23" t="s">
        <v>15</v>
      </c>
      <c r="B73" s="23" t="s">
        <v>115</v>
      </c>
      <c r="C73" s="230">
        <v>-0.18099999999999999</v>
      </c>
      <c r="D73" s="212">
        <v>-0.188</v>
      </c>
      <c r="E73" s="230">
        <v>-0.191</v>
      </c>
    </row>
    <row r="74" spans="1:5" ht="13.35" customHeight="1">
      <c r="A74" s="23" t="s">
        <v>18</v>
      </c>
      <c r="B74" s="23" t="s">
        <v>67</v>
      </c>
      <c r="C74" s="230">
        <v>1.2999999999999999E-2</v>
      </c>
      <c r="D74" s="212">
        <v>1.2999999999999999E-2</v>
      </c>
      <c r="E74" s="230">
        <v>1.2999999999999999E-2</v>
      </c>
    </row>
    <row r="75" spans="1:5" ht="13.35" customHeight="1">
      <c r="A75" s="23" t="s">
        <v>21</v>
      </c>
      <c r="B75" s="23" t="s">
        <v>116</v>
      </c>
      <c r="C75" s="230">
        <v>0.20899999999999999</v>
      </c>
      <c r="D75" s="212">
        <v>6.2E-2</v>
      </c>
      <c r="E75" s="230">
        <v>5.2999999999999999E-2</v>
      </c>
    </row>
    <row r="76" spans="1:5" ht="13.35" customHeight="1">
      <c r="A76" s="23" t="s">
        <v>24</v>
      </c>
      <c r="B76" s="23" t="s">
        <v>98</v>
      </c>
      <c r="C76" s="230">
        <v>0.23100000000000001</v>
      </c>
      <c r="D76" s="212">
        <v>9.0999999999999998E-2</v>
      </c>
      <c r="E76" s="230">
        <v>7.9000000000000001E-2</v>
      </c>
    </row>
    <row r="77" spans="1:5" ht="13.35" customHeight="1">
      <c r="A77" s="23"/>
      <c r="B77" s="23"/>
      <c r="C77" s="230"/>
      <c r="D77" s="212"/>
      <c r="E77" s="230"/>
    </row>
    <row r="78" spans="1:5" ht="13.35" customHeight="1">
      <c r="A78" s="23"/>
      <c r="B78" s="23"/>
      <c r="C78" s="230"/>
      <c r="D78" s="212"/>
      <c r="E78" s="230"/>
    </row>
    <row r="79" spans="1:5" ht="13.35" customHeight="1">
      <c r="A79" s="23"/>
      <c r="B79" s="23"/>
      <c r="C79" s="230"/>
      <c r="D79" s="212"/>
      <c r="E79" s="230"/>
    </row>
    <row r="80" spans="1:5" ht="13.35" customHeight="1">
      <c r="A80" s="23"/>
      <c r="B80" s="23"/>
      <c r="C80" s="230"/>
      <c r="D80" s="212"/>
      <c r="E80" s="230"/>
    </row>
    <row r="81" spans="1:5" ht="13.35" customHeight="1">
      <c r="A81" s="23"/>
      <c r="B81" s="23"/>
      <c r="C81" s="230"/>
      <c r="D81" s="212"/>
      <c r="E81" s="230"/>
    </row>
    <row r="82" spans="1:5" ht="13.35" customHeight="1">
      <c r="A82" s="23"/>
      <c r="B82" s="23"/>
      <c r="C82" s="230"/>
      <c r="D82" s="212"/>
      <c r="E82" s="230"/>
    </row>
    <row r="83" spans="1:5" ht="13.35" customHeight="1">
      <c r="A83" s="23"/>
      <c r="B83" s="23"/>
      <c r="C83" s="230"/>
      <c r="D83" s="212"/>
      <c r="E83" s="230"/>
    </row>
    <row r="84" spans="1:5" ht="13.35" customHeight="1">
      <c r="A84" s="23"/>
      <c r="B84" s="23"/>
      <c r="C84" s="230"/>
      <c r="D84" s="212"/>
      <c r="E84" s="230"/>
    </row>
    <row r="85" spans="1:5" ht="13.35" customHeight="1">
      <c r="A85" s="23"/>
      <c r="B85" s="23"/>
      <c r="C85" s="230"/>
      <c r="D85" s="212"/>
      <c r="E85" s="230"/>
    </row>
    <row r="86" spans="1:5" ht="13.35" customHeight="1">
      <c r="A86" s="23"/>
      <c r="B86" s="23"/>
      <c r="C86" s="230"/>
      <c r="D86" s="212"/>
      <c r="E86" s="230"/>
    </row>
    <row r="87" spans="1:5" ht="13.35" customHeight="1">
      <c r="A87" s="23"/>
      <c r="B87" s="23"/>
      <c r="C87" s="230"/>
      <c r="D87" s="212"/>
      <c r="E87" s="230"/>
    </row>
    <row r="88" spans="1:5" ht="13.35" customHeight="1">
      <c r="A88" s="23"/>
      <c r="B88" s="23"/>
      <c r="C88" s="230"/>
      <c r="D88" s="212"/>
      <c r="E88" s="230"/>
    </row>
    <row r="89" spans="1:5" ht="13.35" customHeight="1">
      <c r="A89" s="23"/>
      <c r="B89" s="23"/>
      <c r="C89" s="230"/>
      <c r="D89" s="212"/>
      <c r="E89" s="230"/>
    </row>
    <row r="90" spans="1:5" ht="13.35" customHeight="1">
      <c r="A90" s="23"/>
      <c r="B90" s="23"/>
      <c r="C90" s="230"/>
      <c r="D90" s="212"/>
      <c r="E90" s="230"/>
    </row>
    <row r="91" spans="1:5" ht="13.35" customHeight="1">
      <c r="A91" s="23"/>
      <c r="B91" s="23"/>
      <c r="C91" s="230"/>
      <c r="D91" s="212"/>
      <c r="E91" s="230"/>
    </row>
    <row r="92" spans="1:5" ht="13.35" customHeight="1">
      <c r="A92" s="23"/>
      <c r="B92" s="23"/>
      <c r="C92" s="230"/>
      <c r="D92" s="212"/>
      <c r="E92" s="230"/>
    </row>
    <row r="93" spans="1:5" ht="13.35" customHeight="1">
      <c r="A93" s="23"/>
      <c r="B93" s="23"/>
      <c r="C93" s="230"/>
      <c r="D93" s="212"/>
      <c r="E93" s="230"/>
    </row>
    <row r="94" spans="1:5" ht="13.35" customHeight="1">
      <c r="A94" s="23"/>
      <c r="B94" s="23"/>
      <c r="C94" s="230"/>
      <c r="D94" s="212"/>
      <c r="E94" s="230"/>
    </row>
    <row r="95" spans="1:5" ht="13.35" customHeight="1">
      <c r="A95" s="23" t="s">
        <v>26</v>
      </c>
      <c r="B95" s="23" t="s">
        <v>117</v>
      </c>
      <c r="C95" s="230">
        <v>-16.994</v>
      </c>
      <c r="D95" s="212">
        <v>-17.210999999999999</v>
      </c>
      <c r="E95" s="230">
        <v>-16.754000000000001</v>
      </c>
    </row>
    <row r="96" spans="1:5" s="9" customFormat="1" ht="13.35" customHeight="1"/>
    <row r="97" spans="1:12" s="4" customFormat="1" ht="13.35" customHeight="1">
      <c r="A97" s="2" t="s">
        <v>122</v>
      </c>
      <c r="C97" s="5"/>
      <c r="D97" s="5"/>
      <c r="E97" s="5"/>
      <c r="F97" s="6"/>
      <c r="G97" s="6"/>
      <c r="H97" s="5"/>
      <c r="I97" s="5"/>
      <c r="J97" s="5"/>
      <c r="K97" s="5"/>
      <c r="L97" s="5"/>
    </row>
    <row r="98" spans="1:12" ht="14.25"/>
    <row r="99" spans="1:12" ht="13.35" customHeight="1">
      <c r="A99" s="98" t="s">
        <v>757</v>
      </c>
      <c r="B99" s="33" t="s">
        <v>1038</v>
      </c>
      <c r="C99" s="133"/>
    </row>
    <row r="100" spans="1:12" ht="13.35" customHeight="1">
      <c r="B100" s="25" t="s">
        <v>1061</v>
      </c>
      <c r="C100" s="133"/>
    </row>
    <row r="101" spans="1:12" ht="13.35" customHeight="1">
      <c r="B101" s="238"/>
      <c r="C101" s="133"/>
    </row>
    <row r="102" spans="1:12" ht="13.35" customHeight="1">
      <c r="B102" s="195"/>
      <c r="C102" s="133"/>
    </row>
    <row r="103" spans="1:12" ht="13.35" customHeight="1">
      <c r="C103" s="24" t="s">
        <v>88</v>
      </c>
    </row>
    <row r="104" spans="1:12" s="23" customFormat="1" ht="13.35" customHeight="1">
      <c r="A104" s="24" t="s">
        <v>0</v>
      </c>
      <c r="C104" s="25">
        <v>12</v>
      </c>
      <c r="D104" s="25" t="s">
        <v>1048</v>
      </c>
      <c r="E104" s="25" t="s">
        <v>1049</v>
      </c>
    </row>
    <row r="105" spans="1:12" s="23" customFormat="1" ht="13.35" customHeight="1">
      <c r="A105" s="23" t="s">
        <v>8</v>
      </c>
      <c r="C105" s="230">
        <v>0.48595613241195679</v>
      </c>
      <c r="D105" s="212">
        <v>0.46674010157585144</v>
      </c>
      <c r="E105" s="230">
        <v>0.46776419878005981</v>
      </c>
    </row>
    <row r="106" spans="1:12" s="23" customFormat="1" ht="13.35" customHeight="1">
      <c r="A106" s="23" t="s">
        <v>10</v>
      </c>
      <c r="C106" s="230">
        <v>0.46960654854774475</v>
      </c>
      <c r="D106" s="212">
        <v>0.5363500714302063</v>
      </c>
      <c r="E106" s="230">
        <v>0.54014509916305542</v>
      </c>
    </row>
    <row r="107" spans="1:12" s="23" customFormat="1" ht="13.35" customHeight="1">
      <c r="A107" s="23" t="s">
        <v>12</v>
      </c>
      <c r="C107" s="230">
        <v>0.94819164276123047</v>
      </c>
      <c r="D107" s="212">
        <v>0.82969212532043457</v>
      </c>
      <c r="E107" s="230">
        <v>0.83554971218109131</v>
      </c>
    </row>
    <row r="108" spans="1:12" s="23" customFormat="1" ht="13.35" customHeight="1">
      <c r="A108" s="23" t="s">
        <v>14</v>
      </c>
      <c r="C108" s="230">
        <v>0.60854500532150269</v>
      </c>
      <c r="D108" s="212">
        <v>0.63752371072769165</v>
      </c>
      <c r="E108" s="230">
        <v>0.64333224296569824</v>
      </c>
    </row>
    <row r="109" spans="1:12" s="23" customFormat="1" ht="13.35" customHeight="1">
      <c r="A109" s="23" t="s">
        <v>16</v>
      </c>
      <c r="C109" s="230">
        <v>0.6091194748878479</v>
      </c>
      <c r="D109" s="212">
        <v>0.67955225706100464</v>
      </c>
      <c r="E109" s="230">
        <v>0.51831084489822388</v>
      </c>
    </row>
    <row r="110" spans="1:12" s="23" customFormat="1" ht="13.35" customHeight="1">
      <c r="A110" s="23" t="s">
        <v>19</v>
      </c>
      <c r="C110" s="230">
        <v>0.58101260662078857</v>
      </c>
      <c r="D110" s="212">
        <v>0.55490881204605103</v>
      </c>
      <c r="E110" s="230">
        <v>0.44218510389328003</v>
      </c>
    </row>
    <row r="111" spans="1:12" s="23" customFormat="1" ht="13.35" customHeight="1">
      <c r="A111" s="23" t="s">
        <v>22</v>
      </c>
      <c r="C111" s="230">
        <v>0.60645729303359985</v>
      </c>
      <c r="D111" s="212">
        <v>0.58925598859786987</v>
      </c>
      <c r="E111" s="230">
        <v>0.59485805034637451</v>
      </c>
    </row>
    <row r="112" spans="1:12" s="23" customFormat="1" ht="13.35" customHeight="1">
      <c r="A112" s="23" t="s">
        <v>1</v>
      </c>
      <c r="C112" s="230">
        <v>0.66202068328857422</v>
      </c>
      <c r="D112" s="212">
        <v>0.70248740911483765</v>
      </c>
      <c r="E112" s="230">
        <v>0.70292633771896362</v>
      </c>
    </row>
    <row r="113" spans="1:12" s="23" customFormat="1" ht="13.35" customHeight="1">
      <c r="A113" s="23" t="s">
        <v>27</v>
      </c>
      <c r="C113" s="230">
        <v>0.9705502986907959</v>
      </c>
      <c r="D113" s="212">
        <v>0.96566241979598999</v>
      </c>
      <c r="E113" s="230">
        <v>0.96991348266601563</v>
      </c>
    </row>
    <row r="114" spans="1:12" s="23" customFormat="1" ht="13.35" customHeight="1">
      <c r="A114" s="23" t="s">
        <v>30</v>
      </c>
      <c r="C114" s="230">
        <v>0.75381982326507568</v>
      </c>
      <c r="D114" s="212">
        <v>0.86901652812957764</v>
      </c>
      <c r="E114" s="230">
        <v>0.87600654363632202</v>
      </c>
    </row>
    <row r="115" spans="1:12" s="23" customFormat="1" ht="13.35" customHeight="1">
      <c r="A115" s="23" t="s">
        <v>33</v>
      </c>
      <c r="C115" s="230">
        <v>0.67679589986801147</v>
      </c>
      <c r="D115" s="212">
        <v>0.74865514039993286</v>
      </c>
      <c r="E115" s="230">
        <v>0.75073403120040894</v>
      </c>
    </row>
    <row r="116" spans="1:12" s="23" customFormat="1" ht="13.35" customHeight="1">
      <c r="A116" s="23" t="s">
        <v>35</v>
      </c>
      <c r="C116" s="230">
        <v>0.79220288991928101</v>
      </c>
      <c r="D116" s="212">
        <v>0.84613555669784546</v>
      </c>
      <c r="E116" s="230">
        <v>0.85480976104736328</v>
      </c>
    </row>
    <row r="117" spans="1:12" s="23" customFormat="1" ht="13.35" customHeight="1">
      <c r="A117" s="23" t="s">
        <v>37</v>
      </c>
      <c r="C117" s="230">
        <v>0.81911039352416992</v>
      </c>
      <c r="D117" s="212">
        <v>0.95023143291473389</v>
      </c>
      <c r="E117" s="230">
        <v>0.95309388637542725</v>
      </c>
    </row>
    <row r="118" spans="1:12" s="9" customFormat="1" ht="13.35" customHeight="1"/>
    <row r="119" spans="1:12" s="4" customFormat="1" ht="13.35" customHeight="1">
      <c r="A119" s="2" t="s">
        <v>123</v>
      </c>
      <c r="C119" s="5"/>
      <c r="D119" s="5"/>
      <c r="E119" s="5"/>
      <c r="F119" s="6"/>
      <c r="G119" s="6"/>
      <c r="H119" s="5"/>
      <c r="I119" s="5"/>
      <c r="J119" s="5"/>
      <c r="K119" s="5"/>
      <c r="L119" s="5"/>
    </row>
    <row r="121" spans="1:12" ht="13.35" customHeight="1">
      <c r="A121" s="98" t="s">
        <v>757</v>
      </c>
      <c r="B121" s="33" t="s">
        <v>1038</v>
      </c>
      <c r="C121" s="133"/>
    </row>
    <row r="122" spans="1:12" ht="13.35" customHeight="1">
      <c r="B122" s="25" t="s">
        <v>1061</v>
      </c>
      <c r="C122" s="133"/>
    </row>
    <row r="123" spans="1:12" ht="13.35" customHeight="1">
      <c r="B123" s="238"/>
      <c r="C123" s="133"/>
    </row>
    <row r="124" spans="1:12" ht="13.35" customHeight="1">
      <c r="B124" s="195"/>
      <c r="C124" s="133"/>
    </row>
    <row r="125" spans="1:12" s="23" customFormat="1" ht="13.35" customHeight="1">
      <c r="C125" s="24" t="s">
        <v>88</v>
      </c>
    </row>
    <row r="126" spans="1:12" s="23" customFormat="1" ht="13.35" customHeight="1">
      <c r="A126" s="33" t="s">
        <v>7</v>
      </c>
      <c r="B126" s="33" t="s">
        <v>110</v>
      </c>
      <c r="C126" s="25">
        <v>12</v>
      </c>
      <c r="D126" s="25" t="s">
        <v>1048</v>
      </c>
      <c r="E126" s="25" t="s">
        <v>1049</v>
      </c>
    </row>
    <row r="127" spans="1:12" ht="13.35" customHeight="1">
      <c r="A127" s="23" t="s">
        <v>9</v>
      </c>
      <c r="B127" s="23" t="s">
        <v>125</v>
      </c>
      <c r="C127" s="230">
        <v>0.437</v>
      </c>
      <c r="D127" s="212">
        <v>0.437</v>
      </c>
      <c r="E127" s="230">
        <v>0.434</v>
      </c>
    </row>
    <row r="128" spans="1:12" ht="13.35" customHeight="1">
      <c r="A128" s="23" t="s">
        <v>11</v>
      </c>
      <c r="B128" s="23" t="s">
        <v>126</v>
      </c>
      <c r="C128" s="230">
        <v>0.16400000000000001</v>
      </c>
      <c r="D128" s="212">
        <v>0.16500000000000001</v>
      </c>
      <c r="E128" s="230">
        <v>0.16600000000000001</v>
      </c>
    </row>
    <row r="129" spans="1:5" ht="13.35" customHeight="1">
      <c r="A129" s="23" t="s">
        <v>13</v>
      </c>
      <c r="B129" s="23" t="s">
        <v>127</v>
      </c>
      <c r="C129" s="230">
        <v>0.35599999999999998</v>
      </c>
      <c r="D129" s="212">
        <v>0.35399999999999998</v>
      </c>
      <c r="E129" s="230">
        <v>0.35699999999999998</v>
      </c>
    </row>
    <row r="130" spans="1:5" ht="13.35" customHeight="1">
      <c r="A130" s="23" t="s">
        <v>15</v>
      </c>
      <c r="B130" s="23" t="s">
        <v>115</v>
      </c>
      <c r="C130" s="230">
        <v>-0.13300000000000001</v>
      </c>
      <c r="D130" s="212">
        <v>-0.13</v>
      </c>
      <c r="E130" s="230">
        <v>-0.13100000000000001</v>
      </c>
    </row>
    <row r="131" spans="1:5" ht="13.35" customHeight="1">
      <c r="A131" s="23" t="s">
        <v>18</v>
      </c>
      <c r="B131" s="23" t="s">
        <v>67</v>
      </c>
      <c r="C131" s="230">
        <v>1.2999999999999999E-2</v>
      </c>
      <c r="D131" s="212">
        <v>1.2999999999999999E-2</v>
      </c>
      <c r="E131" s="230">
        <v>1.2E-2</v>
      </c>
    </row>
    <row r="132" spans="1:5" ht="13.35" customHeight="1">
      <c r="A132" s="23" t="s">
        <v>21</v>
      </c>
      <c r="B132" s="23" t="s">
        <v>116</v>
      </c>
      <c r="C132" s="230">
        <v>-0.29699999999999999</v>
      </c>
      <c r="D132" s="212">
        <v>-0.48499999999999999</v>
      </c>
      <c r="E132" s="230">
        <v>-0.48499999999999999</v>
      </c>
    </row>
    <row r="133" spans="1:5" ht="13.35" customHeight="1">
      <c r="A133" s="23" t="s">
        <v>24</v>
      </c>
      <c r="B133" s="23" t="s">
        <v>98</v>
      </c>
      <c r="C133" s="230">
        <v>-0.17799999999999999</v>
      </c>
      <c r="D133" s="212">
        <v>-0.36599999999999999</v>
      </c>
      <c r="E133" s="230">
        <v>-0.36599999999999999</v>
      </c>
    </row>
    <row r="134" spans="1:5" ht="13.35" customHeight="1">
      <c r="A134" s="23" t="s">
        <v>28</v>
      </c>
      <c r="B134" s="23" t="s">
        <v>10</v>
      </c>
      <c r="C134" s="230">
        <v>-6.4000000000000001E-2</v>
      </c>
      <c r="D134" s="212">
        <v>-0.24199999999999999</v>
      </c>
      <c r="E134" s="230">
        <v>-0.23100000000000001</v>
      </c>
    </row>
    <row r="135" spans="1:5" ht="13.35" customHeight="1">
      <c r="A135" s="23" t="s">
        <v>31</v>
      </c>
      <c r="B135" s="23" t="s">
        <v>12</v>
      </c>
      <c r="C135" s="230">
        <v>-0.67100000000000004</v>
      </c>
      <c r="D135" s="212">
        <v>-0.55000000000000004</v>
      </c>
      <c r="E135" s="230">
        <v>-0.54800000000000004</v>
      </c>
    </row>
    <row r="136" spans="1:5" ht="13.35" customHeight="1">
      <c r="A136" s="23" t="s">
        <v>34</v>
      </c>
      <c r="B136" s="23" t="s">
        <v>14</v>
      </c>
      <c r="C136" s="230">
        <v>-0.33900000000000002</v>
      </c>
      <c r="D136" s="212">
        <v>-0.42699999999999999</v>
      </c>
      <c r="E136" s="230">
        <v>-0.42299999999999999</v>
      </c>
    </row>
    <row r="137" spans="1:5" ht="13.35" customHeight="1">
      <c r="A137" s="23" t="s">
        <v>36</v>
      </c>
      <c r="B137" s="23" t="s">
        <v>16</v>
      </c>
      <c r="C137" s="230">
        <v>-0.33500000000000002</v>
      </c>
      <c r="D137" s="212">
        <v>-0.496</v>
      </c>
      <c r="E137" s="230">
        <v>-0.21099999999999999</v>
      </c>
    </row>
    <row r="138" spans="1:5" ht="13.35" customHeight="1">
      <c r="A138" s="23" t="s">
        <v>38</v>
      </c>
      <c r="B138" s="23" t="s">
        <v>19</v>
      </c>
      <c r="C138" s="230">
        <v>-0.30499999999999999</v>
      </c>
      <c r="D138" s="212">
        <v>-0.32200000000000001</v>
      </c>
      <c r="E138" s="230">
        <v>-9.1999999999999998E-2</v>
      </c>
    </row>
    <row r="139" spans="1:5" ht="13.35" customHeight="1">
      <c r="A139" s="23" t="s">
        <v>39</v>
      </c>
      <c r="B139" s="23" t="s">
        <v>22</v>
      </c>
      <c r="C139" s="230">
        <v>-0.50700000000000001</v>
      </c>
      <c r="D139" s="212">
        <v>-0.52</v>
      </c>
      <c r="E139" s="230">
        <v>-0.52300000000000002</v>
      </c>
    </row>
    <row r="140" spans="1:5" ht="13.35" customHeight="1">
      <c r="A140" s="23" t="s">
        <v>40</v>
      </c>
      <c r="B140" s="23" t="s">
        <v>1</v>
      </c>
      <c r="C140" s="230">
        <v>-0.2</v>
      </c>
      <c r="D140" s="212">
        <v>-0.29699999999999999</v>
      </c>
      <c r="E140" s="230">
        <v>-0.29299999999999998</v>
      </c>
    </row>
    <row r="141" spans="1:5" ht="13.35" customHeight="1">
      <c r="A141" s="23" t="s">
        <v>41</v>
      </c>
      <c r="B141" s="23" t="s">
        <v>27</v>
      </c>
      <c r="C141" s="230">
        <v>-0.83699999999999997</v>
      </c>
      <c r="D141" s="212">
        <v>-0.86099999999999999</v>
      </c>
      <c r="E141" s="230">
        <v>-0.85799999999999998</v>
      </c>
    </row>
    <row r="142" spans="1:5" ht="13.35" customHeight="1">
      <c r="A142" s="23" t="s">
        <v>42</v>
      </c>
      <c r="B142" s="23" t="s">
        <v>30</v>
      </c>
      <c r="C142" s="230">
        <v>-0.63700000000000001</v>
      </c>
      <c r="D142" s="212">
        <v>-0.82799999999999996</v>
      </c>
      <c r="E142" s="230">
        <v>-0.82799999999999996</v>
      </c>
    </row>
    <row r="143" spans="1:5" ht="13.35" customHeight="1">
      <c r="A143" s="23" t="s">
        <v>43</v>
      </c>
      <c r="B143" s="23" t="s">
        <v>33</v>
      </c>
      <c r="C143" s="230">
        <v>-0.44700000000000001</v>
      </c>
      <c r="D143" s="212">
        <v>-0.58399999999999996</v>
      </c>
      <c r="E143" s="230">
        <v>-0.57699999999999996</v>
      </c>
    </row>
    <row r="144" spans="1:5" ht="13.35" customHeight="1">
      <c r="A144" s="23" t="s">
        <v>44</v>
      </c>
      <c r="B144" s="23" t="s">
        <v>35</v>
      </c>
      <c r="C144" s="230">
        <v>-0.505</v>
      </c>
      <c r="D144" s="212">
        <v>-0.59599999999999997</v>
      </c>
      <c r="E144" s="230">
        <v>-0.6</v>
      </c>
    </row>
    <row r="145" spans="1:12" ht="13.35" customHeight="1">
      <c r="A145" s="23" t="s">
        <v>45</v>
      </c>
      <c r="B145" s="23" t="s">
        <v>37</v>
      </c>
      <c r="C145" s="230">
        <v>-0.40600000000000003</v>
      </c>
      <c r="D145" s="212">
        <v>-0.59399999999999997</v>
      </c>
      <c r="E145" s="230">
        <v>-0.58499999999999996</v>
      </c>
    </row>
    <row r="146" spans="1:12" ht="13.35" customHeight="1">
      <c r="A146" s="23" t="s">
        <v>17</v>
      </c>
      <c r="B146" s="23" t="s">
        <v>128</v>
      </c>
      <c r="C146" s="230">
        <v>-0.55700000000000005</v>
      </c>
      <c r="D146" s="212">
        <v>-0.51</v>
      </c>
      <c r="E146" s="230">
        <v>-0.52</v>
      </c>
    </row>
    <row r="147" spans="1:12" ht="13.35" customHeight="1">
      <c r="A147" s="23" t="s">
        <v>20</v>
      </c>
      <c r="B147" s="23" t="s">
        <v>129</v>
      </c>
      <c r="C147" s="230">
        <v>0.28899999999999998</v>
      </c>
      <c r="D147" s="212">
        <v>0.27400000000000002</v>
      </c>
      <c r="E147" s="230">
        <v>0.26900000000000002</v>
      </c>
    </row>
    <row r="148" spans="1:12" ht="13.35" customHeight="1">
      <c r="A148" s="23" t="s">
        <v>23</v>
      </c>
      <c r="B148" s="23" t="s">
        <v>130</v>
      </c>
      <c r="C148" s="230">
        <v>0.20200000000000001</v>
      </c>
      <c r="D148" s="212">
        <v>0.17</v>
      </c>
      <c r="E148" s="230">
        <v>0.17499999999999999</v>
      </c>
    </row>
    <row r="149" spans="1:12" ht="13.35" customHeight="1">
      <c r="A149" s="23" t="s">
        <v>25</v>
      </c>
      <c r="B149" s="23" t="s">
        <v>131</v>
      </c>
      <c r="C149" s="230">
        <v>-1.0999999999999999E-2</v>
      </c>
      <c r="D149" s="212">
        <v>-4.0000000000000001E-3</v>
      </c>
      <c r="E149" s="230">
        <v>-1E-3</v>
      </c>
    </row>
    <row r="150" spans="1:12" ht="13.35" customHeight="1">
      <c r="A150" s="23" t="s">
        <v>29</v>
      </c>
      <c r="B150" s="23" t="s">
        <v>132</v>
      </c>
      <c r="C150" s="230">
        <v>-0.249</v>
      </c>
      <c r="D150" s="212">
        <v>-0.24</v>
      </c>
      <c r="E150" s="230">
        <v>-0.23599999999999999</v>
      </c>
    </row>
    <row r="151" spans="1:12" ht="13.35" customHeight="1">
      <c r="A151" s="23" t="s">
        <v>32</v>
      </c>
      <c r="B151" s="23" t="s">
        <v>133</v>
      </c>
      <c r="C151" s="230">
        <v>0.13</v>
      </c>
      <c r="D151" s="212">
        <v>0.151</v>
      </c>
      <c r="E151" s="230">
        <v>0.14799999999999999</v>
      </c>
    </row>
    <row r="152" spans="1:12" ht="13.35" customHeight="1">
      <c r="A152" s="23" t="s">
        <v>26</v>
      </c>
      <c r="B152" s="23" t="s">
        <v>117</v>
      </c>
      <c r="C152" s="230">
        <v>-15.375</v>
      </c>
      <c r="D152" s="212">
        <v>-14.882999999999999</v>
      </c>
      <c r="E152" s="230">
        <v>-14.170999999999999</v>
      </c>
    </row>
    <row r="153" spans="1:12" s="9" customFormat="1" ht="13.35" customHeight="1"/>
    <row r="154" spans="1:12" s="4" customFormat="1" ht="13.35" customHeight="1">
      <c r="A154" s="2" t="s">
        <v>124</v>
      </c>
      <c r="C154" s="5"/>
      <c r="D154" s="5"/>
      <c r="E154" s="5"/>
      <c r="F154" s="6"/>
      <c r="G154" s="6"/>
      <c r="H154" s="5"/>
      <c r="I154" s="5"/>
      <c r="J154" s="5"/>
      <c r="K154" s="5"/>
      <c r="L154" s="5"/>
    </row>
    <row r="156" spans="1:12" ht="13.35" customHeight="1">
      <c r="A156" s="98" t="s">
        <v>757</v>
      </c>
      <c r="B156" s="33" t="s">
        <v>1038</v>
      </c>
      <c r="C156" s="133"/>
    </row>
    <row r="157" spans="1:12" ht="13.35" customHeight="1">
      <c r="B157" s="25" t="s">
        <v>1061</v>
      </c>
      <c r="C157" s="133"/>
    </row>
    <row r="158" spans="1:12" ht="13.35" customHeight="1">
      <c r="B158" s="238"/>
      <c r="C158" s="133"/>
    </row>
    <row r="159" spans="1:12" ht="13.35" customHeight="1">
      <c r="B159" s="195"/>
      <c r="C159" s="133"/>
    </row>
    <row r="160" spans="1:12" ht="13.35" customHeight="1">
      <c r="C160" s="24" t="s">
        <v>88</v>
      </c>
    </row>
    <row r="161" spans="1:12" s="23" customFormat="1" ht="13.35" customHeight="1">
      <c r="A161" s="24" t="s">
        <v>0</v>
      </c>
      <c r="C161" s="25">
        <v>12</v>
      </c>
      <c r="D161" s="25" t="s">
        <v>1048</v>
      </c>
      <c r="E161" s="25" t="s">
        <v>1049</v>
      </c>
    </row>
    <row r="162" spans="1:12" s="23" customFormat="1" ht="13.35" customHeight="1">
      <c r="A162" s="23" t="s">
        <v>8</v>
      </c>
      <c r="C162" s="230">
        <v>0.43300759964087765</v>
      </c>
      <c r="D162" s="212">
        <v>0.42273913174596284</v>
      </c>
      <c r="E162" s="230">
        <v>0.42400925337104728</v>
      </c>
    </row>
    <row r="163" spans="1:12" s="23" customFormat="1" ht="13.35" customHeight="1">
      <c r="A163" s="23" t="s">
        <v>10</v>
      </c>
      <c r="C163" s="230">
        <v>0.46162611058310477</v>
      </c>
      <c r="D163" s="212">
        <v>0.53848265109416771</v>
      </c>
      <c r="E163" s="230">
        <v>0.53419197547148412</v>
      </c>
    </row>
    <row r="164" spans="1:12" s="23" customFormat="1" ht="13.35" customHeight="1">
      <c r="A164" s="23" t="s">
        <v>12</v>
      </c>
      <c r="C164" s="230">
        <v>0.84704623418939973</v>
      </c>
      <c r="D164" s="212">
        <v>0.73271387586933256</v>
      </c>
      <c r="E164" s="230">
        <v>0.73344695622428935</v>
      </c>
    </row>
    <row r="165" spans="1:12" s="23" customFormat="1" ht="13.35" customHeight="1">
      <c r="A165" s="23" t="s">
        <v>14</v>
      </c>
      <c r="C165" s="230">
        <v>0.60774493490249015</v>
      </c>
      <c r="D165" s="212">
        <v>0.64791225548535059</v>
      </c>
      <c r="E165" s="230">
        <v>0.64726466707803465</v>
      </c>
    </row>
    <row r="166" spans="1:12" s="23" customFormat="1" ht="13.35" customHeight="1">
      <c r="A166" s="23" t="s">
        <v>16</v>
      </c>
      <c r="C166" s="230">
        <v>0.60531881064622428</v>
      </c>
      <c r="D166" s="212">
        <v>0.69419665087797888</v>
      </c>
      <c r="E166" s="230">
        <v>0.52361426564826352</v>
      </c>
    </row>
    <row r="167" spans="1:12" s="23" customFormat="1" ht="13.35" customHeight="1">
      <c r="A167" s="23" t="s">
        <v>19</v>
      </c>
      <c r="C167" s="230">
        <v>0.58742893616452352</v>
      </c>
      <c r="D167" s="212">
        <v>0.58333129209763879</v>
      </c>
      <c r="E167" s="230">
        <v>0.46486882963276832</v>
      </c>
    </row>
    <row r="168" spans="1:12" s="23" customFormat="1" ht="13.35" customHeight="1">
      <c r="A168" s="23" t="s">
        <v>22</v>
      </c>
      <c r="C168" s="230">
        <v>0.71892373343192628</v>
      </c>
      <c r="D168" s="212">
        <v>0.71105890820640971</v>
      </c>
      <c r="E168" s="230">
        <v>0.71533808635255991</v>
      </c>
    </row>
    <row r="169" spans="1:12" s="23" customFormat="1" ht="13.35" customHeight="1">
      <c r="A169" s="23" t="s">
        <v>1</v>
      </c>
      <c r="C169" s="230">
        <v>0.5288766765056826</v>
      </c>
      <c r="D169" s="212">
        <v>0.56892879117912176</v>
      </c>
      <c r="E169" s="230">
        <v>0.56836014675754043</v>
      </c>
    </row>
    <row r="170" spans="1:12" s="23" customFormat="1" ht="13.35" customHeight="1">
      <c r="A170" s="23" t="s">
        <v>27</v>
      </c>
      <c r="C170" s="230">
        <v>1</v>
      </c>
      <c r="D170" s="212">
        <v>1</v>
      </c>
      <c r="E170" s="230">
        <v>1</v>
      </c>
    </row>
    <row r="171" spans="1:12" s="23" customFormat="1" ht="13.35" customHeight="1">
      <c r="A171" s="23" t="s">
        <v>30</v>
      </c>
      <c r="C171" s="230">
        <v>0.81873075307798193</v>
      </c>
      <c r="D171" s="212">
        <v>0.9675385595890319</v>
      </c>
      <c r="E171" s="230">
        <v>0.97044553354850815</v>
      </c>
    </row>
    <row r="172" spans="1:12" s="23" customFormat="1" ht="13.35" customHeight="1">
      <c r="A172" s="23" t="s">
        <v>33</v>
      </c>
      <c r="C172" s="230">
        <v>0.67705687449816476</v>
      </c>
      <c r="D172" s="212">
        <v>0.75805449711050821</v>
      </c>
      <c r="E172" s="230">
        <v>0.75502833548020787</v>
      </c>
    </row>
    <row r="173" spans="1:12" s="23" customFormat="1" ht="13.35" customHeight="1">
      <c r="A173" s="23" t="s">
        <v>35</v>
      </c>
      <c r="C173" s="230">
        <v>0.71748732285444339</v>
      </c>
      <c r="D173" s="212">
        <v>0.76720594997585578</v>
      </c>
      <c r="E173" s="230">
        <v>0.77259523210692815</v>
      </c>
    </row>
    <row r="174" spans="1:12" s="23" customFormat="1" ht="13.35" customHeight="1">
      <c r="A174" s="23" t="s">
        <v>37</v>
      </c>
      <c r="C174" s="230">
        <v>0.64985891077474955</v>
      </c>
      <c r="D174" s="212">
        <v>0.765673071465374</v>
      </c>
      <c r="E174" s="230">
        <v>0.76109278762893429</v>
      </c>
    </row>
    <row r="175" spans="1:12" s="23" customFormat="1" ht="13.35" customHeight="1"/>
    <row r="176" spans="1:12" s="4" customFormat="1" ht="13.35" customHeight="1">
      <c r="A176" s="2" t="s">
        <v>136</v>
      </c>
      <c r="C176" s="5"/>
      <c r="D176" s="5"/>
      <c r="E176" s="5"/>
      <c r="F176" s="6"/>
      <c r="G176" s="6"/>
      <c r="H176" s="5"/>
      <c r="I176" s="5"/>
      <c r="J176" s="5"/>
      <c r="K176" s="5"/>
      <c r="L176" s="5"/>
    </row>
    <row r="178" spans="1:5" ht="13.35" customHeight="1">
      <c r="A178" s="98" t="s">
        <v>757</v>
      </c>
      <c r="B178" s="33" t="s">
        <v>1038</v>
      </c>
      <c r="C178" s="133"/>
    </row>
    <row r="179" spans="1:5" ht="13.35" customHeight="1">
      <c r="B179" s="25" t="s">
        <v>1061</v>
      </c>
      <c r="C179" s="133"/>
    </row>
    <row r="180" spans="1:5" ht="13.35" customHeight="1">
      <c r="B180" s="238"/>
      <c r="C180" s="133"/>
    </row>
    <row r="181" spans="1:5" ht="13.35" customHeight="1">
      <c r="B181" s="195"/>
      <c r="C181" s="133"/>
    </row>
    <row r="182" spans="1:5" ht="13.35" customHeight="1">
      <c r="C182" s="24" t="s">
        <v>88</v>
      </c>
    </row>
    <row r="183" spans="1:5" s="23" customFormat="1" ht="13.35" customHeight="1">
      <c r="A183" s="24" t="s">
        <v>0</v>
      </c>
      <c r="C183" s="25">
        <v>12</v>
      </c>
      <c r="D183" s="25" t="s">
        <v>1048</v>
      </c>
      <c r="E183" s="25" t="s">
        <v>1049</v>
      </c>
    </row>
    <row r="184" spans="1:5" s="23" customFormat="1" ht="13.35" customHeight="1">
      <c r="A184" s="23" t="s">
        <v>8</v>
      </c>
      <c r="C184" s="231">
        <v>0</v>
      </c>
      <c r="D184" s="43">
        <v>0</v>
      </c>
      <c r="E184" s="231">
        <v>0</v>
      </c>
    </row>
    <row r="185" spans="1:5" s="23" customFormat="1" ht="13.35" customHeight="1">
      <c r="A185" s="23" t="s">
        <v>10</v>
      </c>
      <c r="C185" s="231">
        <v>0</v>
      </c>
      <c r="D185" s="43">
        <v>0</v>
      </c>
      <c r="E185" s="231">
        <v>0</v>
      </c>
    </row>
    <row r="186" spans="1:5" s="23" customFormat="1" ht="13.35" customHeight="1">
      <c r="A186" s="23" t="s">
        <v>12</v>
      </c>
      <c r="C186" s="231">
        <v>0</v>
      </c>
      <c r="D186" s="43">
        <v>0</v>
      </c>
      <c r="E186" s="231">
        <v>0</v>
      </c>
    </row>
    <row r="187" spans="1:5" s="23" customFormat="1" ht="13.35" customHeight="1">
      <c r="A187" s="23" t="s">
        <v>14</v>
      </c>
      <c r="C187" s="231">
        <v>0</v>
      </c>
      <c r="D187" s="43">
        <v>0</v>
      </c>
      <c r="E187" s="231">
        <v>0</v>
      </c>
    </row>
    <row r="188" spans="1:5" s="23" customFormat="1" ht="13.35" customHeight="1">
      <c r="A188" s="23" t="s">
        <v>16</v>
      </c>
      <c r="C188" s="231">
        <v>0</v>
      </c>
      <c r="D188" s="43">
        <v>0</v>
      </c>
      <c r="E188" s="231">
        <v>0</v>
      </c>
    </row>
    <row r="189" spans="1:5" s="23" customFormat="1" ht="13.35" customHeight="1">
      <c r="A189" s="23" t="s">
        <v>19</v>
      </c>
      <c r="C189" s="231">
        <v>0</v>
      </c>
      <c r="D189" s="43">
        <v>0</v>
      </c>
      <c r="E189" s="231">
        <v>0</v>
      </c>
    </row>
    <row r="190" spans="1:5" s="23" customFormat="1" ht="13.35" customHeight="1">
      <c r="A190" s="23" t="s">
        <v>22</v>
      </c>
      <c r="C190" s="231">
        <v>0</v>
      </c>
      <c r="D190" s="43">
        <v>0</v>
      </c>
      <c r="E190" s="231">
        <v>0</v>
      </c>
    </row>
    <row r="191" spans="1:5" s="23" customFormat="1" ht="13.35" customHeight="1">
      <c r="A191" s="23" t="s">
        <v>1</v>
      </c>
      <c r="C191" s="231">
        <v>0</v>
      </c>
      <c r="D191" s="43">
        <v>0</v>
      </c>
      <c r="E191" s="231">
        <v>0</v>
      </c>
    </row>
    <row r="192" spans="1:5" s="23" customFormat="1" ht="13.35" customHeight="1">
      <c r="A192" s="23" t="s">
        <v>27</v>
      </c>
      <c r="C192" s="231">
        <v>0</v>
      </c>
      <c r="D192" s="43">
        <v>0</v>
      </c>
      <c r="E192" s="231">
        <v>0</v>
      </c>
    </row>
    <row r="193" spans="1:12" s="23" customFormat="1" ht="13.35" customHeight="1">
      <c r="A193" s="23" t="s">
        <v>30</v>
      </c>
      <c r="C193" s="231">
        <v>0</v>
      </c>
      <c r="D193" s="43">
        <v>0</v>
      </c>
      <c r="E193" s="231">
        <v>0</v>
      </c>
    </row>
    <row r="194" spans="1:12" s="23" customFormat="1" ht="13.35" customHeight="1">
      <c r="A194" s="23" t="s">
        <v>33</v>
      </c>
      <c r="C194" s="231">
        <v>0</v>
      </c>
      <c r="D194" s="43">
        <v>0</v>
      </c>
      <c r="E194" s="231">
        <v>0</v>
      </c>
    </row>
    <row r="195" spans="1:12" s="23" customFormat="1" ht="13.35" customHeight="1">
      <c r="A195" s="23" t="s">
        <v>35</v>
      </c>
      <c r="C195" s="231">
        <v>0</v>
      </c>
      <c r="D195" s="43">
        <v>0</v>
      </c>
      <c r="E195" s="231">
        <v>0</v>
      </c>
    </row>
    <row r="196" spans="1:12" s="23" customFormat="1" ht="13.35" customHeight="1">
      <c r="A196" s="23" t="s">
        <v>37</v>
      </c>
      <c r="C196" s="231">
        <v>0</v>
      </c>
      <c r="D196" s="43">
        <v>0</v>
      </c>
      <c r="E196" s="231">
        <v>0</v>
      </c>
    </row>
    <row r="197" spans="1:12" s="183" customFormat="1" ht="15">
      <c r="A197" s="24" t="s">
        <v>996</v>
      </c>
      <c r="C197" s="184">
        <f t="shared" ref="C197:E197" si="0">SUM(C184:C196)</f>
        <v>0</v>
      </c>
      <c r="D197" s="184">
        <f t="shared" si="0"/>
        <v>0</v>
      </c>
      <c r="E197" s="184">
        <f t="shared" si="0"/>
        <v>0</v>
      </c>
    </row>
    <row r="198" spans="1:12" s="183" customFormat="1" ht="15">
      <c r="A198" s="24"/>
      <c r="C198" s="185"/>
    </row>
    <row r="199" spans="1:12" s="4" customFormat="1" ht="13.35" customHeight="1">
      <c r="A199" s="2" t="s">
        <v>134</v>
      </c>
      <c r="C199" s="5"/>
      <c r="D199" s="5"/>
      <c r="E199" s="5"/>
      <c r="F199" s="6"/>
      <c r="G199" s="6"/>
      <c r="H199" s="5"/>
      <c r="I199" s="5"/>
      <c r="J199" s="5"/>
      <c r="K199" s="5"/>
      <c r="L199" s="5"/>
    </row>
    <row r="201" spans="1:12" ht="13.35" customHeight="1">
      <c r="A201" s="98" t="s">
        <v>757</v>
      </c>
      <c r="B201" s="33" t="s">
        <v>1038</v>
      </c>
      <c r="C201" s="133"/>
    </row>
    <row r="202" spans="1:12" ht="13.35" customHeight="1">
      <c r="B202" s="25" t="s">
        <v>1061</v>
      </c>
      <c r="C202" s="133"/>
    </row>
    <row r="203" spans="1:12" ht="13.35" customHeight="1">
      <c r="B203" s="238"/>
      <c r="C203" s="133"/>
    </row>
    <row r="204" spans="1:12" ht="13.35" customHeight="1">
      <c r="B204" s="195"/>
      <c r="C204" s="133"/>
    </row>
    <row r="205" spans="1:12" s="23" customFormat="1" ht="13.35" customHeight="1">
      <c r="C205" s="24" t="s">
        <v>88</v>
      </c>
    </row>
    <row r="206" spans="1:12" s="23" customFormat="1" ht="13.35" customHeight="1">
      <c r="A206" s="33" t="s">
        <v>7</v>
      </c>
      <c r="B206" s="33" t="s">
        <v>110</v>
      </c>
      <c r="C206" s="25">
        <v>12</v>
      </c>
      <c r="D206" s="25" t="s">
        <v>1048</v>
      </c>
      <c r="E206" s="25" t="s">
        <v>1049</v>
      </c>
    </row>
    <row r="207" spans="1:12" ht="13.35" customHeight="1">
      <c r="A207" s="23" t="s">
        <v>9</v>
      </c>
      <c r="B207" s="23" t="s">
        <v>125</v>
      </c>
      <c r="C207" s="230">
        <v>0.51300000000000001</v>
      </c>
      <c r="D207" s="212">
        <v>0.505</v>
      </c>
      <c r="E207" s="230">
        <v>0.5</v>
      </c>
    </row>
    <row r="208" spans="1:12" ht="13.35" customHeight="1">
      <c r="A208" s="23" t="s">
        <v>11</v>
      </c>
      <c r="B208" s="23" t="s">
        <v>126</v>
      </c>
      <c r="C208" s="230">
        <v>8.3000000000000004E-2</v>
      </c>
      <c r="D208" s="212">
        <v>4.5999999999999999E-2</v>
      </c>
      <c r="E208" s="230">
        <v>4.5999999999999999E-2</v>
      </c>
    </row>
    <row r="209" spans="1:5" ht="13.35" customHeight="1">
      <c r="A209" s="23" t="s">
        <v>13</v>
      </c>
      <c r="B209" s="23" t="s">
        <v>127</v>
      </c>
      <c r="C209" s="230">
        <v>0.373</v>
      </c>
      <c r="D209" s="212">
        <v>0.375</v>
      </c>
      <c r="E209" s="230">
        <v>0.373</v>
      </c>
    </row>
    <row r="210" spans="1:5" ht="13.35" customHeight="1">
      <c r="A210" s="23" t="s">
        <v>15</v>
      </c>
      <c r="B210" s="23" t="s">
        <v>115</v>
      </c>
      <c r="C210" s="230">
        <v>-0.16300000000000001</v>
      </c>
      <c r="D210" s="212">
        <v>-0.158</v>
      </c>
      <c r="E210" s="230">
        <v>-0.16</v>
      </c>
    </row>
    <row r="211" spans="1:5" ht="13.35" customHeight="1">
      <c r="A211" s="23" t="s">
        <v>18</v>
      </c>
      <c r="B211" s="23" t="s">
        <v>67</v>
      </c>
      <c r="C211" s="230">
        <v>1.2E-2</v>
      </c>
      <c r="D211" s="212">
        <v>1.2999999999999999E-2</v>
      </c>
      <c r="E211" s="230">
        <v>1.2E-2</v>
      </c>
    </row>
    <row r="212" spans="1:5" ht="13.35" customHeight="1">
      <c r="A212" s="23" t="s">
        <v>21</v>
      </c>
      <c r="B212" s="23" t="s">
        <v>116</v>
      </c>
      <c r="C212" s="230">
        <v>0.26100000000000001</v>
      </c>
      <c r="D212" s="212">
        <v>4.5999999999999999E-2</v>
      </c>
      <c r="E212" s="230">
        <v>1.2999999999999999E-2</v>
      </c>
    </row>
    <row r="213" spans="1:5" ht="13.35" customHeight="1">
      <c r="A213" s="23" t="s">
        <v>24</v>
      </c>
      <c r="B213" s="23" t="s">
        <v>98</v>
      </c>
      <c r="C213" s="230">
        <v>0.19600000000000001</v>
      </c>
      <c r="D213" s="212">
        <v>-5.8999999999999997E-2</v>
      </c>
      <c r="E213" s="230">
        <v>-0.10299999999999999</v>
      </c>
    </row>
    <row r="214" spans="1:5" ht="13.35" customHeight="1">
      <c r="A214" s="23"/>
      <c r="B214" s="23"/>
      <c r="C214" s="230"/>
      <c r="D214" s="212"/>
      <c r="E214" s="230"/>
    </row>
    <row r="215" spans="1:5" ht="13.35" customHeight="1">
      <c r="A215" s="23"/>
      <c r="B215" s="23"/>
      <c r="C215" s="230"/>
      <c r="D215" s="212"/>
      <c r="E215" s="230"/>
    </row>
    <row r="216" spans="1:5" ht="13.35" customHeight="1">
      <c r="A216" s="23"/>
      <c r="B216" s="23"/>
      <c r="C216" s="230"/>
      <c r="D216" s="212"/>
      <c r="E216" s="230"/>
    </row>
    <row r="217" spans="1:5" ht="13.35" customHeight="1">
      <c r="A217" s="23"/>
      <c r="B217" s="23"/>
      <c r="C217" s="230"/>
      <c r="D217" s="212"/>
      <c r="E217" s="230"/>
    </row>
    <row r="218" spans="1:5" ht="13.35" customHeight="1">
      <c r="A218" s="23"/>
      <c r="B218" s="23"/>
      <c r="C218" s="230"/>
      <c r="D218" s="212"/>
      <c r="E218" s="230"/>
    </row>
    <row r="219" spans="1:5" ht="13.35" customHeight="1">
      <c r="A219" s="23"/>
      <c r="B219" s="23"/>
      <c r="C219" s="230"/>
      <c r="D219" s="212"/>
      <c r="E219" s="230"/>
    </row>
    <row r="220" spans="1:5" ht="13.35" customHeight="1">
      <c r="A220" s="23"/>
      <c r="B220" s="23"/>
      <c r="C220" s="230"/>
      <c r="D220" s="212"/>
      <c r="E220" s="230"/>
    </row>
    <row r="221" spans="1:5" ht="13.35" customHeight="1">
      <c r="A221" s="23"/>
      <c r="B221" s="23"/>
      <c r="C221" s="230"/>
      <c r="D221" s="212"/>
      <c r="E221" s="230"/>
    </row>
    <row r="222" spans="1:5" ht="13.35" customHeight="1">
      <c r="A222" s="23"/>
      <c r="B222" s="23"/>
      <c r="C222" s="230"/>
      <c r="D222" s="212"/>
      <c r="E222" s="230"/>
    </row>
    <row r="223" spans="1:5" ht="13.35" customHeight="1">
      <c r="A223" s="23"/>
      <c r="B223" s="23"/>
      <c r="C223" s="230"/>
      <c r="D223" s="212"/>
      <c r="E223" s="230"/>
    </row>
    <row r="224" spans="1:5" ht="13.35" customHeight="1">
      <c r="A224" s="23"/>
      <c r="B224" s="23"/>
      <c r="C224" s="230"/>
      <c r="D224" s="212"/>
      <c r="E224" s="230"/>
    </row>
    <row r="225" spans="1:12" ht="13.35" customHeight="1">
      <c r="A225" s="23"/>
      <c r="B225" s="23"/>
      <c r="C225" s="230"/>
      <c r="D225" s="212"/>
      <c r="E225" s="230"/>
    </row>
    <row r="226" spans="1:12" ht="13.35" customHeight="1">
      <c r="A226" s="23" t="s">
        <v>17</v>
      </c>
      <c r="B226" s="23" t="s">
        <v>128</v>
      </c>
      <c r="C226" s="230">
        <v>0.626</v>
      </c>
      <c r="D226" s="212">
        <v>0.88700000000000001</v>
      </c>
      <c r="E226" s="230">
        <v>0.96099999999999997</v>
      </c>
    </row>
    <row r="227" spans="1:12" ht="13.35" customHeight="1">
      <c r="A227" s="23" t="s">
        <v>20</v>
      </c>
      <c r="B227" s="23" t="s">
        <v>129</v>
      </c>
      <c r="C227" s="230">
        <v>-0.218</v>
      </c>
      <c r="D227" s="212">
        <v>-0.26900000000000002</v>
      </c>
      <c r="E227" s="230">
        <v>-0.30399999999999999</v>
      </c>
    </row>
    <row r="228" spans="1:12" ht="13.35" customHeight="1">
      <c r="A228" s="23" t="s">
        <v>23</v>
      </c>
      <c r="B228" s="23" t="s">
        <v>130</v>
      </c>
      <c r="C228" s="230">
        <v>-0.47099999999999997</v>
      </c>
      <c r="D228" s="212">
        <v>-0.70499999999999996</v>
      </c>
      <c r="E228" s="230">
        <v>-0.78600000000000003</v>
      </c>
    </row>
    <row r="229" spans="1:12" ht="13.35" customHeight="1">
      <c r="A229" s="23" t="s">
        <v>25</v>
      </c>
      <c r="B229" s="23" t="s">
        <v>131</v>
      </c>
      <c r="C229" s="230">
        <v>6.0999999999999999E-2</v>
      </c>
      <c r="D229" s="212">
        <v>0.11</v>
      </c>
      <c r="E229" s="230">
        <v>0.12</v>
      </c>
    </row>
    <row r="230" spans="1:12" ht="13.35" customHeight="1">
      <c r="A230" s="23" t="s">
        <v>29</v>
      </c>
      <c r="B230" s="23" t="s">
        <v>132</v>
      </c>
      <c r="C230" s="230">
        <v>0.21099999999999999</v>
      </c>
      <c r="D230" s="212">
        <v>0.247</v>
      </c>
      <c r="E230" s="230">
        <v>0.28699999999999998</v>
      </c>
    </row>
    <row r="231" spans="1:12" ht="13.35" customHeight="1">
      <c r="A231" s="23" t="s">
        <v>32</v>
      </c>
      <c r="B231" s="23" t="s">
        <v>133</v>
      </c>
      <c r="C231" s="230">
        <v>0.216</v>
      </c>
      <c r="D231" s="212">
        <v>0.38200000000000001</v>
      </c>
      <c r="E231" s="230">
        <v>0.42299999999999999</v>
      </c>
    </row>
    <row r="232" spans="1:12" ht="13.35" customHeight="1">
      <c r="A232" s="23" t="s">
        <v>26</v>
      </c>
      <c r="B232" s="23" t="s">
        <v>117</v>
      </c>
      <c r="C232" s="230">
        <v>-15.12</v>
      </c>
      <c r="D232" s="212">
        <v>-15.551</v>
      </c>
      <c r="E232" s="230">
        <v>-14.993</v>
      </c>
    </row>
    <row r="233" spans="1:12" s="9" customFormat="1" ht="13.35" customHeight="1"/>
    <row r="234" spans="1:12" s="4" customFormat="1" ht="13.35" customHeight="1">
      <c r="A234" s="2" t="s">
        <v>135</v>
      </c>
      <c r="C234" s="5"/>
      <c r="D234" s="5"/>
      <c r="E234" s="5"/>
      <c r="F234" s="6"/>
      <c r="G234" s="6"/>
      <c r="H234" s="5"/>
      <c r="I234" s="5"/>
      <c r="J234" s="5"/>
      <c r="K234" s="5"/>
      <c r="L234" s="5"/>
    </row>
    <row r="236" spans="1:12" ht="13.35" customHeight="1">
      <c r="A236" s="98" t="s">
        <v>757</v>
      </c>
      <c r="B236" s="33" t="s">
        <v>1038</v>
      </c>
      <c r="C236" s="133"/>
    </row>
    <row r="237" spans="1:12" ht="13.35" customHeight="1">
      <c r="B237" s="25" t="s">
        <v>1061</v>
      </c>
      <c r="C237" s="133"/>
    </row>
    <row r="238" spans="1:12" ht="13.35" customHeight="1">
      <c r="B238" s="238"/>
      <c r="C238" s="133"/>
    </row>
    <row r="239" spans="1:12" ht="13.35" customHeight="1">
      <c r="B239" s="195"/>
      <c r="C239" s="133"/>
    </row>
    <row r="240" spans="1:12" ht="13.35" customHeight="1">
      <c r="C240" s="24" t="s">
        <v>88</v>
      </c>
    </row>
    <row r="241" spans="1:12" s="23" customFormat="1" ht="13.35" customHeight="1">
      <c r="A241" s="24" t="s">
        <v>0</v>
      </c>
      <c r="C241" s="25">
        <v>12</v>
      </c>
      <c r="D241" s="25" t="s">
        <v>1048</v>
      </c>
      <c r="E241" s="25" t="s">
        <v>1049</v>
      </c>
    </row>
    <row r="242" spans="1:12" s="23" customFormat="1" ht="13.35" customHeight="1">
      <c r="A242" s="23" t="s">
        <v>8</v>
      </c>
      <c r="C242" s="230">
        <v>0.51252835988998413</v>
      </c>
      <c r="D242" s="212">
        <v>0.53327703475952148</v>
      </c>
      <c r="E242" s="230">
        <v>0.55183422565460205</v>
      </c>
    </row>
    <row r="243" spans="1:12" s="23" customFormat="1" ht="13.35" customHeight="1">
      <c r="A243" s="23" t="s">
        <v>10</v>
      </c>
      <c r="C243" s="230">
        <v>0.38195407390594482</v>
      </c>
      <c r="D243" s="212">
        <v>0.38898223638534546</v>
      </c>
      <c r="E243" s="230">
        <v>0.3511907160282135</v>
      </c>
    </row>
    <row r="244" spans="1:12" s="23" customFormat="1" ht="13.35" customHeight="1">
      <c r="A244" s="23" t="s">
        <v>12</v>
      </c>
      <c r="C244" s="230">
        <v>0.93800777196884155</v>
      </c>
      <c r="D244" s="212">
        <v>0.86112242937088013</v>
      </c>
      <c r="E244" s="230">
        <v>0.86228930950164795</v>
      </c>
    </row>
    <row r="245" spans="1:12" s="23" customFormat="1" ht="13.35" customHeight="1">
      <c r="A245" s="23" t="s">
        <v>14</v>
      </c>
      <c r="C245" s="230">
        <v>0.54873275756835938</v>
      </c>
      <c r="D245" s="212">
        <v>0.54602116346359253</v>
      </c>
      <c r="E245" s="230">
        <v>0.52320706844329834</v>
      </c>
    </row>
    <row r="246" spans="1:12" s="23" customFormat="1" ht="13.35" customHeight="1">
      <c r="A246" s="23" t="s">
        <v>16</v>
      </c>
      <c r="C246" s="230">
        <v>0.53555470705032349</v>
      </c>
      <c r="D246" s="212">
        <v>0.55565387010574341</v>
      </c>
      <c r="E246" s="230">
        <v>0.39076235890388489</v>
      </c>
    </row>
    <row r="247" spans="1:12" s="23" customFormat="1" ht="13.35" customHeight="1">
      <c r="A247" s="23" t="s">
        <v>19</v>
      </c>
      <c r="C247" s="230">
        <v>0.67484056949615479</v>
      </c>
      <c r="D247" s="212">
        <v>0.70061159133911133</v>
      </c>
      <c r="E247" s="230">
        <v>0.5759124755859375</v>
      </c>
    </row>
    <row r="248" spans="1:12" s="23" customFormat="1" ht="13.35" customHeight="1">
      <c r="A248" s="23" t="s">
        <v>22</v>
      </c>
      <c r="C248" s="230">
        <v>0.65768849849700928</v>
      </c>
      <c r="D248" s="212">
        <v>0.69625496864318848</v>
      </c>
      <c r="E248" s="230">
        <v>0.71264153718948364</v>
      </c>
    </row>
    <row r="249" spans="1:12" s="23" customFormat="1" ht="13.35" customHeight="1">
      <c r="A249" s="23" t="s">
        <v>1</v>
      </c>
      <c r="C249" s="230">
        <v>0.71597772836685181</v>
      </c>
      <c r="D249" s="212">
        <v>0.81016111373901367</v>
      </c>
      <c r="E249" s="230">
        <v>0.82578408718109131</v>
      </c>
    </row>
    <row r="250" spans="1:12" s="23" customFormat="1" ht="13.35" customHeight="1">
      <c r="A250" s="23" t="s">
        <v>27</v>
      </c>
      <c r="C250" s="230">
        <v>0.97273910045623779</v>
      </c>
      <c r="D250" s="212">
        <v>0.97698783874511719</v>
      </c>
      <c r="E250" s="230">
        <v>0.97676986455917358</v>
      </c>
    </row>
    <row r="251" spans="1:12" s="23" customFormat="1" ht="13.35" customHeight="1">
      <c r="A251" s="23" t="s">
        <v>30</v>
      </c>
      <c r="C251" s="230">
        <v>0.7710915207862854</v>
      </c>
      <c r="D251" s="212">
        <v>0.91197055578231812</v>
      </c>
      <c r="E251" s="230">
        <v>0.91079443693161011</v>
      </c>
    </row>
    <row r="252" spans="1:12" s="23" customFormat="1" ht="13.35" customHeight="1">
      <c r="A252" s="23" t="s">
        <v>33</v>
      </c>
      <c r="C252" s="230">
        <v>0.6771237850189209</v>
      </c>
      <c r="D252" s="212">
        <v>0.76520144939422607</v>
      </c>
      <c r="E252" s="230">
        <v>0.75922203063964844</v>
      </c>
    </row>
    <row r="253" spans="1:12" s="23" customFormat="1" ht="13.35" customHeight="1">
      <c r="A253" s="23" t="s">
        <v>35</v>
      </c>
      <c r="C253" s="230">
        <v>0.82164978981018066</v>
      </c>
      <c r="D253" s="212">
        <v>0.91803056001663208</v>
      </c>
      <c r="E253" s="230">
        <v>0.95112037658691406</v>
      </c>
    </row>
    <row r="254" spans="1:12" s="23" customFormat="1" ht="13.35" customHeight="1">
      <c r="A254" s="23" t="s">
        <v>37</v>
      </c>
      <c r="C254" s="230">
        <v>0.80785179138183594</v>
      </c>
      <c r="D254" s="212">
        <v>0.93827402591705322</v>
      </c>
      <c r="E254" s="230">
        <v>0.91684287786483765</v>
      </c>
    </row>
    <row r="256" spans="1:12" s="4" customFormat="1" ht="13.35" customHeight="1">
      <c r="A256" s="2" t="s">
        <v>137</v>
      </c>
      <c r="C256" s="5"/>
      <c r="D256" s="5"/>
      <c r="E256" s="5"/>
      <c r="F256" s="6"/>
      <c r="G256" s="6"/>
      <c r="H256" s="5"/>
      <c r="I256" s="5"/>
      <c r="J256" s="5"/>
      <c r="K256" s="5"/>
      <c r="L256" s="5"/>
    </row>
    <row r="258" spans="1:5" ht="13.35" customHeight="1">
      <c r="A258" s="98" t="s">
        <v>757</v>
      </c>
      <c r="B258" s="33" t="s">
        <v>1038</v>
      </c>
      <c r="C258" s="133"/>
    </row>
    <row r="259" spans="1:5" ht="13.35" customHeight="1">
      <c r="B259" s="25" t="s">
        <v>1061</v>
      </c>
      <c r="C259" s="133"/>
    </row>
    <row r="260" spans="1:5" ht="13.35" customHeight="1">
      <c r="B260" s="238"/>
      <c r="C260" s="133"/>
    </row>
    <row r="261" spans="1:5" ht="13.35" customHeight="1">
      <c r="B261" s="195"/>
      <c r="C261" s="133"/>
    </row>
    <row r="262" spans="1:5" ht="13.35" customHeight="1">
      <c r="C262" s="24" t="s">
        <v>88</v>
      </c>
    </row>
    <row r="263" spans="1:5" s="23" customFormat="1" ht="13.35" customHeight="1">
      <c r="A263" s="24" t="s">
        <v>0</v>
      </c>
      <c r="C263" s="25">
        <v>12</v>
      </c>
      <c r="D263" s="25" t="s">
        <v>1048</v>
      </c>
      <c r="E263" s="25" t="s">
        <v>1049</v>
      </c>
    </row>
    <row r="264" spans="1:5" s="23" customFormat="1" ht="13.35" customHeight="1">
      <c r="A264" s="23" t="s">
        <v>8</v>
      </c>
      <c r="C264" s="231">
        <v>0</v>
      </c>
      <c r="D264" s="43">
        <v>0</v>
      </c>
      <c r="E264" s="231">
        <v>0</v>
      </c>
    </row>
    <row r="265" spans="1:5" s="23" customFormat="1" ht="13.35" customHeight="1">
      <c r="A265" s="23" t="s">
        <v>10</v>
      </c>
      <c r="C265" s="231">
        <v>0</v>
      </c>
      <c r="D265" s="43">
        <v>0</v>
      </c>
      <c r="E265" s="231">
        <v>0</v>
      </c>
    </row>
    <row r="266" spans="1:5" s="23" customFormat="1" ht="13.35" customHeight="1">
      <c r="A266" s="23" t="s">
        <v>12</v>
      </c>
      <c r="C266" s="231">
        <v>0</v>
      </c>
      <c r="D266" s="43">
        <v>0</v>
      </c>
      <c r="E266" s="231">
        <v>0</v>
      </c>
    </row>
    <row r="267" spans="1:5" s="23" customFormat="1" ht="13.35" customHeight="1">
      <c r="A267" s="23" t="s">
        <v>14</v>
      </c>
      <c r="C267" s="231">
        <v>0</v>
      </c>
      <c r="D267" s="43">
        <v>0</v>
      </c>
      <c r="E267" s="231">
        <v>0</v>
      </c>
    </row>
    <row r="268" spans="1:5" s="23" customFormat="1" ht="13.35" customHeight="1">
      <c r="A268" s="23" t="s">
        <v>16</v>
      </c>
      <c r="C268" s="231">
        <v>0</v>
      </c>
      <c r="D268" s="43">
        <v>0</v>
      </c>
      <c r="E268" s="231">
        <v>0</v>
      </c>
    </row>
    <row r="269" spans="1:5" s="23" customFormat="1" ht="13.35" customHeight="1">
      <c r="A269" s="23" t="s">
        <v>19</v>
      </c>
      <c r="C269" s="231">
        <v>1</v>
      </c>
      <c r="D269" s="43">
        <v>1</v>
      </c>
      <c r="E269" s="231">
        <v>1</v>
      </c>
    </row>
    <row r="270" spans="1:5" s="23" customFormat="1" ht="13.35" customHeight="1">
      <c r="A270" s="23" t="s">
        <v>22</v>
      </c>
      <c r="C270" s="231">
        <v>0</v>
      </c>
      <c r="D270" s="43">
        <v>0</v>
      </c>
      <c r="E270" s="231">
        <v>1</v>
      </c>
    </row>
    <row r="271" spans="1:5" s="23" customFormat="1" ht="13.35" customHeight="1">
      <c r="A271" s="23" t="s">
        <v>1</v>
      </c>
      <c r="C271" s="231">
        <v>0</v>
      </c>
      <c r="D271" s="43">
        <v>1</v>
      </c>
      <c r="E271" s="231">
        <v>1</v>
      </c>
    </row>
    <row r="272" spans="1:5" s="23" customFormat="1" ht="13.35" customHeight="1">
      <c r="A272" s="23" t="s">
        <v>27</v>
      </c>
      <c r="C272" s="231">
        <v>0</v>
      </c>
      <c r="D272" s="43">
        <v>0</v>
      </c>
      <c r="E272" s="231">
        <v>0</v>
      </c>
    </row>
    <row r="273" spans="1:5" s="23" customFormat="1" ht="13.35" customHeight="1">
      <c r="A273" s="23" t="s">
        <v>30</v>
      </c>
      <c r="C273" s="231">
        <v>0</v>
      </c>
      <c r="D273" s="43">
        <v>0</v>
      </c>
      <c r="E273" s="231">
        <v>0</v>
      </c>
    </row>
    <row r="274" spans="1:5" s="23" customFormat="1" ht="13.35" customHeight="1">
      <c r="A274" s="23" t="s">
        <v>33</v>
      </c>
      <c r="C274" s="231">
        <v>0</v>
      </c>
      <c r="D274" s="43">
        <v>0</v>
      </c>
      <c r="E274" s="231">
        <v>0</v>
      </c>
    </row>
    <row r="275" spans="1:5" s="23" customFormat="1" ht="13.35" customHeight="1">
      <c r="A275" s="23" t="s">
        <v>35</v>
      </c>
      <c r="C275" s="231">
        <v>0</v>
      </c>
      <c r="D275" s="43">
        <v>0</v>
      </c>
      <c r="E275" s="231">
        <v>0</v>
      </c>
    </row>
    <row r="276" spans="1:5" s="23" customFormat="1" ht="13.35" customHeight="1">
      <c r="A276" s="23" t="s">
        <v>37</v>
      </c>
      <c r="C276" s="231">
        <v>0</v>
      </c>
      <c r="D276" s="43">
        <v>1</v>
      </c>
      <c r="E276" s="231">
        <v>1</v>
      </c>
    </row>
    <row r="277" spans="1:5" s="183" customFormat="1" ht="15">
      <c r="A277" s="24" t="s">
        <v>996</v>
      </c>
      <c r="C277" s="184">
        <f t="shared" ref="C277" si="1">SUM(C264:C276)</f>
        <v>1</v>
      </c>
      <c r="D277" s="184">
        <f t="shared" ref="D277:E277" si="2">SUM(D264:D276)</f>
        <v>3</v>
      </c>
      <c r="E277" s="184">
        <f t="shared" si="2"/>
        <v>4</v>
      </c>
    </row>
    <row r="279" spans="1:5" s="22" customFormat="1" ht="13.35" customHeight="1">
      <c r="A279" s="2" t="s">
        <v>106</v>
      </c>
      <c r="B279" s="4"/>
    </row>
  </sheetData>
  <hyperlinks>
    <hyperlink ref="A2" location="Index!A1" display="Index"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CC"/>
    <pageSetUpPr fitToPage="1"/>
  </sheetPr>
  <dimension ref="A1:Z42"/>
  <sheetViews>
    <sheetView workbookViewId="0">
      <selection activeCell="C14" sqref="C14"/>
    </sheetView>
  </sheetViews>
  <sheetFormatPr defaultColWidth="8.85546875" defaultRowHeight="13.35" customHeight="1"/>
  <cols>
    <col min="1" max="1" width="45.85546875" style="23" bestFit="1" customWidth="1"/>
    <col min="2" max="2" width="10.140625" style="23" bestFit="1" customWidth="1"/>
    <col min="3" max="4" width="15.140625" style="23" bestFit="1" customWidth="1"/>
    <col min="5" max="17" width="10.85546875" style="23" bestFit="1" customWidth="1"/>
    <col min="18" max="16384" width="8.85546875" style="23"/>
  </cols>
  <sheetData>
    <row r="1" spans="1:25" s="7" customFormat="1" ht="15.75">
      <c r="A1" s="1" t="s">
        <v>894</v>
      </c>
    </row>
    <row r="2" spans="1:25" s="16" customFormat="1" ht="13.35" customHeight="1">
      <c r="A2" s="90" t="s">
        <v>86</v>
      </c>
      <c r="C2" s="15"/>
      <c r="E2" s="89"/>
    </row>
    <row r="3" spans="1:25" s="9" customFormat="1" ht="13.35" customHeight="1" thickBot="1">
      <c r="A3" s="8" t="s">
        <v>107</v>
      </c>
    </row>
    <row r="4" spans="1:25" s="9" customFormat="1" ht="13.35" customHeight="1"/>
    <row r="5" spans="1:25" s="4" customFormat="1" ht="13.35" customHeight="1">
      <c r="A5" s="2" t="s">
        <v>111</v>
      </c>
      <c r="C5" s="3"/>
      <c r="D5" s="3"/>
      <c r="E5" s="3"/>
      <c r="F5" s="3"/>
      <c r="G5" s="5"/>
      <c r="H5" s="6"/>
      <c r="I5" s="5"/>
      <c r="J5" s="6"/>
      <c r="K5" s="5"/>
      <c r="L5" s="5"/>
      <c r="M5" s="5"/>
      <c r="N5" s="5"/>
      <c r="O5" s="5"/>
      <c r="P5" s="5"/>
      <c r="Q5" s="5"/>
      <c r="R5" s="5"/>
      <c r="S5" s="6"/>
      <c r="T5" s="6"/>
      <c r="U5" s="5"/>
      <c r="V5" s="5"/>
      <c r="W5" s="5"/>
      <c r="X5" s="5"/>
      <c r="Y5" s="5"/>
    </row>
    <row r="6" spans="1:25" s="24" customFormat="1" ht="13.35" customHeight="1"/>
    <row r="7" spans="1:25" s="21" customFormat="1" ht="13.35" customHeight="1">
      <c r="C7" s="77" t="str">
        <f t="shared" ref="C7:T7" si="0">C8&amp;Parameter_DNSP</f>
        <v>2006END</v>
      </c>
      <c r="D7" s="77" t="str">
        <f t="shared" si="0"/>
        <v>2007END</v>
      </c>
      <c r="E7" s="77" t="str">
        <f t="shared" si="0"/>
        <v>2008END</v>
      </c>
      <c r="F7" s="77" t="str">
        <f t="shared" si="0"/>
        <v>2009END</v>
      </c>
      <c r="G7" s="77" t="str">
        <f t="shared" si="0"/>
        <v>2010END</v>
      </c>
      <c r="H7" s="77" t="str">
        <f t="shared" si="0"/>
        <v>2011END</v>
      </c>
      <c r="I7" s="77" t="str">
        <f t="shared" si="0"/>
        <v>2012END</v>
      </c>
      <c r="J7" s="77" t="str">
        <f t="shared" si="0"/>
        <v>2013END</v>
      </c>
      <c r="K7" s="77" t="str">
        <f t="shared" si="0"/>
        <v>2014END</v>
      </c>
      <c r="L7" s="77" t="str">
        <f t="shared" si="0"/>
        <v>2015END</v>
      </c>
      <c r="M7" s="77" t="str">
        <f t="shared" si="0"/>
        <v>2016END</v>
      </c>
      <c r="N7" s="77" t="str">
        <f t="shared" si="0"/>
        <v>2017END</v>
      </c>
      <c r="O7" s="77" t="str">
        <f t="shared" si="0"/>
        <v>2018END</v>
      </c>
      <c r="P7" s="77" t="str">
        <f t="shared" si="0"/>
        <v>2019END</v>
      </c>
      <c r="Q7" s="77" t="str">
        <f t="shared" si="0"/>
        <v>2020END</v>
      </c>
      <c r="R7" s="77" t="str">
        <f t="shared" si="0"/>
        <v>2021END</v>
      </c>
      <c r="S7" s="77" t="str">
        <f t="shared" si="0"/>
        <v>2022END</v>
      </c>
      <c r="T7" s="77" t="str">
        <f t="shared" si="0"/>
        <v>2023END</v>
      </c>
    </row>
    <row r="8" spans="1:25" ht="13.35" customHeight="1">
      <c r="A8" s="24" t="s">
        <v>160</v>
      </c>
      <c r="B8" s="24" t="s">
        <v>358</v>
      </c>
      <c r="C8" s="77">
        <v>2006</v>
      </c>
      <c r="D8" s="77">
        <v>2007</v>
      </c>
      <c r="E8" s="77">
        <v>2008</v>
      </c>
      <c r="F8" s="77">
        <v>2009</v>
      </c>
      <c r="G8" s="77">
        <v>2010</v>
      </c>
      <c r="H8" s="77">
        <v>2011</v>
      </c>
      <c r="I8" s="77">
        <v>2012</v>
      </c>
      <c r="J8" s="77">
        <v>2013</v>
      </c>
      <c r="K8" s="77">
        <v>2014</v>
      </c>
      <c r="L8" s="77">
        <v>2015</v>
      </c>
      <c r="M8" s="77">
        <v>2016</v>
      </c>
      <c r="N8" s="77">
        <v>2017</v>
      </c>
      <c r="O8" s="77">
        <v>2018</v>
      </c>
      <c r="P8" s="77">
        <v>2019</v>
      </c>
      <c r="Q8" s="77">
        <v>2020</v>
      </c>
      <c r="R8" s="77">
        <v>2021</v>
      </c>
      <c r="S8" s="77">
        <v>2022</v>
      </c>
      <c r="T8" s="77">
        <v>2023</v>
      </c>
    </row>
    <row r="9" spans="1:25" s="69" customFormat="1" ht="13.35" customHeight="1">
      <c r="A9" s="69" t="s">
        <v>71</v>
      </c>
      <c r="B9" s="69" t="s">
        <v>51</v>
      </c>
      <c r="C9" s="75">
        <f t="shared" ref="C9:R11" si="1">VLOOKUP($A9, Table_Data_EBRIN, MATCH(C$7, Header_Table_Data_EBRIN, 0), FALSE)</f>
        <v>849548.29330194998</v>
      </c>
      <c r="D9" s="75">
        <f t="shared" si="1"/>
        <v>859722.30529924994</v>
      </c>
      <c r="E9" s="75">
        <f t="shared" si="1"/>
        <v>869654.53679640999</v>
      </c>
      <c r="F9" s="75">
        <f t="shared" si="1"/>
        <v>878612.20779661997</v>
      </c>
      <c r="G9" s="75">
        <f t="shared" si="1"/>
        <v>886064.29272154998</v>
      </c>
      <c r="H9" s="75">
        <f t="shared" si="1"/>
        <v>895088.26980019</v>
      </c>
      <c r="I9" s="75">
        <f t="shared" si="1"/>
        <v>903746.68839344999</v>
      </c>
      <c r="J9" s="75">
        <f t="shared" si="1"/>
        <v>919384.82389899995</v>
      </c>
      <c r="K9" s="75">
        <f t="shared" si="1"/>
        <v>940028.5</v>
      </c>
      <c r="L9" s="75">
        <f t="shared" si="1"/>
        <v>955832.5</v>
      </c>
      <c r="M9" s="75">
        <f t="shared" si="1"/>
        <v>968354.5</v>
      </c>
      <c r="N9" s="75">
        <f t="shared" si="1"/>
        <v>984229.5</v>
      </c>
      <c r="O9" s="75">
        <f t="shared" si="1"/>
        <v>1005561.9999999999</v>
      </c>
      <c r="P9" s="150">
        <f t="shared" si="1"/>
        <v>1027585.5</v>
      </c>
      <c r="Q9" s="75">
        <f t="shared" si="1"/>
        <v>1049164.5</v>
      </c>
      <c r="R9" s="154">
        <f t="shared" si="1"/>
        <v>1067349</v>
      </c>
      <c r="S9" s="76">
        <f t="shared" ref="S9:T11" si="2">VLOOKUP($A9, Table_Data_forecast, MATCH(S$7, Header_Table_Data_opex_proposed, 0), FALSE)</f>
        <v>1082918.5</v>
      </c>
      <c r="T9" s="75">
        <f t="shared" si="2"/>
        <v>1112178.3004155336</v>
      </c>
    </row>
    <row r="10" spans="1:25" s="69" customFormat="1" ht="13.35" customHeight="1">
      <c r="A10" s="69" t="s">
        <v>75</v>
      </c>
      <c r="B10" s="69" t="s">
        <v>69</v>
      </c>
      <c r="C10" s="75">
        <f t="shared" si="1"/>
        <v>32432</v>
      </c>
      <c r="D10" s="75">
        <f t="shared" si="1"/>
        <v>32832</v>
      </c>
      <c r="E10" s="75">
        <f t="shared" si="1"/>
        <v>33299</v>
      </c>
      <c r="F10" s="75">
        <f t="shared" si="1"/>
        <v>33579</v>
      </c>
      <c r="G10" s="75">
        <f t="shared" si="1"/>
        <v>33817</v>
      </c>
      <c r="H10" s="75">
        <f t="shared" si="1"/>
        <v>34172</v>
      </c>
      <c r="I10" s="75">
        <f t="shared" si="1"/>
        <v>34568</v>
      </c>
      <c r="J10" s="75">
        <f t="shared" si="1"/>
        <v>35029</v>
      </c>
      <c r="K10" s="75">
        <f t="shared" si="1"/>
        <v>35491.989000000001</v>
      </c>
      <c r="L10" s="75">
        <f t="shared" si="1"/>
        <v>36005.181619000003</v>
      </c>
      <c r="M10" s="75">
        <f t="shared" si="1"/>
        <v>36467.860999999997</v>
      </c>
      <c r="N10" s="75">
        <f t="shared" si="1"/>
        <v>36993.039377000001</v>
      </c>
      <c r="O10" s="75">
        <f t="shared" si="1"/>
        <v>37543.074810000006</v>
      </c>
      <c r="P10" s="150">
        <f t="shared" si="1"/>
        <v>38284.300771000002</v>
      </c>
      <c r="Q10" s="75">
        <f t="shared" si="1"/>
        <v>38725.005837251832</v>
      </c>
      <c r="R10" s="154">
        <f t="shared" si="1"/>
        <v>39146.327922462529</v>
      </c>
      <c r="S10" s="76">
        <f t="shared" si="2"/>
        <v>39622.208000000006</v>
      </c>
      <c r="T10" s="75">
        <f t="shared" si="2"/>
        <v>40170.006490599844</v>
      </c>
    </row>
    <row r="11" spans="1:25" s="69" customFormat="1" ht="13.35" customHeight="1">
      <c r="A11" s="69" t="s">
        <v>72</v>
      </c>
      <c r="B11" s="69" t="s">
        <v>73</v>
      </c>
      <c r="C11" s="75">
        <f t="shared" si="1"/>
        <v>3779.0286552100001</v>
      </c>
      <c r="D11" s="75">
        <f t="shared" si="1"/>
        <v>3704.4117377299999</v>
      </c>
      <c r="E11" s="75">
        <f t="shared" si="1"/>
        <v>3690.1265355</v>
      </c>
      <c r="F11" s="75">
        <f t="shared" si="1"/>
        <v>4004.2594068600001</v>
      </c>
      <c r="G11" s="75">
        <f t="shared" si="1"/>
        <v>3928.5643727000001</v>
      </c>
      <c r="H11" s="75">
        <f t="shared" si="1"/>
        <v>4162.0593220700002</v>
      </c>
      <c r="I11" s="75">
        <f t="shared" si="1"/>
        <v>3377.31322821</v>
      </c>
      <c r="J11" s="75">
        <f t="shared" si="1"/>
        <v>3825.0089998899998</v>
      </c>
      <c r="K11" s="75">
        <f t="shared" si="1"/>
        <v>3361.1572785799999</v>
      </c>
      <c r="L11" s="75">
        <f t="shared" si="1"/>
        <v>3592.95984146</v>
      </c>
      <c r="M11" s="75">
        <f t="shared" si="1"/>
        <v>4096.74707253</v>
      </c>
      <c r="N11" s="75">
        <f t="shared" si="1"/>
        <v>4344.0417028000002</v>
      </c>
      <c r="O11" s="75">
        <f t="shared" si="1"/>
        <v>4007.2025363243602</v>
      </c>
      <c r="P11" s="150">
        <f t="shared" si="1"/>
        <v>4159.4866072986497</v>
      </c>
      <c r="Q11" s="75">
        <f t="shared" si="1"/>
        <v>4260.7803490849383</v>
      </c>
      <c r="R11" s="154">
        <f>VLOOKUP($A11, Table_Data_EBRIN, MATCH(R$7, Header_Table_Data_EBRIN, 0), FALSE)</f>
        <v>3830.1281528971499</v>
      </c>
      <c r="S11" s="76">
        <f t="shared" si="2"/>
        <v>3691.4720000000002</v>
      </c>
      <c r="T11" s="75">
        <f t="shared" si="2"/>
        <v>4210.6877835312152</v>
      </c>
    </row>
    <row r="12" spans="1:25" s="69" customFormat="1" ht="13.35" customHeight="1">
      <c r="A12" s="69" t="s">
        <v>47</v>
      </c>
      <c r="B12" s="69" t="s">
        <v>50</v>
      </c>
      <c r="C12" s="75">
        <f>C11</f>
        <v>3779.0286552100001</v>
      </c>
      <c r="D12" s="75">
        <f>MAX(C12,D11)</f>
        <v>3779.0286552100001</v>
      </c>
      <c r="E12" s="75">
        <f>MAX(D12,E11)</f>
        <v>3779.0286552100001</v>
      </c>
      <c r="F12" s="75">
        <f t="shared" ref="F12:R12" si="3">MAX(E12,F11)</f>
        <v>4004.2594068600001</v>
      </c>
      <c r="G12" s="75">
        <f t="shared" si="3"/>
        <v>4004.2594068600001</v>
      </c>
      <c r="H12" s="75">
        <f t="shared" si="3"/>
        <v>4162.0593220700002</v>
      </c>
      <c r="I12" s="75">
        <f t="shared" si="3"/>
        <v>4162.0593220700002</v>
      </c>
      <c r="J12" s="75">
        <f t="shared" si="3"/>
        <v>4162.0593220700002</v>
      </c>
      <c r="K12" s="75">
        <f t="shared" si="3"/>
        <v>4162.0593220700002</v>
      </c>
      <c r="L12" s="75">
        <f t="shared" si="3"/>
        <v>4162.0593220700002</v>
      </c>
      <c r="M12" s="75">
        <f t="shared" si="3"/>
        <v>4162.0593220700002</v>
      </c>
      <c r="N12" s="75">
        <f t="shared" si="3"/>
        <v>4344.0417028000002</v>
      </c>
      <c r="O12" s="75">
        <f t="shared" si="3"/>
        <v>4344.0417028000002</v>
      </c>
      <c r="P12" s="150">
        <f t="shared" si="3"/>
        <v>4344.0417028000002</v>
      </c>
      <c r="Q12" s="75">
        <f t="shared" si="3"/>
        <v>4344.0417028000002</v>
      </c>
      <c r="R12" s="154">
        <f t="shared" si="3"/>
        <v>4344.0417028000002</v>
      </c>
      <c r="S12" s="76">
        <f t="shared" ref="S12" si="4">MAX(R12,S11)</f>
        <v>4344.0417028000002</v>
      </c>
      <c r="T12" s="75">
        <f t="shared" ref="T12" si="5">MAX(S12,T11)</f>
        <v>4344.0417028000002</v>
      </c>
    </row>
    <row r="13" spans="1:25" s="69" customFormat="1" ht="13.35" customHeight="1">
      <c r="A13" s="69" t="s">
        <v>70</v>
      </c>
      <c r="B13" s="69" t="s">
        <v>69</v>
      </c>
      <c r="C13" s="75">
        <f t="shared" ref="C13:R13" si="6">VLOOKUP($A13, Table_Data_EBRIN, MATCH(C$7, Header_Table_Data_EBRIN, 0), FALSE)</f>
        <v>9045</v>
      </c>
      <c r="D13" s="75">
        <f t="shared" si="6"/>
        <v>9423</v>
      </c>
      <c r="E13" s="75">
        <f t="shared" si="6"/>
        <v>9859</v>
      </c>
      <c r="F13" s="75">
        <f t="shared" si="6"/>
        <v>10136</v>
      </c>
      <c r="G13" s="75">
        <f t="shared" si="6"/>
        <v>10386</v>
      </c>
      <c r="H13" s="75">
        <f t="shared" si="6"/>
        <v>10761</v>
      </c>
      <c r="I13" s="75">
        <f t="shared" si="6"/>
        <v>11151</v>
      </c>
      <c r="J13" s="75">
        <f t="shared" si="6"/>
        <v>11617</v>
      </c>
      <c r="K13" s="75">
        <f t="shared" si="6"/>
        <v>12104.67</v>
      </c>
      <c r="L13" s="75">
        <f t="shared" si="6"/>
        <v>12635.856619</v>
      </c>
      <c r="M13" s="75">
        <f t="shared" si="6"/>
        <v>13173.102000000001</v>
      </c>
      <c r="N13" s="75">
        <f t="shared" si="6"/>
        <v>13766.485129999999</v>
      </c>
      <c r="O13" s="75">
        <f t="shared" si="6"/>
        <v>14377.942891999999</v>
      </c>
      <c r="P13" s="150">
        <f t="shared" si="6"/>
        <v>15235.793936</v>
      </c>
      <c r="Q13" s="75">
        <f t="shared" si="6"/>
        <v>15789.728300373552</v>
      </c>
      <c r="R13" s="154">
        <f t="shared" si="6"/>
        <v>16276.799716602198</v>
      </c>
      <c r="S13" s="76">
        <f t="shared" ref="S13:T13" si="7">S10 * S14</f>
        <v>16796.914000000001</v>
      </c>
      <c r="T13" s="75">
        <f t="shared" si="7"/>
        <v>17423.56945680951</v>
      </c>
    </row>
    <row r="14" spans="1:25" s="78" customFormat="1" ht="13.35" customHeight="1">
      <c r="A14" s="78" t="s">
        <v>46</v>
      </c>
      <c r="B14" s="78" t="s">
        <v>360</v>
      </c>
      <c r="C14" s="79">
        <f>C13/C10</f>
        <v>0.27889121854958066</v>
      </c>
      <c r="D14" s="79">
        <f t="shared" ref="D14:Q14" si="8">D13/D10</f>
        <v>0.28700657894736842</v>
      </c>
      <c r="E14" s="79">
        <f t="shared" si="8"/>
        <v>0.29607495720592208</v>
      </c>
      <c r="F14" s="79">
        <f t="shared" si="8"/>
        <v>0.30185532624557015</v>
      </c>
      <c r="G14" s="79">
        <f t="shared" si="8"/>
        <v>0.30712363604104442</v>
      </c>
      <c r="H14" s="79">
        <f t="shared" si="8"/>
        <v>0.31490694135549574</v>
      </c>
      <c r="I14" s="79">
        <f t="shared" si="8"/>
        <v>0.32258157833834761</v>
      </c>
      <c r="J14" s="79">
        <f t="shared" si="8"/>
        <v>0.33163949870107623</v>
      </c>
      <c r="K14" s="79">
        <f t="shared" si="8"/>
        <v>0.34105358254224638</v>
      </c>
      <c r="L14" s="79">
        <f t="shared" si="8"/>
        <v>0.35094550425297771</v>
      </c>
      <c r="M14" s="79">
        <f t="shared" si="8"/>
        <v>0.36122497011820909</v>
      </c>
      <c r="N14" s="79">
        <f t="shared" si="8"/>
        <v>0.3721371739614116</v>
      </c>
      <c r="O14" s="79">
        <f t="shared" si="8"/>
        <v>0.38297190533179976</v>
      </c>
      <c r="P14" s="151">
        <f t="shared" si="8"/>
        <v>0.39796453452640751</v>
      </c>
      <c r="Q14" s="79">
        <f t="shared" si="8"/>
        <v>0.40773985591461154</v>
      </c>
      <c r="R14" s="155">
        <f>R13/R10</f>
        <v>0.41579378144590717</v>
      </c>
      <c r="S14" s="188">
        <f>VLOOKUP($A14, Table_Data_forecast, MATCH(S$7, Header_Table_Data_opex_proposed, 0), FALSE)</f>
        <v>0.42392675340051716</v>
      </c>
      <c r="T14" s="179">
        <f>VLOOKUP($A14, Table_Data_forecast, MATCH(T$7, Header_Table_Data_opex_proposed, 0), FALSE)</f>
        <v>0.43374574661537052</v>
      </c>
    </row>
    <row r="15" spans="1:25" s="69" customFormat="1" ht="13.35" customHeight="1">
      <c r="A15" s="69" t="s">
        <v>74</v>
      </c>
      <c r="B15" s="69" t="s">
        <v>49</v>
      </c>
      <c r="C15" s="73">
        <f t="shared" ref="C15:R15" si="9">VLOOKUP($A15, Table_Data_opex_selected, MATCH(C$7, Header_Table_Data_EBRIN, 0), FALSE)</f>
        <v>173158.03593754568</v>
      </c>
      <c r="D15" s="73">
        <f t="shared" si="9"/>
        <v>192755.56936652676</v>
      </c>
      <c r="E15" s="73">
        <f t="shared" si="9"/>
        <v>243136.6498313061</v>
      </c>
      <c r="F15" s="73">
        <f t="shared" si="9"/>
        <v>229075.96469774732</v>
      </c>
      <c r="G15" s="73">
        <f t="shared" si="9"/>
        <v>228043.59112183331</v>
      </c>
      <c r="H15" s="73">
        <f t="shared" si="9"/>
        <v>244517.0998057948</v>
      </c>
      <c r="I15" s="73">
        <f t="shared" si="9"/>
        <v>276189.14942971262</v>
      </c>
      <c r="J15" s="73">
        <f t="shared" si="9"/>
        <v>248232.2275998212</v>
      </c>
      <c r="K15" s="73">
        <f t="shared" si="9"/>
        <v>295997.52023237501</v>
      </c>
      <c r="L15" s="73">
        <f t="shared" si="9"/>
        <v>300530.03952954285</v>
      </c>
      <c r="M15" s="73">
        <f t="shared" si="9"/>
        <v>316821.14712986699</v>
      </c>
      <c r="N15" s="73">
        <f t="shared" si="9"/>
        <v>290656.54168067907</v>
      </c>
      <c r="O15" s="73">
        <f t="shared" si="9"/>
        <v>278512.48718438006</v>
      </c>
      <c r="P15" s="152">
        <f t="shared" si="9"/>
        <v>291794.86913370003</v>
      </c>
      <c r="Q15" s="73">
        <f t="shared" si="9"/>
        <v>259970.16376625502</v>
      </c>
      <c r="R15" s="156">
        <f t="shared" si="9"/>
        <v>272205.97344527696</v>
      </c>
      <c r="S15" s="76">
        <f>VLOOKUP("Opex for network services * (1 + Opex forecast error) + Opex forecast error ($m, nominal)", Table_Data_forecast, MATCH(S$7, Header_Table_Data_opex_proposed, 0), FALSE)</f>
        <v>276174.46400000004</v>
      </c>
      <c r="T15" s="76">
        <f>VLOOKUP("Opex for network services * (1 + Opex forecast error) + Opex forecast error ($m, nominal)", Table_Data_forecast, MATCH(T$7, Header_Table_Data_opex_proposed, 0), FALSE)</f>
        <v>281055.83851902164</v>
      </c>
    </row>
    <row r="16" spans="1:25" ht="13.35" customHeight="1">
      <c r="R16" s="157"/>
    </row>
    <row r="17" spans="1:25" s="159" customFormat="1" ht="13.35" customHeight="1">
      <c r="A17" s="159" t="s">
        <v>359</v>
      </c>
      <c r="B17" s="159" t="s">
        <v>86</v>
      </c>
      <c r="C17" s="162">
        <f t="shared" ref="C17:R17" si="10">VLOOKUP($A17, Table_Data_EBRIN, MATCH(C$7, Header_Table_Data_EBRIN, 0), FALSE)</f>
        <v>1</v>
      </c>
      <c r="D17" s="162">
        <f t="shared" si="10"/>
        <v>1.0452706061118502</v>
      </c>
      <c r="E17" s="162">
        <f t="shared" si="10"/>
        <v>1.0868513886863425</v>
      </c>
      <c r="F17" s="162">
        <f t="shared" si="10"/>
        <v>1.1312938389976723</v>
      </c>
      <c r="G17" s="162">
        <f t="shared" si="10"/>
        <v>1.1567726142472725</v>
      </c>
      <c r="H17" s="162">
        <f t="shared" si="10"/>
        <v>1.1995563047985374</v>
      </c>
      <c r="I17" s="162">
        <f t="shared" si="10"/>
        <v>1.2385017561810374</v>
      </c>
      <c r="J17" s="162">
        <f t="shared" si="10"/>
        <v>1.2784871711292933</v>
      </c>
      <c r="K17" s="162">
        <f t="shared" si="10"/>
        <v>1.31342981598297</v>
      </c>
      <c r="L17" s="162">
        <f t="shared" si="10"/>
        <v>1.3426915893028719</v>
      </c>
      <c r="M17" s="162">
        <f t="shared" si="10"/>
        <v>1.3656987165194989</v>
      </c>
      <c r="N17" s="162">
        <f t="shared" si="10"/>
        <v>1.3915711944071918</v>
      </c>
      <c r="O17" s="162">
        <f t="shared" si="10"/>
        <v>1.4221280831529757</v>
      </c>
      <c r="P17" s="163">
        <f t="shared" si="10"/>
        <v>1.4566653831374401</v>
      </c>
      <c r="Q17" s="162">
        <f t="shared" si="10"/>
        <v>1.4854493464845773</v>
      </c>
      <c r="R17" s="192">
        <f t="shared" si="10"/>
        <v>1.5051094987398133</v>
      </c>
      <c r="S17" s="194">
        <v>1.5388261781330224</v>
      </c>
      <c r="T17" s="194">
        <v>1.6033570332790579</v>
      </c>
    </row>
    <row r="18" spans="1:25" s="81" customFormat="1" ht="13.35" customHeight="1">
      <c r="A18" s="71" t="s">
        <v>362</v>
      </c>
      <c r="B18" s="71" t="s">
        <v>5</v>
      </c>
      <c r="C18" s="80">
        <v>0</v>
      </c>
      <c r="D18" s="80">
        <f>(D17 - C17)/C17</f>
        <v>4.5270606111850187E-2</v>
      </c>
      <c r="E18" s="80">
        <f t="shared" ref="E18:R18" si="11">(E17 - D17)/D17</f>
        <v>3.9779921420695606E-2</v>
      </c>
      <c r="F18" s="80">
        <f t="shared" si="11"/>
        <v>4.0891009363337755E-2</v>
      </c>
      <c r="G18" s="80">
        <f t="shared" si="11"/>
        <v>2.2521801473058854E-2</v>
      </c>
      <c r="H18" s="80">
        <f t="shared" si="11"/>
        <v>3.6985393693042067E-2</v>
      </c>
      <c r="I18" s="80">
        <f t="shared" si="11"/>
        <v>3.2466547194748688E-2</v>
      </c>
      <c r="J18" s="80">
        <f t="shared" si="11"/>
        <v>3.2285311465001319E-2</v>
      </c>
      <c r="K18" s="80">
        <f t="shared" si="11"/>
        <v>2.733124402242669E-2</v>
      </c>
      <c r="L18" s="80">
        <f t="shared" si="11"/>
        <v>2.2278901364822742E-2</v>
      </c>
      <c r="M18" s="80">
        <f t="shared" si="11"/>
        <v>1.713507956698556E-2</v>
      </c>
      <c r="N18" s="80">
        <f t="shared" si="11"/>
        <v>1.8944498940168308E-2</v>
      </c>
      <c r="O18" s="80">
        <f t="shared" si="11"/>
        <v>2.1958552223985274E-2</v>
      </c>
      <c r="P18" s="153">
        <f t="shared" si="11"/>
        <v>2.4285646555753521E-2</v>
      </c>
      <c r="Q18" s="80">
        <f t="shared" si="11"/>
        <v>1.9760175315720628E-2</v>
      </c>
      <c r="R18" s="193">
        <f t="shared" si="11"/>
        <v>1.323515493932065E-2</v>
      </c>
      <c r="S18" s="191">
        <f t="shared" ref="S18" si="12">(S17 - R17)/R17</f>
        <v>2.2401479375048227E-2</v>
      </c>
      <c r="T18" s="80">
        <f t="shared" ref="T18" si="13">(T17 - S17)/S17</f>
        <v>4.1935116560291065E-2</v>
      </c>
    </row>
    <row r="19" spans="1:25" s="69" customFormat="1" ht="13.35" customHeight="1">
      <c r="A19" s="69" t="s">
        <v>363</v>
      </c>
      <c r="B19" s="69" t="s">
        <v>982</v>
      </c>
      <c r="C19" s="73">
        <f>C15/C17*$R17</f>
        <v>260621.80467272995</v>
      </c>
      <c r="D19" s="73">
        <f t="shared" ref="D19:T19" si="14">D15/D17*$R17</f>
        <v>277553.23520263232</v>
      </c>
      <c r="E19" s="73">
        <f t="shared" si="14"/>
        <v>336704.0654888323</v>
      </c>
      <c r="F19" s="73">
        <f t="shared" si="14"/>
        <v>304769.9885867362</v>
      </c>
      <c r="G19" s="73">
        <f t="shared" si="14"/>
        <v>296713.95302485977</v>
      </c>
      <c r="H19" s="73">
        <f t="shared" si="14"/>
        <v>306800.94635809667</v>
      </c>
      <c r="I19" s="73">
        <f t="shared" si="14"/>
        <v>335643.3773152972</v>
      </c>
      <c r="J19" s="73">
        <f t="shared" si="14"/>
        <v>292233.42407403031</v>
      </c>
      <c r="K19" s="73">
        <f t="shared" si="14"/>
        <v>339194.88798246847</v>
      </c>
      <c r="L19" s="73">
        <f t="shared" si="14"/>
        <v>336883.48147575528</v>
      </c>
      <c r="M19" s="73">
        <f t="shared" si="14"/>
        <v>349162.30950415367</v>
      </c>
      <c r="N19" s="73">
        <f t="shared" si="14"/>
        <v>314371.21112643922</v>
      </c>
      <c r="O19" s="73">
        <f t="shared" si="14"/>
        <v>294763.73819260922</v>
      </c>
      <c r="P19" s="73">
        <f t="shared" si="14"/>
        <v>301499.05002255045</v>
      </c>
      <c r="Q19" s="73">
        <f>Q15/Q17*$R17</f>
        <v>263410.90916330199</v>
      </c>
      <c r="R19" s="189">
        <f t="shared" si="14"/>
        <v>272205.97344527696</v>
      </c>
      <c r="S19" s="190">
        <f t="shared" si="14"/>
        <v>270123.30241229117</v>
      </c>
      <c r="T19" s="73">
        <f t="shared" si="14"/>
        <v>263833.82082163956</v>
      </c>
    </row>
    <row r="20" spans="1:25" ht="13.35" customHeight="1">
      <c r="F20" s="117"/>
      <c r="S20" s="243"/>
    </row>
    <row r="21" spans="1:25" s="4" customFormat="1" ht="13.35" customHeight="1">
      <c r="A21" s="2" t="s">
        <v>747</v>
      </c>
      <c r="C21" s="3"/>
      <c r="D21" s="3"/>
      <c r="E21" s="3"/>
      <c r="F21" s="3"/>
      <c r="G21" s="5"/>
      <c r="H21" s="6"/>
      <c r="I21" s="5"/>
      <c r="J21" s="6"/>
      <c r="K21" s="5"/>
      <c r="L21" s="5"/>
      <c r="M21" s="5"/>
      <c r="N21" s="5"/>
      <c r="O21" s="5"/>
      <c r="P21" s="5"/>
      <c r="Q21" s="5"/>
      <c r="R21" s="5"/>
      <c r="S21" s="6"/>
      <c r="T21" s="6"/>
      <c r="U21" s="5"/>
      <c r="V21" s="5"/>
      <c r="W21" s="5"/>
      <c r="X21" s="5"/>
      <c r="Y21" s="5"/>
    </row>
    <row r="22" spans="1:25" ht="13.35" customHeight="1">
      <c r="C22" s="77"/>
      <c r="D22" s="77"/>
      <c r="E22" s="77"/>
      <c r="F22" s="77"/>
      <c r="G22" s="77"/>
      <c r="H22" s="77"/>
      <c r="I22" s="77"/>
      <c r="J22" s="77"/>
      <c r="K22" s="77"/>
      <c r="L22" s="77"/>
      <c r="M22" s="77"/>
      <c r="N22" s="77"/>
      <c r="O22" s="77"/>
      <c r="P22" s="77"/>
      <c r="Q22" s="77"/>
      <c r="R22" s="77"/>
      <c r="S22" s="77"/>
      <c r="T22" s="77"/>
    </row>
    <row r="23" spans="1:25" ht="13.35" customHeight="1">
      <c r="D23" s="24" t="s">
        <v>367</v>
      </c>
    </row>
    <row r="24" spans="1:25" ht="13.35" customHeight="1">
      <c r="A24" s="24" t="s">
        <v>160</v>
      </c>
      <c r="B24" s="24" t="s">
        <v>358</v>
      </c>
      <c r="C24" s="77" t="str">
        <f>"Average, 2006 - "&amp;Parameter_Period_end</f>
        <v>Average, 2006 - 2021</v>
      </c>
      <c r="D24" s="24">
        <v>2018</v>
      </c>
      <c r="E24" s="24">
        <v>2019</v>
      </c>
      <c r="F24" s="24">
        <v>2020</v>
      </c>
      <c r="G24" s="24">
        <v>2021</v>
      </c>
      <c r="H24" s="24">
        <v>2022</v>
      </c>
      <c r="I24" s="24">
        <v>2023</v>
      </c>
    </row>
    <row r="25" spans="1:25" ht="13.35" customHeight="1">
      <c r="A25" s="23" t="s">
        <v>71</v>
      </c>
      <c r="B25" s="23" t="s">
        <v>51</v>
      </c>
      <c r="C25" s="118">
        <f>AVERAGEIF($8:$8, "&lt;="&amp;Parameter_Period_end, 9:9)</f>
        <v>941245.46362552629</v>
      </c>
      <c r="D25" s="82">
        <f>LN(O9/$C25)</f>
        <v>6.6097908595858623E-2</v>
      </c>
      <c r="E25" s="50">
        <f t="shared" ref="D25:I26" si="15">LN(P9/$C25)</f>
        <v>8.7763195006185929E-2</v>
      </c>
      <c r="F25" s="50">
        <f t="shared" si="15"/>
        <v>0.10854545253606766</v>
      </c>
      <c r="G25" s="50">
        <f>LN(R9/$C25)</f>
        <v>0.12572932352573477</v>
      </c>
      <c r="H25" s="50">
        <f t="shared" si="15"/>
        <v>0.14021103066385138</v>
      </c>
      <c r="I25" s="50">
        <f t="shared" si="15"/>
        <v>0.1668718444762709</v>
      </c>
      <c r="K25" s="117"/>
    </row>
    <row r="26" spans="1:25" ht="13.35" customHeight="1">
      <c r="A26" s="23" t="s">
        <v>75</v>
      </c>
      <c r="B26" s="23" t="s">
        <v>69</v>
      </c>
      <c r="C26" s="118">
        <f>AVERAGEIF($8:$8, "&lt;="&amp;Parameter_Period_end, 10:10)</f>
        <v>35524.04877104464</v>
      </c>
      <c r="D26" s="82">
        <f t="shared" si="15"/>
        <v>5.5279038069987102E-2</v>
      </c>
      <c r="E26" s="50">
        <f t="shared" si="15"/>
        <v>7.4830013314131666E-2</v>
      </c>
      <c r="F26" s="50">
        <f t="shared" si="15"/>
        <v>8.6275639739528884E-2</v>
      </c>
      <c r="G26" s="50">
        <f t="shared" si="15"/>
        <v>9.7096725654408939E-2</v>
      </c>
      <c r="H26" s="50">
        <f t="shared" si="15"/>
        <v>0.10917987184776094</v>
      </c>
      <c r="I26" s="50">
        <f t="shared" si="15"/>
        <v>0.1229107126500681</v>
      </c>
    </row>
    <row r="27" spans="1:25" ht="13.35" customHeight="1">
      <c r="A27" s="23" t="s">
        <v>47</v>
      </c>
      <c r="B27" s="23" t="s">
        <v>50</v>
      </c>
      <c r="C27" s="118">
        <f>AVERAGEIF($8:$8, "&lt;="&amp;Parameter_Period_end, 12:12)</f>
        <v>4127.3855766106253</v>
      </c>
      <c r="D27" s="82">
        <f t="shared" ref="D27:I27" si="16">LN(O12/$C27)</f>
        <v>5.1161008451906215E-2</v>
      </c>
      <c r="E27" s="50">
        <f t="shared" si="16"/>
        <v>5.1161008451906215E-2</v>
      </c>
      <c r="F27" s="50">
        <f t="shared" si="16"/>
        <v>5.1161008451906215E-2</v>
      </c>
      <c r="G27" s="50">
        <f t="shared" si="16"/>
        <v>5.1161008451906215E-2</v>
      </c>
      <c r="H27" s="50">
        <f t="shared" si="16"/>
        <v>5.1161008451906215E-2</v>
      </c>
      <c r="I27" s="50">
        <f t="shared" si="16"/>
        <v>5.1161008451906215E-2</v>
      </c>
    </row>
    <row r="28" spans="1:25" ht="13.35" customHeight="1">
      <c r="A28" s="23" t="s">
        <v>46</v>
      </c>
      <c r="B28" s="23" t="s">
        <v>360</v>
      </c>
      <c r="C28" s="119">
        <f>AVERAGEIF($8:$8, "&lt;="&amp;Parameter_Period_end, 14:14)</f>
        <v>0.34186944021737342</v>
      </c>
      <c r="D28" s="82">
        <f t="shared" ref="D28:I28" si="17">LN(O14/$C28)</f>
        <v>0.11353272183930556</v>
      </c>
      <c r="E28" s="50">
        <f t="shared" si="17"/>
        <v>0.15193398165812072</v>
      </c>
      <c r="F28" s="50">
        <f t="shared" si="17"/>
        <v>0.17620045256755643</v>
      </c>
      <c r="G28" s="50">
        <f t="shared" si="17"/>
        <v>0.19576050924880536</v>
      </c>
      <c r="H28" s="50">
        <f t="shared" si="17"/>
        <v>0.21513177846911719</v>
      </c>
      <c r="I28" s="50">
        <f t="shared" si="17"/>
        <v>0.23802961471319367</v>
      </c>
    </row>
    <row r="29" spans="1:25" ht="13.35" customHeight="1">
      <c r="A29" s="23" t="s">
        <v>363</v>
      </c>
      <c r="B29" s="23" t="s">
        <v>982</v>
      </c>
      <c r="C29" s="118">
        <f>AVERAGEIF($8:$8, "&lt;="&amp;Parameter_Period_end, 19:19)</f>
        <v>305158.2722272356</v>
      </c>
      <c r="D29" s="82">
        <f>LN(O19/$C29)</f>
        <v>-3.4656419371998717E-2</v>
      </c>
      <c r="E29" s="50">
        <f>LN(P19/$C29)</f>
        <v>-1.2063702022455495E-2</v>
      </c>
      <c r="F29" s="50">
        <f>LN(Q19/$C29)</f>
        <v>-0.14711536217871996</v>
      </c>
      <c r="G29" s="50">
        <f>LN(R19/$C29)</f>
        <v>-0.11427153231104559</v>
      </c>
    </row>
    <row r="30" spans="1:25" ht="13.35" customHeight="1">
      <c r="C30" s="117"/>
      <c r="D30" s="81"/>
      <c r="E30" s="81"/>
      <c r="F30" s="81"/>
      <c r="G30" s="81"/>
      <c r="H30" s="81"/>
      <c r="I30" s="81"/>
    </row>
    <row r="31" spans="1:25" s="4" customFormat="1" ht="13.35" customHeight="1">
      <c r="A31" s="2" t="s">
        <v>748</v>
      </c>
      <c r="C31" s="3"/>
      <c r="D31" s="3"/>
      <c r="E31" s="3"/>
      <c r="F31" s="3"/>
      <c r="G31" s="5"/>
      <c r="H31" s="6"/>
      <c r="I31" s="5"/>
      <c r="J31" s="6"/>
      <c r="K31" s="5"/>
      <c r="L31" s="5"/>
      <c r="M31" s="5"/>
      <c r="N31" s="5"/>
      <c r="O31" s="5"/>
      <c r="P31" s="5"/>
      <c r="Q31" s="5"/>
      <c r="R31" s="5"/>
      <c r="S31" s="6"/>
      <c r="T31" s="6"/>
      <c r="U31" s="5"/>
      <c r="V31" s="5"/>
      <c r="W31" s="5"/>
      <c r="X31" s="5"/>
      <c r="Y31" s="5"/>
    </row>
    <row r="32" spans="1:25" ht="13.35" customHeight="1">
      <c r="C32" s="77"/>
      <c r="D32" s="77"/>
      <c r="E32" s="77"/>
      <c r="F32" s="77"/>
      <c r="G32" s="77"/>
      <c r="H32" s="77"/>
      <c r="I32" s="77"/>
      <c r="J32" s="77"/>
      <c r="K32" s="77"/>
      <c r="L32" s="77"/>
      <c r="M32" s="77"/>
      <c r="N32" s="77"/>
      <c r="O32" s="77"/>
      <c r="P32" s="77"/>
      <c r="Q32" s="77"/>
      <c r="R32" s="77"/>
      <c r="S32" s="77"/>
      <c r="T32" s="77"/>
    </row>
    <row r="33" spans="1:26" ht="13.35" customHeight="1">
      <c r="D33" s="24" t="s">
        <v>367</v>
      </c>
    </row>
    <row r="34" spans="1:26" ht="13.35" customHeight="1">
      <c r="A34" s="24" t="s">
        <v>160</v>
      </c>
      <c r="B34" s="24" t="s">
        <v>358</v>
      </c>
      <c r="C34" s="77" t="str">
        <f>"Average, 2012 - "&amp;Parameter_Period_end</f>
        <v>Average, 2012 - 2021</v>
      </c>
      <c r="D34" s="24">
        <v>2018</v>
      </c>
      <c r="E34" s="24">
        <v>2019</v>
      </c>
      <c r="F34" s="24">
        <v>2020</v>
      </c>
      <c r="G34" s="24">
        <v>2021</v>
      </c>
      <c r="H34" s="24">
        <v>2022</v>
      </c>
      <c r="I34" s="24">
        <v>2023</v>
      </c>
    </row>
    <row r="35" spans="1:26" ht="13.35" customHeight="1">
      <c r="A35" s="23" t="s">
        <v>71</v>
      </c>
      <c r="B35" s="23" t="s">
        <v>51</v>
      </c>
      <c r="C35" s="118">
        <f>AVERAGEIF($I$8:$XFD$8, "&lt;="&amp;Parameter_Period_end, I9:XFD9)</f>
        <v>982123.75122924498</v>
      </c>
      <c r="D35" s="82">
        <f>LN(O9/$C35)</f>
        <v>2.3584548180613459E-2</v>
      </c>
      <c r="E35" s="82">
        <f t="shared" ref="E35:I36" si="18">LN(P9/$C35)</f>
        <v>4.5249834590940757E-2</v>
      </c>
      <c r="F35" s="82">
        <f t="shared" si="18"/>
        <v>6.6032092120822422E-2</v>
      </c>
      <c r="G35" s="82">
        <f t="shared" si="18"/>
        <v>8.3215963110489635E-2</v>
      </c>
      <c r="H35" s="82">
        <f t="shared" si="18"/>
        <v>9.7697670248606205E-2</v>
      </c>
      <c r="I35" s="82">
        <f t="shared" si="18"/>
        <v>0.12435848406102576</v>
      </c>
      <c r="J35" s="117"/>
    </row>
    <row r="36" spans="1:26" ht="13.35" customHeight="1">
      <c r="A36" s="23" t="s">
        <v>75</v>
      </c>
      <c r="B36" s="23" t="s">
        <v>69</v>
      </c>
      <c r="C36" s="118">
        <f>AVERAGEIF($I$8:$XFD$8, "&lt;="&amp;Parameter_Period_end, I10:XFD10)</f>
        <v>36825.378033671441</v>
      </c>
      <c r="D36" s="82">
        <f t="shared" ref="D36" si="19">LN(O10/$C36)</f>
        <v>1.9301707393235158E-2</v>
      </c>
      <c r="E36" s="82">
        <f t="shared" si="18"/>
        <v>3.8852682637379801E-2</v>
      </c>
      <c r="F36" s="82">
        <f t="shared" si="18"/>
        <v>5.0298309062776936E-2</v>
      </c>
      <c r="G36" s="82">
        <f t="shared" si="18"/>
        <v>6.1119394977657039E-2</v>
      </c>
      <c r="H36" s="82">
        <f t="shared" si="18"/>
        <v>7.3202541171009161E-2</v>
      </c>
      <c r="I36" s="82">
        <f t="shared" si="18"/>
        <v>8.6933381973316251E-2</v>
      </c>
    </row>
    <row r="37" spans="1:26" ht="13.35" customHeight="1">
      <c r="A37" s="23" t="s">
        <v>47</v>
      </c>
      <c r="B37" s="23" t="s">
        <v>50</v>
      </c>
      <c r="C37" s="118">
        <f>AVERAGEIF($I$8:$XFD$8, "&lt;="&amp;Parameter_Period_end, I12:XFD12)</f>
        <v>4253.0505124350002</v>
      </c>
      <c r="D37" s="82">
        <f>LN(O12/$C37)</f>
        <v>2.1168689581535248E-2</v>
      </c>
      <c r="E37" s="82">
        <f t="shared" ref="E37:I37" si="20">LN(P12/$C37)</f>
        <v>2.1168689581535248E-2</v>
      </c>
      <c r="F37" s="82">
        <f t="shared" si="20"/>
        <v>2.1168689581535248E-2</v>
      </c>
      <c r="G37" s="82">
        <f t="shared" si="20"/>
        <v>2.1168689581535248E-2</v>
      </c>
      <c r="H37" s="82">
        <f t="shared" si="20"/>
        <v>2.1168689581535248E-2</v>
      </c>
      <c r="I37" s="82">
        <f t="shared" si="20"/>
        <v>2.1168689581535248E-2</v>
      </c>
    </row>
    <row r="38" spans="1:26" ht="13.35" customHeight="1">
      <c r="A38" s="23" t="s">
        <v>46</v>
      </c>
      <c r="B38" s="23" t="s">
        <v>360</v>
      </c>
      <c r="C38" s="119">
        <f>AVERAGEIF($I$8:$XFD$8, "&lt;="&amp;Parameter_Period_end, I14:XFD14)</f>
        <v>0.36840523851329943</v>
      </c>
      <c r="D38" s="82">
        <f>LN(O14/$C38)</f>
        <v>3.8778108350610414E-2</v>
      </c>
      <c r="E38" s="82">
        <f t="shared" ref="E38:I38" si="21">LN(P14/$C38)</f>
        <v>7.717936816942543E-2</v>
      </c>
      <c r="F38" s="82">
        <f>LN(Q14/$C38)</f>
        <v>0.10144583907886121</v>
      </c>
      <c r="G38" s="82">
        <f t="shared" si="21"/>
        <v>0.12100589576011002</v>
      </c>
      <c r="H38" s="82">
        <f t="shared" si="21"/>
        <v>0.14037716498042185</v>
      </c>
      <c r="I38" s="82">
        <f t="shared" si="21"/>
        <v>0.16327500122449842</v>
      </c>
    </row>
    <row r="39" spans="1:26" ht="13.35" customHeight="1">
      <c r="A39" s="23" t="s">
        <v>363</v>
      </c>
      <c r="B39" s="23" t="s">
        <v>982</v>
      </c>
      <c r="C39" s="118">
        <f>AVERAGEIF($I$8:$XFD$8, "&lt;="&amp;Parameter_Period_end, I19:XFD19)</f>
        <v>309936.83623018826</v>
      </c>
      <c r="D39" s="82">
        <f>LN(O19/$C39)</f>
        <v>-5.0194374646918005E-2</v>
      </c>
      <c r="E39" s="82">
        <f t="shared" ref="E39:G39" si="22">LN(P19/$C39)</f>
        <v>-2.7601657297374831E-2</v>
      </c>
      <c r="F39" s="82">
        <f t="shared" si="22"/>
        <v>-0.1626533174536392</v>
      </c>
      <c r="G39" s="82">
        <f t="shared" si="22"/>
        <v>-0.12980948758596481</v>
      </c>
    </row>
    <row r="41" spans="1:26" s="4" customFormat="1" ht="13.35" customHeight="1">
      <c r="A41" s="2" t="s">
        <v>106</v>
      </c>
      <c r="D41" s="3"/>
      <c r="E41" s="3"/>
      <c r="F41" s="3"/>
      <c r="G41" s="3"/>
      <c r="H41" s="5"/>
      <c r="I41" s="6"/>
      <c r="J41" s="5"/>
      <c r="K41" s="6"/>
      <c r="L41" s="5"/>
      <c r="M41" s="5"/>
      <c r="N41" s="5"/>
      <c r="O41" s="5"/>
      <c r="P41" s="5"/>
      <c r="Q41" s="5"/>
      <c r="R41" s="5"/>
      <c r="S41" s="5"/>
      <c r="T41" s="6"/>
      <c r="U41" s="6"/>
      <c r="V41" s="5"/>
      <c r="W41" s="5"/>
      <c r="X41" s="5"/>
      <c r="Y41" s="5"/>
      <c r="Z41" s="5"/>
    </row>
    <row r="42" spans="1:26" ht="13.35" customHeight="1">
      <c r="C42" s="77"/>
      <c r="D42" s="77"/>
      <c r="E42" s="77"/>
      <c r="F42" s="77"/>
      <c r="G42" s="77"/>
      <c r="H42" s="77"/>
      <c r="I42" s="77"/>
      <c r="J42" s="77"/>
      <c r="K42" s="77"/>
      <c r="L42" s="77"/>
      <c r="M42" s="77"/>
      <c r="N42" s="77"/>
      <c r="O42" s="77"/>
      <c r="P42" s="77"/>
      <c r="Q42" s="77"/>
      <c r="R42" s="77"/>
      <c r="S42" s="77"/>
      <c r="T42" s="77"/>
    </row>
  </sheetData>
  <hyperlinks>
    <hyperlink ref="A2" location="Index!A1" display="Index" xr:uid="{00000000-0004-0000-0B00-000000000000}"/>
  </hyperlinks>
  <pageMargins left="0.7" right="0.7" top="0.75" bottom="0.75" header="0.3" footer="0.3"/>
  <pageSetup paperSize="9" scale="86" fitToWidth="0" orientation="landscape" r:id="rId1"/>
  <ignoredErrors>
    <ignoredError sqref="C12:Q12 R12 C14:Q14"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CC"/>
  </sheetPr>
  <dimension ref="A1:P27"/>
  <sheetViews>
    <sheetView workbookViewId="0">
      <selection activeCell="C22" sqref="C22"/>
    </sheetView>
  </sheetViews>
  <sheetFormatPr defaultColWidth="8.85546875" defaultRowHeight="14.25"/>
  <cols>
    <col min="1" max="1" width="11.140625" style="21" bestFit="1" customWidth="1"/>
    <col min="2" max="2" width="12.5703125" style="21" customWidth="1"/>
    <col min="3" max="3" width="13.5703125" style="21" bestFit="1" customWidth="1"/>
    <col min="4" max="4" width="12.140625" style="21" bestFit="1" customWidth="1"/>
    <col min="5" max="5" width="35.85546875" style="21" bestFit="1" customWidth="1"/>
    <col min="6" max="16384" width="8.85546875" style="21"/>
  </cols>
  <sheetData>
    <row r="1" spans="1:16" s="7" customFormat="1" ht="15.75">
      <c r="A1" s="1" t="s">
        <v>894</v>
      </c>
    </row>
    <row r="2" spans="1:16" s="16" customFormat="1" ht="13.35" customHeight="1">
      <c r="A2" s="90" t="s">
        <v>86</v>
      </c>
      <c r="C2" s="15"/>
      <c r="E2" s="89"/>
    </row>
    <row r="3" spans="1:16" s="9" customFormat="1" ht="13.35" customHeight="1" thickBot="1">
      <c r="A3" s="8" t="s">
        <v>139</v>
      </c>
    </row>
    <row r="4" spans="1:16" s="9" customFormat="1" ht="13.35" customHeight="1"/>
    <row r="5" spans="1:16" s="4" customFormat="1" ht="13.35" customHeight="1">
      <c r="A5" s="2" t="s">
        <v>53</v>
      </c>
      <c r="C5" s="3"/>
      <c r="D5" s="5"/>
      <c r="E5" s="5"/>
      <c r="F5" s="5"/>
      <c r="G5" s="5"/>
      <c r="H5" s="5"/>
      <c r="I5" s="5"/>
      <c r="J5" s="6"/>
      <c r="K5" s="6"/>
      <c r="L5" s="5"/>
      <c r="M5" s="5"/>
      <c r="N5" s="5"/>
      <c r="O5" s="5"/>
      <c r="P5" s="5"/>
    </row>
    <row r="6" spans="1:16" s="9" customFormat="1" ht="13.35" customHeight="1"/>
    <row r="7" spans="1:16" s="9" customFormat="1" ht="13.35" customHeight="1">
      <c r="A7" s="10" t="s">
        <v>53</v>
      </c>
      <c r="C7" s="40">
        <f>Parameter_Efficiency_target</f>
        <v>0.75</v>
      </c>
    </row>
    <row r="8" spans="1:16" s="9" customFormat="1" ht="13.35" customHeight="1">
      <c r="A8" s="10"/>
      <c r="B8" s="10"/>
    </row>
    <row r="9" spans="1:16" s="4" customFormat="1" ht="13.35" customHeight="1">
      <c r="A9" s="2" t="s">
        <v>749</v>
      </c>
      <c r="C9" s="3"/>
      <c r="D9" s="5"/>
      <c r="E9" s="5"/>
      <c r="F9" s="5"/>
      <c r="G9" s="5"/>
      <c r="H9" s="5"/>
      <c r="I9" s="5"/>
      <c r="J9" s="6"/>
      <c r="K9" s="6"/>
      <c r="L9" s="5"/>
      <c r="M9" s="5"/>
      <c r="N9" s="5"/>
      <c r="O9" s="5"/>
      <c r="P9" s="5"/>
    </row>
    <row r="10" spans="1:16" ht="13.35" customHeight="1"/>
    <row r="11" spans="1:16" s="24" customFormat="1" ht="13.35" customHeight="1">
      <c r="A11" s="24" t="s">
        <v>0</v>
      </c>
      <c r="B11" s="24" t="s">
        <v>54</v>
      </c>
      <c r="C11" s="24" t="s">
        <v>52</v>
      </c>
      <c r="D11" s="24" t="s">
        <v>53</v>
      </c>
      <c r="E11" s="24" t="s">
        <v>140</v>
      </c>
    </row>
    <row r="12" spans="1:16" s="23" customFormat="1" ht="13.35" customHeight="1">
      <c r="A12" s="23" t="str">
        <f>Parameter_DNSP</f>
        <v>END</v>
      </c>
      <c r="B12" s="23" t="s">
        <v>95</v>
      </c>
      <c r="C12" s="49">
        <f>Parameter_OEF_total_long</f>
        <v>1.4651593831993111E-2</v>
      </c>
      <c r="D12" s="49">
        <f>Parameter_Efficiency_target/(1 + Parameter_OEF_total_long)</f>
        <v>0.73916998165597492</v>
      </c>
      <c r="E12" s="49">
        <f>MAX(0, 1 - VLOOKUP(Parameter_DNSP, Table_Efficiency_scores_long_LSECD, MATCH(Parameter_Scenario_number, Header_Table_Econometrics, 0), FALSE)/D12)</f>
        <v>0.1243358318908504</v>
      </c>
    </row>
    <row r="13" spans="1:16" s="23" customFormat="1" ht="13.35" customHeight="1">
      <c r="A13" s="23" t="str">
        <f>Parameter_DNSP</f>
        <v>END</v>
      </c>
      <c r="B13" s="23" t="s">
        <v>89</v>
      </c>
      <c r="C13" s="49">
        <f>Parameter_OEF_total_long</f>
        <v>1.4651593831993111E-2</v>
      </c>
      <c r="D13" s="49">
        <f>Parameter_Efficiency_target/(1 + Parameter_OEF_total_long)</f>
        <v>0.73916998165597492</v>
      </c>
      <c r="E13" s="49">
        <f>MAX(0, 1 - VLOOKUP(Parameter_DNSP, Table_Efficiency_scores_long_SFACD, MATCH(Parameter_Scenario_number, Header_Table_Econometrics, 0), FALSE)/D13)</f>
        <v>0.13751406773928154</v>
      </c>
    </row>
    <row r="14" spans="1:16" s="23" customFormat="1" ht="13.35" customHeight="1">
      <c r="A14" s="23" t="str">
        <f>Parameter_DNSP</f>
        <v>END</v>
      </c>
      <c r="B14" s="23" t="s">
        <v>96</v>
      </c>
      <c r="C14" s="49">
        <f>Parameter_OEF_total_long</f>
        <v>1.4651593831993111E-2</v>
      </c>
      <c r="D14" s="49">
        <f>Parameter_Efficiency_target/(1 + Parameter_OEF_total_long)</f>
        <v>0.73916998165597492</v>
      </c>
      <c r="E14" s="49">
        <f>MAX(0, 1 - VLOOKUP(Parameter_DNSP, Table_Efficiency_scores_long_LSETLG, MATCH(Parameter_Scenario_number, Header_Table_Econometrics, 0), FALSE)/D14)</f>
        <v>0.12345972974467678</v>
      </c>
    </row>
    <row r="15" spans="1:16" s="23" customFormat="1" ht="13.35" customHeight="1">
      <c r="A15" s="51" t="str">
        <f>Parameter_DNSP</f>
        <v>END</v>
      </c>
      <c r="B15" s="51" t="s">
        <v>97</v>
      </c>
      <c r="C15" s="52">
        <f>Parameter_OEF_total_long</f>
        <v>1.4651593831993111E-2</v>
      </c>
      <c r="D15" s="52">
        <f>Parameter_Efficiency_target/(1 + Parameter_OEF_total_long)</f>
        <v>0.73916998165597492</v>
      </c>
      <c r="E15" s="52">
        <f>MAX(0, 1 - VLOOKUP(Parameter_DNSP, Table_Efficiency_scores_long_SFATLG, MATCH(Parameter_Scenario_number, Header_Table_Econometrics, 0), FALSE)/D15)</f>
        <v>0.26130500830088887</v>
      </c>
    </row>
    <row r="16" spans="1:16" s="23" customFormat="1" ht="13.35" customHeight="1">
      <c r="A16" s="24" t="str">
        <f>Parameter_DNSP</f>
        <v>END</v>
      </c>
      <c r="B16" s="24" t="s">
        <v>56</v>
      </c>
      <c r="C16" s="53">
        <f>AVERAGE(C12:C15)</f>
        <v>1.4651593831993111E-2</v>
      </c>
      <c r="D16" s="53">
        <f>AVERAGE(D12:D15)</f>
        <v>0.73916998165597492</v>
      </c>
      <c r="E16" s="53">
        <f>AVERAGE(E12:E15)</f>
        <v>0.1616536594189244</v>
      </c>
    </row>
    <row r="17" spans="1:16" s="9" customFormat="1" ht="13.35" customHeight="1"/>
    <row r="18" spans="1:16" s="4" customFormat="1" ht="13.35" customHeight="1">
      <c r="A18" s="2" t="s">
        <v>750</v>
      </c>
      <c r="C18" s="3"/>
      <c r="D18" s="5"/>
      <c r="E18" s="5"/>
      <c r="F18" s="5"/>
      <c r="G18" s="5"/>
      <c r="H18" s="5"/>
      <c r="I18" s="5"/>
      <c r="J18" s="6"/>
      <c r="K18" s="6"/>
      <c r="L18" s="5"/>
      <c r="M18" s="5"/>
      <c r="N18" s="5"/>
      <c r="O18" s="5"/>
      <c r="P18" s="5"/>
    </row>
    <row r="19" spans="1:16" ht="13.35" customHeight="1"/>
    <row r="20" spans="1:16" s="24" customFormat="1" ht="13.35" customHeight="1">
      <c r="A20" s="24" t="s">
        <v>0</v>
      </c>
      <c r="B20" s="24" t="s">
        <v>54</v>
      </c>
      <c r="C20" s="24" t="s">
        <v>52</v>
      </c>
      <c r="D20" s="24" t="s">
        <v>53</v>
      </c>
      <c r="E20" s="24" t="s">
        <v>140</v>
      </c>
    </row>
    <row r="21" spans="1:16" s="23" customFormat="1" ht="13.35" customHeight="1">
      <c r="A21" s="23" t="str">
        <f>Parameter_DNSP</f>
        <v>END</v>
      </c>
      <c r="B21" s="23" t="s">
        <v>95</v>
      </c>
      <c r="C21" s="49">
        <f>Parameter_OEF_total_short</f>
        <v>-2.059202384375361E-3</v>
      </c>
      <c r="D21" s="49">
        <f>Parameter_Efficiency_target/(1 + Parameter_OEF_total_short)</f>
        <v>0.7515475885863887</v>
      </c>
      <c r="E21" s="49">
        <f>MAX(0, 1 - VLOOKUP(Parameter_DNSP, Table_Efficiency_scores_short_LSECD, MATCH(Parameter_Scenario_number, Header_Table_Econometrics, 0), FALSE)/D21)</f>
        <v>0.14562002880541947</v>
      </c>
    </row>
    <row r="22" spans="1:16" s="23" customFormat="1" ht="13.35" customHeight="1">
      <c r="A22" s="23" t="str">
        <f>Parameter_DNSP</f>
        <v>END</v>
      </c>
      <c r="B22" s="23" t="s">
        <v>89</v>
      </c>
      <c r="C22" s="49">
        <f>Parameter_OEF_total_short</f>
        <v>-2.059202384375361E-3</v>
      </c>
      <c r="D22" s="49">
        <f>Parameter_Efficiency_target/(1 + Parameter_OEF_total_short)</f>
        <v>0.7515475885863887</v>
      </c>
      <c r="E22" s="49">
        <f>MAX(0, 1 - VLOOKUP(Parameter_DNSP, Table_Efficiency_scores_short_SFACD, MATCH(Parameter_Scenario_number, Header_Table_Econometrics, 0), FALSE)/D22)</f>
        <v>0.10812511784089318</v>
      </c>
    </row>
    <row r="23" spans="1:16" s="23" customFormat="1" ht="13.35" customHeight="1">
      <c r="A23" s="23" t="str">
        <f>Parameter_DNSP</f>
        <v>END</v>
      </c>
      <c r="B23" s="23" t="s">
        <v>96</v>
      </c>
      <c r="C23" s="49">
        <f>Parameter_OEF_total_short</f>
        <v>-2.059202384375361E-3</v>
      </c>
      <c r="D23" s="49">
        <f>Parameter_Efficiency_target/(1 + Parameter_OEF_total_short)</f>
        <v>0.7515475885863887</v>
      </c>
      <c r="E23" s="49">
        <f>MAX(0, 1 - VLOOKUP(Parameter_DNSP, Table_Efficiency_scores_short_LSETLG, MATCH(Parameter_Scenario_number, Header_Table_Econometrics, 0), FALSE)/D23)</f>
        <v>0.11252883917435808</v>
      </c>
    </row>
    <row r="24" spans="1:16" s="23" customFormat="1" ht="13.35" customHeight="1">
      <c r="A24" s="51" t="str">
        <f>Parameter_DNSP</f>
        <v>END</v>
      </c>
      <c r="B24" s="51" t="s">
        <v>97</v>
      </c>
      <c r="C24" s="52">
        <f>Parameter_OEF_total_short</f>
        <v>-2.059202384375361E-3</v>
      </c>
      <c r="D24" s="52">
        <f>Parameter_Efficiency_target/(1 + Parameter_OEF_total_short)</f>
        <v>0.7515475885863887</v>
      </c>
      <c r="E24" s="52">
        <f>MAX(0, 1 - VLOOKUP(Parameter_DNSP, Table_Efficiency_scores_short_SFATLG, MATCH(Parameter_Scenario_number, Header_Table_Econometrics, 0), FALSE)/D24)</f>
        <v>0.19259267710168615</v>
      </c>
    </row>
    <row r="25" spans="1:16" s="23" customFormat="1" ht="13.35" customHeight="1">
      <c r="A25" s="24" t="str">
        <f>Parameter_DNSP</f>
        <v>END</v>
      </c>
      <c r="B25" s="24" t="s">
        <v>56</v>
      </c>
      <c r="C25" s="53">
        <f>AVERAGE(C21:C24)</f>
        <v>-2.059202384375361E-3</v>
      </c>
      <c r="D25" s="53">
        <f>AVERAGE(D21:D24)</f>
        <v>0.7515475885863887</v>
      </c>
      <c r="E25" s="53">
        <f>AVERAGE(E21:E24)</f>
        <v>0.13971666573058922</v>
      </c>
    </row>
    <row r="26" spans="1:16" s="9" customFormat="1" ht="13.35" customHeight="1"/>
    <row r="27" spans="1:16" s="22" customFormat="1" ht="13.35" customHeight="1">
      <c r="A27" s="2" t="s">
        <v>106</v>
      </c>
      <c r="B27" s="4"/>
      <c r="C27" s="4"/>
    </row>
  </sheetData>
  <hyperlinks>
    <hyperlink ref="A2" location="Index!A1" display="Index"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FFCC"/>
  </sheetPr>
  <dimension ref="A1:P149"/>
  <sheetViews>
    <sheetView topLeftCell="A19" workbookViewId="0">
      <selection activeCell="J46" sqref="J46"/>
    </sheetView>
  </sheetViews>
  <sheetFormatPr defaultColWidth="8.85546875" defaultRowHeight="14.25"/>
  <cols>
    <col min="1" max="1" width="8.42578125" style="21" bestFit="1" customWidth="1"/>
    <col min="2" max="2" width="36.140625" style="21" bestFit="1" customWidth="1"/>
    <col min="3" max="8" width="11.42578125" style="21" customWidth="1"/>
    <col min="9" max="16384" width="8.85546875" style="21"/>
  </cols>
  <sheetData>
    <row r="1" spans="1:16" s="7" customFormat="1" ht="15.6" customHeight="1">
      <c r="A1" s="1" t="s">
        <v>894</v>
      </c>
    </row>
    <row r="2" spans="1:16" s="16" customFormat="1" ht="13.35" customHeight="1">
      <c r="A2" s="90" t="s">
        <v>86</v>
      </c>
      <c r="C2" s="15"/>
      <c r="E2" s="89"/>
    </row>
    <row r="3" spans="1:16" s="9" customFormat="1" ht="13.35" customHeight="1" thickBot="1">
      <c r="A3" s="8" t="s">
        <v>752</v>
      </c>
    </row>
    <row r="4" spans="1:16" s="9" customFormat="1" ht="13.35" customHeight="1"/>
    <row r="5" spans="1:16" s="4" customFormat="1" ht="13.35" customHeight="1">
      <c r="A5" s="2" t="s">
        <v>145</v>
      </c>
      <c r="C5" s="3"/>
      <c r="D5" s="5"/>
      <c r="E5" s="5"/>
      <c r="F5" s="5"/>
      <c r="G5" s="5"/>
      <c r="H5" s="5"/>
      <c r="I5" s="5"/>
      <c r="J5" s="6"/>
      <c r="K5" s="6"/>
      <c r="L5" s="5"/>
      <c r="M5" s="5"/>
      <c r="N5" s="5"/>
      <c r="O5" s="5"/>
      <c r="P5" s="5"/>
    </row>
    <row r="6" spans="1:16" ht="13.35" customHeight="1"/>
    <row r="7" spans="1:16" ht="13.35" customHeight="1">
      <c r="B7" s="23" t="s">
        <v>62</v>
      </c>
      <c r="C7" s="42">
        <f>Parameter_Period_start_short</f>
        <v>2012</v>
      </c>
    </row>
    <row r="8" spans="1:16" ht="13.35" customHeight="1">
      <c r="B8" s="23" t="s">
        <v>63</v>
      </c>
      <c r="C8" s="42">
        <f>Parameter_Period_end</f>
        <v>2021</v>
      </c>
    </row>
    <row r="9" spans="1:16" ht="13.35" customHeight="1">
      <c r="B9" s="23" t="s">
        <v>65</v>
      </c>
      <c r="C9" s="41">
        <f>(Parameter_Period_start_short + Parameter_Period_end)/2</f>
        <v>2016.5</v>
      </c>
    </row>
    <row r="10" spans="1:16" ht="13.35" customHeight="1">
      <c r="B10" s="23" t="str">
        <f>"Average 2012-"&amp;RIGHT(Parameter_Period_end, 2)&amp;" opex ($'000RY2021)"</f>
        <v>Average 2012-21 opex ($'000RY2021)</v>
      </c>
      <c r="C10" s="44">
        <f>'Calc|Cost drivers'!$C$39</f>
        <v>309936.83623018826</v>
      </c>
    </row>
    <row r="11" spans="1:16" ht="13.35" customHeight="1">
      <c r="B11" s="23"/>
    </row>
    <row r="12" spans="1:16" s="23" customFormat="1" ht="13.35" customHeight="1">
      <c r="A12" s="33"/>
      <c r="B12" s="33"/>
      <c r="C12" s="24">
        <v>2018</v>
      </c>
      <c r="D12" s="24">
        <v>2019</v>
      </c>
      <c r="E12" s="24">
        <v>2020</v>
      </c>
      <c r="F12" s="24">
        <v>2021</v>
      </c>
      <c r="G12" s="24">
        <v>2022</v>
      </c>
      <c r="H12" s="24">
        <v>2023</v>
      </c>
    </row>
    <row r="13" spans="1:16" s="23" customFormat="1" ht="13.35" customHeight="1">
      <c r="B13" s="23" t="s">
        <v>85</v>
      </c>
      <c r="C13" s="50">
        <f>'Calc|Cost drivers'!D35</f>
        <v>2.3584548180613459E-2</v>
      </c>
      <c r="D13" s="50">
        <f>'Calc|Cost drivers'!E35</f>
        <v>4.5249834590940757E-2</v>
      </c>
      <c r="E13" s="50">
        <f>'Calc|Cost drivers'!F35</f>
        <v>6.6032092120822422E-2</v>
      </c>
      <c r="F13" s="50">
        <f>'Calc|Cost drivers'!G35</f>
        <v>8.3215963110489635E-2</v>
      </c>
      <c r="G13" s="50">
        <f>'Calc|Cost drivers'!H35</f>
        <v>9.7697670248606205E-2</v>
      </c>
      <c r="H13" s="50">
        <f>'Calc|Cost drivers'!I35</f>
        <v>0.12435848406102576</v>
      </c>
    </row>
    <row r="14" spans="1:16" s="23" customFormat="1" ht="13.35" customHeight="1">
      <c r="B14" s="23" t="s">
        <v>48</v>
      </c>
      <c r="C14" s="50">
        <f>'Calc|Cost drivers'!D36</f>
        <v>1.9301707393235158E-2</v>
      </c>
      <c r="D14" s="50">
        <f>'Calc|Cost drivers'!E36</f>
        <v>3.8852682637379801E-2</v>
      </c>
      <c r="E14" s="50">
        <f>'Calc|Cost drivers'!F36</f>
        <v>5.0298309062776936E-2</v>
      </c>
      <c r="F14" s="50">
        <f>'Calc|Cost drivers'!G36</f>
        <v>6.1119394977657039E-2</v>
      </c>
      <c r="G14" s="50">
        <f>'Calc|Cost drivers'!H36</f>
        <v>7.3202541171009161E-2</v>
      </c>
      <c r="H14" s="50">
        <f>'Calc|Cost drivers'!I36</f>
        <v>8.6933381973316251E-2</v>
      </c>
    </row>
    <row r="15" spans="1:16" s="23" customFormat="1" ht="13.35" customHeight="1">
      <c r="B15" s="23" t="s">
        <v>47</v>
      </c>
      <c r="C15" s="50">
        <f>'Calc|Cost drivers'!D37</f>
        <v>2.1168689581535248E-2</v>
      </c>
      <c r="D15" s="50">
        <f>'Calc|Cost drivers'!E37</f>
        <v>2.1168689581535248E-2</v>
      </c>
      <c r="E15" s="50">
        <f>'Calc|Cost drivers'!F37</f>
        <v>2.1168689581535248E-2</v>
      </c>
      <c r="F15" s="50">
        <f>'Calc|Cost drivers'!G37</f>
        <v>2.1168689581535248E-2</v>
      </c>
      <c r="G15" s="50">
        <f>'Calc|Cost drivers'!H37</f>
        <v>2.1168689581535248E-2</v>
      </c>
      <c r="H15" s="50">
        <f>'Calc|Cost drivers'!I37</f>
        <v>2.1168689581535248E-2</v>
      </c>
    </row>
    <row r="16" spans="1:16" s="23" customFormat="1" ht="13.35" customHeight="1">
      <c r="B16" s="23" t="s">
        <v>46</v>
      </c>
      <c r="C16" s="50">
        <f>'Calc|Cost drivers'!D38</f>
        <v>3.8778108350610414E-2</v>
      </c>
      <c r="D16" s="50">
        <f>'Calc|Cost drivers'!E38</f>
        <v>7.717936816942543E-2</v>
      </c>
      <c r="E16" s="50">
        <f>'Calc|Cost drivers'!F38</f>
        <v>0.10144583907886121</v>
      </c>
      <c r="F16" s="50">
        <f>'Calc|Cost drivers'!G38</f>
        <v>0.12100589576011002</v>
      </c>
      <c r="G16" s="50">
        <f>'Calc|Cost drivers'!H38</f>
        <v>0.14037716498042185</v>
      </c>
      <c r="H16" s="50">
        <f>'Calc|Cost drivers'!I38</f>
        <v>0.16327500122449842</v>
      </c>
    </row>
    <row r="17" spans="1:16" ht="13.35" customHeight="1"/>
    <row r="18" spans="1:16" s="4" customFormat="1" ht="13.35" customHeight="1">
      <c r="A18" s="2" t="s">
        <v>141</v>
      </c>
      <c r="C18" s="3"/>
      <c r="D18" s="5"/>
      <c r="E18" s="5"/>
      <c r="F18" s="5"/>
      <c r="G18" s="5"/>
      <c r="H18" s="5"/>
      <c r="I18" s="5"/>
      <c r="J18" s="6"/>
      <c r="K18" s="6"/>
      <c r="L18" s="5"/>
      <c r="M18" s="5"/>
      <c r="N18" s="5"/>
      <c r="O18" s="5"/>
      <c r="P18" s="5"/>
    </row>
    <row r="19" spans="1:16" ht="13.35" customHeight="1"/>
    <row r="20" spans="1:16" s="23" customFormat="1" ht="13.35" customHeight="1">
      <c r="A20" s="33" t="s">
        <v>7</v>
      </c>
      <c r="B20" s="33" t="s">
        <v>110</v>
      </c>
      <c r="C20" s="24" t="s">
        <v>108</v>
      </c>
      <c r="D20" s="24" t="s">
        <v>142</v>
      </c>
    </row>
    <row r="21" spans="1:16" s="23" customFormat="1" ht="13.35" customHeight="1">
      <c r="A21" s="23" t="s">
        <v>9</v>
      </c>
      <c r="B21" s="23" t="s">
        <v>85</v>
      </c>
      <c r="C21" s="54">
        <f>VLOOKUP(A21, Table_Coefficients_short_LSECD, MATCH(Parameter_Scenario_number, Header_Table_Econometrics, 0), FALSE)</f>
        <v>0.61099999999999999</v>
      </c>
      <c r="D21" s="54">
        <f>C21/SUM($C$21:$C$23)</f>
        <v>0.62346938775510208</v>
      </c>
    </row>
    <row r="22" spans="1:16" s="23" customFormat="1" ht="13.35" customHeight="1">
      <c r="A22" s="23" t="s">
        <v>11</v>
      </c>
      <c r="B22" s="23" t="s">
        <v>48</v>
      </c>
      <c r="C22" s="54">
        <f>VLOOKUP(A22, Table_Coefficients_short_LSECD, MATCH(Parameter_Scenario_number, Header_Table_Econometrics, 0), FALSE)</f>
        <v>0.17799999999999999</v>
      </c>
      <c r="D22" s="54">
        <f t="shared" ref="D22:D23" si="0">C22/SUM($C$21:$C$23)</f>
        <v>0.18163265306122447</v>
      </c>
    </row>
    <row r="23" spans="1:16" s="23" customFormat="1" ht="13.35" customHeight="1">
      <c r="A23" s="23" t="s">
        <v>13</v>
      </c>
      <c r="B23" s="23" t="s">
        <v>47</v>
      </c>
      <c r="C23" s="54">
        <f>VLOOKUP(A23, Table_Coefficients_short_LSECD, MATCH(Parameter_Scenario_number, Header_Table_Econometrics, 0), FALSE)</f>
        <v>0.191</v>
      </c>
      <c r="D23" s="54">
        <f t="shared" si="0"/>
        <v>0.19489795918367347</v>
      </c>
    </row>
    <row r="24" spans="1:16" s="23" customFormat="1" ht="13.35" customHeight="1">
      <c r="A24" s="23" t="s">
        <v>15</v>
      </c>
      <c r="B24" s="23" t="s">
        <v>46</v>
      </c>
      <c r="C24" s="54">
        <f>VLOOKUP(A24, Table_Coefficients_short_LSECD, MATCH(Parameter_Scenario_number, Header_Table_Econometrics, 0), FALSE)</f>
        <v>-0.152</v>
      </c>
    </row>
    <row r="25" spans="1:16" s="23" customFormat="1" ht="13.35" customHeight="1">
      <c r="A25" s="23" t="s">
        <v>18</v>
      </c>
      <c r="B25" s="23" t="s">
        <v>57</v>
      </c>
      <c r="C25" s="54">
        <f>VLOOKUP(A25, Table_Coefficients_short_LSECD, MATCH(Parameter_Scenario_number, Header_Table_Econometrics, 0), FALSE)</f>
        <v>4.0000000000000001E-3</v>
      </c>
    </row>
    <row r="26" spans="1:16" ht="13.35" customHeight="1"/>
    <row r="27" spans="1:16" s="4" customFormat="1" ht="13.35" customHeight="1">
      <c r="A27" s="2" t="s">
        <v>146</v>
      </c>
      <c r="C27" s="3"/>
      <c r="D27" s="5"/>
      <c r="E27" s="5"/>
      <c r="F27" s="5"/>
      <c r="G27" s="5"/>
      <c r="H27" s="5"/>
      <c r="I27" s="5"/>
      <c r="J27" s="6"/>
      <c r="K27" s="6"/>
      <c r="L27" s="5"/>
      <c r="M27" s="5"/>
      <c r="N27" s="5"/>
      <c r="O27" s="5"/>
      <c r="P27" s="5"/>
    </row>
    <row r="28" spans="1:16" ht="13.35" customHeight="1"/>
    <row r="29" spans="1:16" ht="13.35" customHeight="1">
      <c r="B29" s="23" t="s">
        <v>64</v>
      </c>
      <c r="C29" s="48">
        <f>'Calc|Efficiency target'!E21</f>
        <v>0.14562002880541947</v>
      </c>
    </row>
    <row r="30" spans="1:16" ht="13.35" customHeight="1">
      <c r="B30" s="23" t="s">
        <v>983</v>
      </c>
      <c r="C30" s="44">
        <f>$C$10*(1 - C29)</f>
        <v>264803.82521048764</v>
      </c>
    </row>
    <row r="31" spans="1:16" ht="13.35" customHeight="1">
      <c r="B31" s="23"/>
      <c r="C31" s="23"/>
    </row>
    <row r="32" spans="1:16" s="23" customFormat="1" ht="13.35" customHeight="1">
      <c r="A32" s="33"/>
      <c r="B32" s="33"/>
      <c r="C32" s="24">
        <v>2018</v>
      </c>
      <c r="D32" s="24">
        <v>2019</v>
      </c>
      <c r="E32" s="24">
        <v>2020</v>
      </c>
      <c r="F32" s="24">
        <v>2021</v>
      </c>
      <c r="G32" s="24">
        <v>2022</v>
      </c>
      <c r="H32" s="24">
        <v>2023</v>
      </c>
    </row>
    <row r="33" spans="2:11" s="23" customFormat="1" ht="13.35" customHeight="1">
      <c r="B33" s="24" t="s">
        <v>58</v>
      </c>
      <c r="C33" s="55">
        <f>$D21*C$13 + $D22*C$14 + $D23*C$15</f>
        <v>2.2335798535126444E-2</v>
      </c>
      <c r="D33" s="55">
        <f t="shared" ref="D33:H33" si="1">$D21*D$13 + $D22*D$14 + $D23*D$15</f>
        <v>3.9394536892440449E-2</v>
      </c>
      <c r="E33" s="55">
        <f t="shared" si="1"/>
        <v>5.4430537764357169E-2</v>
      </c>
      <c r="F33" s="55">
        <f t="shared" si="1"/>
        <v>6.7109617833270768E-2</v>
      </c>
      <c r="G33" s="55">
        <f t="shared" si="1"/>
        <v>7.8333212816746184E-2</v>
      </c>
      <c r="H33" s="55">
        <f t="shared" si="1"/>
        <v>9.7449383125112532E-2</v>
      </c>
    </row>
    <row r="34" spans="2:11" ht="13.35" customHeight="1"/>
    <row r="35" spans="2:11" ht="13.35" customHeight="1">
      <c r="C35" s="24">
        <v>2018</v>
      </c>
      <c r="D35" s="24">
        <v>2019</v>
      </c>
      <c r="E35" s="24">
        <v>2020</v>
      </c>
      <c r="F35" s="24">
        <v>2021</v>
      </c>
      <c r="G35" s="24">
        <v>2022</v>
      </c>
      <c r="H35" s="24">
        <v>2023</v>
      </c>
    </row>
    <row r="36" spans="2:11" ht="13.35" customHeight="1">
      <c r="B36" s="33"/>
      <c r="C36" s="56">
        <f t="shared" ref="C36:E36" si="2">C35 - $C$9</f>
        <v>1.5</v>
      </c>
      <c r="D36" s="56">
        <f t="shared" si="2"/>
        <v>2.5</v>
      </c>
      <c r="E36" s="56">
        <f t="shared" si="2"/>
        <v>3.5</v>
      </c>
      <c r="F36" s="56">
        <f>IF(Parameter_Victorian_or_non_Victorian="Non-Victorian", F35 - $C$9, F35 - $C$9 - 0.5)</f>
        <v>4.5</v>
      </c>
      <c r="G36" s="56">
        <f>IF(Parameter_Victorian_or_non_Victorian="Non-Victorian", G35 - $C$9, G35 - $C$9 - 0.5)</f>
        <v>5.5</v>
      </c>
      <c r="H36" s="56">
        <f>IF(Parameter_Victorian_or_non_Victorian="Non-Victorian", H35 - $C$9, H35 - $C$9 - 0.5)</f>
        <v>6.5</v>
      </c>
    </row>
    <row r="37" spans="2:11" ht="13.35" customHeight="1">
      <c r="B37" s="25" t="s">
        <v>57</v>
      </c>
      <c r="C37" s="50">
        <f>-$C25*C36</f>
        <v>-6.0000000000000001E-3</v>
      </c>
      <c r="D37" s="50">
        <f t="shared" ref="D37:H37" si="3">-$C25*D36</f>
        <v>-0.01</v>
      </c>
      <c r="E37" s="50">
        <f t="shared" si="3"/>
        <v>-1.4E-2</v>
      </c>
      <c r="F37" s="50">
        <f t="shared" si="3"/>
        <v>-1.8000000000000002E-2</v>
      </c>
      <c r="G37" s="50">
        <f t="shared" si="3"/>
        <v>-2.1999999999999999E-2</v>
      </c>
      <c r="H37" s="50">
        <f t="shared" si="3"/>
        <v>-2.6000000000000002E-2</v>
      </c>
    </row>
    <row r="38" spans="2:11" ht="13.35" customHeight="1">
      <c r="B38" s="25" t="s">
        <v>893</v>
      </c>
      <c r="C38" s="50">
        <f t="shared" ref="C38:H38" si="4">IF(C35 &lt;= Parameter_Period_end, 0, -Parameter_Technology_growth_rate * (C35 - Parameter_Period_end))</f>
        <v>0</v>
      </c>
      <c r="D38" s="50">
        <f t="shared" si="4"/>
        <v>0</v>
      </c>
      <c r="E38" s="50">
        <f t="shared" si="4"/>
        <v>0</v>
      </c>
      <c r="F38" s="50">
        <f t="shared" si="4"/>
        <v>0</v>
      </c>
      <c r="G38" s="50">
        <f t="shared" si="4"/>
        <v>0</v>
      </c>
      <c r="H38" s="50">
        <f t="shared" si="4"/>
        <v>0</v>
      </c>
    </row>
    <row r="39" spans="2:11" ht="13.35" customHeight="1">
      <c r="B39" s="25" t="s">
        <v>892</v>
      </c>
      <c r="C39" s="50">
        <f t="shared" ref="C39:H39" si="5">IF(OR(C35 &lt;= Parameter_Period_end, Parameter_Apply_fixed_growth_rate = "0 - No"), C37, -$C25 * (Parameter_Period_end - $C$9) + C38)</f>
        <v>-6.0000000000000001E-3</v>
      </c>
      <c r="D39" s="50">
        <f t="shared" si="5"/>
        <v>-0.01</v>
      </c>
      <c r="E39" s="50">
        <f t="shared" si="5"/>
        <v>-1.4E-2</v>
      </c>
      <c r="F39" s="50">
        <f t="shared" si="5"/>
        <v>-1.8000000000000002E-2</v>
      </c>
      <c r="G39" s="50">
        <f t="shared" si="5"/>
        <v>-2.1999999999999999E-2</v>
      </c>
      <c r="H39" s="50">
        <f t="shared" si="5"/>
        <v>-2.6000000000000002E-2</v>
      </c>
    </row>
    <row r="40" spans="2:11" ht="13.35" customHeight="1"/>
    <row r="41" spans="2:11" ht="13.35" customHeight="1">
      <c r="B41" s="25" t="s">
        <v>59</v>
      </c>
      <c r="C41" s="50">
        <f t="shared" ref="C41:H41" si="6">(1 - $C21 - $C22 - $C23) * C33</f>
        <v>4.4671597070252924E-4</v>
      </c>
      <c r="D41" s="50">
        <f t="shared" si="6"/>
        <v>7.8789073784880969E-4</v>
      </c>
      <c r="E41" s="50">
        <f t="shared" si="6"/>
        <v>1.0886107552871443E-3</v>
      </c>
      <c r="F41" s="50">
        <f t="shared" si="6"/>
        <v>1.3421923566654165E-3</v>
      </c>
      <c r="G41" s="50">
        <f t="shared" si="6"/>
        <v>1.566664256334925E-3</v>
      </c>
      <c r="H41" s="50">
        <f t="shared" si="6"/>
        <v>1.9489876625022524E-3</v>
      </c>
    </row>
    <row r="42" spans="2:11" ht="13.35" customHeight="1">
      <c r="B42" s="25" t="s">
        <v>60</v>
      </c>
      <c r="C42" s="50">
        <f t="shared" ref="C42:H42" si="7">C$16 * $C24</f>
        <v>-5.8942724692927825E-3</v>
      </c>
      <c r="D42" s="50">
        <f t="shared" si="7"/>
        <v>-1.1731263961752666E-2</v>
      </c>
      <c r="E42" s="50">
        <f t="shared" si="7"/>
        <v>-1.5419767539986903E-2</v>
      </c>
      <c r="F42" s="50">
        <f t="shared" si="7"/>
        <v>-1.8392896155536721E-2</v>
      </c>
      <c r="G42" s="50">
        <f t="shared" si="7"/>
        <v>-2.1337329077024122E-2</v>
      </c>
      <c r="H42" s="50">
        <f t="shared" si="7"/>
        <v>-2.481780018612376E-2</v>
      </c>
    </row>
    <row r="43" spans="2:11" ht="13.35" customHeight="1"/>
    <row r="44" spans="2:11" ht="13.35" customHeight="1">
      <c r="B44" s="33" t="s">
        <v>143</v>
      </c>
      <c r="C44" s="50">
        <f t="shared" ref="C44:H44" si="8">C39 + C41 - C42</f>
        <v>3.4098843999531142E-4</v>
      </c>
      <c r="D44" s="50">
        <f t="shared" si="8"/>
        <v>2.5191546996014749E-3</v>
      </c>
      <c r="E44" s="50">
        <f t="shared" si="8"/>
        <v>2.5083782952740469E-3</v>
      </c>
      <c r="F44" s="50">
        <f t="shared" si="8"/>
        <v>1.7350885122021341E-3</v>
      </c>
      <c r="G44" s="50">
        <f t="shared" si="8"/>
        <v>9.0399333335904747E-4</v>
      </c>
      <c r="H44" s="50">
        <f t="shared" si="8"/>
        <v>7.6678784862601115E-4</v>
      </c>
    </row>
    <row r="45" spans="2:11" ht="13.35" customHeight="1">
      <c r="B45" s="33" t="s">
        <v>61</v>
      </c>
      <c r="C45" s="50">
        <v>0</v>
      </c>
      <c r="D45" s="50">
        <v>0</v>
      </c>
      <c r="E45" s="50">
        <v>0</v>
      </c>
      <c r="F45" s="50">
        <v>0</v>
      </c>
      <c r="G45" s="50">
        <v>0</v>
      </c>
      <c r="H45" s="50">
        <v>0</v>
      </c>
    </row>
    <row r="46" spans="2:11" ht="13.35" customHeight="1">
      <c r="B46" s="33" t="s">
        <v>144</v>
      </c>
      <c r="C46" s="50">
        <f t="shared" ref="C46:H46" si="9">(1 + C33)*(1 + C45)*(1 - C44) - 1</f>
        <v>2.1987193846032538E-2</v>
      </c>
      <c r="D46" s="50">
        <f t="shared" si="9"/>
        <v>3.6776141260087769E-2</v>
      </c>
      <c r="E46" s="50">
        <f t="shared" si="9"/>
        <v>5.178562708955492E-2</v>
      </c>
      <c r="F46" s="50">
        <f t="shared" si="9"/>
        <v>6.5258088194107833E-2</v>
      </c>
      <c r="G46" s="50">
        <f t="shared" si="9"/>
        <v>7.7358406781220301E-2</v>
      </c>
      <c r="H46" s="50">
        <f t="shared" si="9"/>
        <v>9.6607872273650086E-2</v>
      </c>
      <c r="I46" s="242"/>
      <c r="J46" s="242"/>
      <c r="K46" s="242"/>
    </row>
    <row r="47" spans="2:11" ht="13.35" customHeight="1">
      <c r="B47" s="33" t="s">
        <v>988</v>
      </c>
      <c r="C47" s="169">
        <f t="shared" ref="C47:H47" si="10">$C30*EXP(C46)</f>
        <v>270690.59789774672</v>
      </c>
      <c r="D47" s="169">
        <f t="shared" si="10"/>
        <v>274723.57515472337</v>
      </c>
      <c r="E47" s="169">
        <f t="shared" si="10"/>
        <v>278878.13567538833</v>
      </c>
      <c r="F47" s="169">
        <f t="shared" si="10"/>
        <v>282660.73375000752</v>
      </c>
      <c r="G47" s="169">
        <f t="shared" si="10"/>
        <v>286101.79566725658</v>
      </c>
      <c r="H47" s="169">
        <f t="shared" si="10"/>
        <v>291662.45042260864</v>
      </c>
    </row>
    <row r="48" spans="2:11" ht="13.35" customHeight="1"/>
    <row r="49" spans="1:16" s="4" customFormat="1" ht="13.35" customHeight="1">
      <c r="A49" s="2" t="s">
        <v>1043</v>
      </c>
      <c r="C49" s="3"/>
      <c r="D49" s="5"/>
      <c r="E49" s="5"/>
      <c r="F49" s="5"/>
      <c r="G49" s="5"/>
      <c r="H49" s="5"/>
      <c r="I49" s="5"/>
      <c r="J49" s="6"/>
      <c r="K49" s="6"/>
      <c r="L49" s="5"/>
      <c r="M49" s="5"/>
      <c r="N49" s="5"/>
      <c r="O49" s="5"/>
      <c r="P49" s="5"/>
    </row>
    <row r="50" spans="1:16" ht="13.35" customHeight="1"/>
    <row r="51" spans="1:16" s="23" customFormat="1" ht="13.35" customHeight="1">
      <c r="A51" s="33" t="s">
        <v>7</v>
      </c>
      <c r="B51" s="33" t="s">
        <v>110</v>
      </c>
      <c r="C51" s="24" t="s">
        <v>108</v>
      </c>
      <c r="D51" s="24" t="s">
        <v>142</v>
      </c>
    </row>
    <row r="52" spans="1:16" s="23" customFormat="1" ht="13.35" customHeight="1">
      <c r="A52" s="23" t="s">
        <v>9</v>
      </c>
      <c r="B52" s="23" t="s">
        <v>85</v>
      </c>
      <c r="C52" s="54">
        <f>VLOOKUP(A52, Table_Coefficients_short_SFACD, MATCH(Parameter_Scenario_number, Header_Table_Econometrics, 0), FALSE)</f>
        <v>0.47499999999999998</v>
      </c>
      <c r="D52" s="54">
        <f>C52/SUM($C$52:$C$54)</f>
        <v>0.49582463465553234</v>
      </c>
    </row>
    <row r="53" spans="1:16" s="23" customFormat="1" ht="13.35" customHeight="1">
      <c r="A53" s="23" t="s">
        <v>11</v>
      </c>
      <c r="B53" s="23" t="s">
        <v>48</v>
      </c>
      <c r="C53" s="54">
        <f>VLOOKUP(A53, Table_Coefficients_short_SFACD, MATCH(Parameter_Scenario_number, Header_Table_Econometrics, 0), FALSE)</f>
        <v>0.19800000000000001</v>
      </c>
      <c r="D53" s="54">
        <f t="shared" ref="D53:D54" si="11">C53/SUM($C$52:$C$54)</f>
        <v>0.20668058455114824</v>
      </c>
    </row>
    <row r="54" spans="1:16" s="23" customFormat="1" ht="13.35" customHeight="1">
      <c r="A54" s="23" t="s">
        <v>13</v>
      </c>
      <c r="B54" s="23" t="s">
        <v>47</v>
      </c>
      <c r="C54" s="54">
        <f>VLOOKUP(A54, Table_Coefficients_short_SFACD, MATCH(Parameter_Scenario_number, Header_Table_Econometrics, 0), FALSE)</f>
        <v>0.28499999999999998</v>
      </c>
      <c r="D54" s="54">
        <f t="shared" si="11"/>
        <v>0.29749478079331942</v>
      </c>
    </row>
    <row r="55" spans="1:16" s="23" customFormat="1" ht="13.35" customHeight="1">
      <c r="A55" s="23" t="s">
        <v>15</v>
      </c>
      <c r="B55" s="23" t="s">
        <v>46</v>
      </c>
      <c r="C55" s="54">
        <f>VLOOKUP(A55, Table_Coefficients_short_SFACD, MATCH(Parameter_Scenario_number, Header_Table_Econometrics, 0), FALSE)</f>
        <v>-0.11</v>
      </c>
    </row>
    <row r="56" spans="1:16" s="23" customFormat="1" ht="13.35" customHeight="1">
      <c r="A56" s="23" t="s">
        <v>18</v>
      </c>
      <c r="B56" s="23" t="s">
        <v>57</v>
      </c>
      <c r="C56" s="54">
        <f>VLOOKUP(A56, Table_Coefficients_short_SFACD, MATCH(Parameter_Scenario_number, Header_Table_Econometrics, 0), FALSE)</f>
        <v>5.0000000000000001E-3</v>
      </c>
    </row>
    <row r="57" spans="1:16" ht="13.35" customHeight="1"/>
    <row r="58" spans="1:16" s="4" customFormat="1" ht="13.35" customHeight="1">
      <c r="A58" s="2" t="s">
        <v>1042</v>
      </c>
      <c r="C58" s="3"/>
      <c r="D58" s="5"/>
      <c r="E58" s="5"/>
      <c r="F58" s="5"/>
      <c r="G58" s="5"/>
      <c r="H58" s="5"/>
      <c r="I58" s="5"/>
      <c r="J58" s="6"/>
      <c r="K58" s="6"/>
      <c r="L58" s="5"/>
      <c r="M58" s="5"/>
      <c r="N58" s="5"/>
      <c r="O58" s="5"/>
      <c r="P58" s="5"/>
    </row>
    <row r="59" spans="1:16" ht="13.35" customHeight="1"/>
    <row r="60" spans="1:16" ht="13.35" customHeight="1">
      <c r="B60" s="23" t="s">
        <v>64</v>
      </c>
      <c r="C60" s="48">
        <f>'Calc|Efficiency target'!E22</f>
        <v>0.10812511784089318</v>
      </c>
    </row>
    <row r="61" spans="1:16" ht="13.35" customHeight="1">
      <c r="B61" s="23" t="s">
        <v>983</v>
      </c>
      <c r="C61" s="44">
        <f>$C$10*(1 - C60)</f>
        <v>276424.87928956555</v>
      </c>
    </row>
    <row r="62" spans="1:16" ht="13.35" customHeight="1">
      <c r="B62" s="23"/>
      <c r="C62" s="23"/>
    </row>
    <row r="63" spans="1:16" s="23" customFormat="1" ht="13.35" customHeight="1">
      <c r="A63" s="33"/>
      <c r="B63" s="33"/>
      <c r="C63" s="24">
        <v>2018</v>
      </c>
      <c r="D63" s="24">
        <v>2019</v>
      </c>
      <c r="E63" s="24">
        <v>2020</v>
      </c>
      <c r="F63" s="24">
        <v>2021</v>
      </c>
      <c r="G63" s="24">
        <v>2022</v>
      </c>
      <c r="H63" s="24">
        <v>2023</v>
      </c>
    </row>
    <row r="64" spans="1:16" s="23" customFormat="1" ht="13.35" customHeight="1">
      <c r="B64" s="24" t="s">
        <v>58</v>
      </c>
      <c r="C64" s="55">
        <f>$D52*C$13 + $D53*C$14 + $D54*C$15</f>
        <v>2.1980662818778182E-2</v>
      </c>
      <c r="D64" s="55">
        <f t="shared" ref="D64:H64" si="12">$D52*D$13 + $D53*D$14 + $D54*D$15</f>
        <v>3.6763652529891028E-2</v>
      </c>
      <c r="E64" s="55">
        <f t="shared" si="12"/>
        <v>4.9433596537116938E-2</v>
      </c>
      <c r="F64" s="55">
        <f t="shared" si="12"/>
        <v>6.0190291454902109E-2</v>
      </c>
      <c r="G64" s="55">
        <f t="shared" si="12"/>
        <v>6.9868030324306163E-2</v>
      </c>
      <c r="H64" s="55">
        <f t="shared" si="12"/>
        <v>8.5925016795867851E-2</v>
      </c>
    </row>
    <row r="65" spans="1:16" ht="13.35" customHeight="1"/>
    <row r="66" spans="1:16" ht="13.35" customHeight="1">
      <c r="C66" s="24">
        <v>2018</v>
      </c>
      <c r="D66" s="24">
        <v>2019</v>
      </c>
      <c r="E66" s="24">
        <v>2020</v>
      </c>
      <c r="F66" s="24">
        <v>2021</v>
      </c>
      <c r="G66" s="24">
        <v>2022</v>
      </c>
      <c r="H66" s="24">
        <v>2023</v>
      </c>
    </row>
    <row r="67" spans="1:16" ht="13.35" customHeight="1">
      <c r="B67" s="33"/>
      <c r="C67" s="56">
        <f t="shared" ref="C67:E67" si="13">C66 - $C$9</f>
        <v>1.5</v>
      </c>
      <c r="D67" s="56">
        <f t="shared" si="13"/>
        <v>2.5</v>
      </c>
      <c r="E67" s="56">
        <f t="shared" si="13"/>
        <v>3.5</v>
      </c>
      <c r="F67" s="56">
        <f>IF(Parameter_Victorian_or_non_Victorian="Non-Victorian", F66 - $C$9, F66 - $C$9 - 0.5)</f>
        <v>4.5</v>
      </c>
      <c r="G67" s="56">
        <f>IF(Parameter_Victorian_or_non_Victorian="Non-Victorian", G66 - $C$9, G66 - $C$9 - 0.5)</f>
        <v>5.5</v>
      </c>
      <c r="H67" s="56">
        <f>IF(Parameter_Victorian_or_non_Victorian="Non-Victorian", H66 - $C$9, H66 - $C$9 - 0.5)</f>
        <v>6.5</v>
      </c>
    </row>
    <row r="68" spans="1:16" ht="13.35" customHeight="1">
      <c r="B68" s="25" t="s">
        <v>57</v>
      </c>
      <c r="C68" s="50">
        <f>-$C56*C67</f>
        <v>-7.4999999999999997E-3</v>
      </c>
      <c r="D68" s="50">
        <f t="shared" ref="D68:H68" si="14">-$C56*D67</f>
        <v>-1.2500000000000001E-2</v>
      </c>
      <c r="E68" s="50">
        <f t="shared" si="14"/>
        <v>-1.7500000000000002E-2</v>
      </c>
      <c r="F68" s="50">
        <f t="shared" si="14"/>
        <v>-2.2499999999999999E-2</v>
      </c>
      <c r="G68" s="50">
        <f t="shared" si="14"/>
        <v>-2.75E-2</v>
      </c>
      <c r="H68" s="50">
        <f t="shared" si="14"/>
        <v>-3.2500000000000001E-2</v>
      </c>
    </row>
    <row r="69" spans="1:16" ht="13.35" customHeight="1">
      <c r="B69" s="25" t="s">
        <v>893</v>
      </c>
      <c r="C69" s="50">
        <f t="shared" ref="C69:H69" si="15">IF(C66 &lt;= Parameter_Period_end, 0, -Parameter_Technology_growth_rate * (C66 - Parameter_Period_end))</f>
        <v>0</v>
      </c>
      <c r="D69" s="50">
        <f t="shared" si="15"/>
        <v>0</v>
      </c>
      <c r="E69" s="50">
        <f t="shared" si="15"/>
        <v>0</v>
      </c>
      <c r="F69" s="50">
        <f t="shared" si="15"/>
        <v>0</v>
      </c>
      <c r="G69" s="50">
        <f t="shared" si="15"/>
        <v>0</v>
      </c>
      <c r="H69" s="50">
        <f t="shared" si="15"/>
        <v>0</v>
      </c>
    </row>
    <row r="70" spans="1:16" ht="13.35" customHeight="1">
      <c r="B70" s="25" t="s">
        <v>892</v>
      </c>
      <c r="C70" s="50">
        <f t="shared" ref="C70:H70" si="16">IF(OR(C66 &lt;= Parameter_Period_end, Parameter_Apply_fixed_growth_rate = "0 - No"), C68, -$C56 * (Parameter_Period_end - $C$9) + C69)</f>
        <v>-7.4999999999999997E-3</v>
      </c>
      <c r="D70" s="50">
        <f t="shared" si="16"/>
        <v>-1.2500000000000001E-2</v>
      </c>
      <c r="E70" s="50">
        <f t="shared" si="16"/>
        <v>-1.7500000000000002E-2</v>
      </c>
      <c r="F70" s="50">
        <f t="shared" si="16"/>
        <v>-2.2499999999999999E-2</v>
      </c>
      <c r="G70" s="50">
        <f t="shared" si="16"/>
        <v>-2.75E-2</v>
      </c>
      <c r="H70" s="50">
        <f t="shared" si="16"/>
        <v>-3.2500000000000001E-2</v>
      </c>
    </row>
    <row r="71" spans="1:16" ht="13.35" customHeight="1">
      <c r="B71" s="33"/>
      <c r="C71" s="56"/>
      <c r="D71" s="56"/>
      <c r="E71" s="56"/>
      <c r="F71" s="56"/>
      <c r="G71" s="56"/>
      <c r="H71" s="56"/>
    </row>
    <row r="72" spans="1:16" ht="13.35" customHeight="1">
      <c r="B72" s="25" t="s">
        <v>59</v>
      </c>
      <c r="C72" s="50">
        <f t="shared" ref="C72:H72" si="17">(1 - $C52 - $C53 - $C54) * C64</f>
        <v>9.2318783838868444E-4</v>
      </c>
      <c r="D72" s="50">
        <f t="shared" si="17"/>
        <v>1.5440734062554245E-3</v>
      </c>
      <c r="E72" s="50">
        <f t="shared" si="17"/>
        <v>2.0762110545589131E-3</v>
      </c>
      <c r="F72" s="50">
        <f t="shared" si="17"/>
        <v>2.5279922411058906E-3</v>
      </c>
      <c r="G72" s="50">
        <f t="shared" si="17"/>
        <v>2.9344572736208613E-3</v>
      </c>
      <c r="H72" s="50">
        <f t="shared" si="17"/>
        <v>3.6088507054264527E-3</v>
      </c>
    </row>
    <row r="73" spans="1:16" ht="13.35" customHeight="1">
      <c r="B73" s="25" t="s">
        <v>60</v>
      </c>
      <c r="C73" s="50">
        <f t="shared" ref="C73:H73" si="18">C$16 * $C55</f>
        <v>-4.265591918567146E-3</v>
      </c>
      <c r="D73" s="50">
        <f t="shared" si="18"/>
        <v>-8.4897304986367977E-3</v>
      </c>
      <c r="E73" s="50">
        <f t="shared" si="18"/>
        <v>-1.1159042298674733E-2</v>
      </c>
      <c r="F73" s="50">
        <f t="shared" si="18"/>
        <v>-1.3310648533612102E-2</v>
      </c>
      <c r="G73" s="50">
        <f t="shared" si="18"/>
        <v>-1.5441488147846403E-2</v>
      </c>
      <c r="H73" s="50">
        <f t="shared" si="18"/>
        <v>-1.7960250134694825E-2</v>
      </c>
    </row>
    <row r="74" spans="1:16" ht="13.35" customHeight="1"/>
    <row r="75" spans="1:16" ht="13.35" customHeight="1">
      <c r="B75" s="33" t="s">
        <v>143</v>
      </c>
      <c r="C75" s="50">
        <f>C70 + C72 - C73</f>
        <v>-2.3112202430441691E-3</v>
      </c>
      <c r="D75" s="50">
        <f t="shared" ref="D75:H75" si="19">D70 + D72 - D73</f>
        <v>-2.4661960951077779E-3</v>
      </c>
      <c r="E75" s="50">
        <f t="shared" si="19"/>
        <v>-4.2647466467663556E-3</v>
      </c>
      <c r="F75" s="50">
        <f t="shared" si="19"/>
        <v>-6.6613592252820052E-3</v>
      </c>
      <c r="G75" s="50">
        <f t="shared" si="19"/>
        <v>-9.1240545785327368E-3</v>
      </c>
      <c r="H75" s="50">
        <f t="shared" si="19"/>
        <v>-1.0930899159878722E-2</v>
      </c>
    </row>
    <row r="76" spans="1:16" ht="13.35" customHeight="1">
      <c r="B76" s="33" t="s">
        <v>61</v>
      </c>
      <c r="C76" s="50">
        <v>0</v>
      </c>
      <c r="D76" s="50">
        <v>0</v>
      </c>
      <c r="E76" s="50">
        <v>0</v>
      </c>
      <c r="F76" s="50">
        <v>0</v>
      </c>
      <c r="G76" s="50">
        <v>0</v>
      </c>
      <c r="H76" s="50">
        <v>0</v>
      </c>
    </row>
    <row r="77" spans="1:16" ht="13.35" customHeight="1">
      <c r="B77" s="33" t="s">
        <v>144</v>
      </c>
      <c r="C77" s="50">
        <f t="shared" ref="C77:H77" si="20">(1 + C64)*(1 + C76)*(1 - C75) - 1</f>
        <v>2.4342685214684634E-2</v>
      </c>
      <c r="D77" s="50">
        <f t="shared" si="20"/>
        <v>3.9320515001310063E-2</v>
      </c>
      <c r="E77" s="50">
        <f t="shared" si="20"/>
        <v>5.3909164948952704E-2</v>
      </c>
      <c r="F77" s="50">
        <f t="shared" si="20"/>
        <v>6.7252599833439675E-2</v>
      </c>
      <c r="G77" s="50">
        <f t="shared" si="20"/>
        <v>7.962956462481241E-2</v>
      </c>
      <c r="H77" s="50">
        <f t="shared" si="20"/>
        <v>9.7795153649653077E-2</v>
      </c>
      <c r="J77" s="242"/>
    </row>
    <row r="78" spans="1:16" ht="13.35" customHeight="1">
      <c r="B78" s="33" t="s">
        <v>988</v>
      </c>
      <c r="C78" s="169">
        <f t="shared" ref="C78:H78" si="21">$C61*EXP(C77)</f>
        <v>283236.37176848075</v>
      </c>
      <c r="D78" s="169">
        <f t="shared" si="21"/>
        <v>287510.56711526035</v>
      </c>
      <c r="E78" s="169">
        <f t="shared" si="21"/>
        <v>291735.702711672</v>
      </c>
      <c r="F78" s="169">
        <f t="shared" si="21"/>
        <v>295654.54633687978</v>
      </c>
      <c r="G78" s="169">
        <f t="shared" si="21"/>
        <v>299336.59151503857</v>
      </c>
      <c r="H78" s="169">
        <f t="shared" si="21"/>
        <v>304823.90627385234</v>
      </c>
    </row>
    <row r="79" spans="1:16" ht="13.35" customHeight="1"/>
    <row r="80" spans="1:16" s="4" customFormat="1" ht="13.35" customHeight="1">
      <c r="A80" s="2" t="s">
        <v>147</v>
      </c>
      <c r="C80" s="3"/>
      <c r="D80" s="5"/>
      <c r="E80" s="5"/>
      <c r="F80" s="5"/>
      <c r="G80" s="5"/>
      <c r="H80" s="5"/>
      <c r="I80" s="5"/>
      <c r="J80" s="6"/>
      <c r="K80" s="6"/>
      <c r="L80" s="5"/>
      <c r="M80" s="5"/>
      <c r="N80" s="5"/>
      <c r="O80" s="5"/>
      <c r="P80" s="5"/>
    </row>
    <row r="81" spans="1:16" ht="13.35" customHeight="1"/>
    <row r="82" spans="1:16" s="23" customFormat="1" ht="13.35" customHeight="1">
      <c r="A82" s="33" t="s">
        <v>7</v>
      </c>
      <c r="B82" s="33" t="s">
        <v>110</v>
      </c>
      <c r="C82" s="24" t="s">
        <v>108</v>
      </c>
      <c r="D82" s="24" t="s">
        <v>142</v>
      </c>
    </row>
    <row r="83" spans="1:16" s="23" customFormat="1" ht="13.35" customHeight="1">
      <c r="A83" s="23" t="s">
        <v>9</v>
      </c>
      <c r="B83" s="23" t="s">
        <v>85</v>
      </c>
      <c r="C83" s="54">
        <f>VLOOKUP(A83, Table_Coefficients_short_LSETLG, MATCH(Parameter_Scenario_number, Header_Table_Econometrics, 0), FALSE)</f>
        <v>0.40300000000000002</v>
      </c>
      <c r="D83" s="54">
        <f>C83/SUM($C$83:$C$85)</f>
        <v>0.41935483870967744</v>
      </c>
    </row>
    <row r="84" spans="1:16" s="23" customFormat="1" ht="13.35" customHeight="1">
      <c r="A84" s="23" t="s">
        <v>11</v>
      </c>
      <c r="B84" s="23" t="s">
        <v>48</v>
      </c>
      <c r="C84" s="54">
        <f>VLOOKUP(A84, Table_Coefficients_short_LSETLG, MATCH(Parameter_Scenario_number, Header_Table_Econometrics, 0), FALSE)</f>
        <v>0.20699999999999999</v>
      </c>
      <c r="D84" s="54">
        <f t="shared" ref="D84:D85" si="22">C84/SUM($C$83:$C$85)</f>
        <v>0.21540062434963581</v>
      </c>
    </row>
    <row r="85" spans="1:16" s="23" customFormat="1" ht="13.35" customHeight="1">
      <c r="A85" s="23" t="s">
        <v>13</v>
      </c>
      <c r="B85" s="23" t="s">
        <v>47</v>
      </c>
      <c r="C85" s="54">
        <f>VLOOKUP(A85, Table_Coefficients_short_LSETLG, MATCH(Parameter_Scenario_number, Header_Table_Econometrics, 0), FALSE)</f>
        <v>0.35099999999999998</v>
      </c>
      <c r="D85" s="54">
        <f t="shared" si="22"/>
        <v>0.36524453694068676</v>
      </c>
    </row>
    <row r="86" spans="1:16" s="23" customFormat="1" ht="13.35" customHeight="1">
      <c r="A86" s="23" t="s">
        <v>15</v>
      </c>
      <c r="B86" s="23" t="s">
        <v>46</v>
      </c>
      <c r="C86" s="54">
        <f>VLOOKUP(A86, Table_Coefficients_short_LSETLG, MATCH(Parameter_Scenario_number, Header_Table_Econometrics, 0), FALSE)</f>
        <v>-0.115</v>
      </c>
    </row>
    <row r="87" spans="1:16" s="23" customFormat="1" ht="13.35" customHeight="1">
      <c r="A87" s="23" t="s">
        <v>18</v>
      </c>
      <c r="B87" s="23" t="s">
        <v>57</v>
      </c>
      <c r="C87" s="54">
        <f>VLOOKUP(A87, Table_Coefficients_short_LSETLG, MATCH(Parameter_Scenario_number, Header_Table_Econometrics, 0), FALSE)</f>
        <v>6.0000000000000001E-3</v>
      </c>
    </row>
    <row r="88" spans="1:16" ht="13.35" customHeight="1"/>
    <row r="89" spans="1:16" s="4" customFormat="1" ht="13.35" customHeight="1">
      <c r="A89" s="2" t="s">
        <v>148</v>
      </c>
      <c r="C89" s="3"/>
      <c r="D89" s="5"/>
      <c r="E89" s="5"/>
      <c r="F89" s="5"/>
      <c r="G89" s="5"/>
      <c r="H89" s="5"/>
      <c r="I89" s="5"/>
      <c r="J89" s="6"/>
      <c r="K89" s="6"/>
      <c r="L89" s="5"/>
      <c r="M89" s="5"/>
      <c r="N89" s="5"/>
      <c r="O89" s="5"/>
      <c r="P89" s="5"/>
    </row>
    <row r="90" spans="1:16" ht="13.35" customHeight="1"/>
    <row r="91" spans="1:16" ht="13.35" customHeight="1">
      <c r="B91" s="23" t="s">
        <v>64</v>
      </c>
      <c r="C91" s="48">
        <f>'Calc|Efficiency target'!E23</f>
        <v>0.11252883917435808</v>
      </c>
    </row>
    <row r="92" spans="1:16" ht="13.35" customHeight="1">
      <c r="B92" s="23" t="s">
        <v>983</v>
      </c>
      <c r="C92" s="44">
        <f>$C$10*(1 - C91)</f>
        <v>275060.00383183203</v>
      </c>
    </row>
    <row r="93" spans="1:16" ht="13.35" customHeight="1">
      <c r="B93" s="23"/>
      <c r="C93" s="23"/>
    </row>
    <row r="94" spans="1:16" s="23" customFormat="1" ht="13.35" customHeight="1">
      <c r="A94" s="33"/>
      <c r="B94" s="33"/>
      <c r="C94" s="24">
        <v>2018</v>
      </c>
      <c r="D94" s="24">
        <v>2019</v>
      </c>
      <c r="E94" s="24">
        <v>2020</v>
      </c>
      <c r="F94" s="24">
        <v>2021</v>
      </c>
      <c r="G94" s="24">
        <v>2022</v>
      </c>
      <c r="H94" s="24">
        <v>2023</v>
      </c>
    </row>
    <row r="95" spans="1:16" s="23" customFormat="1" ht="13.35" customHeight="1">
      <c r="B95" s="24" t="s">
        <v>58</v>
      </c>
      <c r="C95" s="55">
        <f>$D83*C$13 + $D84*C$14 + $D85*C$15</f>
        <v>2.1779642445687589E-2</v>
      </c>
      <c r="D95" s="55">
        <f t="shared" ref="D95:H95" si="23">$D83*D$13 + $D84*D$14 + $D85*D$15</f>
        <v>3.5076377408122389E-2</v>
      </c>
      <c r="E95" s="55">
        <f t="shared" si="23"/>
        <v>4.625691274069213E-2</v>
      </c>
      <c r="F95" s="55">
        <f t="shared" si="23"/>
        <v>5.5793920850178154E-2</v>
      </c>
      <c r="G95" s="55">
        <f t="shared" si="23"/>
        <v>6.4469612045479782E-2</v>
      </c>
      <c r="H95" s="55">
        <f t="shared" si="23"/>
        <v>7.8607585003318117E-2</v>
      </c>
    </row>
    <row r="96" spans="1:16" ht="13.35" customHeight="1"/>
    <row r="97" spans="1:16" ht="13.35" customHeight="1">
      <c r="C97" s="24">
        <v>2018</v>
      </c>
      <c r="D97" s="24">
        <v>2019</v>
      </c>
      <c r="E97" s="24">
        <v>2020</v>
      </c>
      <c r="F97" s="24">
        <v>2021</v>
      </c>
      <c r="G97" s="24">
        <v>2022</v>
      </c>
      <c r="H97" s="24">
        <v>2023</v>
      </c>
    </row>
    <row r="98" spans="1:16" ht="13.35" customHeight="1">
      <c r="B98" s="33"/>
      <c r="C98" s="56">
        <f t="shared" ref="C98:E98" si="24">C97 - $C$9</f>
        <v>1.5</v>
      </c>
      <c r="D98" s="56">
        <f t="shared" si="24"/>
        <v>2.5</v>
      </c>
      <c r="E98" s="56">
        <f t="shared" si="24"/>
        <v>3.5</v>
      </c>
      <c r="F98" s="56">
        <f>IF(Parameter_Victorian_or_non_Victorian="Non-Victorian", F97 - $C$9, F97 - $C$9 - 0.5)</f>
        <v>4.5</v>
      </c>
      <c r="G98" s="56">
        <f>IF(Parameter_Victorian_or_non_Victorian="Non-Victorian", G97 - $C$9, G97 - $C$9 - 0.5)</f>
        <v>5.5</v>
      </c>
      <c r="H98" s="56">
        <f>IF(Parameter_Victorian_or_non_Victorian="Non-Victorian", H97 - $C$9, H97 - $C$9 - 0.5)</f>
        <v>6.5</v>
      </c>
    </row>
    <row r="99" spans="1:16" ht="13.35" customHeight="1">
      <c r="B99" s="25" t="s">
        <v>57</v>
      </c>
      <c r="C99" s="50">
        <f>-$C87*C98</f>
        <v>-9.0000000000000011E-3</v>
      </c>
      <c r="D99" s="50">
        <f t="shared" ref="D99:H99" si="25">-$C87*D98</f>
        <v>-1.4999999999999999E-2</v>
      </c>
      <c r="E99" s="50">
        <f t="shared" si="25"/>
        <v>-2.1000000000000001E-2</v>
      </c>
      <c r="F99" s="50">
        <f t="shared" si="25"/>
        <v>-2.7E-2</v>
      </c>
      <c r="G99" s="50">
        <f t="shared" si="25"/>
        <v>-3.3000000000000002E-2</v>
      </c>
      <c r="H99" s="50">
        <f t="shared" si="25"/>
        <v>-3.9E-2</v>
      </c>
    </row>
    <row r="100" spans="1:16" ht="13.35" customHeight="1">
      <c r="B100" s="25" t="s">
        <v>893</v>
      </c>
      <c r="C100" s="50">
        <f t="shared" ref="C100:H100" si="26">IF(C97 &lt;= Parameter_Period_end, 0, -Parameter_Technology_growth_rate * (C97 - Parameter_Period_end))</f>
        <v>0</v>
      </c>
      <c r="D100" s="50">
        <f t="shared" si="26"/>
        <v>0</v>
      </c>
      <c r="E100" s="50">
        <f t="shared" si="26"/>
        <v>0</v>
      </c>
      <c r="F100" s="50">
        <f t="shared" si="26"/>
        <v>0</v>
      </c>
      <c r="G100" s="50">
        <f t="shared" si="26"/>
        <v>0</v>
      </c>
      <c r="H100" s="50">
        <f t="shared" si="26"/>
        <v>0</v>
      </c>
    </row>
    <row r="101" spans="1:16" ht="13.35" customHeight="1">
      <c r="B101" s="25" t="s">
        <v>892</v>
      </c>
      <c r="C101" s="50">
        <f t="shared" ref="C101:H101" si="27">IF(OR(C97 &lt;= Parameter_Period_end, Parameter_Apply_fixed_growth_rate = "0 - No"), C99, -$C87 * (Parameter_Period_end - $C$9) + C100)</f>
        <v>-9.0000000000000011E-3</v>
      </c>
      <c r="D101" s="50">
        <f t="shared" si="27"/>
        <v>-1.4999999999999999E-2</v>
      </c>
      <c r="E101" s="50">
        <f t="shared" si="27"/>
        <v>-2.1000000000000001E-2</v>
      </c>
      <c r="F101" s="50">
        <f t="shared" si="27"/>
        <v>-2.7E-2</v>
      </c>
      <c r="G101" s="50">
        <f t="shared" si="27"/>
        <v>-3.3000000000000002E-2</v>
      </c>
      <c r="H101" s="50">
        <f t="shared" si="27"/>
        <v>-3.9E-2</v>
      </c>
    </row>
    <row r="102" spans="1:16" ht="13.35" customHeight="1"/>
    <row r="103" spans="1:16" ht="13.35" customHeight="1">
      <c r="B103" s="25" t="s">
        <v>59</v>
      </c>
      <c r="C103" s="50">
        <f t="shared" ref="C103:H103" si="28">(1 - $C83 - $C84 - $C85) * C95</f>
        <v>8.4940605538181679E-4</v>
      </c>
      <c r="D103" s="50">
        <f t="shared" si="28"/>
        <v>1.3679787189167744E-3</v>
      </c>
      <c r="E103" s="50">
        <f t="shared" si="28"/>
        <v>1.8040195968869947E-3</v>
      </c>
      <c r="F103" s="50">
        <f t="shared" si="28"/>
        <v>2.1759629131569498E-3</v>
      </c>
      <c r="G103" s="50">
        <f t="shared" si="28"/>
        <v>2.5143148697737137E-3</v>
      </c>
      <c r="H103" s="50">
        <f t="shared" si="28"/>
        <v>3.0656958151294095E-3</v>
      </c>
    </row>
    <row r="104" spans="1:16" ht="13.35" customHeight="1">
      <c r="B104" s="25" t="s">
        <v>60</v>
      </c>
      <c r="C104" s="50">
        <f t="shared" ref="C104:H104" si="29">C$16 * $C86</f>
        <v>-4.4594824603201976E-3</v>
      </c>
      <c r="D104" s="50">
        <f t="shared" si="29"/>
        <v>-8.8756273394839241E-3</v>
      </c>
      <c r="E104" s="50">
        <f t="shared" si="29"/>
        <v>-1.166627149406904E-2</v>
      </c>
      <c r="F104" s="50">
        <f t="shared" si="29"/>
        <v>-1.3915678012412653E-2</v>
      </c>
      <c r="G104" s="50">
        <f t="shared" si="29"/>
        <v>-1.6143373972748513E-2</v>
      </c>
      <c r="H104" s="50">
        <f t="shared" si="29"/>
        <v>-1.8776625140817318E-2</v>
      </c>
    </row>
    <row r="105" spans="1:16" ht="13.35" customHeight="1"/>
    <row r="106" spans="1:16" ht="13.35" customHeight="1">
      <c r="B106" s="33" t="s">
        <v>143</v>
      </c>
      <c r="C106" s="50">
        <f>C101 + C103 - C104</f>
        <v>-3.6911114842979858E-3</v>
      </c>
      <c r="D106" s="50">
        <f t="shared" ref="D106:H106" si="30">D101 + D103 - D104</f>
        <v>-4.7563939415993014E-3</v>
      </c>
      <c r="E106" s="50">
        <f t="shared" si="30"/>
        <v>-7.5297089090439664E-3</v>
      </c>
      <c r="F106" s="50">
        <f t="shared" si="30"/>
        <v>-1.0908359074430397E-2</v>
      </c>
      <c r="G106" s="50">
        <f t="shared" si="30"/>
        <v>-1.4342311157477774E-2</v>
      </c>
      <c r="H106" s="50">
        <f t="shared" si="30"/>
        <v>-1.7157679044053274E-2</v>
      </c>
    </row>
    <row r="107" spans="1:16" ht="13.35" customHeight="1">
      <c r="B107" s="33" t="s">
        <v>61</v>
      </c>
      <c r="C107" s="50">
        <v>0</v>
      </c>
      <c r="D107" s="50">
        <v>0</v>
      </c>
      <c r="E107" s="50">
        <v>0</v>
      </c>
      <c r="F107" s="50">
        <v>0</v>
      </c>
      <c r="G107" s="50">
        <v>0</v>
      </c>
      <c r="H107" s="50">
        <v>0</v>
      </c>
    </row>
    <row r="108" spans="1:16" ht="13.35" customHeight="1">
      <c r="B108" s="33" t="s">
        <v>144</v>
      </c>
      <c r="C108" s="50">
        <f t="shared" ref="C108:H108" si="31">(1 + C95)*(1 + C107)*(1 - C106) - 1</f>
        <v>2.5551145018340549E-2</v>
      </c>
      <c r="D108" s="50">
        <f t="shared" si="31"/>
        <v>3.9999608418719079E-2</v>
      </c>
      <c r="E108" s="50">
        <f t="shared" si="31"/>
        <v>5.4134922737704816E-2</v>
      </c>
      <c r="F108" s="50">
        <f t="shared" si="31"/>
        <v>6.7310900047412581E-2</v>
      </c>
      <c r="G108" s="50">
        <f t="shared" si="31"/>
        <v>7.9736566439115864E-2</v>
      </c>
      <c r="H108" s="50">
        <f t="shared" si="31"/>
        <v>9.7113987761286547E-2</v>
      </c>
    </row>
    <row r="109" spans="1:16" ht="13.35" customHeight="1">
      <c r="B109" s="33" t="s">
        <v>988</v>
      </c>
      <c r="C109" s="169">
        <f t="shared" ref="C109:H109" si="32">$C92*EXP(C108)</f>
        <v>282178.65949320677</v>
      </c>
      <c r="D109" s="169">
        <f t="shared" si="32"/>
        <v>286285.30343358259</v>
      </c>
      <c r="E109" s="169">
        <f t="shared" si="32"/>
        <v>290360.77234077634</v>
      </c>
      <c r="F109" s="169">
        <f t="shared" si="32"/>
        <v>294211.87459221057</v>
      </c>
      <c r="G109" s="169">
        <f t="shared" si="32"/>
        <v>297890.46030364122</v>
      </c>
      <c r="H109" s="169">
        <f t="shared" si="32"/>
        <v>303112.26771002798</v>
      </c>
    </row>
    <row r="110" spans="1:16" ht="13.35" customHeight="1"/>
    <row r="111" spans="1:16" s="4" customFormat="1" ht="13.35" customHeight="1">
      <c r="A111" s="2" t="s">
        <v>1041</v>
      </c>
      <c r="C111" s="3"/>
      <c r="D111" s="5"/>
      <c r="E111" s="5"/>
      <c r="F111" s="5"/>
      <c r="G111" s="5"/>
      <c r="H111" s="5"/>
      <c r="I111" s="5"/>
      <c r="J111" s="6"/>
      <c r="K111" s="6"/>
      <c r="L111" s="5"/>
      <c r="M111" s="5"/>
      <c r="N111" s="5"/>
      <c r="O111" s="5"/>
      <c r="P111" s="5"/>
    </row>
    <row r="112" spans="1:16" ht="13.35" customHeight="1"/>
    <row r="113" spans="1:16" s="23" customFormat="1" ht="13.35" customHeight="1">
      <c r="A113" s="33" t="s">
        <v>7</v>
      </c>
      <c r="B113" s="33" t="s">
        <v>110</v>
      </c>
      <c r="C113" s="24" t="s">
        <v>108</v>
      </c>
      <c r="D113" s="24" t="s">
        <v>142</v>
      </c>
    </row>
    <row r="114" spans="1:16" s="23" customFormat="1" ht="13.35" customHeight="1">
      <c r="A114" s="23" t="s">
        <v>9</v>
      </c>
      <c r="B114" s="23" t="s">
        <v>85</v>
      </c>
      <c r="C114" s="54">
        <f>VLOOKUP(A114, Table_Coefficients_short_SFATLG, MATCH(Parameter_Scenario_number, Header_Table_Econometrics, 0), FALSE)</f>
        <v>0.49099999999999999</v>
      </c>
      <c r="D114" s="54">
        <f>C114/SUM($C$114:$C$116)</f>
        <v>0.50566426364572603</v>
      </c>
    </row>
    <row r="115" spans="1:16" s="23" customFormat="1" ht="13.35" customHeight="1">
      <c r="A115" s="23" t="s">
        <v>11</v>
      </c>
      <c r="B115" s="23" t="s">
        <v>48</v>
      </c>
      <c r="C115" s="54">
        <f>VLOOKUP(A115, Table_Coefficients_short_SFATLG, MATCH(Parameter_Scenario_number, Header_Table_Econometrics, 0), FALSE)</f>
        <v>0.184</v>
      </c>
      <c r="D115" s="54">
        <f t="shared" ref="D115:D116" si="33">C115/SUM($C$114:$C$116)</f>
        <v>0.18949536560247165</v>
      </c>
    </row>
    <row r="116" spans="1:16" s="23" customFormat="1" ht="13.35" customHeight="1">
      <c r="A116" s="23" t="s">
        <v>13</v>
      </c>
      <c r="B116" s="23" t="s">
        <v>47</v>
      </c>
      <c r="C116" s="54">
        <f>VLOOKUP(A116, Table_Coefficients_short_SFATLG, MATCH(Parameter_Scenario_number, Header_Table_Econometrics, 0), FALSE)</f>
        <v>0.29599999999999999</v>
      </c>
      <c r="D116" s="54">
        <f t="shared" si="33"/>
        <v>0.3048403707518022</v>
      </c>
    </row>
    <row r="117" spans="1:16" s="23" customFormat="1" ht="13.35" customHeight="1">
      <c r="A117" s="23" t="s">
        <v>15</v>
      </c>
      <c r="B117" s="23" t="s">
        <v>46</v>
      </c>
      <c r="C117" s="54">
        <f>VLOOKUP(A117, Table_Coefficients_short_SFATLG, MATCH(Parameter_Scenario_number, Header_Table_Econometrics, 0), FALSE)</f>
        <v>-8.5999999999999993E-2</v>
      </c>
    </row>
    <row r="118" spans="1:16" s="23" customFormat="1" ht="13.35" customHeight="1">
      <c r="A118" s="23" t="s">
        <v>18</v>
      </c>
      <c r="B118" s="23" t="s">
        <v>57</v>
      </c>
      <c r="C118" s="54">
        <f>VLOOKUP(A118, Table_Coefficients_short_SFATLG, MATCH(Parameter_Scenario_number, Header_Table_Econometrics, 0), FALSE)</f>
        <v>5.0000000000000001E-3</v>
      </c>
    </row>
    <row r="119" spans="1:16" ht="13.35" customHeight="1"/>
    <row r="120" spans="1:16" s="4" customFormat="1" ht="13.35" customHeight="1">
      <c r="A120" s="2" t="s">
        <v>1040</v>
      </c>
      <c r="C120" s="3"/>
      <c r="D120" s="5"/>
      <c r="E120" s="5"/>
      <c r="F120" s="5"/>
      <c r="G120" s="5"/>
      <c r="H120" s="5"/>
      <c r="I120" s="5"/>
      <c r="J120" s="6"/>
      <c r="K120" s="6"/>
      <c r="L120" s="5"/>
      <c r="M120" s="5"/>
      <c r="N120" s="5"/>
      <c r="O120" s="5"/>
      <c r="P120" s="5"/>
    </row>
    <row r="121" spans="1:16" ht="13.35" customHeight="1"/>
    <row r="122" spans="1:16" ht="13.35" customHeight="1">
      <c r="B122" s="23" t="s">
        <v>64</v>
      </c>
      <c r="C122" s="48">
        <f>'Calc|Efficiency target'!E24</f>
        <v>0.19259267710168615</v>
      </c>
    </row>
    <row r="123" spans="1:16" ht="13.35" customHeight="1">
      <c r="B123" s="23" t="s">
        <v>983</v>
      </c>
      <c r="C123" s="44">
        <f>$C$10*(1 - C122)</f>
        <v>250245.27120818943</v>
      </c>
    </row>
    <row r="124" spans="1:16" ht="13.35" customHeight="1">
      <c r="B124" s="23"/>
      <c r="C124" s="23"/>
    </row>
    <row r="125" spans="1:16" s="23" customFormat="1" ht="13.35" customHeight="1">
      <c r="A125" s="33"/>
      <c r="B125" s="33"/>
      <c r="C125" s="24">
        <v>2018</v>
      </c>
      <c r="D125" s="24">
        <v>2019</v>
      </c>
      <c r="E125" s="24">
        <v>2020</v>
      </c>
      <c r="F125" s="24">
        <v>2021</v>
      </c>
      <c r="G125" s="24">
        <v>2022</v>
      </c>
      <c r="H125" s="24">
        <v>2023</v>
      </c>
    </row>
    <row r="126" spans="1:16" s="23" customFormat="1" ht="13.35" customHeight="1">
      <c r="B126" s="24" t="s">
        <v>58</v>
      </c>
      <c r="C126" s="55">
        <f>$D114*C$13 + $D115*C$14 + $D116*C$15</f>
        <v>2.2036518468765094E-2</v>
      </c>
      <c r="D126" s="55">
        <f t="shared" ref="D126:H126" si="34">$D114*D$13 + $D115*D$14 + $D116*D$15</f>
        <v>3.6696698769891067E-2</v>
      </c>
      <c r="E126" s="55">
        <f t="shared" si="34"/>
        <v>4.9374436884664467E-2</v>
      </c>
      <c r="F126" s="55">
        <f t="shared" si="34"/>
        <v>6.0114251986893651E-2</v>
      </c>
      <c r="G126" s="55">
        <f t="shared" si="34"/>
        <v>6.9726833968759797E-2</v>
      </c>
      <c r="H126" s="55">
        <f t="shared" si="34"/>
        <v>8.581018545127525E-2</v>
      </c>
    </row>
    <row r="127" spans="1:16" ht="13.35" customHeight="1"/>
    <row r="128" spans="1:16" ht="13.35" customHeight="1">
      <c r="C128" s="24">
        <v>2018</v>
      </c>
      <c r="D128" s="24">
        <v>2019</v>
      </c>
      <c r="E128" s="24">
        <v>2020</v>
      </c>
      <c r="F128" s="24">
        <v>2021</v>
      </c>
      <c r="G128" s="24">
        <v>2022</v>
      </c>
      <c r="H128" s="24">
        <v>2023</v>
      </c>
    </row>
    <row r="129" spans="1:8" ht="13.35" customHeight="1">
      <c r="B129" s="33"/>
      <c r="C129" s="56">
        <f t="shared" ref="C129:E129" si="35">C128 - $C$9</f>
        <v>1.5</v>
      </c>
      <c r="D129" s="56">
        <f t="shared" si="35"/>
        <v>2.5</v>
      </c>
      <c r="E129" s="56">
        <f t="shared" si="35"/>
        <v>3.5</v>
      </c>
      <c r="F129" s="56">
        <f>IF(Parameter_Victorian_or_non_Victorian="Non-Victorian", F128 - $C$9, F128 - $C$9 - 0.5)</f>
        <v>4.5</v>
      </c>
      <c r="G129" s="56">
        <f>IF(Parameter_Victorian_or_non_Victorian="Non-Victorian", G128 - $C$9, G128 - $C$9 - 0.5)</f>
        <v>5.5</v>
      </c>
      <c r="H129" s="56">
        <f>IF(Parameter_Victorian_or_non_Victorian="Non-Victorian", H128 - $C$9, H128 - $C$9 - 0.5)</f>
        <v>6.5</v>
      </c>
    </row>
    <row r="130" spans="1:8" ht="13.35" customHeight="1">
      <c r="B130" s="25" t="s">
        <v>57</v>
      </c>
      <c r="C130" s="50">
        <f>-$C118*C129</f>
        <v>-7.4999999999999997E-3</v>
      </c>
      <c r="D130" s="50">
        <f t="shared" ref="D130:H130" si="36">-$C118*D129</f>
        <v>-1.2500000000000001E-2</v>
      </c>
      <c r="E130" s="50">
        <f t="shared" si="36"/>
        <v>-1.7500000000000002E-2</v>
      </c>
      <c r="F130" s="50">
        <f t="shared" si="36"/>
        <v>-2.2499999999999999E-2</v>
      </c>
      <c r="G130" s="50">
        <f t="shared" si="36"/>
        <v>-2.75E-2</v>
      </c>
      <c r="H130" s="50">
        <f t="shared" si="36"/>
        <v>-3.2500000000000001E-2</v>
      </c>
    </row>
    <row r="131" spans="1:8" ht="13.35" customHeight="1">
      <c r="B131" s="25" t="s">
        <v>893</v>
      </c>
      <c r="C131" s="50">
        <f t="shared" ref="C131:H131" si="37">IF(C128 &lt;= Parameter_Period_end, 0, -Parameter_Technology_growth_rate * (C128 - Parameter_Period_end))</f>
        <v>0</v>
      </c>
      <c r="D131" s="50">
        <f t="shared" si="37"/>
        <v>0</v>
      </c>
      <c r="E131" s="50">
        <f t="shared" si="37"/>
        <v>0</v>
      </c>
      <c r="F131" s="50">
        <f t="shared" si="37"/>
        <v>0</v>
      </c>
      <c r="G131" s="50">
        <f t="shared" si="37"/>
        <v>0</v>
      </c>
      <c r="H131" s="50">
        <f t="shared" si="37"/>
        <v>0</v>
      </c>
    </row>
    <row r="132" spans="1:8" ht="13.35" customHeight="1">
      <c r="B132" s="25" t="s">
        <v>892</v>
      </c>
      <c r="C132" s="50">
        <f t="shared" ref="C132:H132" si="38">IF(OR(C128 &lt;= Parameter_Period_end, Parameter_Apply_fixed_growth_rate = "0 - No"), C130, -$C118 * (Parameter_Period_end - $C$9) + C131)</f>
        <v>-7.4999999999999997E-3</v>
      </c>
      <c r="D132" s="50">
        <f t="shared" si="38"/>
        <v>-1.2500000000000001E-2</v>
      </c>
      <c r="E132" s="50">
        <f t="shared" si="38"/>
        <v>-1.7500000000000002E-2</v>
      </c>
      <c r="F132" s="50">
        <f t="shared" si="38"/>
        <v>-2.2499999999999999E-2</v>
      </c>
      <c r="G132" s="50">
        <f t="shared" si="38"/>
        <v>-2.75E-2</v>
      </c>
      <c r="H132" s="50">
        <f t="shared" si="38"/>
        <v>-3.2500000000000001E-2</v>
      </c>
    </row>
    <row r="133" spans="1:8" ht="13.35" customHeight="1"/>
    <row r="134" spans="1:8" ht="13.35" customHeight="1">
      <c r="B134" s="25" t="s">
        <v>59</v>
      </c>
      <c r="C134" s="50">
        <f t="shared" ref="C134:H134" si="39">(1 - $C114 - $C115 - $C116) * C126</f>
        <v>6.3905903559418828E-4</v>
      </c>
      <c r="D134" s="50">
        <f t="shared" si="39"/>
        <v>1.0642042643268419E-3</v>
      </c>
      <c r="E134" s="50">
        <f t="shared" si="39"/>
        <v>1.4318586696552707E-3</v>
      </c>
      <c r="F134" s="50">
        <f t="shared" si="39"/>
        <v>1.7433133076199174E-3</v>
      </c>
      <c r="G134" s="50">
        <f t="shared" si="39"/>
        <v>2.0220781850940361E-3</v>
      </c>
      <c r="H134" s="50">
        <f t="shared" si="39"/>
        <v>2.4884953780869843E-3</v>
      </c>
    </row>
    <row r="135" spans="1:8" ht="13.35" customHeight="1">
      <c r="B135" s="25" t="s">
        <v>60</v>
      </c>
      <c r="C135" s="50">
        <f t="shared" ref="C135:H135" si="40">C$16 * $C117</f>
        <v>-3.3349173181524954E-3</v>
      </c>
      <c r="D135" s="50">
        <f t="shared" si="40"/>
        <v>-6.6374256625705867E-3</v>
      </c>
      <c r="E135" s="50">
        <f t="shared" si="40"/>
        <v>-8.7243421607820625E-3</v>
      </c>
      <c r="F135" s="50">
        <f t="shared" si="40"/>
        <v>-1.0406507035369461E-2</v>
      </c>
      <c r="G135" s="50">
        <f t="shared" si="40"/>
        <v>-1.2072436188316278E-2</v>
      </c>
      <c r="H135" s="50">
        <f t="shared" si="40"/>
        <v>-1.4041650105306863E-2</v>
      </c>
    </row>
    <row r="136" spans="1:8" ht="13.35" customHeight="1"/>
    <row r="137" spans="1:8" ht="13.35" customHeight="1">
      <c r="B137" s="33" t="s">
        <v>143</v>
      </c>
      <c r="C137" s="50">
        <f>C132 + C134 - C135</f>
        <v>-3.5260236462533161E-3</v>
      </c>
      <c r="D137" s="50">
        <f t="shared" ref="D137:H137" si="41">D132 + D134 - D135</f>
        <v>-4.7983700731025715E-3</v>
      </c>
      <c r="E137" s="50">
        <f t="shared" si="41"/>
        <v>-7.3437991695626693E-3</v>
      </c>
      <c r="F137" s="50">
        <f t="shared" si="41"/>
        <v>-1.0350179657010619E-2</v>
      </c>
      <c r="G137" s="50">
        <f t="shared" si="41"/>
        <v>-1.3405485626589685E-2</v>
      </c>
      <c r="H137" s="50">
        <f t="shared" si="41"/>
        <v>-1.5969854516606152E-2</v>
      </c>
    </row>
    <row r="138" spans="1:8" ht="13.35" customHeight="1">
      <c r="B138" s="33" t="s">
        <v>61</v>
      </c>
      <c r="C138" s="50">
        <v>0</v>
      </c>
      <c r="D138" s="50">
        <v>0</v>
      </c>
      <c r="E138" s="50">
        <v>0</v>
      </c>
      <c r="F138" s="50">
        <v>0</v>
      </c>
      <c r="G138" s="50">
        <v>0</v>
      </c>
      <c r="H138" s="50">
        <v>0</v>
      </c>
    </row>
    <row r="139" spans="1:8" ht="13.35" customHeight="1">
      <c r="B139" s="33" t="s">
        <v>144</v>
      </c>
      <c r="C139" s="50">
        <f t="shared" ref="C139:H139" si="42">(1 + C126)*(1 + C138)*(1 - C137) - 1</f>
        <v>2.564024340022053E-2</v>
      </c>
      <c r="D139" s="50">
        <f t="shared" si="42"/>
        <v>4.1671153184152709E-2</v>
      </c>
      <c r="E139" s="50">
        <f t="shared" si="42"/>
        <v>5.7080832002818216E-2</v>
      </c>
      <c r="F139" s="50">
        <f t="shared" si="42"/>
        <v>7.1086624951915311E-2</v>
      </c>
      <c r="G139" s="50">
        <f t="shared" si="42"/>
        <v>8.4067041665905284E-2</v>
      </c>
      <c r="H139" s="50">
        <f t="shared" si="42"/>
        <v>0.10315041614558096</v>
      </c>
    </row>
    <row r="140" spans="1:8" ht="13.35" customHeight="1">
      <c r="B140" s="33" t="s">
        <v>988</v>
      </c>
      <c r="C140" s="169">
        <f>$C123*EXP(C139)</f>
        <v>256744.58682668593</v>
      </c>
      <c r="D140" s="169">
        <f t="shared" ref="D140:H140" si="43">$C123*EXP(D139)</f>
        <v>260893.60353761647</v>
      </c>
      <c r="E140" s="169">
        <f t="shared" si="43"/>
        <v>264945.02556007297</v>
      </c>
      <c r="F140" s="169">
        <f t="shared" si="43"/>
        <v>268681.89857994299</v>
      </c>
      <c r="G140" s="169">
        <f t="shared" si="43"/>
        <v>272192.23511425941</v>
      </c>
      <c r="H140" s="169">
        <f t="shared" si="43"/>
        <v>277436.46108094795</v>
      </c>
    </row>
    <row r="142" spans="1:8" s="22" customFormat="1" ht="13.35" customHeight="1">
      <c r="A142" s="2" t="s">
        <v>106</v>
      </c>
      <c r="B142" s="4"/>
      <c r="C142" s="4"/>
    </row>
    <row r="144" spans="1:8" ht="13.35" customHeight="1">
      <c r="A144" s="33"/>
      <c r="B144" s="33"/>
    </row>
    <row r="145" spans="1:2" ht="13.35" customHeight="1">
      <c r="A145" s="23"/>
      <c r="B145" s="23"/>
    </row>
    <row r="146" spans="1:2" ht="13.35" customHeight="1">
      <c r="A146" s="23"/>
      <c r="B146" s="23"/>
    </row>
    <row r="147" spans="1:2" ht="13.35" customHeight="1">
      <c r="A147" s="23"/>
      <c r="B147" s="23"/>
    </row>
    <row r="148" spans="1:2" ht="13.35" customHeight="1">
      <c r="A148" s="23"/>
      <c r="B148" s="23"/>
    </row>
    <row r="149" spans="1:2" ht="13.35" customHeight="1">
      <c r="A149" s="23"/>
      <c r="B149" s="23"/>
    </row>
  </sheetData>
  <hyperlinks>
    <hyperlink ref="A2" location="Index!A1" display="Index"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CC"/>
  </sheetPr>
  <dimension ref="A1:P149"/>
  <sheetViews>
    <sheetView zoomScaleNormal="100" workbookViewId="0">
      <selection activeCell="C10" sqref="C10"/>
    </sheetView>
  </sheetViews>
  <sheetFormatPr defaultColWidth="8.85546875" defaultRowHeight="13.35" customHeight="1"/>
  <cols>
    <col min="1" max="1" width="8.42578125" style="21" bestFit="1" customWidth="1"/>
    <col min="2" max="2" width="36.140625" style="21" bestFit="1" customWidth="1"/>
    <col min="3" max="8" width="11.42578125" style="21" customWidth="1"/>
    <col min="9" max="16384" width="8.85546875" style="21"/>
  </cols>
  <sheetData>
    <row r="1" spans="1:16" s="7" customFormat="1" ht="15.6" customHeight="1">
      <c r="A1" s="1" t="s">
        <v>894</v>
      </c>
    </row>
    <row r="2" spans="1:16" s="16" customFormat="1" ht="13.35" customHeight="1">
      <c r="A2" s="90" t="s">
        <v>86</v>
      </c>
      <c r="C2" s="15"/>
      <c r="E2" s="89"/>
    </row>
    <row r="3" spans="1:16" s="9" customFormat="1" ht="13.35" customHeight="1" thickBot="1">
      <c r="A3" s="8" t="s">
        <v>751</v>
      </c>
    </row>
    <row r="4" spans="1:16" s="9" customFormat="1" ht="13.35" customHeight="1"/>
    <row r="5" spans="1:16" s="4" customFormat="1" ht="13.35" customHeight="1">
      <c r="A5" s="2" t="s">
        <v>145</v>
      </c>
      <c r="C5" s="3"/>
      <c r="D5" s="5"/>
      <c r="E5" s="5"/>
      <c r="F5" s="5"/>
      <c r="G5" s="5"/>
      <c r="H5" s="5"/>
      <c r="I5" s="5"/>
      <c r="J5" s="6"/>
      <c r="K5" s="6"/>
      <c r="L5" s="5"/>
      <c r="M5" s="5"/>
      <c r="N5" s="5"/>
      <c r="O5" s="5"/>
      <c r="P5" s="5"/>
    </row>
    <row r="7" spans="1:16" ht="13.35" customHeight="1">
      <c r="B7" s="23" t="s">
        <v>62</v>
      </c>
      <c r="C7" s="42">
        <f>Parameter_Period_start_long</f>
        <v>2006</v>
      </c>
    </row>
    <row r="8" spans="1:16" ht="13.35" customHeight="1">
      <c r="B8" s="23" t="s">
        <v>63</v>
      </c>
      <c r="C8" s="42">
        <f>Parameter_Period_end</f>
        <v>2021</v>
      </c>
    </row>
    <row r="9" spans="1:16" ht="13.35" customHeight="1">
      <c r="B9" s="23" t="s">
        <v>65</v>
      </c>
      <c r="C9" s="41">
        <f>(Parameter_Period_start_long + Parameter_Period_end)/2</f>
        <v>2013.5</v>
      </c>
    </row>
    <row r="10" spans="1:16" ht="13.35" customHeight="1">
      <c r="B10" s="23" t="str">
        <f>"Average 2006-"&amp;RIGHT(Parameter_Period_end, 2)&amp;" opex ($'000RY2021)"</f>
        <v>Average 2006-21 opex ($'000RY2021)</v>
      </c>
      <c r="C10" s="44">
        <f>'Calc|Cost drivers'!$C$29</f>
        <v>305158.2722272356</v>
      </c>
    </row>
    <row r="11" spans="1:16" ht="13.35" customHeight="1">
      <c r="B11" s="23"/>
    </row>
    <row r="12" spans="1:16" s="23" customFormat="1" ht="13.35" customHeight="1">
      <c r="A12" s="33"/>
      <c r="B12" s="33"/>
      <c r="C12" s="24">
        <v>2018</v>
      </c>
      <c r="D12" s="24">
        <v>2019</v>
      </c>
      <c r="E12" s="24">
        <v>2020</v>
      </c>
      <c r="F12" s="24">
        <v>2021</v>
      </c>
      <c r="G12" s="24">
        <v>2022</v>
      </c>
      <c r="H12" s="24">
        <v>2023</v>
      </c>
    </row>
    <row r="13" spans="1:16" s="23" customFormat="1" ht="13.35" customHeight="1">
      <c r="B13" s="23" t="s">
        <v>85</v>
      </c>
      <c r="C13" s="50">
        <f>'Calc|Cost drivers'!D25</f>
        <v>6.6097908595858623E-2</v>
      </c>
      <c r="D13" s="50">
        <f>'Calc|Cost drivers'!E25</f>
        <v>8.7763195006185929E-2</v>
      </c>
      <c r="E13" s="50">
        <f>'Calc|Cost drivers'!F25</f>
        <v>0.10854545253606766</v>
      </c>
      <c r="F13" s="50">
        <f>'Calc|Cost drivers'!G25</f>
        <v>0.12572932352573477</v>
      </c>
      <c r="G13" s="50">
        <f>'Calc|Cost drivers'!H25</f>
        <v>0.14021103066385138</v>
      </c>
      <c r="H13" s="50">
        <f>'Calc|Cost drivers'!I25</f>
        <v>0.1668718444762709</v>
      </c>
    </row>
    <row r="14" spans="1:16" s="23" customFormat="1" ht="13.35" customHeight="1">
      <c r="B14" s="23" t="s">
        <v>48</v>
      </c>
      <c r="C14" s="50">
        <f>'Calc|Cost drivers'!D26</f>
        <v>5.5279038069987102E-2</v>
      </c>
      <c r="D14" s="50">
        <f>'Calc|Cost drivers'!E26</f>
        <v>7.4830013314131666E-2</v>
      </c>
      <c r="E14" s="50">
        <f>'Calc|Cost drivers'!F26</f>
        <v>8.6275639739528884E-2</v>
      </c>
      <c r="F14" s="50">
        <f>'Calc|Cost drivers'!G26</f>
        <v>9.7096725654408939E-2</v>
      </c>
      <c r="G14" s="50">
        <f>'Calc|Cost drivers'!H26</f>
        <v>0.10917987184776094</v>
      </c>
      <c r="H14" s="50">
        <f>'Calc|Cost drivers'!I26</f>
        <v>0.1229107126500681</v>
      </c>
    </row>
    <row r="15" spans="1:16" s="23" customFormat="1" ht="13.35" customHeight="1">
      <c r="B15" s="23" t="s">
        <v>47</v>
      </c>
      <c r="C15" s="50">
        <f>'Calc|Cost drivers'!D27</f>
        <v>5.1161008451906215E-2</v>
      </c>
      <c r="D15" s="50">
        <f>'Calc|Cost drivers'!E27</f>
        <v>5.1161008451906215E-2</v>
      </c>
      <c r="E15" s="50">
        <f>'Calc|Cost drivers'!F27</f>
        <v>5.1161008451906215E-2</v>
      </c>
      <c r="F15" s="50">
        <f>'Calc|Cost drivers'!G27</f>
        <v>5.1161008451906215E-2</v>
      </c>
      <c r="G15" s="50">
        <f>'Calc|Cost drivers'!H27</f>
        <v>5.1161008451906215E-2</v>
      </c>
      <c r="H15" s="50">
        <f>'Calc|Cost drivers'!I27</f>
        <v>5.1161008451906215E-2</v>
      </c>
    </row>
    <row r="16" spans="1:16" s="23" customFormat="1" ht="13.35" customHeight="1">
      <c r="B16" s="23" t="s">
        <v>46</v>
      </c>
      <c r="C16" s="50">
        <f>'Calc|Cost drivers'!D28</f>
        <v>0.11353272183930556</v>
      </c>
      <c r="D16" s="50">
        <f>'Calc|Cost drivers'!E28</f>
        <v>0.15193398165812072</v>
      </c>
      <c r="E16" s="50">
        <f>'Calc|Cost drivers'!F28</f>
        <v>0.17620045256755643</v>
      </c>
      <c r="F16" s="50">
        <f>'Calc|Cost drivers'!G28</f>
        <v>0.19576050924880536</v>
      </c>
      <c r="G16" s="50">
        <f>'Calc|Cost drivers'!H28</f>
        <v>0.21513177846911719</v>
      </c>
      <c r="H16" s="50">
        <f>'Calc|Cost drivers'!I28</f>
        <v>0.23802961471319367</v>
      </c>
    </row>
    <row r="18" spans="1:16" s="4" customFormat="1" ht="13.35" customHeight="1">
      <c r="A18" s="2" t="s">
        <v>141</v>
      </c>
      <c r="C18" s="3"/>
      <c r="D18" s="5"/>
      <c r="E18" s="5"/>
      <c r="F18" s="5"/>
      <c r="G18" s="5"/>
      <c r="H18" s="5"/>
      <c r="I18" s="5"/>
      <c r="J18" s="6"/>
      <c r="K18" s="6"/>
      <c r="L18" s="5"/>
      <c r="M18" s="5"/>
      <c r="N18" s="5"/>
      <c r="O18" s="5"/>
      <c r="P18" s="5"/>
    </row>
    <row r="20" spans="1:16" s="23" customFormat="1" ht="13.35" customHeight="1">
      <c r="A20" s="33" t="s">
        <v>7</v>
      </c>
      <c r="B20" s="33" t="s">
        <v>110</v>
      </c>
      <c r="C20" s="24" t="s">
        <v>108</v>
      </c>
      <c r="D20" s="24" t="s">
        <v>142</v>
      </c>
    </row>
    <row r="21" spans="1:16" s="23" customFormat="1" ht="13.35" customHeight="1">
      <c r="A21" s="23" t="s">
        <v>9</v>
      </c>
      <c r="B21" s="23" t="s">
        <v>85</v>
      </c>
      <c r="C21" s="54">
        <f>VLOOKUP(A21, Table_Coefficients_long_LSECD, MATCH(Parameter_Scenario_number, Header_Table_Econometrics, 0), FALSE)</f>
        <v>0.59099999999999997</v>
      </c>
      <c r="D21" s="54">
        <f>C21/SUM($C$21:$C$23)</f>
        <v>0.60739979445015413</v>
      </c>
    </row>
    <row r="22" spans="1:16" s="23" customFormat="1" ht="13.35" customHeight="1">
      <c r="A22" s="23" t="s">
        <v>11</v>
      </c>
      <c r="B22" s="23" t="s">
        <v>48</v>
      </c>
      <c r="C22" s="54">
        <f>VLOOKUP(A22, Table_Coefficients_long_LSECD, MATCH(Parameter_Scenario_number, Header_Table_Econometrics, 0), FALSE)</f>
        <v>0.154</v>
      </c>
      <c r="D22" s="54">
        <f t="shared" ref="D22:D23" si="0">C22/SUM($C$21:$C$23)</f>
        <v>0.15827338129496404</v>
      </c>
    </row>
    <row r="23" spans="1:16" s="23" customFormat="1" ht="13.35" customHeight="1">
      <c r="A23" s="23" t="s">
        <v>13</v>
      </c>
      <c r="B23" s="23" t="s">
        <v>47</v>
      </c>
      <c r="C23" s="54">
        <f>VLOOKUP(A23, Table_Coefficients_long_LSECD, MATCH(Parameter_Scenario_number, Header_Table_Econometrics, 0), FALSE)</f>
        <v>0.22800000000000001</v>
      </c>
      <c r="D23" s="54">
        <f t="shared" si="0"/>
        <v>0.23432682425488183</v>
      </c>
    </row>
    <row r="24" spans="1:16" s="23" customFormat="1" ht="13.35" customHeight="1">
      <c r="A24" s="23" t="s">
        <v>15</v>
      </c>
      <c r="B24" s="23" t="s">
        <v>46</v>
      </c>
      <c r="C24" s="54">
        <f>VLOOKUP(A24, Table_Coefficients_long_LSECD, MATCH(Parameter_Scenario_number, Header_Table_Econometrics, 0), FALSE)</f>
        <v>-0.14699999999999999</v>
      </c>
    </row>
    <row r="25" spans="1:16" s="23" customFormat="1" ht="13.35" customHeight="1">
      <c r="A25" s="23" t="s">
        <v>18</v>
      </c>
      <c r="B25" s="23" t="s">
        <v>57</v>
      </c>
      <c r="C25" s="54">
        <f>VLOOKUP(A25, Table_Coefficients_long_LSECD, MATCH(Parameter_Scenario_number, Header_Table_Econometrics, 0), FALSE)</f>
        <v>1.0999999999999999E-2</v>
      </c>
    </row>
    <row r="27" spans="1:16" s="4" customFormat="1" ht="13.35" customHeight="1">
      <c r="A27" s="2" t="s">
        <v>146</v>
      </c>
      <c r="C27" s="3"/>
      <c r="D27" s="5"/>
      <c r="E27" s="5"/>
      <c r="F27" s="5"/>
      <c r="G27" s="5"/>
      <c r="H27" s="5"/>
      <c r="I27" s="5"/>
      <c r="J27" s="6"/>
      <c r="K27" s="6"/>
      <c r="L27" s="5"/>
      <c r="M27" s="5"/>
      <c r="N27" s="5"/>
      <c r="O27" s="5"/>
      <c r="P27" s="5"/>
    </row>
    <row r="29" spans="1:16" ht="13.35" customHeight="1">
      <c r="B29" s="23" t="s">
        <v>64</v>
      </c>
      <c r="C29" s="48">
        <f>'Calc|Efficiency target'!E12</f>
        <v>0.1243358318908504</v>
      </c>
    </row>
    <row r="30" spans="1:16" ht="13.35" customHeight="1">
      <c r="B30" s="23" t="s">
        <v>983</v>
      </c>
      <c r="C30" s="44">
        <f>$C$10*(1 - C29)</f>
        <v>267216.16459148767</v>
      </c>
    </row>
    <row r="31" spans="1:16" ht="13.35" customHeight="1">
      <c r="B31" s="23"/>
      <c r="C31" s="23"/>
    </row>
    <row r="32" spans="1:16" s="23" customFormat="1" ht="13.35" customHeight="1">
      <c r="A32" s="33"/>
      <c r="B32" s="33"/>
      <c r="C32" s="24">
        <v>2018</v>
      </c>
      <c r="D32" s="24">
        <v>2019</v>
      </c>
      <c r="E32" s="24">
        <v>2020</v>
      </c>
      <c r="F32" s="24">
        <v>2021</v>
      </c>
      <c r="G32" s="24">
        <v>2022</v>
      </c>
      <c r="H32" s="24">
        <v>2023</v>
      </c>
    </row>
    <row r="33" spans="2:8" s="23" customFormat="1" ht="13.35" customHeight="1">
      <c r="B33" s="24" t="s">
        <v>58</v>
      </c>
      <c r="C33" s="55">
        <f>$D21*C$13 + $D22*C$14 + $D23*C$15</f>
        <v>6.0885453000991858E-2</v>
      </c>
      <c r="D33" s="55">
        <f t="shared" ref="D33:H33" si="1">$D21*D$13 + $D22*D$14 + $D23*D$15</f>
        <v>7.7139342472833272E-2</v>
      </c>
      <c r="E33" s="55">
        <f t="shared" si="1"/>
        <v>9.1574019420080227E-2</v>
      </c>
      <c r="F33" s="55">
        <f t="shared" si="1"/>
        <v>0.10372418898409336</v>
      </c>
      <c r="G33" s="55">
        <f t="shared" si="1"/>
        <v>0.11443281532777591</v>
      </c>
      <c r="H33" s="55">
        <f t="shared" si="1"/>
        <v>0.13279981475911737</v>
      </c>
    </row>
    <row r="35" spans="2:8" ht="13.35" customHeight="1">
      <c r="C35" s="24">
        <v>2018</v>
      </c>
      <c r="D35" s="24">
        <v>2019</v>
      </c>
      <c r="E35" s="24">
        <v>2020</v>
      </c>
      <c r="F35" s="24">
        <v>2021</v>
      </c>
      <c r="G35" s="24">
        <v>2022</v>
      </c>
      <c r="H35" s="24">
        <v>2023</v>
      </c>
    </row>
    <row r="36" spans="2:8" ht="13.35" customHeight="1">
      <c r="B36" s="33"/>
      <c r="C36" s="56">
        <f t="shared" ref="C36:E36" si="2">C35 - $C$9</f>
        <v>4.5</v>
      </c>
      <c r="D36" s="56">
        <f t="shared" si="2"/>
        <v>5.5</v>
      </c>
      <c r="E36" s="56">
        <f t="shared" si="2"/>
        <v>6.5</v>
      </c>
      <c r="F36" s="56">
        <f>IF(Parameter_Victorian_or_non_Victorian="Non-Victorian", F35 - $C$9, F35 - $C$9 - 0.5)</f>
        <v>7.5</v>
      </c>
      <c r="G36" s="56">
        <f>IF(Parameter_Victorian_or_non_Victorian="Non-Victorian", G35 - $C$9, G35 - $C$9 - 0.5)</f>
        <v>8.5</v>
      </c>
      <c r="H36" s="56">
        <f>IF(Parameter_Victorian_or_non_Victorian="Non-Victorian", H35 - $C$9, H35 - $C$9 - 0.5)</f>
        <v>9.5</v>
      </c>
    </row>
    <row r="37" spans="2:8" ht="13.35" customHeight="1">
      <c r="B37" s="25" t="s">
        <v>57</v>
      </c>
      <c r="C37" s="50">
        <f>-$C25*C36</f>
        <v>-4.9499999999999995E-2</v>
      </c>
      <c r="D37" s="50">
        <f t="shared" ref="D37:H37" si="3">-$C25*D36</f>
        <v>-6.0499999999999998E-2</v>
      </c>
      <c r="E37" s="50">
        <f t="shared" si="3"/>
        <v>-7.1499999999999994E-2</v>
      </c>
      <c r="F37" s="50">
        <f t="shared" si="3"/>
        <v>-8.249999999999999E-2</v>
      </c>
      <c r="G37" s="50">
        <f t="shared" si="3"/>
        <v>-9.35E-2</v>
      </c>
      <c r="H37" s="50">
        <f t="shared" si="3"/>
        <v>-0.1045</v>
      </c>
    </row>
    <row r="38" spans="2:8" ht="13.35" customHeight="1">
      <c r="B38" s="25" t="s">
        <v>893</v>
      </c>
      <c r="C38" s="50">
        <f t="shared" ref="C38:H38" si="4">IF(C35 &lt;= Parameter_Period_end, 0, -Parameter_Technology_growth_rate * (C35 - Parameter_Period_end))</f>
        <v>0</v>
      </c>
      <c r="D38" s="50">
        <f t="shared" si="4"/>
        <v>0</v>
      </c>
      <c r="E38" s="50">
        <f t="shared" si="4"/>
        <v>0</v>
      </c>
      <c r="F38" s="50">
        <f t="shared" si="4"/>
        <v>0</v>
      </c>
      <c r="G38" s="50">
        <f t="shared" si="4"/>
        <v>0</v>
      </c>
      <c r="H38" s="50">
        <f t="shared" si="4"/>
        <v>0</v>
      </c>
    </row>
    <row r="39" spans="2:8" ht="13.35" customHeight="1">
      <c r="B39" s="25" t="s">
        <v>892</v>
      </c>
      <c r="C39" s="50">
        <f t="shared" ref="C39:H39" si="5">IF(OR(C35 &lt;= Parameter_Period_end, Parameter_Apply_fixed_growth_rate = "0 - No"), C37, -$C25 * (Parameter_Period_end - $C$9) + C38)</f>
        <v>-4.9499999999999995E-2</v>
      </c>
      <c r="D39" s="50">
        <f t="shared" si="5"/>
        <v>-6.0499999999999998E-2</v>
      </c>
      <c r="E39" s="50">
        <f t="shared" si="5"/>
        <v>-7.1499999999999994E-2</v>
      </c>
      <c r="F39" s="50">
        <f t="shared" si="5"/>
        <v>-8.249999999999999E-2</v>
      </c>
      <c r="G39" s="50">
        <f t="shared" si="5"/>
        <v>-9.35E-2</v>
      </c>
      <c r="H39" s="50">
        <f t="shared" si="5"/>
        <v>-0.1045</v>
      </c>
    </row>
    <row r="40" spans="2:8" ht="13.35" customHeight="1">
      <c r="B40" s="33"/>
      <c r="C40" s="56"/>
      <c r="D40" s="56"/>
      <c r="E40" s="56"/>
      <c r="F40" s="56"/>
      <c r="G40" s="56"/>
      <c r="H40" s="56"/>
    </row>
    <row r="41" spans="2:8" ht="13.35" customHeight="1">
      <c r="B41" s="25" t="s">
        <v>59</v>
      </c>
      <c r="C41" s="50">
        <f t="shared" ref="C41:H41" si="6">(1 - $C21 - $C22 - $C23) * C33</f>
        <v>1.64390723102678E-3</v>
      </c>
      <c r="D41" s="50">
        <f t="shared" si="6"/>
        <v>2.082762246766498E-3</v>
      </c>
      <c r="E41" s="50">
        <f t="shared" si="6"/>
        <v>2.4724985243421657E-3</v>
      </c>
      <c r="F41" s="50">
        <f t="shared" si="6"/>
        <v>2.8005531025705201E-3</v>
      </c>
      <c r="G41" s="50">
        <f t="shared" si="6"/>
        <v>3.0896860138499493E-3</v>
      </c>
      <c r="H41" s="50">
        <f t="shared" si="6"/>
        <v>3.5855949984961682E-3</v>
      </c>
    </row>
    <row r="42" spans="2:8" ht="13.35" customHeight="1">
      <c r="B42" s="25" t="s">
        <v>60</v>
      </c>
      <c r="C42" s="50">
        <f t="shared" ref="C42:H42" si="7">C$16 * $C24</f>
        <v>-1.6689310110377917E-2</v>
      </c>
      <c r="D42" s="50">
        <f t="shared" si="7"/>
        <v>-2.2334295303743746E-2</v>
      </c>
      <c r="E42" s="50">
        <f t="shared" si="7"/>
        <v>-2.5901466527430791E-2</v>
      </c>
      <c r="F42" s="50">
        <f t="shared" si="7"/>
        <v>-2.8776794859574385E-2</v>
      </c>
      <c r="G42" s="50">
        <f t="shared" si="7"/>
        <v>-3.1624371434960226E-2</v>
      </c>
      <c r="H42" s="50">
        <f t="shared" si="7"/>
        <v>-3.4990353362839469E-2</v>
      </c>
    </row>
    <row r="44" spans="2:8" ht="13.35" customHeight="1">
      <c r="B44" s="33" t="s">
        <v>143</v>
      </c>
      <c r="C44" s="50">
        <f>C39 + C41 - C42</f>
        <v>-3.1166782658595297E-2</v>
      </c>
      <c r="D44" s="50">
        <f t="shared" ref="D44:H44" si="8">D39 + D41 - D42</f>
        <v>-3.6082942449489758E-2</v>
      </c>
      <c r="E44" s="50">
        <f t="shared" si="8"/>
        <v>-4.3126034948227032E-2</v>
      </c>
      <c r="F44" s="50">
        <f t="shared" si="8"/>
        <v>-5.0922652037855086E-2</v>
      </c>
      <c r="G44" s="50">
        <f t="shared" si="8"/>
        <v>-5.8785942551189831E-2</v>
      </c>
      <c r="H44" s="50">
        <f t="shared" si="8"/>
        <v>-6.5924051638664355E-2</v>
      </c>
    </row>
    <row r="45" spans="2:8" ht="13.35" customHeight="1">
      <c r="B45" s="33" t="s">
        <v>61</v>
      </c>
      <c r="C45" s="50">
        <v>0</v>
      </c>
      <c r="D45" s="50">
        <v>0</v>
      </c>
      <c r="E45" s="50">
        <v>0</v>
      </c>
      <c r="F45" s="50">
        <v>0</v>
      </c>
      <c r="G45" s="50">
        <v>0</v>
      </c>
      <c r="H45" s="50">
        <v>0</v>
      </c>
    </row>
    <row r="46" spans="2:8" ht="13.35" customHeight="1">
      <c r="B46" s="33" t="s">
        <v>144</v>
      </c>
      <c r="C46" s="50">
        <f t="shared" ref="C46:H46" si="9">(1 + C33)*(1 + C45)*(1 - C44) - 1</f>
        <v>9.3949839340339292E-2</v>
      </c>
      <c r="D46" s="50">
        <f t="shared" si="9"/>
        <v>0.11600569937736172</v>
      </c>
      <c r="E46" s="50">
        <f t="shared" si="9"/>
        <v>0.13864927873016719</v>
      </c>
      <c r="F46" s="50">
        <f t="shared" si="9"/>
        <v>0.15992875180549437</v>
      </c>
      <c r="G46" s="50">
        <f t="shared" si="9"/>
        <v>0.17994579878679517</v>
      </c>
      <c r="H46" s="50">
        <f t="shared" si="9"/>
        <v>0.20747856824356692</v>
      </c>
    </row>
    <row r="47" spans="2:8" ht="13.35" customHeight="1">
      <c r="B47" s="33" t="s">
        <v>988</v>
      </c>
      <c r="C47" s="169">
        <f t="shared" ref="C47:H47" si="10">$C30*EXP(C46)</f>
        <v>293538.1974396765</v>
      </c>
      <c r="D47" s="169">
        <f t="shared" si="10"/>
        <v>300084.36009265576</v>
      </c>
      <c r="E47" s="169">
        <f t="shared" si="10"/>
        <v>306956.85946218972</v>
      </c>
      <c r="F47" s="169">
        <f t="shared" si="10"/>
        <v>313558.7327633879</v>
      </c>
      <c r="G47" s="169">
        <f t="shared" si="10"/>
        <v>319898.49259944039</v>
      </c>
      <c r="H47" s="169">
        <f t="shared" si="10"/>
        <v>328828.5546000413</v>
      </c>
    </row>
    <row r="49" spans="1:16" s="4" customFormat="1" ht="13.35" customHeight="1">
      <c r="A49" s="2" t="s">
        <v>1043</v>
      </c>
      <c r="C49" s="3"/>
      <c r="D49" s="5"/>
      <c r="E49" s="5"/>
      <c r="F49" s="5"/>
      <c r="G49" s="5"/>
      <c r="H49" s="5"/>
      <c r="I49" s="5"/>
      <c r="J49" s="6"/>
      <c r="K49" s="6"/>
      <c r="L49" s="5"/>
      <c r="M49" s="5"/>
      <c r="N49" s="5"/>
      <c r="O49" s="5"/>
      <c r="P49" s="5"/>
    </row>
    <row r="51" spans="1:16" s="23" customFormat="1" ht="13.35" customHeight="1">
      <c r="A51" s="33" t="s">
        <v>7</v>
      </c>
      <c r="B51" s="33" t="s">
        <v>110</v>
      </c>
      <c r="C51" s="24" t="s">
        <v>108</v>
      </c>
      <c r="D51" s="24" t="s">
        <v>142</v>
      </c>
    </row>
    <row r="52" spans="1:16" s="23" customFormat="1" ht="13.35" customHeight="1">
      <c r="A52" s="23" t="s">
        <v>9</v>
      </c>
      <c r="B52" s="23" t="s">
        <v>85</v>
      </c>
      <c r="C52" s="54">
        <f>VLOOKUP(A52, Table_Coefficients_long_SFACD, MATCH(Parameter_Scenario_number, Header_Table_Econometrics, 0), FALSE)</f>
        <v>0.45200000000000001</v>
      </c>
      <c r="D52" s="54">
        <f>C52/SUM($C$52:$C$54)</f>
        <v>0.46742502585315404</v>
      </c>
    </row>
    <row r="53" spans="1:16" s="23" customFormat="1" ht="13.35" customHeight="1">
      <c r="A53" s="23" t="s">
        <v>11</v>
      </c>
      <c r="B53" s="23" t="s">
        <v>48</v>
      </c>
      <c r="C53" s="54">
        <f>VLOOKUP(A53, Table_Coefficients_long_SFACD, MATCH(Parameter_Scenario_number, Header_Table_Econometrics, 0), FALSE)</f>
        <v>0.104</v>
      </c>
      <c r="D53" s="54">
        <f t="shared" ref="D53:D54" si="11">C53/SUM($C$52:$C$54)</f>
        <v>0.10754912099276111</v>
      </c>
    </row>
    <row r="54" spans="1:16" s="23" customFormat="1" ht="13.35" customHeight="1">
      <c r="A54" s="23" t="s">
        <v>13</v>
      </c>
      <c r="B54" s="23" t="s">
        <v>47</v>
      </c>
      <c r="C54" s="54">
        <f>VLOOKUP(A54, Table_Coefficients_long_SFACD, MATCH(Parameter_Scenario_number, Header_Table_Econometrics, 0), FALSE)</f>
        <v>0.41099999999999998</v>
      </c>
      <c r="D54" s="54">
        <f t="shared" si="11"/>
        <v>0.42502585315408475</v>
      </c>
    </row>
    <row r="55" spans="1:16" s="23" customFormat="1" ht="13.35" customHeight="1">
      <c r="A55" s="23" t="s">
        <v>15</v>
      </c>
      <c r="B55" s="23" t="s">
        <v>46</v>
      </c>
      <c r="C55" s="54">
        <f>VLOOKUP(A55, Table_Coefficients_long_SFACD, MATCH(Parameter_Scenario_number, Header_Table_Econometrics, 0), FALSE)</f>
        <v>-0.188</v>
      </c>
    </row>
    <row r="56" spans="1:16" s="23" customFormat="1" ht="13.35" customHeight="1">
      <c r="A56" s="23" t="s">
        <v>18</v>
      </c>
      <c r="B56" s="23" t="s">
        <v>57</v>
      </c>
      <c r="C56" s="240">
        <f>VLOOKUP(A56, Table_Coefficients_long_SFACD, MATCH(Parameter_Scenario_number, Header_Table_Econometrics, 0), FALSE)</f>
        <v>1.2999999999999999E-2</v>
      </c>
    </row>
    <row r="58" spans="1:16" s="4" customFormat="1" ht="13.35" customHeight="1">
      <c r="A58" s="2" t="s">
        <v>1042</v>
      </c>
      <c r="C58" s="3"/>
      <c r="D58" s="5"/>
      <c r="E58" s="5"/>
      <c r="F58" s="5"/>
      <c r="G58" s="5"/>
      <c r="H58" s="5"/>
      <c r="I58" s="5"/>
      <c r="J58" s="6"/>
      <c r="K58" s="6"/>
      <c r="L58" s="5"/>
      <c r="M58" s="5"/>
      <c r="N58" s="5"/>
      <c r="O58" s="5"/>
      <c r="P58" s="5"/>
    </row>
    <row r="60" spans="1:16" ht="13.35" customHeight="1">
      <c r="B60" s="23" t="s">
        <v>64</v>
      </c>
      <c r="C60" s="48">
        <f>'Calc|Efficiency target'!E13</f>
        <v>0.13751406773928154</v>
      </c>
    </row>
    <row r="61" spans="1:16" ht="13.35" customHeight="1">
      <c r="B61" s="23" t="s">
        <v>983</v>
      </c>
      <c r="C61" s="44">
        <f>$C$10*(1 - C60)</f>
        <v>263194.71690897743</v>
      </c>
    </row>
    <row r="62" spans="1:16" ht="13.35" customHeight="1">
      <c r="B62" s="23"/>
      <c r="C62" s="23"/>
    </row>
    <row r="63" spans="1:16" s="23" customFormat="1" ht="13.35" customHeight="1">
      <c r="A63" s="33"/>
      <c r="B63" s="33"/>
      <c r="C63" s="24">
        <v>2018</v>
      </c>
      <c r="D63" s="24">
        <v>2019</v>
      </c>
      <c r="E63" s="24">
        <v>2020</v>
      </c>
      <c r="F63" s="24">
        <v>2021</v>
      </c>
      <c r="G63" s="24">
        <v>2022</v>
      </c>
      <c r="H63" s="24">
        <v>2023</v>
      </c>
    </row>
    <row r="64" spans="1:16" s="23" customFormat="1" ht="13.35" customHeight="1">
      <c r="B64" s="24" t="s">
        <v>58</v>
      </c>
      <c r="C64" s="55">
        <f>$D52*C$13 + $D53*C$14 + $D54*C$15</f>
        <v>5.8585779853505902E-2</v>
      </c>
      <c r="D64" s="55">
        <f t="shared" ref="D64:H64" si="12">$D52*D$13 + $D53*D$14 + $D54*D$15</f>
        <v>7.0815367116028108E-2</v>
      </c>
      <c r="E64" s="55">
        <f t="shared" si="12"/>
        <v>8.1760481440482966E-2</v>
      </c>
      <c r="F64" s="55">
        <f t="shared" si="12"/>
        <v>9.0956451060417887E-2</v>
      </c>
      <c r="G64" s="55">
        <f t="shared" si="12"/>
        <v>9.9025095145771874E-2</v>
      </c>
      <c r="H64" s="55">
        <f t="shared" si="12"/>
        <v>0.11296376659008786</v>
      </c>
    </row>
    <row r="66" spans="1:16" ht="13.35" customHeight="1">
      <c r="C66" s="24">
        <v>2018</v>
      </c>
      <c r="D66" s="24">
        <v>2019</v>
      </c>
      <c r="E66" s="24">
        <v>2020</v>
      </c>
      <c r="F66" s="24">
        <v>2021</v>
      </c>
      <c r="G66" s="24">
        <v>2022</v>
      </c>
      <c r="H66" s="24">
        <v>2023</v>
      </c>
    </row>
    <row r="67" spans="1:16" ht="13.35" customHeight="1">
      <c r="B67" s="33"/>
      <c r="C67" s="56">
        <f t="shared" ref="C67:E67" si="13">C66 - $C$9</f>
        <v>4.5</v>
      </c>
      <c r="D67" s="56">
        <f t="shared" si="13"/>
        <v>5.5</v>
      </c>
      <c r="E67" s="56">
        <f t="shared" si="13"/>
        <v>6.5</v>
      </c>
      <c r="F67" s="56">
        <f>IF(Parameter_Victorian_or_non_Victorian="Non-Victorian", F66 - $C$9, F66 - $C$9 - 0.5)</f>
        <v>7.5</v>
      </c>
      <c r="G67" s="56">
        <f>IF(Parameter_Victorian_or_non_Victorian="Non-Victorian", G66 - $C$9, G66 - $C$9 - 0.5)</f>
        <v>8.5</v>
      </c>
      <c r="H67" s="56">
        <f>IF(Parameter_Victorian_or_non_Victorian="Non-Victorian", H66 - $C$9, H66 - $C$9 - 0.5)</f>
        <v>9.5</v>
      </c>
    </row>
    <row r="68" spans="1:16" ht="13.35" customHeight="1">
      <c r="B68" s="25" t="s">
        <v>57</v>
      </c>
      <c r="C68" s="50">
        <f>-$C56*C67</f>
        <v>-5.8499999999999996E-2</v>
      </c>
      <c r="D68" s="50">
        <f t="shared" ref="D68:H68" si="14">-$C56*D67</f>
        <v>-7.1499999999999994E-2</v>
      </c>
      <c r="E68" s="50">
        <f t="shared" si="14"/>
        <v>-8.4499999999999992E-2</v>
      </c>
      <c r="F68" s="50">
        <f t="shared" si="14"/>
        <v>-9.7499999999999989E-2</v>
      </c>
      <c r="G68" s="50">
        <f t="shared" si="14"/>
        <v>-0.1105</v>
      </c>
      <c r="H68" s="50">
        <f t="shared" si="14"/>
        <v>-0.1235</v>
      </c>
    </row>
    <row r="69" spans="1:16" ht="13.35" customHeight="1">
      <c r="B69" s="25" t="s">
        <v>893</v>
      </c>
      <c r="C69" s="50">
        <f t="shared" ref="C69:H69" si="15">IF(C66 &lt;= Parameter_Period_end, 0, -Parameter_Technology_growth_rate * (C66 - Parameter_Period_end))</f>
        <v>0</v>
      </c>
      <c r="D69" s="50">
        <f t="shared" si="15"/>
        <v>0</v>
      </c>
      <c r="E69" s="50">
        <f t="shared" si="15"/>
        <v>0</v>
      </c>
      <c r="F69" s="50">
        <f t="shared" si="15"/>
        <v>0</v>
      </c>
      <c r="G69" s="50">
        <f t="shared" si="15"/>
        <v>0</v>
      </c>
      <c r="H69" s="50">
        <f t="shared" si="15"/>
        <v>0</v>
      </c>
    </row>
    <row r="70" spans="1:16" ht="13.35" customHeight="1">
      <c r="B70" s="25" t="s">
        <v>892</v>
      </c>
      <c r="C70" s="50">
        <f t="shared" ref="C70:H70" si="16">IF(OR(C66 &lt;= Parameter_Period_end, Parameter_Apply_fixed_growth_rate = "0 - No"), C68, -$C56 * (Parameter_Period_end - $C$9) + C69)</f>
        <v>-5.8499999999999996E-2</v>
      </c>
      <c r="D70" s="50">
        <f t="shared" si="16"/>
        <v>-7.1499999999999994E-2</v>
      </c>
      <c r="E70" s="50">
        <f t="shared" si="16"/>
        <v>-8.4499999999999992E-2</v>
      </c>
      <c r="F70" s="50">
        <f t="shared" si="16"/>
        <v>-9.7499999999999989E-2</v>
      </c>
      <c r="G70" s="50">
        <f t="shared" si="16"/>
        <v>-0.1105</v>
      </c>
      <c r="H70" s="50">
        <f t="shared" si="16"/>
        <v>-0.1235</v>
      </c>
    </row>
    <row r="71" spans="1:16" ht="13.35" customHeight="1">
      <c r="B71" s="33"/>
      <c r="C71" s="56"/>
      <c r="D71" s="56"/>
      <c r="E71" s="56"/>
      <c r="F71" s="56"/>
      <c r="G71" s="56"/>
      <c r="H71" s="56"/>
    </row>
    <row r="72" spans="1:16" ht="13.35" customHeight="1">
      <c r="B72" s="25" t="s">
        <v>59</v>
      </c>
      <c r="C72" s="50">
        <f t="shared" ref="C72:H72" si="17">(1 - $C52 - $C53 - $C54) * C64</f>
        <v>1.9333307351656998E-3</v>
      </c>
      <c r="D72" s="50">
        <f t="shared" si="17"/>
        <v>2.3369071148289337E-3</v>
      </c>
      <c r="E72" s="50">
        <f t="shared" si="17"/>
        <v>2.6980958875359447E-3</v>
      </c>
      <c r="F72" s="50">
        <f t="shared" si="17"/>
        <v>3.001562884993798E-3</v>
      </c>
      <c r="G72" s="50">
        <f t="shared" si="17"/>
        <v>3.2678281398104804E-3</v>
      </c>
      <c r="H72" s="50">
        <f t="shared" si="17"/>
        <v>3.7278042974729091E-3</v>
      </c>
    </row>
    <row r="73" spans="1:16" ht="13.35" customHeight="1">
      <c r="B73" s="25" t="s">
        <v>60</v>
      </c>
      <c r="C73" s="50">
        <f t="shared" ref="C73:H73" si="18">C$16 * $C55</f>
        <v>-2.1344151705789446E-2</v>
      </c>
      <c r="D73" s="50">
        <f t="shared" si="18"/>
        <v>-2.8563588551726696E-2</v>
      </c>
      <c r="E73" s="50">
        <f t="shared" si="18"/>
        <v>-3.3125685082700605E-2</v>
      </c>
      <c r="F73" s="50">
        <f t="shared" si="18"/>
        <v>-3.6802975738775411E-2</v>
      </c>
      <c r="G73" s="50">
        <f t="shared" si="18"/>
        <v>-4.0444774352194034E-2</v>
      </c>
      <c r="H73" s="50">
        <f t="shared" si="18"/>
        <v>-4.4749567566080409E-2</v>
      </c>
    </row>
    <row r="75" spans="1:16" ht="13.35" customHeight="1">
      <c r="B75" s="33" t="s">
        <v>143</v>
      </c>
      <c r="C75" s="50">
        <f>C70 + C72 - C73</f>
        <v>-3.5222517559044847E-2</v>
      </c>
      <c r="D75" s="50">
        <f t="shared" ref="D75:H75" si="19">D70 + D72 - D73</f>
        <v>-4.0599504333444364E-2</v>
      </c>
      <c r="E75" s="50">
        <f t="shared" si="19"/>
        <v>-4.8676219029763441E-2</v>
      </c>
      <c r="F75" s="50">
        <f t="shared" si="19"/>
        <v>-5.7695461376230779E-2</v>
      </c>
      <c r="G75" s="50">
        <f t="shared" si="19"/>
        <v>-6.6787397507995477E-2</v>
      </c>
      <c r="H75" s="50">
        <f t="shared" si="19"/>
        <v>-7.5022628136446681E-2</v>
      </c>
    </row>
    <row r="76" spans="1:16" ht="13.35" customHeight="1">
      <c r="B76" s="33" t="s">
        <v>61</v>
      </c>
      <c r="C76" s="50">
        <v>0</v>
      </c>
      <c r="D76" s="50">
        <v>0</v>
      </c>
      <c r="E76" s="50">
        <v>0</v>
      </c>
      <c r="F76" s="50">
        <v>0</v>
      </c>
      <c r="G76" s="50">
        <v>0</v>
      </c>
      <c r="H76" s="50">
        <v>0</v>
      </c>
    </row>
    <row r="77" spans="1:16" ht="13.35" customHeight="1">
      <c r="B77" s="33" t="s">
        <v>144</v>
      </c>
      <c r="C77" s="50">
        <f t="shared" ref="C77:H77" si="20">(1 + C64)*(1 + C76)*(1 - C75) - 1</f>
        <v>9.5871836072151106E-2</v>
      </c>
      <c r="D77" s="50">
        <f t="shared" si="20"/>
        <v>0.1142899402535742</v>
      </c>
      <c r="E77" s="50">
        <f t="shared" si="20"/>
        <v>0.13441649157282209</v>
      </c>
      <c r="F77" s="50">
        <f t="shared" si="20"/>
        <v>0.15389968684572408</v>
      </c>
      <c r="G77" s="50">
        <f t="shared" si="20"/>
        <v>0.17242612104653521</v>
      </c>
      <c r="H77" s="50">
        <f t="shared" si="20"/>
        <v>0.19646123338031507</v>
      </c>
    </row>
    <row r="78" spans="1:16" ht="13.35" customHeight="1">
      <c r="B78" s="33" t="s">
        <v>988</v>
      </c>
      <c r="C78" s="169">
        <f t="shared" ref="C78:H78" si="21">$C61*EXP(C77)</f>
        <v>289676.8417318266</v>
      </c>
      <c r="D78" s="169">
        <f t="shared" si="21"/>
        <v>295061.57606117387</v>
      </c>
      <c r="E78" s="169">
        <f t="shared" si="21"/>
        <v>301060.31245705643</v>
      </c>
      <c r="F78" s="169">
        <f t="shared" si="21"/>
        <v>306983.44270050846</v>
      </c>
      <c r="G78" s="169">
        <f t="shared" si="21"/>
        <v>312723.76088003989</v>
      </c>
      <c r="H78" s="169">
        <f t="shared" si="21"/>
        <v>320331.16782118945</v>
      </c>
    </row>
    <row r="80" spans="1:16" s="4" customFormat="1" ht="13.35" customHeight="1">
      <c r="A80" s="2" t="s">
        <v>147</v>
      </c>
      <c r="C80" s="3"/>
      <c r="D80" s="5"/>
      <c r="E80" s="5"/>
      <c r="F80" s="5"/>
      <c r="G80" s="5"/>
      <c r="H80" s="5"/>
      <c r="I80" s="5"/>
      <c r="J80" s="6"/>
      <c r="K80" s="6"/>
      <c r="L80" s="5"/>
      <c r="M80" s="5"/>
      <c r="N80" s="5"/>
      <c r="O80" s="5"/>
      <c r="P80" s="5"/>
    </row>
    <row r="82" spans="1:16" s="23" customFormat="1" ht="13.35" customHeight="1">
      <c r="A82" s="33" t="s">
        <v>7</v>
      </c>
      <c r="B82" s="33" t="s">
        <v>110</v>
      </c>
      <c r="C82" s="24" t="s">
        <v>108</v>
      </c>
      <c r="D82" s="24" t="s">
        <v>142</v>
      </c>
    </row>
    <row r="83" spans="1:16" s="23" customFormat="1" ht="13.35" customHeight="1">
      <c r="A83" s="23" t="s">
        <v>9</v>
      </c>
      <c r="B83" s="23" t="s">
        <v>85</v>
      </c>
      <c r="C83" s="54">
        <f>VLOOKUP(A83, Table_Coefficients_long_LSETLG, MATCH(Parameter_Scenario_number, Header_Table_Econometrics, 0), FALSE)</f>
        <v>0.437</v>
      </c>
      <c r="D83" s="54">
        <f>C83/SUM($C$83:$C$85)</f>
        <v>0.45711297071129708</v>
      </c>
    </row>
    <row r="84" spans="1:16" s="23" customFormat="1" ht="13.35" customHeight="1">
      <c r="A84" s="23" t="s">
        <v>11</v>
      </c>
      <c r="B84" s="23" t="s">
        <v>48</v>
      </c>
      <c r="C84" s="54">
        <f>VLOOKUP(A84, Table_Coefficients_long_LSETLG, MATCH(Parameter_Scenario_number, Header_Table_Econometrics, 0), FALSE)</f>
        <v>0.16500000000000001</v>
      </c>
      <c r="D84" s="54">
        <f t="shared" ref="D84:D85" si="22">C84/SUM($C$83:$C$85)</f>
        <v>0.17259414225941425</v>
      </c>
    </row>
    <row r="85" spans="1:16" s="23" customFormat="1" ht="13.35" customHeight="1">
      <c r="A85" s="23" t="s">
        <v>13</v>
      </c>
      <c r="B85" s="23" t="s">
        <v>47</v>
      </c>
      <c r="C85" s="54">
        <f>VLOOKUP(A85, Table_Coefficients_long_LSETLG, MATCH(Parameter_Scenario_number, Header_Table_Econometrics, 0), FALSE)</f>
        <v>0.35399999999999998</v>
      </c>
      <c r="D85" s="54">
        <f t="shared" si="22"/>
        <v>0.3702928870292887</v>
      </c>
    </row>
    <row r="86" spans="1:16" s="23" customFormat="1" ht="13.35" customHeight="1">
      <c r="A86" s="23" t="s">
        <v>15</v>
      </c>
      <c r="B86" s="23" t="s">
        <v>46</v>
      </c>
      <c r="C86" s="54">
        <f>VLOOKUP(A86, Table_Coefficients_long_LSETLG, MATCH(Parameter_Scenario_number, Header_Table_Econometrics, 0), FALSE)</f>
        <v>-0.13</v>
      </c>
    </row>
    <row r="87" spans="1:16" s="23" customFormat="1" ht="13.35" customHeight="1">
      <c r="A87" s="23" t="s">
        <v>18</v>
      </c>
      <c r="B87" s="23" t="s">
        <v>57</v>
      </c>
      <c r="C87" s="240">
        <f>VLOOKUP(A87, Table_Coefficients_long_LSETLG, MATCH(Parameter_Scenario_number, Header_Table_Econometrics, 0), FALSE)</f>
        <v>1.2999999999999999E-2</v>
      </c>
    </row>
    <row r="89" spans="1:16" s="4" customFormat="1" ht="13.35" customHeight="1">
      <c r="A89" s="2" t="s">
        <v>148</v>
      </c>
      <c r="C89" s="3"/>
      <c r="D89" s="5"/>
      <c r="E89" s="5"/>
      <c r="F89" s="5"/>
      <c r="G89" s="5"/>
      <c r="H89" s="5"/>
      <c r="I89" s="5"/>
      <c r="J89" s="6"/>
      <c r="K89" s="6"/>
      <c r="L89" s="5"/>
      <c r="M89" s="5"/>
      <c r="N89" s="5"/>
      <c r="O89" s="5"/>
      <c r="P89" s="5"/>
    </row>
    <row r="91" spans="1:16" ht="13.35" customHeight="1">
      <c r="B91" s="23" t="s">
        <v>64</v>
      </c>
      <c r="C91" s="48">
        <f>'Calc|Efficiency target'!E14</f>
        <v>0.12345972974467678</v>
      </c>
    </row>
    <row r="92" spans="1:16" ht="13.35" customHeight="1">
      <c r="B92" s="23" t="s">
        <v>983</v>
      </c>
      <c r="C92" s="44">
        <f>$C$10*(1 - C91)</f>
        <v>267483.51440870861</v>
      </c>
    </row>
    <row r="93" spans="1:16" ht="13.35" customHeight="1">
      <c r="B93" s="23"/>
      <c r="C93" s="23"/>
    </row>
    <row r="94" spans="1:16" s="23" customFormat="1" ht="13.35" customHeight="1">
      <c r="A94" s="33"/>
      <c r="B94" s="33"/>
      <c r="C94" s="24">
        <v>2018</v>
      </c>
      <c r="D94" s="24">
        <v>2019</v>
      </c>
      <c r="E94" s="24">
        <v>2020</v>
      </c>
      <c r="F94" s="24">
        <v>2021</v>
      </c>
      <c r="G94" s="24">
        <v>2022</v>
      </c>
      <c r="H94" s="24">
        <v>2023</v>
      </c>
    </row>
    <row r="95" spans="1:16" s="23" customFormat="1" ht="13.35" customHeight="1">
      <c r="B95" s="24" t="s">
        <v>58</v>
      </c>
      <c r="C95" s="55">
        <f>$D83*C$13 + $D84*C$14 + $D85*C$15</f>
        <v>5.8699607039657833E-2</v>
      </c>
      <c r="D95" s="55">
        <f t="shared" ref="D95:H95" si="23">$D83*D$13 + $D84*D$14 + $D85*D$15</f>
        <v>7.1977474274591821E-2</v>
      </c>
      <c r="E95" s="55">
        <f t="shared" si="23"/>
        <v>8.34527618276764E-2</v>
      </c>
      <c r="F95" s="55">
        <f t="shared" si="23"/>
        <v>9.3175388185876964E-2</v>
      </c>
      <c r="G95" s="55">
        <f t="shared" si="23"/>
        <v>0.10188064460978914</v>
      </c>
      <c r="H95" s="55">
        <f t="shared" si="23"/>
        <v>0.11643751110393978</v>
      </c>
    </row>
    <row r="97" spans="1:16" ht="13.35" customHeight="1">
      <c r="C97" s="24">
        <v>2018</v>
      </c>
      <c r="D97" s="24">
        <v>2019</v>
      </c>
      <c r="E97" s="24">
        <v>2020</v>
      </c>
      <c r="F97" s="24">
        <v>2021</v>
      </c>
      <c r="G97" s="24">
        <v>2022</v>
      </c>
      <c r="H97" s="24">
        <v>2023</v>
      </c>
    </row>
    <row r="98" spans="1:16" ht="13.35" customHeight="1">
      <c r="B98" s="33"/>
      <c r="C98" s="56">
        <f t="shared" ref="C98:E98" si="24">C97 - $C$9</f>
        <v>4.5</v>
      </c>
      <c r="D98" s="56">
        <f t="shared" si="24"/>
        <v>5.5</v>
      </c>
      <c r="E98" s="56">
        <f t="shared" si="24"/>
        <v>6.5</v>
      </c>
      <c r="F98" s="56">
        <f>IF(Parameter_Victorian_or_non_Victorian="Non-Victorian", F97 - $C$9, F97 - $C$9 - 0.5)</f>
        <v>7.5</v>
      </c>
      <c r="G98" s="56">
        <f>IF(Parameter_Victorian_or_non_Victorian="Non-Victorian", G97 - $C$9, G97 - $C$9 - 0.5)</f>
        <v>8.5</v>
      </c>
      <c r="H98" s="56">
        <f>IF(Parameter_Victorian_or_non_Victorian="Non-Victorian", H97 - $C$9, H97 - $C$9 - 0.5)</f>
        <v>9.5</v>
      </c>
    </row>
    <row r="99" spans="1:16" ht="13.35" customHeight="1">
      <c r="B99" s="25" t="s">
        <v>57</v>
      </c>
      <c r="C99" s="50">
        <f>-$C87*C98</f>
        <v>-5.8499999999999996E-2</v>
      </c>
      <c r="D99" s="50">
        <f t="shared" ref="D99:H99" si="25">-$C87*D98</f>
        <v>-7.1499999999999994E-2</v>
      </c>
      <c r="E99" s="50">
        <f t="shared" si="25"/>
        <v>-8.4499999999999992E-2</v>
      </c>
      <c r="F99" s="50">
        <f t="shared" si="25"/>
        <v>-9.7499999999999989E-2</v>
      </c>
      <c r="G99" s="50">
        <f t="shared" si="25"/>
        <v>-0.1105</v>
      </c>
      <c r="H99" s="50">
        <f t="shared" si="25"/>
        <v>-0.1235</v>
      </c>
    </row>
    <row r="100" spans="1:16" ht="13.35" customHeight="1">
      <c r="B100" s="25" t="s">
        <v>893</v>
      </c>
      <c r="C100" s="50">
        <f t="shared" ref="C100:H100" si="26">IF(C97 &lt;= Parameter_Period_end, 0, -Parameter_Technology_growth_rate * (C97 - Parameter_Period_end))</f>
        <v>0</v>
      </c>
      <c r="D100" s="50">
        <f t="shared" si="26"/>
        <v>0</v>
      </c>
      <c r="E100" s="50">
        <f t="shared" si="26"/>
        <v>0</v>
      </c>
      <c r="F100" s="50">
        <f t="shared" si="26"/>
        <v>0</v>
      </c>
      <c r="G100" s="50">
        <f t="shared" si="26"/>
        <v>0</v>
      </c>
      <c r="H100" s="50">
        <f t="shared" si="26"/>
        <v>0</v>
      </c>
    </row>
    <row r="101" spans="1:16" ht="13.35" customHeight="1">
      <c r="B101" s="25" t="s">
        <v>892</v>
      </c>
      <c r="C101" s="50">
        <f t="shared" ref="C101:H101" si="27">IF(OR(C97 &lt;= Parameter_Period_end, Parameter_Apply_fixed_growth_rate = "0 - No"), C99, -$C87 * (Parameter_Period_end - $C$9) + C100)</f>
        <v>-5.8499999999999996E-2</v>
      </c>
      <c r="D101" s="50">
        <f t="shared" si="27"/>
        <v>-7.1499999999999994E-2</v>
      </c>
      <c r="E101" s="50">
        <f t="shared" si="27"/>
        <v>-8.4499999999999992E-2</v>
      </c>
      <c r="F101" s="50">
        <f t="shared" si="27"/>
        <v>-9.7499999999999989E-2</v>
      </c>
      <c r="G101" s="50">
        <f t="shared" si="27"/>
        <v>-0.1105</v>
      </c>
      <c r="H101" s="50">
        <f t="shared" si="27"/>
        <v>-0.1235</v>
      </c>
    </row>
    <row r="102" spans="1:16" ht="13.35" customHeight="1">
      <c r="B102" s="33"/>
      <c r="C102" s="56"/>
      <c r="D102" s="56"/>
      <c r="E102" s="56"/>
      <c r="F102" s="56"/>
      <c r="G102" s="56"/>
      <c r="H102" s="56"/>
    </row>
    <row r="103" spans="1:16" ht="13.35" customHeight="1">
      <c r="B103" s="25" t="s">
        <v>59</v>
      </c>
      <c r="C103" s="50">
        <f t="shared" ref="C103:H103" si="28">(1 - $C83 - $C84 - $C85) * C95</f>
        <v>2.5827827097449404E-3</v>
      </c>
      <c r="D103" s="50">
        <f t="shared" si="28"/>
        <v>3.1670088680820349E-3</v>
      </c>
      <c r="E103" s="50">
        <f t="shared" si="28"/>
        <v>3.6719215204177556E-3</v>
      </c>
      <c r="F103" s="50">
        <f t="shared" si="28"/>
        <v>4.09971708017858E-3</v>
      </c>
      <c r="G103" s="50">
        <f t="shared" si="28"/>
        <v>4.4827483628307151E-3</v>
      </c>
      <c r="H103" s="50">
        <f t="shared" si="28"/>
        <v>5.1232504885733417E-3</v>
      </c>
    </row>
    <row r="104" spans="1:16" ht="13.35" customHeight="1">
      <c r="B104" s="25" t="s">
        <v>60</v>
      </c>
      <c r="C104" s="50">
        <f t="shared" ref="C104:H104" si="29">C$16 * $C86</f>
        <v>-1.4759253839109723E-2</v>
      </c>
      <c r="D104" s="50">
        <f t="shared" si="29"/>
        <v>-1.9751417615555694E-2</v>
      </c>
      <c r="E104" s="50">
        <f t="shared" si="29"/>
        <v>-2.2906058833782335E-2</v>
      </c>
      <c r="F104" s="50">
        <f t="shared" si="29"/>
        <v>-2.5448866202344697E-2</v>
      </c>
      <c r="G104" s="50">
        <f t="shared" si="29"/>
        <v>-2.7967131200985235E-2</v>
      </c>
      <c r="H104" s="50">
        <f t="shared" si="29"/>
        <v>-3.0943849912715177E-2</v>
      </c>
    </row>
    <row r="106" spans="1:16" ht="13.35" customHeight="1">
      <c r="B106" s="33" t="s">
        <v>143</v>
      </c>
      <c r="C106" s="50">
        <f>C101 + C103 - C104</f>
        <v>-4.1157963451145335E-2</v>
      </c>
      <c r="D106" s="50">
        <f t="shared" ref="D106:H106" si="30">D101 + D103 - D104</f>
        <v>-4.8581573516362261E-2</v>
      </c>
      <c r="E106" s="50">
        <f t="shared" si="30"/>
        <v>-5.7922019645799898E-2</v>
      </c>
      <c r="F106" s="50">
        <f t="shared" si="30"/>
        <v>-6.7951416717476718E-2</v>
      </c>
      <c r="G106" s="50">
        <f t="shared" si="30"/>
        <v>-7.8050120436184048E-2</v>
      </c>
      <c r="H106" s="50">
        <f t="shared" si="30"/>
        <v>-8.7432899598711478E-2</v>
      </c>
    </row>
    <row r="107" spans="1:16" ht="13.35" customHeight="1">
      <c r="B107" s="33" t="s">
        <v>61</v>
      </c>
      <c r="C107" s="50">
        <v>0</v>
      </c>
      <c r="D107" s="50">
        <v>0</v>
      </c>
      <c r="E107" s="50">
        <v>0</v>
      </c>
      <c r="F107" s="50">
        <v>0</v>
      </c>
      <c r="G107" s="50">
        <v>0</v>
      </c>
      <c r="H107" s="50">
        <v>0</v>
      </c>
    </row>
    <row r="108" spans="1:16" ht="13.35" customHeight="1">
      <c r="B108" s="33" t="s">
        <v>144</v>
      </c>
      <c r="C108" s="50">
        <f t="shared" ref="C108:H108" si="31">(1 + C95)*(1 + C107)*(1 - C106) - 1</f>
        <v>0.10227352677193813</v>
      </c>
      <c r="D108" s="50">
        <f t="shared" si="31"/>
        <v>0.12405582674894711</v>
      </c>
      <c r="E108" s="50">
        <f t="shared" si="31"/>
        <v>0.14620853398355527</v>
      </c>
      <c r="F108" s="50">
        <f t="shared" si="31"/>
        <v>0.1674582045337849</v>
      </c>
      <c r="G108" s="50">
        <f t="shared" si="31"/>
        <v>0.18788256162788319</v>
      </c>
      <c r="H108" s="50">
        <f t="shared" si="31"/>
        <v>0.21405087992052585</v>
      </c>
    </row>
    <row r="109" spans="1:16" ht="13.35" customHeight="1">
      <c r="B109" s="33" t="s">
        <v>988</v>
      </c>
      <c r="C109" s="169">
        <f t="shared" ref="C109:H109" si="32">$C92*EXP(C108)</f>
        <v>296287.85439362301</v>
      </c>
      <c r="D109" s="169">
        <f t="shared" si="32"/>
        <v>302812.48810617841</v>
      </c>
      <c r="E109" s="169">
        <f t="shared" si="32"/>
        <v>309595.45768313756</v>
      </c>
      <c r="F109" s="169">
        <f t="shared" si="32"/>
        <v>316244.65559420717</v>
      </c>
      <c r="G109" s="169">
        <f t="shared" si="32"/>
        <v>322770.16216364299</v>
      </c>
      <c r="H109" s="169">
        <f t="shared" si="32"/>
        <v>331327.99824375781</v>
      </c>
    </row>
    <row r="111" spans="1:16" s="4" customFormat="1" ht="13.35" customHeight="1">
      <c r="A111" s="2" t="s">
        <v>1041</v>
      </c>
      <c r="C111" s="3"/>
      <c r="D111" s="5"/>
      <c r="E111" s="5"/>
      <c r="F111" s="5"/>
      <c r="G111" s="5"/>
      <c r="H111" s="5"/>
      <c r="I111" s="5"/>
      <c r="J111" s="6"/>
      <c r="K111" s="6"/>
      <c r="L111" s="5"/>
      <c r="M111" s="5"/>
      <c r="N111" s="5"/>
      <c r="O111" s="5"/>
      <c r="P111" s="5"/>
    </row>
    <row r="113" spans="1:16" s="23" customFormat="1" ht="13.35" customHeight="1">
      <c r="A113" s="33" t="s">
        <v>7</v>
      </c>
      <c r="B113" s="33" t="s">
        <v>110</v>
      </c>
      <c r="C113" s="24" t="s">
        <v>108</v>
      </c>
      <c r="D113" s="24" t="s">
        <v>142</v>
      </c>
    </row>
    <row r="114" spans="1:16" s="23" customFormat="1" ht="13.35" customHeight="1">
      <c r="A114" s="23" t="s">
        <v>9</v>
      </c>
      <c r="B114" s="23" t="s">
        <v>85</v>
      </c>
      <c r="C114" s="54">
        <f>VLOOKUP(A114, Table_Coefficients_long_SFATLG, MATCH(Parameter_Scenario_number, Header_Table_Econometrics, 0), FALSE)</f>
        <v>0.505</v>
      </c>
      <c r="D114" s="54">
        <f>C114/SUM($C$114:$C$116)</f>
        <v>0.54535637149028071</v>
      </c>
    </row>
    <row r="115" spans="1:16" s="23" customFormat="1" ht="13.35" customHeight="1">
      <c r="A115" s="23" t="s">
        <v>11</v>
      </c>
      <c r="B115" s="23" t="s">
        <v>48</v>
      </c>
      <c r="C115" s="54">
        <f>VLOOKUP(A115, Table_Coefficients_long_SFATLG, MATCH(Parameter_Scenario_number, Header_Table_Econometrics, 0), FALSE)</f>
        <v>4.5999999999999999E-2</v>
      </c>
      <c r="D115" s="54">
        <f t="shared" ref="D115:D116" si="33">C115/SUM($C$114:$C$116)</f>
        <v>4.967602591792656E-2</v>
      </c>
    </row>
    <row r="116" spans="1:16" s="23" customFormat="1" ht="13.35" customHeight="1">
      <c r="A116" s="23" t="s">
        <v>13</v>
      </c>
      <c r="B116" s="23" t="s">
        <v>47</v>
      </c>
      <c r="C116" s="54">
        <f>VLOOKUP(A116, Table_Coefficients_long_SFATLG, MATCH(Parameter_Scenario_number, Header_Table_Econometrics, 0), FALSE)</f>
        <v>0.375</v>
      </c>
      <c r="D116" s="54">
        <f t="shared" si="33"/>
        <v>0.40496760259179265</v>
      </c>
    </row>
    <row r="117" spans="1:16" s="23" customFormat="1" ht="13.35" customHeight="1">
      <c r="A117" s="23" t="s">
        <v>15</v>
      </c>
      <c r="B117" s="23" t="s">
        <v>46</v>
      </c>
      <c r="C117" s="54">
        <f>VLOOKUP(A117, Table_Coefficients_long_SFATLG, MATCH(Parameter_Scenario_number, Header_Table_Econometrics, 0), FALSE)</f>
        <v>-0.158</v>
      </c>
    </row>
    <row r="118" spans="1:16" s="23" customFormat="1" ht="13.35" customHeight="1">
      <c r="A118" s="23" t="s">
        <v>18</v>
      </c>
      <c r="B118" s="23" t="s">
        <v>57</v>
      </c>
      <c r="C118" s="241">
        <f>VLOOKUP(A118, Table_Coefficients_long_SFATLG, MATCH(Parameter_Scenario_number, Header_Table_Econometrics, 0), FALSE)</f>
        <v>1.2999999999999999E-2</v>
      </c>
    </row>
    <row r="120" spans="1:16" s="4" customFormat="1" ht="13.35" customHeight="1">
      <c r="A120" s="2" t="s">
        <v>1040</v>
      </c>
      <c r="C120" s="3"/>
      <c r="D120" s="5"/>
      <c r="E120" s="5"/>
      <c r="F120" s="5"/>
      <c r="G120" s="5"/>
      <c r="H120" s="5"/>
      <c r="I120" s="5"/>
      <c r="J120" s="6"/>
      <c r="K120" s="6"/>
      <c r="L120" s="5"/>
      <c r="M120" s="5"/>
      <c r="N120" s="5"/>
      <c r="O120" s="5"/>
      <c r="P120" s="5"/>
    </row>
    <row r="122" spans="1:16" ht="13.35" customHeight="1">
      <c r="B122" s="23" t="s">
        <v>64</v>
      </c>
      <c r="C122" s="48">
        <f>'Calc|Efficiency target'!E15</f>
        <v>0.26130500830088887</v>
      </c>
    </row>
    <row r="123" spans="1:16" ht="13.35" customHeight="1">
      <c r="B123" s="23" t="s">
        <v>983</v>
      </c>
      <c r="C123" s="44">
        <f>$C$10*(1 - C122)</f>
        <v>225418.8873698129</v>
      </c>
    </row>
    <row r="124" spans="1:16" ht="13.35" customHeight="1">
      <c r="B124" s="23"/>
      <c r="C124" s="23"/>
    </row>
    <row r="125" spans="1:16" s="23" customFormat="1" ht="13.35" customHeight="1">
      <c r="A125" s="33"/>
      <c r="B125" s="33"/>
      <c r="C125" s="24">
        <v>2018</v>
      </c>
      <c r="D125" s="24">
        <v>2019</v>
      </c>
      <c r="E125" s="24">
        <v>2020</v>
      </c>
      <c r="F125" s="24">
        <v>2021</v>
      </c>
      <c r="G125" s="24">
        <v>2022</v>
      </c>
      <c r="H125" s="24">
        <v>2023</v>
      </c>
    </row>
    <row r="126" spans="1:16" s="23" customFormat="1" ht="13.35" customHeight="1">
      <c r="B126" s="24" t="s">
        <v>58</v>
      </c>
      <c r="C126" s="55">
        <f>$D114*C$13 + $D115*C$14 + $D116*C$15</f>
        <v>5.9511509461763319E-2</v>
      </c>
      <c r="D126" s="55">
        <f t="shared" ref="D126:H126" si="34">$D114*D$13 + $D115*D$14 + $D116*D$15</f>
        <v>7.2298026198745979E-2</v>
      </c>
      <c r="E126" s="55">
        <f t="shared" si="34"/>
        <v>8.4200335991573783E-2</v>
      </c>
      <c r="F126" s="55">
        <f t="shared" si="34"/>
        <v>9.4109218067023437E-2</v>
      </c>
      <c r="G126" s="55">
        <f t="shared" si="34"/>
        <v>0.10260715200832263</v>
      </c>
      <c r="H126" s="55">
        <f t="shared" si="34"/>
        <v>0.11782889029361204</v>
      </c>
    </row>
    <row r="128" spans="1:16" ht="13.35" customHeight="1">
      <c r="C128" s="24">
        <v>2018</v>
      </c>
      <c r="D128" s="24">
        <v>2019</v>
      </c>
      <c r="E128" s="24">
        <v>2020</v>
      </c>
      <c r="F128" s="24">
        <v>2021</v>
      </c>
      <c r="G128" s="24">
        <v>2022</v>
      </c>
      <c r="H128" s="24">
        <v>2023</v>
      </c>
    </row>
    <row r="129" spans="1:8" ht="13.35" customHeight="1">
      <c r="B129" s="33"/>
      <c r="C129" s="56">
        <f t="shared" ref="C129:E129" si="35">C128 - $C$9</f>
        <v>4.5</v>
      </c>
      <c r="D129" s="56">
        <f t="shared" si="35"/>
        <v>5.5</v>
      </c>
      <c r="E129" s="56">
        <f t="shared" si="35"/>
        <v>6.5</v>
      </c>
      <c r="F129" s="56">
        <f>IF(Parameter_Victorian_or_non_Victorian="Non-Victorian", F128 - $C$9, F128 - $C$9 - 0.5)</f>
        <v>7.5</v>
      </c>
      <c r="G129" s="56">
        <f>IF(Parameter_Victorian_or_non_Victorian="Non-Victorian", G128 - $C$9, G128 - $C$9 - 0.5)</f>
        <v>8.5</v>
      </c>
      <c r="H129" s="56">
        <f>IF(Parameter_Victorian_or_non_Victorian="Non-Victorian", H128 - $C$9, H128 - $C$9 - 0.5)</f>
        <v>9.5</v>
      </c>
    </row>
    <row r="130" spans="1:8" ht="13.35" customHeight="1">
      <c r="B130" s="25" t="s">
        <v>57</v>
      </c>
      <c r="C130" s="50">
        <f>-$C118*C129</f>
        <v>-5.8499999999999996E-2</v>
      </c>
      <c r="D130" s="50">
        <f t="shared" ref="D130:H130" si="36">-$C118*D129</f>
        <v>-7.1499999999999994E-2</v>
      </c>
      <c r="E130" s="50">
        <f t="shared" si="36"/>
        <v>-8.4499999999999992E-2</v>
      </c>
      <c r="F130" s="50">
        <f t="shared" si="36"/>
        <v>-9.7499999999999989E-2</v>
      </c>
      <c r="G130" s="50">
        <f t="shared" si="36"/>
        <v>-0.1105</v>
      </c>
      <c r="H130" s="50">
        <f t="shared" si="36"/>
        <v>-0.1235</v>
      </c>
    </row>
    <row r="131" spans="1:8" ht="13.35" customHeight="1">
      <c r="B131" s="25" t="s">
        <v>893</v>
      </c>
      <c r="C131" s="50">
        <f t="shared" ref="C131:H131" si="37">IF(C128 &lt;= Parameter_Period_end, 0, -Parameter_Technology_growth_rate * (C128 - Parameter_Period_end))</f>
        <v>0</v>
      </c>
      <c r="D131" s="50">
        <f t="shared" si="37"/>
        <v>0</v>
      </c>
      <c r="E131" s="50">
        <f t="shared" si="37"/>
        <v>0</v>
      </c>
      <c r="F131" s="50">
        <f t="shared" si="37"/>
        <v>0</v>
      </c>
      <c r="G131" s="50">
        <f t="shared" si="37"/>
        <v>0</v>
      </c>
      <c r="H131" s="50">
        <f t="shared" si="37"/>
        <v>0</v>
      </c>
    </row>
    <row r="132" spans="1:8" ht="13.35" customHeight="1">
      <c r="B132" s="25" t="s">
        <v>892</v>
      </c>
      <c r="C132" s="50">
        <f t="shared" ref="C132:H132" si="38">IF(OR(C128 &lt;= Parameter_Period_end, Parameter_Apply_fixed_growth_rate = "0 - No"), C130, -$C118 * (Parameter_Period_end - $C$9) + C131)</f>
        <v>-5.8499999999999996E-2</v>
      </c>
      <c r="D132" s="50">
        <f t="shared" si="38"/>
        <v>-7.1499999999999994E-2</v>
      </c>
      <c r="E132" s="50">
        <f t="shared" si="38"/>
        <v>-8.4499999999999992E-2</v>
      </c>
      <c r="F132" s="50">
        <f t="shared" si="38"/>
        <v>-9.7499999999999989E-2</v>
      </c>
      <c r="G132" s="50">
        <f t="shared" si="38"/>
        <v>-0.1105</v>
      </c>
      <c r="H132" s="50">
        <f t="shared" si="38"/>
        <v>-0.1235</v>
      </c>
    </row>
    <row r="133" spans="1:8" ht="13.35" customHeight="1">
      <c r="B133" s="33"/>
      <c r="C133" s="56"/>
      <c r="D133" s="56"/>
      <c r="E133" s="56"/>
      <c r="F133" s="56"/>
      <c r="G133" s="56"/>
      <c r="H133" s="56"/>
    </row>
    <row r="134" spans="1:8" ht="13.35" customHeight="1">
      <c r="B134" s="25" t="s">
        <v>59</v>
      </c>
      <c r="C134" s="50">
        <f t="shared" ref="C134:H134" si="39">(1 - $C114 - $C115 - $C116) * C126</f>
        <v>4.4038517001704861E-3</v>
      </c>
      <c r="D134" s="50">
        <f t="shared" si="39"/>
        <v>5.3500539387072036E-3</v>
      </c>
      <c r="E134" s="50">
        <f t="shared" si="39"/>
        <v>6.2308248633764609E-3</v>
      </c>
      <c r="F134" s="50">
        <f t="shared" si="39"/>
        <v>6.9640821369597351E-3</v>
      </c>
      <c r="G134" s="50">
        <f t="shared" si="39"/>
        <v>7.5929292486158753E-3</v>
      </c>
      <c r="H134" s="50">
        <f t="shared" si="39"/>
        <v>8.7193378817272925E-3</v>
      </c>
    </row>
    <row r="135" spans="1:8" ht="13.35" customHeight="1">
      <c r="B135" s="25" t="s">
        <v>60</v>
      </c>
      <c r="C135" s="50">
        <f t="shared" ref="C135:H135" si="40">C$16 * $C117</f>
        <v>-1.793817005061028E-2</v>
      </c>
      <c r="D135" s="50">
        <f t="shared" si="40"/>
        <v>-2.4005569101983076E-2</v>
      </c>
      <c r="E135" s="50">
        <f t="shared" si="40"/>
        <v>-2.7839671505673916E-2</v>
      </c>
      <c r="F135" s="50">
        <f t="shared" si="40"/>
        <v>-3.0930160461311248E-2</v>
      </c>
      <c r="G135" s="50">
        <f t="shared" si="40"/>
        <v>-3.3990820998120515E-2</v>
      </c>
      <c r="H135" s="50">
        <f t="shared" si="40"/>
        <v>-3.7608679124684602E-2</v>
      </c>
    </row>
    <row r="137" spans="1:8" ht="13.35" customHeight="1">
      <c r="B137" s="33" t="s">
        <v>143</v>
      </c>
      <c r="C137" s="50">
        <f>C132 + C134 - C135</f>
        <v>-3.6157978249219236E-2</v>
      </c>
      <c r="D137" s="50">
        <f t="shared" ref="D137:H137" si="41">D132 + D134 - D135</f>
        <v>-4.2144376959309712E-2</v>
      </c>
      <c r="E137" s="50">
        <f t="shared" si="41"/>
        <v>-5.0429503630949613E-2</v>
      </c>
      <c r="F137" s="50">
        <f t="shared" si="41"/>
        <v>-5.9605757401729006E-2</v>
      </c>
      <c r="G137" s="50">
        <f t="shared" si="41"/>
        <v>-6.8916249753263603E-2</v>
      </c>
      <c r="H137" s="50">
        <f t="shared" si="41"/>
        <v>-7.7171982993588101E-2</v>
      </c>
    </row>
    <row r="138" spans="1:8" ht="13.35" customHeight="1">
      <c r="B138" s="33" t="s">
        <v>61</v>
      </c>
      <c r="C138" s="50">
        <v>0</v>
      </c>
      <c r="D138" s="50">
        <v>0</v>
      </c>
      <c r="E138" s="50">
        <v>0</v>
      </c>
      <c r="F138" s="50">
        <v>0</v>
      </c>
      <c r="G138" s="50">
        <v>0</v>
      </c>
      <c r="H138" s="50">
        <v>0</v>
      </c>
    </row>
    <row r="139" spans="1:8" ht="13.35" customHeight="1">
      <c r="B139" s="33" t="s">
        <v>144</v>
      </c>
      <c r="C139" s="50">
        <f t="shared" ref="C139:H139" si="42">(1 + C126)*(1 + C138)*(1 - C137) - 1</f>
        <v>9.7821303575679197E-2</v>
      </c>
      <c r="D139" s="50">
        <f t="shared" si="42"/>
        <v>0.11748935842758979</v>
      </c>
      <c r="E139" s="50">
        <f t="shared" si="42"/>
        <v>0.13887602077213757</v>
      </c>
      <c r="F139" s="50">
        <f t="shared" si="42"/>
        <v>0.15932442669012192</v>
      </c>
      <c r="G139" s="50">
        <f t="shared" si="42"/>
        <v>0.1785947018758629</v>
      </c>
      <c r="H139" s="50">
        <f t="shared" si="42"/>
        <v>0.20409396240509214</v>
      </c>
    </row>
    <row r="140" spans="1:8" ht="13.35" customHeight="1">
      <c r="B140" s="33" t="s">
        <v>988</v>
      </c>
      <c r="C140" s="169">
        <f>$C123*EXP(C139)</f>
        <v>248584.21874925352</v>
      </c>
      <c r="D140" s="169">
        <f t="shared" ref="D140:H140" si="43">$C123*EXP(D139)</f>
        <v>253521.78378240942</v>
      </c>
      <c r="E140" s="169">
        <f t="shared" si="43"/>
        <v>259002.16319381897</v>
      </c>
      <c r="F140" s="169">
        <f t="shared" si="43"/>
        <v>264352.86477670312</v>
      </c>
      <c r="G140" s="169">
        <f t="shared" si="43"/>
        <v>269496.41689169547</v>
      </c>
      <c r="H140" s="169">
        <f t="shared" si="43"/>
        <v>276456.74065564014</v>
      </c>
    </row>
    <row r="142" spans="1:8" s="22" customFormat="1" ht="13.35" customHeight="1">
      <c r="A142" s="2" t="s">
        <v>106</v>
      </c>
      <c r="B142" s="4"/>
      <c r="C142" s="4"/>
    </row>
    <row r="144" spans="1:8" ht="13.35" customHeight="1">
      <c r="A144" s="33"/>
      <c r="B144" s="33"/>
    </row>
    <row r="145" spans="1:2" ht="13.35" customHeight="1">
      <c r="A145" s="23"/>
      <c r="B145" s="23"/>
    </row>
    <row r="146" spans="1:2" ht="13.35" customHeight="1">
      <c r="A146" s="23"/>
      <c r="B146" s="23"/>
    </row>
    <row r="147" spans="1:2" ht="13.35" customHeight="1">
      <c r="A147" s="23"/>
      <c r="B147" s="23"/>
    </row>
    <row r="148" spans="1:2" ht="13.35" customHeight="1">
      <c r="A148" s="23"/>
      <c r="B148" s="23"/>
    </row>
    <row r="149" spans="1:2" ht="13.35" customHeight="1">
      <c r="A149" s="23"/>
      <c r="B149" s="23"/>
    </row>
  </sheetData>
  <hyperlinks>
    <hyperlink ref="A2" location="Index!A1" display="Index" xr:uid="{00000000-0004-0000-0E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sheetPr>
  <dimension ref="A1:Q75"/>
  <sheetViews>
    <sheetView zoomScaleNormal="100" workbookViewId="0"/>
  </sheetViews>
  <sheetFormatPr defaultColWidth="8.85546875" defaultRowHeight="13.35" customHeight="1"/>
  <cols>
    <col min="1" max="1" width="24.5703125" style="21" customWidth="1"/>
    <col min="2" max="2" width="17.5703125" style="21" bestFit="1" customWidth="1"/>
    <col min="3" max="3" width="19.42578125" style="21" bestFit="1" customWidth="1"/>
    <col min="4" max="7" width="11.42578125" style="21" customWidth="1"/>
    <col min="8" max="8" width="12.140625" style="21" bestFit="1" customWidth="1"/>
    <col min="9" max="9" width="8.85546875" style="21"/>
    <col min="10" max="11" width="11.42578125" style="21" customWidth="1"/>
    <col min="12" max="16" width="8.85546875" style="21"/>
    <col min="17" max="17" width="8.85546875" style="21" customWidth="1"/>
    <col min="18" max="16384" width="8.85546875" style="21"/>
  </cols>
  <sheetData>
    <row r="1" spans="1:16" s="7" customFormat="1" ht="15.6" customHeight="1">
      <c r="A1" s="1" t="s">
        <v>894</v>
      </c>
    </row>
    <row r="2" spans="1:16" s="16" customFormat="1" ht="13.35" customHeight="1">
      <c r="A2" s="90" t="s">
        <v>86</v>
      </c>
      <c r="C2" s="15"/>
      <c r="E2" s="89"/>
    </row>
    <row r="3" spans="1:16" s="9" customFormat="1" ht="13.35" customHeight="1" thickBot="1">
      <c r="A3" s="8" t="s">
        <v>149</v>
      </c>
    </row>
    <row r="4" spans="1:16" s="9" customFormat="1" ht="13.35" customHeight="1"/>
    <row r="5" spans="1:16" s="4" customFormat="1" ht="13.35" customHeight="1">
      <c r="A5" s="2" t="s">
        <v>755</v>
      </c>
      <c r="C5" s="3"/>
      <c r="D5" s="5"/>
      <c r="E5" s="5"/>
      <c r="F5" s="5"/>
      <c r="G5" s="5"/>
      <c r="H5" s="5"/>
      <c r="I5" s="5"/>
      <c r="J5" s="6"/>
      <c r="K5" s="6"/>
      <c r="L5" s="5"/>
      <c r="M5" s="5"/>
      <c r="N5" s="5"/>
      <c r="O5" s="5"/>
      <c r="P5" s="5"/>
    </row>
    <row r="6" spans="1:16" s="9" customFormat="1" ht="13.35" customHeight="1"/>
    <row r="7" spans="1:16" s="9" customFormat="1" ht="13.35" customHeight="1">
      <c r="A7" s="11" t="s">
        <v>54</v>
      </c>
      <c r="B7" s="186" t="s">
        <v>997</v>
      </c>
      <c r="C7" s="186" t="s">
        <v>996</v>
      </c>
    </row>
    <row r="8" spans="1:16" s="9" customFormat="1" ht="13.35" customHeight="1">
      <c r="A8" s="10" t="s">
        <v>151</v>
      </c>
      <c r="B8" s="43">
        <v>1</v>
      </c>
      <c r="C8" s="43" t="s">
        <v>998</v>
      </c>
    </row>
    <row r="9" spans="1:16" s="9" customFormat="1" ht="13.35" customHeight="1">
      <c r="A9" s="10" t="s">
        <v>152</v>
      </c>
      <c r="B9" s="43">
        <v>1</v>
      </c>
      <c r="C9" s="43" t="s">
        <v>998</v>
      </c>
    </row>
    <row r="10" spans="1:16" s="9" customFormat="1" ht="13.35" customHeight="1">
      <c r="A10" s="10" t="s">
        <v>6</v>
      </c>
      <c r="B10" s="169">
        <f>IF(C10 &gt;= 7, 0, 1 - VLOOKUP(Parameter_DNSP, Table_Monotonicity_violations_long_LSETLG, MATCH(Parameter_Scenario_number, Header_Table_Econometrics, 0), FALSE))</f>
        <v>1</v>
      </c>
      <c r="C10" s="169" cm="1">
        <f t="array" ref="C10">INDEX(List_Number_of_violations_Long_LSETLG, , MATCH(Parameter_Scenario_number, Header_Table_Econometrics, 0))</f>
        <v>0</v>
      </c>
    </row>
    <row r="11" spans="1:16" s="9" customFormat="1" ht="13.35" customHeight="1">
      <c r="A11" s="10" t="s">
        <v>55</v>
      </c>
      <c r="B11" s="169">
        <f>IF(C11 &gt;= 7, 0, 1 - VLOOKUP(Parameter_DNSP, Table_Monotonicity_violations_long_SFATLG, MATCH(Parameter_Scenario_number, Header_Table_Econometrics, 0), FALSE))</f>
        <v>1</v>
      </c>
      <c r="C11" s="169" cm="1">
        <f t="array" ref="C11">INDEX(List_Number_of_violations_Long_SFATLG, , MATCH(Parameter_Scenario_number, Header_Table_Econometrics, 0))</f>
        <v>3</v>
      </c>
    </row>
    <row r="12" spans="1:16" s="9" customFormat="1" ht="13.35" customHeight="1"/>
    <row r="13" spans="1:16" s="4" customFormat="1" ht="13.35" customHeight="1">
      <c r="A13" s="2" t="s">
        <v>756</v>
      </c>
      <c r="C13" s="3"/>
      <c r="D13" s="5"/>
      <c r="E13" s="5"/>
      <c r="F13" s="5"/>
      <c r="G13" s="5"/>
      <c r="H13" s="5"/>
      <c r="I13" s="5"/>
      <c r="J13" s="6"/>
      <c r="K13" s="6"/>
      <c r="L13" s="5"/>
      <c r="M13" s="5"/>
      <c r="N13" s="5"/>
      <c r="O13" s="5"/>
      <c r="P13" s="5"/>
    </row>
    <row r="14" spans="1:16" s="9" customFormat="1" ht="13.35" customHeight="1"/>
    <row r="15" spans="1:16" s="9" customFormat="1" ht="13.35" customHeight="1">
      <c r="A15" s="11" t="s">
        <v>54</v>
      </c>
      <c r="B15" s="186" t="s">
        <v>997</v>
      </c>
      <c r="C15" s="186" t="s">
        <v>996</v>
      </c>
    </row>
    <row r="16" spans="1:16" s="9" customFormat="1" ht="13.35" customHeight="1">
      <c r="A16" s="10" t="s">
        <v>151</v>
      </c>
      <c r="B16" s="181">
        <v>1</v>
      </c>
      <c r="C16" s="181" t="s">
        <v>998</v>
      </c>
    </row>
    <row r="17" spans="1:16" s="9" customFormat="1" ht="13.35" customHeight="1">
      <c r="A17" s="10" t="s">
        <v>152</v>
      </c>
      <c r="B17" s="181">
        <v>1</v>
      </c>
      <c r="C17" s="181" t="s">
        <v>998</v>
      </c>
    </row>
    <row r="18" spans="1:16" s="9" customFormat="1" ht="13.35" customHeight="1">
      <c r="A18" s="10" t="s">
        <v>6</v>
      </c>
      <c r="B18" s="169">
        <f>IF(C18 &gt;= 7, 0, 1 - VLOOKUP(Parameter_DNSP, Table_Monotonicity_violations_short_LSETLG, MATCH(Parameter_Scenario_number, Header_Table_Econometrics, 0), FALSE))</f>
        <v>1</v>
      </c>
      <c r="C18" s="169" cm="1">
        <f t="array" ref="C18">INDEX(List_Number_of_violations_Short_LSETLG, , MATCH(Parameter_Scenario_number, Header_Table_Econometrics, 0))</f>
        <v>5</v>
      </c>
    </row>
    <row r="19" spans="1:16" s="9" customFormat="1" ht="13.35" customHeight="1">
      <c r="A19" s="10" t="s">
        <v>55</v>
      </c>
      <c r="B19" s="169">
        <f>IF(C19 &gt;= 7, 0, 1 - VLOOKUP(Parameter_DNSP, Table_Monotonicity_violations_short_SFATLG, MATCH(Parameter_Scenario_number, Header_Table_Econometrics, 0), FALSE))</f>
        <v>0</v>
      </c>
      <c r="C19" s="169" cm="1">
        <f t="array" ref="C19">INDEX(List_Number_of_violations_Short_SFATLG, , MATCH(Parameter_Scenario_number, Header_Table_Econometrics, 0))</f>
        <v>8</v>
      </c>
    </row>
    <row r="20" spans="1:16" s="9" customFormat="1" ht="13.35" customHeight="1"/>
    <row r="21" spans="1:16" s="4" customFormat="1" ht="13.35" customHeight="1">
      <c r="A21" s="2" t="s">
        <v>947</v>
      </c>
      <c r="C21" s="3"/>
      <c r="D21" s="5"/>
      <c r="E21" s="5"/>
      <c r="F21" s="5"/>
      <c r="G21" s="5"/>
      <c r="H21" s="5"/>
      <c r="I21" s="5"/>
      <c r="J21" s="6"/>
      <c r="K21" s="6"/>
      <c r="L21" s="5"/>
      <c r="M21" s="5"/>
      <c r="N21" s="5"/>
      <c r="O21" s="5"/>
      <c r="P21" s="5"/>
    </row>
    <row r="22" spans="1:16" ht="13.35" customHeight="1">
      <c r="J22" s="84">
        <f>H40</f>
        <v>314.23611533015719</v>
      </c>
    </row>
    <row r="23" spans="1:16" ht="13.35" customHeight="1">
      <c r="A23" s="24" t="s">
        <v>150</v>
      </c>
      <c r="J23" s="84">
        <f>H40</f>
        <v>314.23611533015719</v>
      </c>
    </row>
    <row r="24" spans="1:16" ht="13.35" customHeight="1">
      <c r="A24" s="24"/>
      <c r="J24" s="84">
        <f>H40</f>
        <v>314.23611533015719</v>
      </c>
    </row>
    <row r="25" spans="1:16" ht="13.35" customHeight="1">
      <c r="J25" s="84">
        <f>H40</f>
        <v>314.23611533015719</v>
      </c>
    </row>
    <row r="26" spans="1:16" ht="13.35" customHeight="1">
      <c r="A26" s="23" t="s">
        <v>0</v>
      </c>
      <c r="B26" s="46" t="str">
        <f>Parameter_DNSP</f>
        <v>END</v>
      </c>
      <c r="J26" s="84">
        <f>H40</f>
        <v>314.23611533015719</v>
      </c>
      <c r="K26" s="122"/>
    </row>
    <row r="27" spans="1:16" ht="13.35" customHeight="1">
      <c r="A27" s="23" t="s">
        <v>3</v>
      </c>
      <c r="B27" s="58">
        <f>Parameter_Period_start_long</f>
        <v>2006</v>
      </c>
      <c r="J27" s="23"/>
      <c r="K27" s="123"/>
    </row>
    <row r="28" spans="1:16" ht="13.35" customHeight="1">
      <c r="A28" s="23" t="s">
        <v>4</v>
      </c>
      <c r="B28" s="58">
        <f>Parameter_Period_end</f>
        <v>2021</v>
      </c>
      <c r="J28" s="23"/>
      <c r="K28" s="123"/>
    </row>
    <row r="29" spans="1:16" ht="13.35" customHeight="1">
      <c r="A29" s="23" t="s">
        <v>2</v>
      </c>
      <c r="B29" s="58">
        <f>Parameter_Base_year</f>
        <v>2023</v>
      </c>
      <c r="J29" s="23"/>
      <c r="K29" s="123"/>
    </row>
    <row r="30" spans="1:16" ht="13.35" customHeight="1">
      <c r="A30" s="23" t="s">
        <v>53</v>
      </c>
      <c r="B30" s="46">
        <f>Parameter_Efficiency_target</f>
        <v>0.75</v>
      </c>
      <c r="J30" s="23"/>
      <c r="K30" s="122"/>
    </row>
    <row r="32" spans="1:16" ht="13.35" customHeight="1">
      <c r="B32" s="24" t="str">
        <f>"Target opex:"</f>
        <v>Target opex:</v>
      </c>
      <c r="C32" s="24" t="s">
        <v>990</v>
      </c>
      <c r="K32" s="24"/>
    </row>
    <row r="33" spans="1:17" ht="13.35" customHeight="1">
      <c r="A33" s="24" t="s">
        <v>54</v>
      </c>
      <c r="B33" s="24">
        <v>2018</v>
      </c>
      <c r="C33" s="24">
        <v>2019</v>
      </c>
      <c r="D33" s="24">
        <v>2020</v>
      </c>
      <c r="E33" s="24">
        <v>2021</v>
      </c>
      <c r="F33" s="24">
        <v>2022</v>
      </c>
      <c r="G33" s="24">
        <v>2023</v>
      </c>
      <c r="H33" s="32" t="str">
        <f>"Base year "&amp;"("&amp;Parameter_Base_year&amp;")"</f>
        <v>Base year (2023)</v>
      </c>
      <c r="J33" s="24"/>
      <c r="K33" s="24"/>
      <c r="L33" s="24"/>
      <c r="M33" s="24"/>
      <c r="N33" s="24"/>
      <c r="O33" s="24"/>
      <c r="P33" s="24"/>
      <c r="Q33" s="32"/>
    </row>
    <row r="34" spans="1:17" ht="13.35" customHeight="1">
      <c r="A34" s="23" t="s">
        <v>151</v>
      </c>
      <c r="B34" s="60">
        <f>'Calc|Opex forecasts - Long'!C47/1000</f>
        <v>293.53819743967648</v>
      </c>
      <c r="C34" s="60">
        <f>'Calc|Opex forecasts - Long'!D47/1000</f>
        <v>300.08436009265574</v>
      </c>
      <c r="D34" s="60">
        <f>'Calc|Opex forecasts - Long'!E47/1000</f>
        <v>306.9568594621897</v>
      </c>
      <c r="E34" s="60">
        <f>'Calc|Opex forecasts - Long'!F47/1000</f>
        <v>313.55873276338792</v>
      </c>
      <c r="F34" s="60">
        <f>'Calc|Opex forecasts - Long'!G47/1000</f>
        <v>319.89849259944037</v>
      </c>
      <c r="G34" s="60">
        <f>'Calc|Opex forecasts - Long'!H47/1000</f>
        <v>328.82855460004129</v>
      </c>
      <c r="H34" s="60">
        <f>VLOOKUP(A34, Table_Summary_long, MATCH(Parameter_Base_year, Header_Table_Summary_long, 0), FALSE)</f>
        <v>328.82855460004129</v>
      </c>
      <c r="J34" s="23"/>
      <c r="K34" s="124"/>
      <c r="L34" s="124"/>
      <c r="M34" s="124"/>
      <c r="N34" s="124"/>
      <c r="O34" s="124"/>
      <c r="P34" s="124"/>
      <c r="Q34" s="124"/>
    </row>
    <row r="35" spans="1:17" ht="13.35" customHeight="1">
      <c r="A35" s="23" t="s">
        <v>152</v>
      </c>
      <c r="B35" s="60">
        <f>'Calc|Opex forecasts - Long'!C78/1000</f>
        <v>289.67684173182658</v>
      </c>
      <c r="C35" s="60">
        <f>'Calc|Opex forecasts - Long'!D78/1000</f>
        <v>295.06157606117387</v>
      </c>
      <c r="D35" s="60">
        <f>'Calc|Opex forecasts - Long'!E78/1000</f>
        <v>301.0603124570564</v>
      </c>
      <c r="E35" s="60">
        <f>'Calc|Opex forecasts - Long'!F78/1000</f>
        <v>306.98344270050848</v>
      </c>
      <c r="F35" s="60">
        <f>'Calc|Opex forecasts - Long'!G78/1000</f>
        <v>312.72376088003989</v>
      </c>
      <c r="G35" s="60">
        <f>'Calc|Opex forecasts - Long'!H78/1000</f>
        <v>320.33116782118947</v>
      </c>
      <c r="H35" s="60">
        <f>VLOOKUP(A35, Table_Summary_long, MATCH(Parameter_Base_year, Header_Table_Summary_long, 0), FALSE)</f>
        <v>320.33116782118947</v>
      </c>
      <c r="J35" s="23"/>
      <c r="K35" s="124"/>
      <c r="L35" s="124"/>
      <c r="M35" s="124"/>
      <c r="N35" s="124"/>
      <c r="O35" s="124"/>
      <c r="P35" s="124"/>
      <c r="Q35" s="124"/>
    </row>
    <row r="36" spans="1:17" ht="13.35" customHeight="1">
      <c r="A36" s="23" t="s">
        <v>6</v>
      </c>
      <c r="B36" s="60">
        <f>'Calc|Opex forecasts - Long'!C109/1000</f>
        <v>296.28785439362304</v>
      </c>
      <c r="C36" s="60">
        <f>'Calc|Opex forecasts - Long'!D109/1000</f>
        <v>302.81248810617842</v>
      </c>
      <c r="D36" s="60">
        <f>'Calc|Opex forecasts - Long'!E109/1000</f>
        <v>309.59545768313757</v>
      </c>
      <c r="E36" s="60">
        <f>'Calc|Opex forecasts - Long'!F109/1000</f>
        <v>316.24465559420719</v>
      </c>
      <c r="F36" s="60">
        <f>'Calc|Opex forecasts - Long'!G109/1000</f>
        <v>322.77016216364296</v>
      </c>
      <c r="G36" s="60">
        <f>'Calc|Opex forecasts - Long'!H109/1000</f>
        <v>331.3279982437578</v>
      </c>
      <c r="H36" s="187">
        <f>IF(B10 = 1, VLOOKUP(A36, Table_Summary_long, MATCH(Parameter_Base_year, Header_Table_Summary_long, 0), FALSE), 0)</f>
        <v>331.3279982437578</v>
      </c>
      <c r="J36" s="23"/>
      <c r="K36" s="124"/>
      <c r="L36" s="124"/>
      <c r="M36" s="124"/>
      <c r="N36" s="124"/>
      <c r="O36" s="124"/>
      <c r="P36" s="124"/>
      <c r="Q36" s="124"/>
    </row>
    <row r="37" spans="1:17" ht="13.35" customHeight="1">
      <c r="A37" s="23" t="s">
        <v>55</v>
      </c>
      <c r="B37" s="60">
        <f>'Calc|Opex forecasts - Long'!C140/1000</f>
        <v>248.58421874925352</v>
      </c>
      <c r="C37" s="60">
        <f>'Calc|Opex forecasts - Long'!D140/1000</f>
        <v>253.52178378240941</v>
      </c>
      <c r="D37" s="60">
        <f>'Calc|Opex forecasts - Long'!E140/1000</f>
        <v>259.00216319381894</v>
      </c>
      <c r="E37" s="60">
        <f>'Calc|Opex forecasts - Long'!F140/1000</f>
        <v>264.35286477670314</v>
      </c>
      <c r="F37" s="60">
        <f>'Calc|Opex forecasts - Long'!G140/1000</f>
        <v>269.49641689169545</v>
      </c>
      <c r="G37" s="60">
        <f>'Calc|Opex forecasts - Long'!H140/1000</f>
        <v>276.45674065564015</v>
      </c>
      <c r="H37" s="187">
        <f>IF(B11 = 1, VLOOKUP(A37, Table_Summary_long, MATCH(Parameter_Base_year, Header_Table_Summary_long, 0), FALSE), 0)</f>
        <v>276.45674065564015</v>
      </c>
      <c r="J37" s="23"/>
      <c r="K37" s="124"/>
      <c r="L37" s="124"/>
      <c r="M37" s="124"/>
      <c r="N37" s="124"/>
      <c r="O37" s="124"/>
      <c r="P37" s="124"/>
      <c r="Q37" s="124"/>
    </row>
    <row r="38" spans="1:17" ht="13.35" customHeight="1">
      <c r="A38" s="23" t="s">
        <v>986</v>
      </c>
      <c r="B38" s="60">
        <f>'Calc|Cost drivers'!O19/1000</f>
        <v>294.7637381926092</v>
      </c>
      <c r="C38" s="60">
        <f>'Calc|Cost drivers'!P19/1000</f>
        <v>301.49905002255048</v>
      </c>
      <c r="D38" s="60">
        <f>'Calc|Cost drivers'!Q19/1000</f>
        <v>263.41090916330199</v>
      </c>
      <c r="E38" s="60">
        <f>'Calc|Cost drivers'!R19/1000</f>
        <v>272.20597344527698</v>
      </c>
      <c r="F38" s="60">
        <f>'Calc|Cost drivers'!S19/1000</f>
        <v>270.1233024122912</v>
      </c>
      <c r="G38" s="60">
        <f>'Calc|Cost drivers'!T19/1000</f>
        <v>263.83382082163956</v>
      </c>
      <c r="H38" s="60">
        <f>VLOOKUP(A38, Table_Summary_long, MATCH(Parameter_Base_year, Header_Table_Summary_long, 0), FALSE)</f>
        <v>263.83382082163956</v>
      </c>
      <c r="J38" s="23"/>
      <c r="K38" s="124"/>
      <c r="L38" s="124"/>
      <c r="M38" s="124"/>
      <c r="N38" s="124"/>
      <c r="O38" s="124"/>
      <c r="P38" s="124"/>
      <c r="Q38" s="124"/>
    </row>
    <row r="39" spans="1:17" ht="13.35" customHeight="1">
      <c r="A39" s="23"/>
      <c r="B39" s="164"/>
      <c r="C39" s="164"/>
      <c r="D39" s="164"/>
      <c r="E39" s="164"/>
      <c r="F39" s="164"/>
      <c r="G39" s="164"/>
      <c r="H39" s="59"/>
      <c r="J39" s="23"/>
      <c r="K39" s="120"/>
      <c r="L39" s="120"/>
      <c r="M39" s="120"/>
      <c r="N39" s="120"/>
      <c r="O39" s="120"/>
      <c r="P39" s="120"/>
      <c r="Q39" s="121"/>
    </row>
    <row r="40" spans="1:17" ht="13.35" customHeight="1">
      <c r="A40" s="24" t="s">
        <v>153</v>
      </c>
      <c r="B40" s="60">
        <f t="shared" ref="B40:H40" si="0">AVERAGEIF($B$8:$B$11, 1, B34:B37)</f>
        <v>282.02177807859493</v>
      </c>
      <c r="C40" s="60">
        <f t="shared" si="0"/>
        <v>287.87005201060435</v>
      </c>
      <c r="D40" s="60">
        <f t="shared" si="0"/>
        <v>294.15369819905061</v>
      </c>
      <c r="E40" s="60">
        <f t="shared" si="0"/>
        <v>300.28492395870171</v>
      </c>
      <c r="F40" s="60">
        <f t="shared" si="0"/>
        <v>306.22220813370467</v>
      </c>
      <c r="G40" s="60">
        <f t="shared" si="0"/>
        <v>314.23611533015719</v>
      </c>
      <c r="H40" s="60">
        <f t="shared" si="0"/>
        <v>314.23611533015719</v>
      </c>
      <c r="I40" s="141"/>
      <c r="J40" s="24"/>
      <c r="K40" s="124"/>
      <c r="L40" s="124"/>
      <c r="M40" s="124"/>
      <c r="N40" s="124"/>
      <c r="O40" s="124"/>
      <c r="P40" s="124"/>
      <c r="Q40" s="124"/>
    </row>
    <row r="41" spans="1:17" ht="13.35" customHeight="1">
      <c r="A41" s="24" t="s">
        <v>154</v>
      </c>
      <c r="B41" s="83">
        <f>B40 - B38</f>
        <v>-12.741960114014262</v>
      </c>
      <c r="C41" s="83">
        <f t="shared" ref="C41:H41" si="1">C40 - C38</f>
        <v>-13.628998011946123</v>
      </c>
      <c r="D41" s="83">
        <f t="shared" si="1"/>
        <v>30.742789035748615</v>
      </c>
      <c r="E41" s="83">
        <f t="shared" si="1"/>
        <v>28.078950513424729</v>
      </c>
      <c r="F41" s="83">
        <f t="shared" si="1"/>
        <v>36.098905721413473</v>
      </c>
      <c r="G41" s="83">
        <f t="shared" si="1"/>
        <v>50.402294508517627</v>
      </c>
      <c r="H41" s="83">
        <f t="shared" si="1"/>
        <v>50.402294508517627</v>
      </c>
      <c r="J41" s="24"/>
      <c r="K41" s="125"/>
      <c r="L41" s="125"/>
      <c r="M41" s="125"/>
      <c r="N41" s="125"/>
      <c r="O41" s="125"/>
      <c r="P41" s="125"/>
      <c r="Q41" s="125"/>
    </row>
    <row r="42" spans="1:17" ht="13.35" customHeight="1">
      <c r="A42" s="23" t="s">
        <v>79</v>
      </c>
      <c r="B42" s="61">
        <f>B41/B38</f>
        <v>-4.3227705660620327E-2</v>
      </c>
      <c r="C42" s="61">
        <f t="shared" ref="C42:H42" si="2">C41/C38</f>
        <v>-4.5204115936440761E-2</v>
      </c>
      <c r="D42" s="61">
        <f t="shared" si="2"/>
        <v>0.11671038657206705</v>
      </c>
      <c r="E42" s="61">
        <f t="shared" si="2"/>
        <v>0.10315332230969425</v>
      </c>
      <c r="F42" s="61">
        <f t="shared" si="2"/>
        <v>0.13363862132233023</v>
      </c>
      <c r="G42" s="61">
        <f t="shared" si="2"/>
        <v>0.19103803428822438</v>
      </c>
      <c r="H42" s="165">
        <f t="shared" si="2"/>
        <v>0.19103803428822438</v>
      </c>
      <c r="J42" s="23"/>
      <c r="K42" s="126"/>
      <c r="L42" s="126"/>
      <c r="M42" s="126"/>
      <c r="N42" s="126"/>
      <c r="O42" s="126"/>
      <c r="P42" s="126"/>
      <c r="Q42" s="126"/>
    </row>
    <row r="43" spans="1:17" ht="13.35" customHeight="1">
      <c r="A43" s="23"/>
      <c r="B43" s="126"/>
      <c r="C43" s="126"/>
      <c r="D43" s="126"/>
      <c r="E43" s="126"/>
      <c r="F43" s="126"/>
      <c r="G43" s="126"/>
      <c r="H43" s="171"/>
      <c r="J43" s="23"/>
      <c r="K43" s="126"/>
      <c r="L43" s="126"/>
      <c r="M43" s="126"/>
      <c r="N43" s="126"/>
      <c r="O43" s="126"/>
      <c r="P43" s="126"/>
      <c r="Q43" s="126"/>
    </row>
    <row r="44" spans="1:17" ht="13.35" customHeight="1">
      <c r="A44" s="23" t="s">
        <v>987</v>
      </c>
      <c r="B44" s="60">
        <f>'Calc|Cost drivers'!O15/1000</f>
        <v>278.51248718438006</v>
      </c>
      <c r="C44" s="60">
        <f>'Calc|Cost drivers'!P15/1000</f>
        <v>291.79486913370005</v>
      </c>
      <c r="D44" s="60">
        <f>'Calc|Cost drivers'!Q15/1000</f>
        <v>259.97016376625504</v>
      </c>
      <c r="E44" s="60">
        <f>'Calc|Cost drivers'!R15/1000</f>
        <v>272.20597344527698</v>
      </c>
      <c r="F44" s="60">
        <f>'Calc|Cost drivers'!S15/1000</f>
        <v>276.17446400000006</v>
      </c>
      <c r="G44" s="60">
        <f>'Calc|Cost drivers'!T15/1000</f>
        <v>281.05583851902162</v>
      </c>
      <c r="H44" s="60">
        <f>VLOOKUP(A44, Table_Summary_long, MATCH(Parameter_Base_year, Header_Table_Summary_long, 0), FALSE)</f>
        <v>281.05583851902162</v>
      </c>
    </row>
    <row r="45" spans="1:17" ht="13.35" customHeight="1">
      <c r="A45" s="23" t="s">
        <v>963</v>
      </c>
      <c r="B45" s="60">
        <f>B44*(1+B42)</f>
        <v>266.47303136556638</v>
      </c>
      <c r="C45" s="60">
        <f t="shared" ref="C45:G45" si="3">C44*(1+C42)</f>
        <v>278.60454003972171</v>
      </c>
      <c r="D45" s="60">
        <f t="shared" si="3"/>
        <v>290.31138207661826</v>
      </c>
      <c r="E45" s="60">
        <f t="shared" si="3"/>
        <v>300.28492395870171</v>
      </c>
      <c r="F45" s="60">
        <f t="shared" si="3"/>
        <v>313.08203861339359</v>
      </c>
      <c r="G45" s="60">
        <f t="shared" si="3"/>
        <v>334.74819343492413</v>
      </c>
      <c r="H45" s="60">
        <f>VLOOKUP(A45, Table_Summary_long, MATCH(Parameter_Base_year, Header_Table_Summary_long, 0), FALSE)</f>
        <v>334.74819343492413</v>
      </c>
    </row>
    <row r="46" spans="1:17" ht="13.35" customHeight="1">
      <c r="A46" s="24"/>
      <c r="B46" s="23"/>
      <c r="C46" s="23"/>
      <c r="D46" s="23"/>
      <c r="E46" s="23"/>
      <c r="F46" s="57"/>
      <c r="G46" s="23"/>
      <c r="H46" s="172">
        <f>MIN(H44,H45)</f>
        <v>281.05583851902162</v>
      </c>
    </row>
    <row r="47" spans="1:17" ht="13.35" customHeight="1">
      <c r="A47" s="24"/>
      <c r="B47" s="23"/>
      <c r="C47" s="23"/>
      <c r="D47" s="23"/>
      <c r="E47" s="23"/>
      <c r="F47" s="57"/>
      <c r="G47" s="23"/>
      <c r="H47" s="71"/>
    </row>
    <row r="48" spans="1:17" s="4" customFormat="1" ht="13.35" customHeight="1">
      <c r="A48" s="2" t="s">
        <v>948</v>
      </c>
      <c r="C48" s="3"/>
      <c r="D48" s="5"/>
      <c r="E48" s="5"/>
      <c r="F48" s="5"/>
      <c r="G48" s="5"/>
      <c r="H48" s="5"/>
      <c r="I48" s="5"/>
      <c r="J48" s="6"/>
      <c r="K48" s="6"/>
      <c r="L48" s="5"/>
      <c r="M48" s="5"/>
      <c r="N48" s="5"/>
      <c r="O48" s="5"/>
      <c r="P48" s="5"/>
    </row>
    <row r="49" spans="1:10" ht="13.35" customHeight="1">
      <c r="J49" s="84">
        <f>H67</f>
        <v>299.86620813549627</v>
      </c>
    </row>
    <row r="50" spans="1:10" ht="13.35" customHeight="1">
      <c r="A50" s="24" t="s">
        <v>150</v>
      </c>
      <c r="J50" s="84">
        <f>H67</f>
        <v>299.86620813549627</v>
      </c>
    </row>
    <row r="51" spans="1:10" ht="13.35" customHeight="1">
      <c r="A51" s="24"/>
      <c r="J51" s="84">
        <f>H67</f>
        <v>299.86620813549627</v>
      </c>
    </row>
    <row r="52" spans="1:10" ht="13.35" customHeight="1">
      <c r="J52" s="84">
        <f>H67</f>
        <v>299.86620813549627</v>
      </c>
    </row>
    <row r="53" spans="1:10" ht="13.35" customHeight="1">
      <c r="A53" s="23" t="s">
        <v>0</v>
      </c>
      <c r="B53" s="46" t="str">
        <f>Parameter_DNSP</f>
        <v>END</v>
      </c>
      <c r="J53" s="84">
        <f>H67</f>
        <v>299.86620813549627</v>
      </c>
    </row>
    <row r="54" spans="1:10" ht="13.35" customHeight="1">
      <c r="A54" s="23" t="s">
        <v>3</v>
      </c>
      <c r="B54" s="58">
        <f>Parameter_Period_start_short</f>
        <v>2012</v>
      </c>
    </row>
    <row r="55" spans="1:10" ht="13.35" customHeight="1">
      <c r="A55" s="23" t="s">
        <v>4</v>
      </c>
      <c r="B55" s="58">
        <f>Parameter_Period_end</f>
        <v>2021</v>
      </c>
    </row>
    <row r="56" spans="1:10" ht="13.35" customHeight="1">
      <c r="A56" s="23" t="s">
        <v>2</v>
      </c>
      <c r="B56" s="58">
        <f>Parameter_Base_year</f>
        <v>2023</v>
      </c>
    </row>
    <row r="57" spans="1:10" ht="13.35" customHeight="1">
      <c r="A57" s="23" t="s">
        <v>53</v>
      </c>
      <c r="B57" s="46">
        <f>Parameter_Efficiency_target</f>
        <v>0.75</v>
      </c>
    </row>
    <row r="59" spans="1:10" ht="13.35" customHeight="1">
      <c r="B59" s="24" t="str">
        <f>"Target opex:"</f>
        <v>Target opex:</v>
      </c>
      <c r="C59" s="24" t="s">
        <v>990</v>
      </c>
    </row>
    <row r="60" spans="1:10" ht="13.35" customHeight="1">
      <c r="A60" s="24" t="s">
        <v>54</v>
      </c>
      <c r="B60" s="24">
        <v>2018</v>
      </c>
      <c r="C60" s="24">
        <v>2019</v>
      </c>
      <c r="D60" s="24">
        <v>2020</v>
      </c>
      <c r="E60" s="24">
        <v>2021</v>
      </c>
      <c r="F60" s="24">
        <v>2022</v>
      </c>
      <c r="G60" s="24">
        <v>2023</v>
      </c>
      <c r="H60" s="32" t="str">
        <f>"Base year "&amp;"("&amp;Parameter_Base_year&amp;")"</f>
        <v>Base year (2023)</v>
      </c>
    </row>
    <row r="61" spans="1:10" ht="13.35" customHeight="1">
      <c r="A61" s="23" t="s">
        <v>151</v>
      </c>
      <c r="B61" s="60">
        <f>'Calc|Opex forecasts - Short'!C47/1000</f>
        <v>270.69059789774673</v>
      </c>
      <c r="C61" s="60">
        <f>'Calc|Opex forecasts - Short'!D47/1000</f>
        <v>274.72357515472339</v>
      </c>
      <c r="D61" s="60">
        <f>'Calc|Opex forecasts - Short'!E47/1000</f>
        <v>278.87813567538831</v>
      </c>
      <c r="E61" s="60">
        <f>'Calc|Opex forecasts - Short'!F47/1000</f>
        <v>282.66073375000752</v>
      </c>
      <c r="F61" s="60">
        <f>'Calc|Opex forecasts - Short'!G47/1000</f>
        <v>286.10179566725657</v>
      </c>
      <c r="G61" s="60">
        <f>'Calc|Opex forecasts - Short'!H47/1000</f>
        <v>291.66245042260863</v>
      </c>
      <c r="H61" s="60">
        <f>VLOOKUP(A61, Table_Summary_short, MATCH(Parameter_Base_year, Header_Table_Summary_short, 0), FALSE)</f>
        <v>291.66245042260863</v>
      </c>
    </row>
    <row r="62" spans="1:10" ht="13.35" customHeight="1">
      <c r="A62" s="23" t="s">
        <v>152</v>
      </c>
      <c r="B62" s="60">
        <f>'Calc|Opex forecasts - Short'!C78/1000</f>
        <v>283.23637176848075</v>
      </c>
      <c r="C62" s="60">
        <f>'Calc|Opex forecasts - Short'!D78/1000</f>
        <v>287.51056711526036</v>
      </c>
      <c r="D62" s="60">
        <f>'Calc|Opex forecasts - Short'!E78/1000</f>
        <v>291.73570271167199</v>
      </c>
      <c r="E62" s="60">
        <f>'Calc|Opex forecasts - Short'!F78/1000</f>
        <v>295.65454633687978</v>
      </c>
      <c r="F62" s="60">
        <f>'Calc|Opex forecasts - Short'!G78/1000</f>
        <v>299.33659151503855</v>
      </c>
      <c r="G62" s="60">
        <f>'Calc|Opex forecasts - Short'!H78/1000</f>
        <v>304.82390627385234</v>
      </c>
      <c r="H62" s="60">
        <f>VLOOKUP(A62, Table_Summary_short, MATCH(Parameter_Base_year, Header_Table_Summary_short, 0), FALSE)</f>
        <v>304.82390627385234</v>
      </c>
    </row>
    <row r="63" spans="1:10" ht="13.35" customHeight="1">
      <c r="A63" s="23" t="s">
        <v>6</v>
      </c>
      <c r="B63" s="60">
        <f>'Calc|Opex forecasts - Short'!C109/1000</f>
        <v>282.17865949320679</v>
      </c>
      <c r="C63" s="60">
        <f>'Calc|Opex forecasts - Short'!D109/1000</f>
        <v>286.28530343358261</v>
      </c>
      <c r="D63" s="60">
        <f>'Calc|Opex forecasts - Short'!E109/1000</f>
        <v>290.36077234077635</v>
      </c>
      <c r="E63" s="60">
        <f>'Calc|Opex forecasts - Short'!F109/1000</f>
        <v>294.21187459221056</v>
      </c>
      <c r="F63" s="60">
        <f>'Calc|Opex forecasts - Short'!G109/1000</f>
        <v>297.89046030364119</v>
      </c>
      <c r="G63" s="60">
        <f>'Calc|Opex forecasts - Short'!H109/1000</f>
        <v>303.11226771002799</v>
      </c>
      <c r="H63" s="187">
        <f>IF(B18 = 1, VLOOKUP(A63, Table_Summary_short, MATCH(Parameter_Base_year, Header_Table_Summary_short, 0), FALSE), 0)</f>
        <v>303.11226771002799</v>
      </c>
    </row>
    <row r="64" spans="1:10" ht="13.35" customHeight="1">
      <c r="A64" s="23" t="s">
        <v>55</v>
      </c>
      <c r="B64" s="60">
        <f>'Calc|Opex forecasts - Short'!C140/1000</f>
        <v>256.74458682668592</v>
      </c>
      <c r="C64" s="60">
        <f>'Calc|Opex forecasts - Short'!D140/1000</f>
        <v>260.89360353761646</v>
      </c>
      <c r="D64" s="60">
        <f>'Calc|Opex forecasts - Short'!E140/1000</f>
        <v>264.94502556007296</v>
      </c>
      <c r="E64" s="60">
        <f>'Calc|Opex forecasts - Short'!F140/1000</f>
        <v>268.68189857994298</v>
      </c>
      <c r="F64" s="60">
        <f>'Calc|Opex forecasts - Short'!G140/1000</f>
        <v>272.1922351142594</v>
      </c>
      <c r="G64" s="60">
        <f>'Calc|Opex forecasts - Short'!H140/1000</f>
        <v>277.43646108094794</v>
      </c>
      <c r="H64" s="60">
        <f>IF(B19 = 1, VLOOKUP(A37, Table_Summary_short, MATCH(Parameter_Base_year, Header_Table_Summary_short, 0), FALSE), 0)</f>
        <v>0</v>
      </c>
    </row>
    <row r="65" spans="1:9" ht="13.35" customHeight="1">
      <c r="A65" s="23" t="s">
        <v>986</v>
      </c>
      <c r="B65" s="60">
        <f>'Calc|Cost drivers'!O19/1000</f>
        <v>294.7637381926092</v>
      </c>
      <c r="C65" s="60">
        <f>'Calc|Cost drivers'!P19/1000</f>
        <v>301.49905002255048</v>
      </c>
      <c r="D65" s="60">
        <f>'Calc|Cost drivers'!Q19/1000</f>
        <v>263.41090916330199</v>
      </c>
      <c r="E65" s="60">
        <f>'Calc|Cost drivers'!R19/1000</f>
        <v>272.20597344527698</v>
      </c>
      <c r="F65" s="60">
        <f>'Calc|Cost drivers'!S19/1000</f>
        <v>270.1233024122912</v>
      </c>
      <c r="G65" s="60">
        <f>'Calc|Cost drivers'!T19/1000</f>
        <v>263.83382082163956</v>
      </c>
      <c r="H65" s="60">
        <f>VLOOKUP(A65, Table_Summary_short, MATCH(Parameter_Base_year, Header_Table_Summary_short, 0), FALSE)</f>
        <v>263.83382082163956</v>
      </c>
    </row>
    <row r="66" spans="1:9" ht="13.35" customHeight="1">
      <c r="A66" s="23"/>
      <c r="B66" s="57"/>
      <c r="C66" s="57"/>
      <c r="D66" s="57"/>
      <c r="E66" s="57"/>
      <c r="F66" s="57"/>
      <c r="G66" s="57"/>
      <c r="H66" s="57"/>
    </row>
    <row r="67" spans="1:9" ht="13.35" customHeight="1">
      <c r="A67" s="24" t="s">
        <v>153</v>
      </c>
      <c r="B67" s="60">
        <f>AVERAGEIF($B$16:$B$19, 1, B61:B64)</f>
        <v>278.70187638647809</v>
      </c>
      <c r="C67" s="60">
        <f t="shared" ref="C67:G67" si="4">AVERAGEIF($B$16:$B$19, 1, C61:C64)</f>
        <v>282.83981523452212</v>
      </c>
      <c r="D67" s="60">
        <f t="shared" si="4"/>
        <v>286.99153690927886</v>
      </c>
      <c r="E67" s="60">
        <f t="shared" si="4"/>
        <v>290.8423848930326</v>
      </c>
      <c r="F67" s="60">
        <f t="shared" si="4"/>
        <v>294.44294916197879</v>
      </c>
      <c r="G67" s="60">
        <f t="shared" si="4"/>
        <v>299.86620813549627</v>
      </c>
      <c r="H67" s="60">
        <f>AVERAGEIF($B$16:$B$19, 1, H61:H64)</f>
        <v>299.86620813549627</v>
      </c>
      <c r="I67" s="141"/>
    </row>
    <row r="68" spans="1:9" ht="13.35" customHeight="1">
      <c r="A68" s="24" t="s">
        <v>154</v>
      </c>
      <c r="B68" s="83">
        <f>B67 - B65</f>
        <v>-16.061861806131105</v>
      </c>
      <c r="C68" s="83">
        <f t="shared" ref="C68:H68" si="5">C67 - C65</f>
        <v>-18.659234788028357</v>
      </c>
      <c r="D68" s="83">
        <f t="shared" si="5"/>
        <v>23.580627745976869</v>
      </c>
      <c r="E68" s="83">
        <f t="shared" si="5"/>
        <v>18.63641144775562</v>
      </c>
      <c r="F68" s="83">
        <f t="shared" si="5"/>
        <v>24.319646749687593</v>
      </c>
      <c r="G68" s="83">
        <f t="shared" si="5"/>
        <v>36.032387313856702</v>
      </c>
      <c r="H68" s="83">
        <f t="shared" si="5"/>
        <v>36.032387313856702</v>
      </c>
    </row>
    <row r="69" spans="1:9" ht="13.35" customHeight="1">
      <c r="A69" s="23" t="s">
        <v>79</v>
      </c>
      <c r="B69" s="61">
        <f>B68/B65</f>
        <v>-5.4490630036845678E-2</v>
      </c>
      <c r="C69" s="61">
        <f t="shared" ref="C69:H69" si="6">C68/C65</f>
        <v>-6.1888204246855004E-2</v>
      </c>
      <c r="D69" s="61">
        <f t="shared" si="6"/>
        <v>8.9520315695649583E-2</v>
      </c>
      <c r="E69" s="61">
        <f t="shared" si="6"/>
        <v>6.8464373547269697E-2</v>
      </c>
      <c r="F69" s="61">
        <f t="shared" si="6"/>
        <v>9.0031650481483955E-2</v>
      </c>
      <c r="G69" s="61">
        <f t="shared" si="6"/>
        <v>0.13657228327150595</v>
      </c>
      <c r="H69" s="165">
        <f t="shared" si="6"/>
        <v>0.13657228327150595</v>
      </c>
    </row>
    <row r="71" spans="1:9" ht="13.35" customHeight="1">
      <c r="A71" s="23" t="s">
        <v>987</v>
      </c>
      <c r="B71" s="60">
        <f>'Calc|Cost drivers'!O15/1000</f>
        <v>278.51248718438006</v>
      </c>
      <c r="C71" s="60">
        <f>'Calc|Cost drivers'!P15/1000</f>
        <v>291.79486913370005</v>
      </c>
      <c r="D71" s="60">
        <f>'Calc|Cost drivers'!Q15/1000</f>
        <v>259.97016376625504</v>
      </c>
      <c r="E71" s="60">
        <f>'Calc|Cost drivers'!R15/1000</f>
        <v>272.20597344527698</v>
      </c>
      <c r="F71" s="60">
        <f>'Calc|Cost drivers'!S15/1000</f>
        <v>276.17446400000006</v>
      </c>
      <c r="G71" s="60">
        <f>'Calc|Cost drivers'!T15/1000</f>
        <v>281.05583851902162</v>
      </c>
      <c r="H71" s="60">
        <f>VLOOKUP(A71, Table_Summary_short, MATCH(Parameter_Base_year, Header_Table_Summary_short, 0), FALSE)</f>
        <v>281.05583851902162</v>
      </c>
    </row>
    <row r="72" spans="1:9" ht="13.35" customHeight="1">
      <c r="A72" s="23" t="s">
        <v>963</v>
      </c>
      <c r="B72" s="60">
        <f>B71*(1+B69)</f>
        <v>263.33616628457429</v>
      </c>
      <c r="C72" s="60">
        <f t="shared" ref="C72:G72" si="7">C71*(1+C69)</f>
        <v>273.7362086745693</v>
      </c>
      <c r="D72" s="60">
        <f t="shared" si="7"/>
        <v>283.24277489805996</v>
      </c>
      <c r="E72" s="60">
        <f t="shared" si="7"/>
        <v>290.8423848930326</v>
      </c>
      <c r="F72" s="60">
        <f t="shared" si="7"/>
        <v>301.03890681475923</v>
      </c>
      <c r="G72" s="60">
        <f t="shared" si="7"/>
        <v>319.44027611235208</v>
      </c>
      <c r="H72" s="60">
        <f>VLOOKUP(A72, Table_Summary_short, MATCH(Parameter_Base_year, Header_Table_Summary_short, 0), FALSE)</f>
        <v>319.44027611235208</v>
      </c>
    </row>
    <row r="73" spans="1:9" ht="13.35" customHeight="1">
      <c r="A73" s="24"/>
      <c r="F73" s="57"/>
      <c r="H73" s="172">
        <f>MIN(H71,H72)</f>
        <v>281.05583851902162</v>
      </c>
    </row>
    <row r="74" spans="1:9" ht="13.35" customHeight="1">
      <c r="A74" s="24"/>
      <c r="F74" s="57"/>
      <c r="H74" s="170"/>
    </row>
    <row r="75" spans="1:9" s="22" customFormat="1" ht="13.35" customHeight="1">
      <c r="A75" s="2" t="s">
        <v>106</v>
      </c>
      <c r="B75" s="4"/>
      <c r="C75" s="4"/>
    </row>
  </sheetData>
  <hyperlinks>
    <hyperlink ref="A2" location="Index!A1" display="Index" xr:uid="{00000000-0004-0000-0F00-000000000000}"/>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85</vt:i4>
      </vt:variant>
    </vt:vector>
  </HeadingPairs>
  <TitlesOfParts>
    <vt:vector size="101" baseType="lpstr">
      <vt:lpstr>Index</vt:lpstr>
      <vt:lpstr>Lookup tables</vt:lpstr>
      <vt:lpstr>Data|Overheads</vt:lpstr>
      <vt:lpstr>Data|EBRIN</vt:lpstr>
      <vt:lpstr>Data|OEFs - Short</vt:lpstr>
      <vt:lpstr>Data|OEFs - Long</vt:lpstr>
      <vt:lpstr>Data|CPI</vt:lpstr>
      <vt:lpstr>Data|Forecasts</vt:lpstr>
      <vt:lpstr>Input|Parameters</vt:lpstr>
      <vt:lpstr>Input|Econometrics - Short</vt:lpstr>
      <vt:lpstr>Input|Econometrics - Long</vt:lpstr>
      <vt:lpstr>Calc|Cost drivers</vt:lpstr>
      <vt:lpstr>Calc|Efficiency target</vt:lpstr>
      <vt:lpstr>Calc|Opex forecasts - Short</vt:lpstr>
      <vt:lpstr>Calc|Opex forecasts - Long</vt:lpstr>
      <vt:lpstr>Output|Summary</vt:lpstr>
      <vt:lpstr>Header_Table_Data_EBRIN</vt:lpstr>
      <vt:lpstr>Header_Table_Data_opex_proposed</vt:lpstr>
      <vt:lpstr>Header_Table_Econometrics</vt:lpstr>
      <vt:lpstr>Header_Table_Inflators_per_base_year</vt:lpstr>
      <vt:lpstr>Header_Table_OEF_capitalisation_long</vt:lpstr>
      <vt:lpstr>Header_Table_OEF_capitalisation_short</vt:lpstr>
      <vt:lpstr>Header_Table_Summary_long</vt:lpstr>
      <vt:lpstr>Header_Table_Summary_short</vt:lpstr>
      <vt:lpstr>List_Apply_fixed_growth_rate</vt:lpstr>
      <vt:lpstr>List_DNSP</vt:lpstr>
      <vt:lpstr>List_Include_OEFs</vt:lpstr>
      <vt:lpstr>List_Inflation_method</vt:lpstr>
      <vt:lpstr>List_Number_of_violations_Long_LSETLG</vt:lpstr>
      <vt:lpstr>List_Number_of_violations_Long_SFATLG</vt:lpstr>
      <vt:lpstr>List_Number_of_violations_Short_LSETLG</vt:lpstr>
      <vt:lpstr>List_Number_of_violations_Short_SFATLG</vt:lpstr>
      <vt:lpstr>List_OEF_capitalisation_basis</vt:lpstr>
      <vt:lpstr>List_Scenario</vt:lpstr>
      <vt:lpstr>Parameter_Apply_fixed_growth_rate</vt:lpstr>
      <vt:lpstr>Parameter_Base_year</vt:lpstr>
      <vt:lpstr>Parameter_Base_year_manual_override</vt:lpstr>
      <vt:lpstr>Parameter_DNSP</vt:lpstr>
      <vt:lpstr>Parameter_Efficiency_target</vt:lpstr>
      <vt:lpstr>Parameter_Include_OEFs</vt:lpstr>
      <vt:lpstr>Parameter_Inflator</vt:lpstr>
      <vt:lpstr>Parameter_OEF_capitalisation_basis_long</vt:lpstr>
      <vt:lpstr>Parameter_OEF_capitalisation_basis_short</vt:lpstr>
      <vt:lpstr>Parameter_OEF_capitalisation_long</vt:lpstr>
      <vt:lpstr>Parameter_OEF_capitalisation_long_manual_override</vt:lpstr>
      <vt:lpstr>Parameter_OEF_capitalisation_short</vt:lpstr>
      <vt:lpstr>Parameter_OEF_capitalisation_short_manual_override</vt:lpstr>
      <vt:lpstr>Parameter_OEF_Sapere_Merz_long</vt:lpstr>
      <vt:lpstr>Parameter_OEF_Sapere_Merz_short</vt:lpstr>
      <vt:lpstr>Parameter_OEF_total_long</vt:lpstr>
      <vt:lpstr>Parameter_OEF_total_short</vt:lpstr>
      <vt:lpstr>Parameter_OEF_vegetation_management_long</vt:lpstr>
      <vt:lpstr>Parameter_OEF_vegetation_management_short</vt:lpstr>
      <vt:lpstr>Parameter_Opex_forecast_error</vt:lpstr>
      <vt:lpstr>Parameter_Period_end</vt:lpstr>
      <vt:lpstr>Parameter_Period_start_long</vt:lpstr>
      <vt:lpstr>Parameter_Period_start_short</vt:lpstr>
      <vt:lpstr>Parameter_Results_dollar_basis</vt:lpstr>
      <vt:lpstr>Parameter_Scenario</vt:lpstr>
      <vt:lpstr>Parameter_Scenario_number</vt:lpstr>
      <vt:lpstr>Parameter_Technology_growth_rate</vt:lpstr>
      <vt:lpstr>Parameter_Victorian_or_non_Victorian</vt:lpstr>
      <vt:lpstr>Table_Base_year_default</vt:lpstr>
      <vt:lpstr>Table_Coefficients_long_LSECD</vt:lpstr>
      <vt:lpstr>Table_Coefficients_long_LSETLG</vt:lpstr>
      <vt:lpstr>Table_Coefficients_long_SFACD</vt:lpstr>
      <vt:lpstr>Table_Coefficients_long_SFATLG</vt:lpstr>
      <vt:lpstr>Table_Coefficients_short_LSECD</vt:lpstr>
      <vt:lpstr>Table_Coefficients_short_LSETLG</vt:lpstr>
      <vt:lpstr>Table_Coefficients_short_SFACD</vt:lpstr>
      <vt:lpstr>Table_Coefficients_short_SFATLG</vt:lpstr>
      <vt:lpstr>Table_Data_All_groups_CPI_Australia</vt:lpstr>
      <vt:lpstr>Table_Data_EBRIN</vt:lpstr>
      <vt:lpstr>Table_Data_forecast</vt:lpstr>
      <vt:lpstr>Table_Data_opex_alternative</vt:lpstr>
      <vt:lpstr>Table_Data_opex_selected</vt:lpstr>
      <vt:lpstr>Table_data_opexforecast_alternative</vt:lpstr>
      <vt:lpstr>Table_DNSP</vt:lpstr>
      <vt:lpstr>Table_Efficiency_scores_long_LSECD</vt:lpstr>
      <vt:lpstr>Table_Efficiency_scores_long_LSETLG</vt:lpstr>
      <vt:lpstr>Table_Efficiency_scores_long_SFACD</vt:lpstr>
      <vt:lpstr>Table_Efficiency_scores_long_SFATLG</vt:lpstr>
      <vt:lpstr>Table_Efficiency_scores_short_LSECD</vt:lpstr>
      <vt:lpstr>Table_Efficiency_scores_short_LSETLG</vt:lpstr>
      <vt:lpstr>Table_Efficiency_scores_short_SFACD</vt:lpstr>
      <vt:lpstr>Table_Efficiency_scores_short_SFATLG</vt:lpstr>
      <vt:lpstr>Table_Inflators_per_base_year</vt:lpstr>
      <vt:lpstr>Table_Monotonicity_violations_long_LSETLG</vt:lpstr>
      <vt:lpstr>Table_Monotonicity_violations_long_SFATLG</vt:lpstr>
      <vt:lpstr>Table_Monotonicity_violations_short_LSETLG</vt:lpstr>
      <vt:lpstr>Table_Monotonicity_violations_short_SFATLG</vt:lpstr>
      <vt:lpstr>Table_OEF_capitalisation_long</vt:lpstr>
      <vt:lpstr>Table_OEF_capitalisation_short</vt:lpstr>
      <vt:lpstr>Table_OEF_Sapere_Merz_long</vt:lpstr>
      <vt:lpstr>Table_OEF_Sapere_Merz_short</vt:lpstr>
      <vt:lpstr>Table_OEF_vegetation_management_long</vt:lpstr>
      <vt:lpstr>Table_OEF_vegetation_management_short</vt:lpstr>
      <vt:lpstr>Table_Scenario_number</vt:lpstr>
      <vt:lpstr>Table_Summary_long</vt:lpstr>
      <vt:lpstr>Table_Summary_short</vt:lpstr>
      <vt:lpstr>Table_Victorian_or_non_Victorian</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Barrett, Dan</dc:creator>
  <cp:lastModifiedBy>Sasha Jergic</cp:lastModifiedBy>
  <cp:lastPrinted>2022-11-23T05:36:24Z</cp:lastPrinted>
  <dcterms:created xsi:type="dcterms:W3CDTF">2020-05-12T08:31:06Z</dcterms:created>
  <dcterms:modified xsi:type="dcterms:W3CDTF">2023-09-25T01:19:35Z</dcterms:modified>
</cp:coreProperties>
</file>