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AER\Opex modelling\AER opex models\24. NSW ACT 2024-29\Essential Energy\2. Draft decision\"/>
    </mc:Choice>
  </mc:AlternateContent>
  <xr:revisionPtr revIDLastSave="0" documentId="13_ncr:1_{66313C75-8179-40E5-BFCF-C9DEE3AFF6E4}" xr6:coauthVersionLast="47" xr6:coauthVersionMax="47" xr10:uidLastSave="{00000000-0000-0000-0000-000000000000}"/>
  <bookViews>
    <workbookView xWindow="-120" yWindow="-120" windowWidth="29040" windowHeight="15840" tabRatio="804" activeTab="1" xr2:uid="{00000000-000D-0000-FFFF-FFFF00000000}"/>
  </bookViews>
  <sheets>
    <sheet name="Index" sheetId="1" r:id="rId1"/>
    <sheet name="Input|General" sheetId="54" r:id="rId2"/>
    <sheet name="Input|Inflation" sheetId="55" r:id="rId3"/>
    <sheet name="Input|Reported opex" sheetId="58" r:id="rId4"/>
    <sheet name="Input|Rate of change" sheetId="2" r:id="rId5"/>
    <sheet name="Input|Step changes" sheetId="53" r:id="rId6"/>
    <sheet name="Calc|Opex forecast" sheetId="42" r:id="rId7"/>
    <sheet name="Output|Models" sheetId="44" r:id="rId8"/>
    <sheet name="Lookup|Tables" sheetId="4" r:id="rId9"/>
    <sheet name="Check|List" sheetId="16" r:id="rId10"/>
  </sheets>
  <definedNames>
    <definedName name="BaseYear">'Input|General'!$G$11</definedName>
    <definedName name="dollars">'Lookup|Tables'!$G$17</definedName>
    <definedName name="factor">'Lookup|Tables'!$G$24</definedName>
    <definedName name="FPFirstYear">'Input|General'!$G$13</definedName>
    <definedName name="FPLastYear">'Input|General'!$G$14</definedName>
    <definedName name="FRCP_1to5">"2015-16 to 2019-20"</definedName>
    <definedName name="millions">'Lookup|Tables'!$G$19</definedName>
    <definedName name="month">'Input|General'!$G$9</definedName>
    <definedName name="Nominal_to_Real">'Lookup|Tables'!$H$72:$H$78</definedName>
    <definedName name="NSP">'Input|General'!$G$7</definedName>
    <definedName name="number">'Lookup|Tables'!$G$23</definedName>
    <definedName name="percent">'Lookup|Tables'!$G$21</definedName>
    <definedName name="PPFirstYear">'Input|General'!$G$10</definedName>
    <definedName name="PPLastYear">'Input|General'!$G$12</definedName>
    <definedName name="RCP_1to5">"2015-16 to 2019-20"</definedName>
    <definedName name="Real_to_Nominal">'Lookup|Tables'!$H$72:$H$77</definedName>
    <definedName name="thousands">'Lookup|Tables'!$G$18</definedName>
    <definedName name="unit">'Lookup|Tables'!$G$22</definedName>
    <definedName name="units">'Input|General'!$G$15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37" i="42" l="1"/>
  <c r="Q40" i="2" l="1"/>
  <c r="Q42" i="2" s="1"/>
  <c r="R40" i="2"/>
  <c r="R42" i="2" s="1"/>
  <c r="S40" i="2"/>
  <c r="S42" i="2" s="1"/>
  <c r="P40" i="2"/>
  <c r="P42" i="2" s="1"/>
  <c r="T40" i="2" l="1"/>
  <c r="T42" i="2" s="1"/>
  <c r="F16" i="53" l="1"/>
  <c r="V9" i="55" l="1"/>
  <c r="V10" i="55"/>
  <c r="V11" i="55"/>
  <c r="V12" i="55"/>
  <c r="V13" i="55"/>
  <c r="V14" i="55"/>
  <c r="V15" i="55"/>
  <c r="V16" i="55"/>
  <c r="V17" i="55"/>
  <c r="V18" i="55"/>
  <c r="V19" i="55"/>
  <c r="V20" i="55"/>
  <c r="V21" i="55"/>
  <c r="V22" i="55"/>
  <c r="V23" i="55"/>
  <c r="V25" i="55"/>
  <c r="V26" i="55"/>
  <c r="V27" i="55"/>
  <c r="V28" i="55"/>
  <c r="V29" i="55"/>
  <c r="V24" i="55"/>
  <c r="V79" i="55"/>
  <c r="V80" i="55"/>
  <c r="V81" i="55"/>
  <c r="V82" i="55"/>
  <c r="V83" i="55"/>
  <c r="V84" i="55"/>
  <c r="H21" i="55"/>
  <c r="H22" i="55"/>
  <c r="H23" i="55"/>
  <c r="H24" i="55"/>
  <c r="H25" i="55"/>
  <c r="I25" i="55" s="1"/>
  <c r="H26" i="55"/>
  <c r="I26" i="55" s="1"/>
  <c r="H27" i="55"/>
  <c r="H28" i="55"/>
  <c r="H29" i="55"/>
  <c r="H30" i="55"/>
  <c r="H31" i="55"/>
  <c r="H32" i="55"/>
  <c r="H33" i="55"/>
  <c r="I33" i="55" s="1"/>
  <c r="V33" i="55" s="1"/>
  <c r="H34" i="55"/>
  <c r="I34" i="55" s="1"/>
  <c r="V34" i="55" s="1"/>
  <c r="H35" i="55"/>
  <c r="H36" i="55"/>
  <c r="H37" i="55"/>
  <c r="H38" i="55"/>
  <c r="H39" i="55"/>
  <c r="H40" i="55"/>
  <c r="H41" i="55"/>
  <c r="I41" i="55" s="1"/>
  <c r="V41" i="55" s="1"/>
  <c r="H42" i="55"/>
  <c r="I42" i="55" s="1"/>
  <c r="V42" i="55" s="1"/>
  <c r="H43" i="55"/>
  <c r="H44" i="55"/>
  <c r="H45" i="55"/>
  <c r="H46" i="55"/>
  <c r="H47" i="55"/>
  <c r="H48" i="55"/>
  <c r="H49" i="55"/>
  <c r="I49" i="55" s="1"/>
  <c r="V49" i="55" s="1"/>
  <c r="H50" i="55"/>
  <c r="I50" i="55" s="1"/>
  <c r="V50" i="55" s="1"/>
  <c r="H51" i="55"/>
  <c r="H52" i="55"/>
  <c r="H53" i="55"/>
  <c r="H54" i="55"/>
  <c r="H55" i="55"/>
  <c r="H56" i="55"/>
  <c r="H57" i="55"/>
  <c r="I57" i="55" s="1"/>
  <c r="V57" i="55" s="1"/>
  <c r="H58" i="55"/>
  <c r="I58" i="55" s="1"/>
  <c r="V58" i="55" s="1"/>
  <c r="H59" i="55"/>
  <c r="H60" i="55"/>
  <c r="H61" i="55"/>
  <c r="H62" i="55"/>
  <c r="H63" i="55"/>
  <c r="H64" i="55"/>
  <c r="H65" i="55"/>
  <c r="I65" i="55" s="1"/>
  <c r="V65" i="55" s="1"/>
  <c r="H66" i="55"/>
  <c r="I66" i="55" s="1"/>
  <c r="V66" i="55" s="1"/>
  <c r="H67" i="55"/>
  <c r="H68" i="55"/>
  <c r="H69" i="55"/>
  <c r="H70" i="55"/>
  <c r="H74" i="55"/>
  <c r="H78" i="55" s="1"/>
  <c r="H82" i="55" s="1"/>
  <c r="I82" i="55" s="1"/>
  <c r="K95" i="2"/>
  <c r="L95" i="2"/>
  <c r="M95" i="2"/>
  <c r="K96" i="2"/>
  <c r="L96" i="2"/>
  <c r="M96" i="2"/>
  <c r="K97" i="2"/>
  <c r="L97" i="2"/>
  <c r="M97" i="2"/>
  <c r="K98" i="2"/>
  <c r="L98" i="2"/>
  <c r="M98" i="2"/>
  <c r="K99" i="2"/>
  <c r="L99" i="2"/>
  <c r="M99" i="2"/>
  <c r="K100" i="2"/>
  <c r="L100" i="2"/>
  <c r="M100" i="2"/>
  <c r="J96" i="2"/>
  <c r="J97" i="2"/>
  <c r="J98" i="2"/>
  <c r="J99" i="2"/>
  <c r="J100" i="2"/>
  <c r="J95" i="2"/>
  <c r="E100" i="2"/>
  <c r="E99" i="2"/>
  <c r="E98" i="2"/>
  <c r="E97" i="2"/>
  <c r="E96" i="2"/>
  <c r="E95" i="2"/>
  <c r="C87" i="2"/>
  <c r="C88" i="2"/>
  <c r="C89" i="2"/>
  <c r="C90" i="2"/>
  <c r="C91" i="2"/>
  <c r="C86" i="2"/>
  <c r="K93" i="2"/>
  <c r="L93" i="2"/>
  <c r="M93" i="2"/>
  <c r="J93" i="2"/>
  <c r="I60" i="55" l="1"/>
  <c r="V60" i="55" s="1"/>
  <c r="I52" i="55"/>
  <c r="V52" i="55" s="1"/>
  <c r="I44" i="55"/>
  <c r="V44" i="55" s="1"/>
  <c r="I36" i="55"/>
  <c r="V36" i="55" s="1"/>
  <c r="I47" i="55"/>
  <c r="V47" i="55" s="1"/>
  <c r="I63" i="55"/>
  <c r="V63" i="55" s="1"/>
  <c r="I39" i="55"/>
  <c r="V39" i="55" s="1"/>
  <c r="I55" i="55"/>
  <c r="V55" i="55" s="1"/>
  <c r="I31" i="55"/>
  <c r="V31" i="55" s="1"/>
  <c r="I28" i="55"/>
  <c r="I64" i="55"/>
  <c r="V64" i="55" s="1"/>
  <c r="I56" i="55"/>
  <c r="V56" i="55" s="1"/>
  <c r="I48" i="55"/>
  <c r="V48" i="55" s="1"/>
  <c r="I40" i="55"/>
  <c r="V40" i="55" s="1"/>
  <c r="I32" i="55"/>
  <c r="V32" i="55" s="1"/>
  <c r="I70" i="55"/>
  <c r="V70" i="55" s="1"/>
  <c r="I62" i="55"/>
  <c r="V62" i="55" s="1"/>
  <c r="I54" i="55"/>
  <c r="V54" i="55" s="1"/>
  <c r="I46" i="55"/>
  <c r="V46" i="55" s="1"/>
  <c r="I38" i="55"/>
  <c r="V38" i="55" s="1"/>
  <c r="I30" i="55"/>
  <c r="V30" i="55" s="1"/>
  <c r="I69" i="55"/>
  <c r="V69" i="55" s="1"/>
  <c r="I61" i="55"/>
  <c r="V61" i="55" s="1"/>
  <c r="I53" i="55"/>
  <c r="V53" i="55" s="1"/>
  <c r="I45" i="55"/>
  <c r="V45" i="55" s="1"/>
  <c r="I37" i="55"/>
  <c r="V37" i="55" s="1"/>
  <c r="I29" i="55"/>
  <c r="I67" i="55"/>
  <c r="V67" i="55" s="1"/>
  <c r="I59" i="55"/>
  <c r="V59" i="55" s="1"/>
  <c r="I51" i="55"/>
  <c r="V51" i="55" s="1"/>
  <c r="I43" i="55"/>
  <c r="V43" i="55" s="1"/>
  <c r="I35" i="55"/>
  <c r="V35" i="55" s="1"/>
  <c r="I27" i="55"/>
  <c r="I78" i="55"/>
  <c r="V78" i="55" s="1"/>
  <c r="I68" i="55"/>
  <c r="V68" i="55" s="1"/>
  <c r="I74" i="55"/>
  <c r="V74" i="55" s="1"/>
  <c r="C7" i="4" l="1"/>
  <c r="S15" i="54"/>
  <c r="F40" i="53"/>
  <c r="E32" i="53"/>
  <c r="E31" i="53"/>
  <c r="E30" i="53"/>
  <c r="E29" i="53"/>
  <c r="E28" i="53"/>
  <c r="F32" i="53"/>
  <c r="F31" i="53"/>
  <c r="F30" i="53"/>
  <c r="F29" i="53"/>
  <c r="F28" i="53"/>
  <c r="E20" i="53"/>
  <c r="E19" i="53"/>
  <c r="E18" i="53"/>
  <c r="E17" i="53"/>
  <c r="E16" i="53"/>
  <c r="E15" i="53"/>
  <c r="E14" i="53"/>
  <c r="E13" i="53"/>
  <c r="E12" i="53"/>
  <c r="F20" i="53"/>
  <c r="F19" i="53"/>
  <c r="F18" i="53"/>
  <c r="F17" i="53"/>
  <c r="F15" i="53"/>
  <c r="F14" i="53"/>
  <c r="F13" i="53"/>
  <c r="F12" i="53"/>
  <c r="F13" i="58"/>
  <c r="F24" i="58" s="1"/>
  <c r="F69" i="58"/>
  <c r="F67" i="58"/>
  <c r="F66" i="58"/>
  <c r="F65" i="58"/>
  <c r="F64" i="58"/>
  <c r="F63" i="58"/>
  <c r="F23" i="58"/>
  <c r="F20" i="58"/>
  <c r="F19" i="58"/>
  <c r="E69" i="58"/>
  <c r="E67" i="58"/>
  <c r="E66" i="58"/>
  <c r="E65" i="58"/>
  <c r="E64" i="58"/>
  <c r="E63" i="58"/>
  <c r="E57" i="58"/>
  <c r="E47" i="58"/>
  <c r="E55" i="58"/>
  <c r="E54" i="58"/>
  <c r="E53" i="58"/>
  <c r="E52" i="58"/>
  <c r="E51" i="58"/>
  <c r="E45" i="58"/>
  <c r="E44" i="58"/>
  <c r="E43" i="58"/>
  <c r="E42" i="58"/>
  <c r="E41" i="58"/>
  <c r="E37" i="58"/>
  <c r="E29" i="58"/>
  <c r="E27" i="58"/>
  <c r="E26" i="58"/>
  <c r="E25" i="58"/>
  <c r="E24" i="58"/>
  <c r="E23" i="58"/>
  <c r="E22" i="58"/>
  <c r="E21" i="58"/>
  <c r="E20" i="58"/>
  <c r="E19" i="58"/>
  <c r="E13" i="58"/>
  <c r="E15" i="58" s="1"/>
  <c r="J4" i="42"/>
  <c r="J103" i="42"/>
  <c r="K4" i="42"/>
  <c r="K103" i="42" s="1"/>
  <c r="L4" i="42"/>
  <c r="L103" i="42" s="1"/>
  <c r="M4" i="42"/>
  <c r="N4" i="42"/>
  <c r="N103" i="42" s="1"/>
  <c r="O4" i="42"/>
  <c r="O103" i="42" s="1"/>
  <c r="P4" i="42"/>
  <c r="P58" i="42" s="1"/>
  <c r="Q4" i="42"/>
  <c r="Q103" i="42" s="1"/>
  <c r="R4" i="42"/>
  <c r="R103" i="42" s="1"/>
  <c r="S4" i="42"/>
  <c r="S103" i="42" s="1"/>
  <c r="T4" i="42"/>
  <c r="T91" i="42" s="1"/>
  <c r="J37" i="42"/>
  <c r="J4" i="58"/>
  <c r="J10" i="58" s="1"/>
  <c r="F8" i="42"/>
  <c r="J58" i="42"/>
  <c r="J68" i="42" s="1" a="1"/>
  <c r="J68" i="42" s="1"/>
  <c r="E18" i="44"/>
  <c r="C18" i="44"/>
  <c r="C96" i="42"/>
  <c r="E96" i="42"/>
  <c r="C97" i="42"/>
  <c r="E97" i="42"/>
  <c r="E16" i="44"/>
  <c r="C15" i="44"/>
  <c r="C16" i="44"/>
  <c r="C17" i="44"/>
  <c r="C95" i="42"/>
  <c r="C94" i="42"/>
  <c r="T4" i="44"/>
  <c r="T11" i="44" s="1"/>
  <c r="T18" i="44" s="1"/>
  <c r="T64" i="42"/>
  <c r="T67" i="42"/>
  <c r="U79" i="2"/>
  <c r="U80" i="2"/>
  <c r="U4" i="2"/>
  <c r="U104" i="2" s="1"/>
  <c r="U107" i="2" s="1"/>
  <c r="H78" i="4"/>
  <c r="G78" i="4" s="1"/>
  <c r="T4" i="53"/>
  <c r="T38" i="53" s="1"/>
  <c r="T42" i="53" s="1"/>
  <c r="T4" i="58"/>
  <c r="T10" i="53"/>
  <c r="T22" i="53" s="1"/>
  <c r="J102" i="2" a="1"/>
  <c r="J102" i="2" s="1"/>
  <c r="K102" i="2" a="1"/>
  <c r="K102" i="2" s="1"/>
  <c r="L102" i="2" a="1"/>
  <c r="L102" i="2" s="1"/>
  <c r="M102" i="2" a="1"/>
  <c r="M102" i="2" s="1"/>
  <c r="U78" i="2"/>
  <c r="C16" i="16"/>
  <c r="C15" i="16"/>
  <c r="D15" i="16" s="1"/>
  <c r="C14" i="16"/>
  <c r="C13" i="16"/>
  <c r="C12" i="16"/>
  <c r="D12" i="16" s="1"/>
  <c r="C11" i="16"/>
  <c r="H72" i="4"/>
  <c r="G72" i="4" s="1"/>
  <c r="U77" i="2"/>
  <c r="N47" i="58"/>
  <c r="O47" i="58"/>
  <c r="P47" i="58"/>
  <c r="Q47" i="58"/>
  <c r="R47" i="58"/>
  <c r="S47" i="58"/>
  <c r="V29" i="58"/>
  <c r="C106" i="2" a="1"/>
  <c r="C109" i="2" s="1"/>
  <c r="T102" i="2" a="1"/>
  <c r="T102" i="2" s="1"/>
  <c r="S102" i="2" a="1"/>
  <c r="S102" i="2" s="1"/>
  <c r="R102" i="2" a="1"/>
  <c r="R102" i="2" s="1"/>
  <c r="Q102" i="2" a="1"/>
  <c r="Q102" i="2" s="1"/>
  <c r="P102" i="2" a="1"/>
  <c r="P102" i="2" s="1"/>
  <c r="O102" i="2" a="1"/>
  <c r="O102" i="2" s="1"/>
  <c r="N102" i="2" a="1"/>
  <c r="N102" i="2" s="1"/>
  <c r="C100" i="2"/>
  <c r="C99" i="2"/>
  <c r="C98" i="2"/>
  <c r="C97" i="2"/>
  <c r="C96" i="2"/>
  <c r="C95" i="2"/>
  <c r="F19" i="42"/>
  <c r="F97" i="42"/>
  <c r="F96" i="42"/>
  <c r="F8" i="44"/>
  <c r="F16" i="44"/>
  <c r="F18" i="44"/>
  <c r="F24" i="42"/>
  <c r="E24" i="42"/>
  <c r="E22" i="42"/>
  <c r="F20" i="42"/>
  <c r="E20" i="42"/>
  <c r="K29" i="58"/>
  <c r="L29" i="58"/>
  <c r="M29" i="58"/>
  <c r="N29" i="58"/>
  <c r="O29" i="58"/>
  <c r="P29" i="58"/>
  <c r="Q29" i="58"/>
  <c r="R29" i="58"/>
  <c r="S29" i="58"/>
  <c r="J29" i="58"/>
  <c r="D15" i="58"/>
  <c r="K15" i="58"/>
  <c r="L15" i="58"/>
  <c r="M15" i="58"/>
  <c r="N15" i="58"/>
  <c r="O15" i="58"/>
  <c r="P15" i="58"/>
  <c r="Q15" i="58"/>
  <c r="R15" i="58"/>
  <c r="S15" i="58"/>
  <c r="J15" i="58"/>
  <c r="E29" i="42"/>
  <c r="F29" i="42"/>
  <c r="C29" i="42"/>
  <c r="E28" i="42"/>
  <c r="F35" i="42"/>
  <c r="E35" i="42"/>
  <c r="N57" i="58"/>
  <c r="O57" i="58"/>
  <c r="P57" i="58"/>
  <c r="Q57" i="58"/>
  <c r="R57" i="58"/>
  <c r="S57" i="58"/>
  <c r="I49" i="4"/>
  <c r="I50" i="4"/>
  <c r="I51" i="4"/>
  <c r="I52" i="4"/>
  <c r="I53" i="4"/>
  <c r="I54" i="4"/>
  <c r="I55" i="4"/>
  <c r="I56" i="4"/>
  <c r="I57" i="4"/>
  <c r="I58" i="4"/>
  <c r="I59" i="4"/>
  <c r="I60" i="4"/>
  <c r="I61" i="4"/>
  <c r="I62" i="4"/>
  <c r="I63" i="4"/>
  <c r="I64" i="4"/>
  <c r="I65" i="4"/>
  <c r="I66" i="4"/>
  <c r="I67" i="4"/>
  <c r="I48" i="4"/>
  <c r="H49" i="4"/>
  <c r="H50" i="4"/>
  <c r="H51" i="4"/>
  <c r="H52" i="4"/>
  <c r="H53" i="4"/>
  <c r="H54" i="4"/>
  <c r="H55" i="4"/>
  <c r="H56" i="4"/>
  <c r="H57" i="4"/>
  <c r="H58" i="4"/>
  <c r="H59" i="4"/>
  <c r="H60" i="4"/>
  <c r="H61" i="4"/>
  <c r="H62" i="4"/>
  <c r="H63" i="4"/>
  <c r="H64" i="4"/>
  <c r="H65" i="4"/>
  <c r="H66" i="4"/>
  <c r="H67" i="4"/>
  <c r="H48" i="4"/>
  <c r="H77" i="4"/>
  <c r="G77" i="4" s="1"/>
  <c r="H76" i="4"/>
  <c r="G76" i="4" s="1"/>
  <c r="H75" i="4"/>
  <c r="G75" i="4" s="1"/>
  <c r="H74" i="4"/>
  <c r="G74" i="4" s="1"/>
  <c r="H83" i="4"/>
  <c r="G83" i="4" s="1"/>
  <c r="H82" i="4"/>
  <c r="G82" i="4" s="1"/>
  <c r="H81" i="4"/>
  <c r="G81" i="4" s="1"/>
  <c r="H80" i="4"/>
  <c r="G80" i="4" s="1"/>
  <c r="H79" i="4"/>
  <c r="H73" i="4"/>
  <c r="G73" i="4" s="1"/>
  <c r="C47" i="4"/>
  <c r="F31" i="42"/>
  <c r="E31" i="42"/>
  <c r="F26" i="42"/>
  <c r="E26" i="42"/>
  <c r="S4" i="44"/>
  <c r="R4" i="44"/>
  <c r="Q4" i="44"/>
  <c r="P4" i="44"/>
  <c r="O4" i="44"/>
  <c r="O11" i="44" s="1"/>
  <c r="N4" i="44"/>
  <c r="M4" i="44"/>
  <c r="L4" i="44"/>
  <c r="L11" i="44" s="1"/>
  <c r="K4" i="44"/>
  <c r="J4" i="44"/>
  <c r="S35" i="42"/>
  <c r="J35" i="42"/>
  <c r="S4" i="53"/>
  <c r="S10" i="53" s="1"/>
  <c r="S22" i="53" s="1"/>
  <c r="R4" i="53"/>
  <c r="Q4" i="53"/>
  <c r="Q38" i="53" s="1"/>
  <c r="Q42" i="53" s="1"/>
  <c r="P4" i="53"/>
  <c r="O4" i="53"/>
  <c r="N4" i="53"/>
  <c r="N10" i="53" s="1"/>
  <c r="N22" i="53" s="1"/>
  <c r="M4" i="53"/>
  <c r="M38" i="53" s="1"/>
  <c r="M42" i="53" s="1"/>
  <c r="L4" i="53"/>
  <c r="L38" i="53" s="1"/>
  <c r="L42" i="53" s="1"/>
  <c r="K4" i="53"/>
  <c r="J4" i="53"/>
  <c r="J4" i="2"/>
  <c r="J104" i="2" s="1"/>
  <c r="J106" i="2" s="1"/>
  <c r="T4" i="2"/>
  <c r="T75" i="2" s="1"/>
  <c r="S4" i="2"/>
  <c r="S64" i="2" s="1"/>
  <c r="S73" i="2" s="1"/>
  <c r="R4" i="2"/>
  <c r="R49" i="2" s="1"/>
  <c r="R60" i="2" s="1"/>
  <c r="Q4" i="2"/>
  <c r="Q104" i="2" s="1"/>
  <c r="P4" i="2"/>
  <c r="P10" i="2" s="1"/>
  <c r="P12" i="2" s="1"/>
  <c r="O4" i="2"/>
  <c r="O64" i="2" s="1"/>
  <c r="O73" i="2" s="1"/>
  <c r="N4" i="2"/>
  <c r="M4" i="2"/>
  <c r="M104" i="2" s="1"/>
  <c r="M106" i="2" s="1"/>
  <c r="L4" i="2"/>
  <c r="L113" i="2" s="1"/>
  <c r="L117" i="2" s="1"/>
  <c r="K4" i="2"/>
  <c r="S4" i="58"/>
  <c r="S34" i="58" s="1"/>
  <c r="R4" i="58"/>
  <c r="R61" i="58" s="1"/>
  <c r="Q4" i="58"/>
  <c r="Q10" i="58" s="1"/>
  <c r="P4" i="58"/>
  <c r="O4" i="58"/>
  <c r="N4" i="58"/>
  <c r="N61" i="58" s="1"/>
  <c r="M4" i="58"/>
  <c r="M61" i="58" s="1"/>
  <c r="L4" i="58"/>
  <c r="K4" i="58"/>
  <c r="K34" i="58" s="1"/>
  <c r="J78" i="2"/>
  <c r="K78" i="2"/>
  <c r="L78" i="2"/>
  <c r="M78" i="2"/>
  <c r="N78" i="2"/>
  <c r="O78" i="2"/>
  <c r="P78" i="2"/>
  <c r="Q78" i="2"/>
  <c r="R78" i="2"/>
  <c r="S78" i="2"/>
  <c r="T78" i="2"/>
  <c r="J79" i="2"/>
  <c r="K79" i="2"/>
  <c r="L79" i="2"/>
  <c r="M79" i="2"/>
  <c r="N79" i="2"/>
  <c r="O79" i="2"/>
  <c r="P79" i="2"/>
  <c r="Q79" i="2"/>
  <c r="R79" i="2"/>
  <c r="S79" i="2"/>
  <c r="T79" i="2"/>
  <c r="J80" i="2"/>
  <c r="K80" i="2"/>
  <c r="L80" i="2"/>
  <c r="M80" i="2"/>
  <c r="N80" i="2"/>
  <c r="O80" i="2"/>
  <c r="P80" i="2"/>
  <c r="Q80" i="2"/>
  <c r="R80" i="2"/>
  <c r="S80" i="2"/>
  <c r="T80" i="2"/>
  <c r="J81" i="2"/>
  <c r="K81" i="2"/>
  <c r="L81" i="2"/>
  <c r="M81" i="2"/>
  <c r="N81" i="2"/>
  <c r="O81" i="2"/>
  <c r="P81" i="2"/>
  <c r="Q81" i="2"/>
  <c r="R81" i="2"/>
  <c r="S81" i="2"/>
  <c r="T81" i="2"/>
  <c r="J82" i="2"/>
  <c r="K82" i="2"/>
  <c r="L82" i="2"/>
  <c r="M82" i="2"/>
  <c r="N82" i="2"/>
  <c r="O82" i="2"/>
  <c r="P82" i="2"/>
  <c r="Q82" i="2"/>
  <c r="R82" i="2"/>
  <c r="S82" i="2"/>
  <c r="T82" i="2"/>
  <c r="J77" i="2"/>
  <c r="K77" i="2"/>
  <c r="L77" i="2"/>
  <c r="M77" i="2"/>
  <c r="O77" i="2"/>
  <c r="P77" i="2"/>
  <c r="Q77" i="2"/>
  <c r="R77" i="2"/>
  <c r="S77" i="2"/>
  <c r="T77" i="2"/>
  <c r="N77" i="2"/>
  <c r="J23" i="42"/>
  <c r="J21" i="42"/>
  <c r="J19" i="42"/>
  <c r="N21" i="42"/>
  <c r="N19" i="42"/>
  <c r="P23" i="42"/>
  <c r="P21" i="42"/>
  <c r="P19" i="42"/>
  <c r="R23" i="42"/>
  <c r="R21" i="42"/>
  <c r="R19" i="42"/>
  <c r="O23" i="42"/>
  <c r="O21" i="42"/>
  <c r="O19" i="42"/>
  <c r="Q21" i="42"/>
  <c r="Q19" i="42"/>
  <c r="S23" i="42"/>
  <c r="S21" i="42"/>
  <c r="S19" i="42"/>
  <c r="J33" i="42"/>
  <c r="R33" i="42"/>
  <c r="Q33" i="42"/>
  <c r="S33" i="42"/>
  <c r="J12" i="42"/>
  <c r="O49" i="42"/>
  <c r="O12" i="42"/>
  <c r="Q12" i="42"/>
  <c r="S12" i="42"/>
  <c r="N49" i="42"/>
  <c r="N12" i="42"/>
  <c r="P49" i="42"/>
  <c r="P12" i="42"/>
  <c r="R49" i="42"/>
  <c r="R12" i="42"/>
  <c r="S10" i="2"/>
  <c r="S12" i="2" s="1"/>
  <c r="J24" i="2"/>
  <c r="J64" i="2"/>
  <c r="J73" i="2" s="1"/>
  <c r="J34" i="58"/>
  <c r="J10" i="2"/>
  <c r="M75" i="2"/>
  <c r="L14" i="2"/>
  <c r="P75" i="2"/>
  <c r="J26" i="53"/>
  <c r="J34" i="53" s="1"/>
  <c r="J10" i="53"/>
  <c r="J22" i="53" s="1"/>
  <c r="R26" i="53"/>
  <c r="R34" i="53" s="1"/>
  <c r="R10" i="53"/>
  <c r="R22" i="53" s="1"/>
  <c r="T24" i="2"/>
  <c r="Q34" i="58"/>
  <c r="N26" i="53"/>
  <c r="N34" i="53" s="1"/>
  <c r="J49" i="42"/>
  <c r="T36" i="2"/>
  <c r="T47" i="2" s="1"/>
  <c r="L49" i="2"/>
  <c r="L60" i="2" s="1"/>
  <c r="P49" i="2"/>
  <c r="P60" i="2" s="1"/>
  <c r="J38" i="53"/>
  <c r="J42" i="53" s="1"/>
  <c r="R38" i="53"/>
  <c r="R42" i="53" s="1"/>
  <c r="O38" i="53"/>
  <c r="O42" i="53" s="1"/>
  <c r="O26" i="53"/>
  <c r="O10" i="53"/>
  <c r="O22" i="53" s="1"/>
  <c r="K49" i="42"/>
  <c r="S49" i="42"/>
  <c r="J14" i="2"/>
  <c r="M24" i="2"/>
  <c r="S24" i="2"/>
  <c r="J36" i="2"/>
  <c r="S36" i="2"/>
  <c r="S47" i="2" s="1"/>
  <c r="M36" i="2"/>
  <c r="M47" i="2" s="1"/>
  <c r="M49" i="2"/>
  <c r="M60" i="2" s="1"/>
  <c r="J75" i="2"/>
  <c r="M113" i="2"/>
  <c r="M117" i="2" s="1"/>
  <c r="J31" i="42"/>
  <c r="R31" i="42"/>
  <c r="S31" i="42"/>
  <c r="Q31" i="42"/>
  <c r="K31" i="42"/>
  <c r="J10" i="42"/>
  <c r="R10" i="42"/>
  <c r="P10" i="42"/>
  <c r="N10" i="42"/>
  <c r="L10" i="42"/>
  <c r="J16" i="42"/>
  <c r="R16" i="42"/>
  <c r="P16" i="42"/>
  <c r="N16" i="42"/>
  <c r="N37" i="42"/>
  <c r="P37" i="42"/>
  <c r="R37" i="42"/>
  <c r="J40" i="42"/>
  <c r="L40" i="42"/>
  <c r="N40" i="42"/>
  <c r="P40" i="42"/>
  <c r="R40" i="42"/>
  <c r="J43" i="42"/>
  <c r="L43" i="42"/>
  <c r="N43" i="42"/>
  <c r="P43" i="42"/>
  <c r="R43" i="42"/>
  <c r="J46" i="42"/>
  <c r="N46" i="42"/>
  <c r="P46" i="42"/>
  <c r="R46" i="42"/>
  <c r="S10" i="42"/>
  <c r="Q10" i="42"/>
  <c r="O10" i="42"/>
  <c r="S16" i="42"/>
  <c r="Q16" i="42"/>
  <c r="O16" i="42"/>
  <c r="K16" i="42"/>
  <c r="O37" i="42"/>
  <c r="K40" i="42"/>
  <c r="O40" i="42"/>
  <c r="Q40" i="42"/>
  <c r="S40" i="42"/>
  <c r="M43" i="42"/>
  <c r="O43" i="42"/>
  <c r="Q43" i="42"/>
  <c r="S43" i="42"/>
  <c r="O46" i="42"/>
  <c r="Q46" i="42"/>
  <c r="S46" i="42"/>
  <c r="S8" i="54"/>
  <c r="J14" i="42"/>
  <c r="F49" i="42"/>
  <c r="C49" i="42"/>
  <c r="F46" i="42"/>
  <c r="C46" i="42"/>
  <c r="F43" i="42"/>
  <c r="C43" i="42"/>
  <c r="C40" i="42"/>
  <c r="F37" i="42"/>
  <c r="C37" i="42"/>
  <c r="C38" i="42" s="1"/>
  <c r="F12" i="42"/>
  <c r="E12" i="42"/>
  <c r="V75" i="2"/>
  <c r="E49" i="42"/>
  <c r="E46" i="42"/>
  <c r="E43" i="42"/>
  <c r="E37" i="42"/>
  <c r="C2" i="58"/>
  <c r="C1" i="58"/>
  <c r="E21" i="42"/>
  <c r="E40" i="42"/>
  <c r="E19" i="42"/>
  <c r="F17" i="44"/>
  <c r="F15" i="44"/>
  <c r="F14" i="44"/>
  <c r="E17" i="44"/>
  <c r="E15" i="44"/>
  <c r="E14" i="44"/>
  <c r="C13" i="44"/>
  <c r="C14" i="44"/>
  <c r="S11" i="44"/>
  <c r="R11" i="44"/>
  <c r="Q11" i="44"/>
  <c r="P11" i="44"/>
  <c r="N11" i="44"/>
  <c r="M11" i="44"/>
  <c r="K11" i="44"/>
  <c r="K17" i="44" s="1"/>
  <c r="J11" i="44"/>
  <c r="J16" i="44" s="1"/>
  <c r="F105" i="42"/>
  <c r="E105" i="42"/>
  <c r="J13" i="44"/>
  <c r="F107" i="42"/>
  <c r="F106" i="42"/>
  <c r="F99" i="42"/>
  <c r="F95" i="42"/>
  <c r="F94" i="42"/>
  <c r="F93" i="42"/>
  <c r="F87" i="42"/>
  <c r="F85" i="42"/>
  <c r="F84" i="42"/>
  <c r="F83" i="42"/>
  <c r="F82" i="42"/>
  <c r="F81" i="42"/>
  <c r="F80" i="42"/>
  <c r="F79" i="42"/>
  <c r="F78" i="42"/>
  <c r="F77" i="42"/>
  <c r="E14" i="55"/>
  <c r="E15" i="55"/>
  <c r="E16" i="55"/>
  <c r="E17" i="55"/>
  <c r="E18" i="55"/>
  <c r="E19" i="55"/>
  <c r="E20" i="55"/>
  <c r="E21" i="55"/>
  <c r="E22" i="55"/>
  <c r="E23" i="55"/>
  <c r="E24" i="55"/>
  <c r="E25" i="55"/>
  <c r="E26" i="55"/>
  <c r="E27" i="55"/>
  <c r="E28" i="55"/>
  <c r="E29" i="55"/>
  <c r="E13" i="55"/>
  <c r="D11" i="16"/>
  <c r="C31" i="4"/>
  <c r="S9" i="54"/>
  <c r="O14" i="42"/>
  <c r="Q14" i="42"/>
  <c r="S14" i="42"/>
  <c r="N14" i="42"/>
  <c r="P14" i="42"/>
  <c r="R14" i="42"/>
  <c r="J91" i="42"/>
  <c r="J75" i="42"/>
  <c r="L75" i="42"/>
  <c r="N91" i="42"/>
  <c r="N75" i="42"/>
  <c r="P91" i="42"/>
  <c r="P75" i="42"/>
  <c r="R91" i="42"/>
  <c r="R75" i="42"/>
  <c r="O75" i="42"/>
  <c r="Q75" i="42"/>
  <c r="S75" i="42"/>
  <c r="K91" i="42"/>
  <c r="M91" i="42"/>
  <c r="O91" i="42"/>
  <c r="Q91" i="42"/>
  <c r="S91" i="42"/>
  <c r="O34" i="53"/>
  <c r="J47" i="2"/>
  <c r="K105" i="42"/>
  <c r="K106" i="42"/>
  <c r="K107" i="42"/>
  <c r="L106" i="42"/>
  <c r="L105" i="42"/>
  <c r="J105" i="42"/>
  <c r="J106" i="42"/>
  <c r="J107" i="42"/>
  <c r="C50" i="42"/>
  <c r="F50" i="42"/>
  <c r="E50" i="42"/>
  <c r="C47" i="42"/>
  <c r="C44" i="42"/>
  <c r="C41" i="42"/>
  <c r="F47" i="42"/>
  <c r="E47" i="42"/>
  <c r="F44" i="42"/>
  <c r="E44" i="42"/>
  <c r="F41" i="42"/>
  <c r="E41" i="42"/>
  <c r="F38" i="42"/>
  <c r="E38" i="42"/>
  <c r="E87" i="42"/>
  <c r="E107" i="42"/>
  <c r="F17" i="42"/>
  <c r="F15" i="42"/>
  <c r="F54" i="42"/>
  <c r="F52" i="42"/>
  <c r="C78" i="42"/>
  <c r="C79" i="42"/>
  <c r="C80" i="42"/>
  <c r="C81" i="42"/>
  <c r="C82" i="42"/>
  <c r="C83" i="42"/>
  <c r="C84" i="42"/>
  <c r="C85" i="42"/>
  <c r="C93" i="42"/>
  <c r="F13" i="44"/>
  <c r="E54" i="42"/>
  <c r="F33" i="42"/>
  <c r="E52" i="42"/>
  <c r="F13" i="42"/>
  <c r="E13" i="42"/>
  <c r="E15" i="42"/>
  <c r="E13" i="44"/>
  <c r="E106" i="42"/>
  <c r="E17" i="42"/>
  <c r="E77" i="42"/>
  <c r="E78" i="42"/>
  <c r="E79" i="42"/>
  <c r="E80" i="42"/>
  <c r="E81" i="42"/>
  <c r="E82" i="42"/>
  <c r="E83" i="42"/>
  <c r="E84" i="42"/>
  <c r="E85" i="42"/>
  <c r="E93" i="42"/>
  <c r="E94" i="42"/>
  <c r="E95" i="42"/>
  <c r="E99" i="42"/>
  <c r="E33" i="42"/>
  <c r="B2" i="55"/>
  <c r="S11" i="54"/>
  <c r="S14" i="54"/>
  <c r="G15" i="16"/>
  <c r="G16" i="16"/>
  <c r="B1" i="55"/>
  <c r="E12" i="2"/>
  <c r="O64" i="42"/>
  <c r="O67" i="42"/>
  <c r="O68" i="42" s="1" a="1"/>
  <c r="O68" i="42" s="1"/>
  <c r="J64" i="42"/>
  <c r="J67" i="42"/>
  <c r="K64" i="42"/>
  <c r="K67" i="42"/>
  <c r="L64" i="42"/>
  <c r="L67" i="42"/>
  <c r="M64" i="42"/>
  <c r="M67" i="42"/>
  <c r="N64" i="42"/>
  <c r="N67" i="42"/>
  <c r="P64" i="42"/>
  <c r="Q64" i="42"/>
  <c r="R64" i="42"/>
  <c r="S64" i="42"/>
  <c r="C77" i="42"/>
  <c r="P67" i="42"/>
  <c r="Q67" i="42"/>
  <c r="R67" i="42"/>
  <c r="C78" i="2"/>
  <c r="C79" i="2"/>
  <c r="C80" i="2"/>
  <c r="C81" i="2"/>
  <c r="C82" i="2"/>
  <c r="C77" i="2"/>
  <c r="S7" i="54"/>
  <c r="S10" i="54"/>
  <c r="S12" i="54"/>
  <c r="S13" i="54"/>
  <c r="D13" i="16"/>
  <c r="D14" i="16"/>
  <c r="D16" i="16"/>
  <c r="C10" i="16"/>
  <c r="D10" i="16" s="1"/>
  <c r="C52" i="2"/>
  <c r="C53" i="2"/>
  <c r="C54" i="2"/>
  <c r="C55" i="2"/>
  <c r="C56" i="2"/>
  <c r="C57" i="2"/>
  <c r="C58" i="2"/>
  <c r="C51" i="2"/>
  <c r="E58" i="2"/>
  <c r="E57" i="2"/>
  <c r="E56" i="2"/>
  <c r="E55" i="2"/>
  <c r="E54" i="2"/>
  <c r="E53" i="2"/>
  <c r="E52" i="2"/>
  <c r="E51" i="2"/>
  <c r="B2" i="53"/>
  <c r="B1" i="53"/>
  <c r="E115" i="2"/>
  <c r="B2" i="2"/>
  <c r="B1" i="2"/>
  <c r="C71" i="4"/>
  <c r="B2" i="54"/>
  <c r="B1" i="54"/>
  <c r="E44" i="2"/>
  <c r="E45" i="2"/>
  <c r="B2" i="44"/>
  <c r="B2" i="42"/>
  <c r="B1" i="44"/>
  <c r="B1" i="42"/>
  <c r="E43" i="2"/>
  <c r="E42" i="2"/>
  <c r="E41" i="2"/>
  <c r="E40" i="2"/>
  <c r="E39" i="2"/>
  <c r="E38" i="2"/>
  <c r="B2" i="16"/>
  <c r="B1" i="16"/>
  <c r="C16" i="4"/>
  <c r="B2" i="4"/>
  <c r="B1" i="4"/>
  <c r="P31" i="42"/>
  <c r="O35" i="42"/>
  <c r="P35" i="42"/>
  <c r="P33" i="42"/>
  <c r="O31" i="42"/>
  <c r="M31" i="42"/>
  <c r="O33" i="42"/>
  <c r="T105" i="42"/>
  <c r="T106" i="42"/>
  <c r="T107" i="42"/>
  <c r="L47" i="58"/>
  <c r="L12" i="42" s="1"/>
  <c r="K47" i="58"/>
  <c r="J47" i="58"/>
  <c r="L57" i="58"/>
  <c r="L19" i="42" s="1"/>
  <c r="K57" i="58"/>
  <c r="K12" i="42"/>
  <c r="K19" i="42"/>
  <c r="J57" i="58"/>
  <c r="M47" i="58"/>
  <c r="M57" i="58"/>
  <c r="V57" i="58"/>
  <c r="S67" i="42" l="1"/>
  <c r="S68" i="42" s="1" a="1"/>
  <c r="S68" i="42" s="1"/>
  <c r="M14" i="42"/>
  <c r="N23" i="42"/>
  <c r="M12" i="42"/>
  <c r="M10" i="53"/>
  <c r="M22" i="53" s="1"/>
  <c r="G79" i="4"/>
  <c r="L21" i="42"/>
  <c r="T12" i="42"/>
  <c r="M26" i="53"/>
  <c r="M34" i="53" s="1"/>
  <c r="T75" i="42"/>
  <c r="L58" i="42"/>
  <c r="L61" i="42" s="1"/>
  <c r="L70" i="42" s="1"/>
  <c r="L107" i="42"/>
  <c r="L91" i="42"/>
  <c r="F40" i="42"/>
  <c r="L37" i="42"/>
  <c r="N10" i="58"/>
  <c r="L23" i="42"/>
  <c r="S58" i="42"/>
  <c r="L46" i="42"/>
  <c r="L16" i="42"/>
  <c r="F22" i="42"/>
  <c r="F21" i="58"/>
  <c r="F28" i="42"/>
  <c r="E23" i="42"/>
  <c r="L49" i="42"/>
  <c r="J49" i="2"/>
  <c r="J60" i="2" s="1"/>
  <c r="J61" i="58"/>
  <c r="L14" i="42"/>
  <c r="F25" i="58"/>
  <c r="E16" i="42"/>
  <c r="E14" i="42"/>
  <c r="P103" i="42"/>
  <c r="M34" i="58"/>
  <c r="M14" i="2"/>
  <c r="Q23" i="42"/>
  <c r="N34" i="58"/>
  <c r="N58" i="42"/>
  <c r="N68" i="42" s="1" a="1"/>
  <c r="N68" i="42" s="1"/>
  <c r="F29" i="58"/>
  <c r="O58" i="42"/>
  <c r="M10" i="2"/>
  <c r="Q49" i="42"/>
  <c r="Q35" i="42"/>
  <c r="C106" i="2"/>
  <c r="P64" i="2"/>
  <c r="P73" i="2" s="1"/>
  <c r="O65" i="42" a="1"/>
  <c r="O65" i="42" s="1"/>
  <c r="Q49" i="2"/>
  <c r="Q60" i="2" s="1"/>
  <c r="R10" i="2"/>
  <c r="R12" i="2" s="1"/>
  <c r="M108" i="2"/>
  <c r="P14" i="2"/>
  <c r="S1" i="58"/>
  <c r="G12" i="16" s="1"/>
  <c r="C107" i="2"/>
  <c r="T13" i="44"/>
  <c r="T14" i="44"/>
  <c r="T17" i="44"/>
  <c r="T16" i="44"/>
  <c r="T15" i="44"/>
  <c r="K15" i="44"/>
  <c r="L16" i="44"/>
  <c r="L15" i="44"/>
  <c r="L18" i="44"/>
  <c r="L17" i="44"/>
  <c r="L14" i="44"/>
  <c r="L13" i="44"/>
  <c r="F26" i="58"/>
  <c r="J17" i="44"/>
  <c r="L36" i="2"/>
  <c r="L47" i="2" s="1"/>
  <c r="L10" i="53"/>
  <c r="L22" i="53" s="1"/>
  <c r="T64" i="2"/>
  <c r="T73" i="2" s="1"/>
  <c r="J113" i="2"/>
  <c r="J117" i="2" s="1"/>
  <c r="O10" i="2"/>
  <c r="O12" i="2" s="1"/>
  <c r="K21" i="42"/>
  <c r="U113" i="2"/>
  <c r="U117" i="2" s="1"/>
  <c r="Q58" i="42"/>
  <c r="Q65" i="42" s="1" a="1"/>
  <c r="Q65" i="42" s="1"/>
  <c r="F27" i="58"/>
  <c r="K75" i="42"/>
  <c r="J15" i="44"/>
  <c r="K43" i="42"/>
  <c r="K37" i="42"/>
  <c r="P36" i="2"/>
  <c r="P47" i="2" s="1"/>
  <c r="Q75" i="2"/>
  <c r="M64" i="2"/>
  <c r="M73" i="2" s="1"/>
  <c r="K23" i="42"/>
  <c r="J107" i="2"/>
  <c r="N38" i="53"/>
  <c r="N42" i="53" s="1"/>
  <c r="K35" i="42"/>
  <c r="U75" i="2"/>
  <c r="K58" i="42"/>
  <c r="R58" i="42"/>
  <c r="R65" i="42" s="1" a="1"/>
  <c r="R65" i="42" s="1"/>
  <c r="T103" i="42"/>
  <c r="Q36" i="2"/>
  <c r="Q47" i="2" s="1"/>
  <c r="Q64" i="2"/>
  <c r="Q73" i="2" s="1"/>
  <c r="R10" i="58"/>
  <c r="R28" i="42" s="1"/>
  <c r="J65" i="42" a="1"/>
  <c r="J65" i="42" s="1"/>
  <c r="F15" i="58"/>
  <c r="K13" i="44"/>
  <c r="S26" i="53"/>
  <c r="S34" i="53" s="1"/>
  <c r="R35" i="42"/>
  <c r="T58" i="42"/>
  <c r="T71" i="42" s="1" a="1"/>
  <c r="T71" i="42" s="1"/>
  <c r="F22" i="58"/>
  <c r="J71" i="42" a="1"/>
  <c r="J71" i="42" s="1"/>
  <c r="J61" i="42"/>
  <c r="K14" i="44"/>
  <c r="K46" i="42"/>
  <c r="Q113" i="2"/>
  <c r="S38" i="53"/>
  <c r="S42" i="53" s="1"/>
  <c r="O75" i="2"/>
  <c r="K33" i="42"/>
  <c r="R34" i="58"/>
  <c r="L26" i="53"/>
  <c r="L34" i="53" s="1"/>
  <c r="K14" i="42"/>
  <c r="K18" i="44"/>
  <c r="K10" i="42"/>
  <c r="Q24" i="2"/>
  <c r="Q10" i="2"/>
  <c r="Q12" i="2" s="1"/>
  <c r="Q14" i="2"/>
  <c r="M12" i="2"/>
  <c r="Q117" i="2"/>
  <c r="T20" i="42"/>
  <c r="O61" i="58"/>
  <c r="O10" i="58"/>
  <c r="O34" i="58"/>
  <c r="P38" i="53"/>
  <c r="P42" i="53" s="1"/>
  <c r="P10" i="53"/>
  <c r="P22" i="53" s="1"/>
  <c r="P26" i="53"/>
  <c r="P34" i="53" s="1"/>
  <c r="N104" i="2"/>
  <c r="N64" i="2"/>
  <c r="N73" i="2" s="1"/>
  <c r="N24" i="2"/>
  <c r="N113" i="2"/>
  <c r="N117" i="2" s="1"/>
  <c r="N75" i="2"/>
  <c r="N14" i="2"/>
  <c r="N10" i="2"/>
  <c r="N12" i="2" s="1"/>
  <c r="N49" i="2"/>
  <c r="N60" i="2" s="1"/>
  <c r="N36" i="2"/>
  <c r="N47" i="2" s="1"/>
  <c r="P10" i="58"/>
  <c r="P34" i="58"/>
  <c r="P61" i="58"/>
  <c r="K26" i="53"/>
  <c r="K34" i="53" s="1"/>
  <c r="K10" i="53"/>
  <c r="K22" i="53" s="1"/>
  <c r="S65" i="42" a="1"/>
  <c r="S65" i="42" s="1"/>
  <c r="K38" i="53"/>
  <c r="K42" i="53" s="1"/>
  <c r="J12" i="2"/>
  <c r="U109" i="2"/>
  <c r="U106" i="2"/>
  <c r="U108" i="2"/>
  <c r="J28" i="42"/>
  <c r="Q106" i="2"/>
  <c r="Q109" i="2"/>
  <c r="Q108" i="2"/>
  <c r="Q107" i="2"/>
  <c r="P68" i="42" a="1"/>
  <c r="P68" i="42" s="1"/>
  <c r="S1" i="54"/>
  <c r="G10" i="16" s="1"/>
  <c r="K61" i="58"/>
  <c r="K10" i="58"/>
  <c r="S61" i="58"/>
  <c r="S10" i="58"/>
  <c r="R104" i="2"/>
  <c r="R64" i="2"/>
  <c r="R73" i="2" s="1"/>
  <c r="R24" i="2"/>
  <c r="R113" i="2"/>
  <c r="R117" i="2" s="1"/>
  <c r="R75" i="2"/>
  <c r="R14" i="2"/>
  <c r="R36" i="2"/>
  <c r="R47" i="2" s="1"/>
  <c r="Q68" i="42" a="1"/>
  <c r="Q68" i="42" s="1"/>
  <c r="L10" i="58"/>
  <c r="L34" i="58"/>
  <c r="L61" i="58"/>
  <c r="K10" i="2"/>
  <c r="K14" i="2"/>
  <c r="K24" i="2"/>
  <c r="K64" i="2"/>
  <c r="K73" i="2" s="1"/>
  <c r="K113" i="2"/>
  <c r="K117" i="2" s="1"/>
  <c r="K36" i="2"/>
  <c r="K47" i="2" s="1"/>
  <c r="K75" i="2"/>
  <c r="K49" i="2"/>
  <c r="K60" i="2" s="1"/>
  <c r="K104" i="2"/>
  <c r="X102" i="2"/>
  <c r="L68" i="42" a="1"/>
  <c r="L68" i="42" s="1"/>
  <c r="M103" i="42"/>
  <c r="M40" i="42"/>
  <c r="M75" i="42"/>
  <c r="M35" i="42"/>
  <c r="M16" i="42"/>
  <c r="M33" i="42"/>
  <c r="M23" i="42"/>
  <c r="M46" i="42"/>
  <c r="M21" i="42"/>
  <c r="M37" i="42"/>
  <c r="M58" i="42"/>
  <c r="M19" i="42"/>
  <c r="M10" i="42"/>
  <c r="M49" i="42"/>
  <c r="T13" i="42"/>
  <c r="P65" i="42" a="1"/>
  <c r="P65" i="42" s="1"/>
  <c r="M107" i="2"/>
  <c r="M109" i="2"/>
  <c r="J109" i="2"/>
  <c r="J108" i="2"/>
  <c r="S113" i="2"/>
  <c r="S117" i="2" s="1"/>
  <c r="O49" i="2"/>
  <c r="O60" i="2" s="1"/>
  <c r="S75" i="2"/>
  <c r="O104" i="2"/>
  <c r="S104" i="2"/>
  <c r="C108" i="2"/>
  <c r="U36" i="2"/>
  <c r="U47" i="2" s="1"/>
  <c r="J62" i="42" a="1"/>
  <c r="J62" i="42" s="1"/>
  <c r="T26" i="53"/>
  <c r="T34" i="53" s="1"/>
  <c r="J14" i="44"/>
  <c r="O113" i="2"/>
  <c r="O117" i="2" s="1"/>
  <c r="L10" i="2"/>
  <c r="L12" i="2" s="1"/>
  <c r="M10" i="58"/>
  <c r="M28" i="42" s="1"/>
  <c r="Q61" i="58"/>
  <c r="L104" i="2"/>
  <c r="P104" i="2"/>
  <c r="T104" i="2"/>
  <c r="O24" i="2"/>
  <c r="S14" i="2"/>
  <c r="U64" i="2"/>
  <c r="U73" i="2" s="1"/>
  <c r="Q10" i="53"/>
  <c r="Q22" i="53" s="1"/>
  <c r="T113" i="2"/>
  <c r="T117" i="2" s="1"/>
  <c r="P24" i="2"/>
  <c r="T10" i="2"/>
  <c r="T12" i="2" s="1"/>
  <c r="L75" i="2"/>
  <c r="O14" i="2"/>
  <c r="K16" i="44"/>
  <c r="J18" i="44"/>
  <c r="O36" i="2"/>
  <c r="O47" i="2" s="1"/>
  <c r="Q26" i="53"/>
  <c r="Q34" i="53" s="1"/>
  <c r="P113" i="2"/>
  <c r="P117" i="2" s="1"/>
  <c r="L24" i="2"/>
  <c r="T14" i="2"/>
  <c r="L64" i="2"/>
  <c r="L73" i="2" s="1"/>
  <c r="U49" i="2"/>
  <c r="U60" i="2" s="1"/>
  <c r="S49" i="2"/>
  <c r="S60" i="2" s="1"/>
  <c r="T49" i="2"/>
  <c r="T60" i="2" s="1"/>
  <c r="L62" i="42" l="1" a="1"/>
  <c r="L62" i="42" s="1"/>
  <c r="L65" i="42" a="1"/>
  <c r="L65" i="42" s="1"/>
  <c r="N28" i="42"/>
  <c r="L71" i="42" a="1"/>
  <c r="L71" i="42" s="1"/>
  <c r="Q28" i="42"/>
  <c r="T62" i="42" a="1"/>
  <c r="T62" i="42" s="1"/>
  <c r="T68" i="42" a="1"/>
  <c r="T68" i="42" s="1"/>
  <c r="N65" i="42" a="1"/>
  <c r="N65" i="42" s="1"/>
  <c r="T61" i="42"/>
  <c r="T70" i="42" s="1"/>
  <c r="L28" i="42"/>
  <c r="T65" i="42" a="1"/>
  <c r="T65" i="42" s="1"/>
  <c r="F23" i="42"/>
  <c r="F21" i="42"/>
  <c r="P61" i="42"/>
  <c r="R68" i="42" a="1"/>
  <c r="R68" i="42" s="1"/>
  <c r="P28" i="42"/>
  <c r="S28" i="42"/>
  <c r="K28" i="42"/>
  <c r="W22" i="53"/>
  <c r="J70" i="42"/>
  <c r="K62" i="42" a="1"/>
  <c r="K62" i="42" s="1"/>
  <c r="K61" i="42"/>
  <c r="K70" i="42" s="1"/>
  <c r="K71" i="42" a="1"/>
  <c r="K71" i="42" s="1"/>
  <c r="K65" i="42" a="1"/>
  <c r="K65" i="42" s="1"/>
  <c r="K68" i="42" a="1"/>
  <c r="K68" i="42" s="1"/>
  <c r="F16" i="42"/>
  <c r="F14" i="42"/>
  <c r="W42" i="53"/>
  <c r="X60" i="2"/>
  <c r="L106" i="2"/>
  <c r="L108" i="2"/>
  <c r="L109" i="2"/>
  <c r="L107" i="2"/>
  <c r="O28" i="42"/>
  <c r="K108" i="2"/>
  <c r="K107" i="2"/>
  <c r="K106" i="2"/>
  <c r="K109" i="2"/>
  <c r="C16" i="2" a="1"/>
  <c r="K12" i="2"/>
  <c r="C26" i="2" a="1"/>
  <c r="W34" i="53"/>
  <c r="P109" i="2"/>
  <c r="P108" i="2"/>
  <c r="P107" i="2"/>
  <c r="P106" i="2"/>
  <c r="S108" i="2"/>
  <c r="S107" i="2"/>
  <c r="S106" i="2"/>
  <c r="S109" i="2"/>
  <c r="X47" i="2"/>
  <c r="N107" i="2"/>
  <c r="N108" i="2"/>
  <c r="N109" i="2"/>
  <c r="N106" i="2"/>
  <c r="O109" i="2"/>
  <c r="O107" i="2"/>
  <c r="O108" i="2"/>
  <c r="O106" i="2"/>
  <c r="N61" i="42" s="1"/>
  <c r="N70" i="42" s="1"/>
  <c r="M61" i="42"/>
  <c r="M62" i="42" s="1" a="1"/>
  <c r="M62" i="42" s="1"/>
  <c r="M65" i="42" a="1"/>
  <c r="M65" i="42" s="1"/>
  <c r="M68" i="42" a="1"/>
  <c r="M68" i="42" s="1"/>
  <c r="X117" i="2"/>
  <c r="R108" i="2"/>
  <c r="R106" i="2"/>
  <c r="R107" i="2"/>
  <c r="R109" i="2"/>
  <c r="T107" i="2"/>
  <c r="T108" i="2"/>
  <c r="T109" i="2"/>
  <c r="T106" i="2"/>
  <c r="X73" i="2"/>
  <c r="P70" i="42" l="1"/>
  <c r="R61" i="42"/>
  <c r="S61" i="42"/>
  <c r="Q61" i="42"/>
  <c r="O61" i="42"/>
  <c r="S1" i="53"/>
  <c r="G14" i="16" s="1"/>
  <c r="M71" i="42" a="1"/>
  <c r="M71" i="42" s="1"/>
  <c r="N62" i="42" a="1"/>
  <c r="N62" i="42" s="1"/>
  <c r="T1" i="2"/>
  <c r="G13" i="16" s="1"/>
  <c r="C31" i="2"/>
  <c r="C27" i="2"/>
  <c r="C26" i="2"/>
  <c r="C29" i="2"/>
  <c r="C32" i="2"/>
  <c r="C30" i="2"/>
  <c r="C28" i="2"/>
  <c r="M70" i="42"/>
  <c r="N71" i="42" s="1" a="1"/>
  <c r="N71" i="42" s="1"/>
  <c r="C16" i="2"/>
  <c r="C17" i="2"/>
  <c r="C18" i="2"/>
  <c r="C21" i="2"/>
  <c r="C19" i="2"/>
  <c r="C20" i="2"/>
  <c r="C22" i="2"/>
  <c r="Q70" i="42" l="1"/>
  <c r="S70" i="42"/>
  <c r="R70" i="42"/>
  <c r="O70" i="42"/>
  <c r="Q62" i="42" a="1"/>
  <c r="Q62" i="42" s="1"/>
  <c r="S62" i="42" a="1"/>
  <c r="S62" i="42" s="1"/>
  <c r="R62" i="42" a="1"/>
  <c r="R62" i="42" s="1"/>
  <c r="P62" i="42" a="1"/>
  <c r="P62" i="42" s="1"/>
  <c r="O62" i="42" a="1"/>
  <c r="O62" i="42" s="1"/>
  <c r="Q27" i="2"/>
  <c r="T27" i="2"/>
  <c r="E27" i="2"/>
  <c r="D27" i="2"/>
  <c r="S27" i="2"/>
  <c r="P27" i="2"/>
  <c r="R27" i="2"/>
  <c r="O21" i="2"/>
  <c r="K29" i="42" s="1"/>
  <c r="E21" i="2"/>
  <c r="D21" i="2"/>
  <c r="P21" i="2"/>
  <c r="E31" i="2"/>
  <c r="T31" i="2"/>
  <c r="D31" i="2"/>
  <c r="Q31" i="2"/>
  <c r="S31" i="2"/>
  <c r="R31" i="2"/>
  <c r="P31" i="2"/>
  <c r="D18" i="2"/>
  <c r="L18" i="2"/>
  <c r="M18" i="2" s="1"/>
  <c r="M28" i="2" s="1"/>
  <c r="P18" i="2"/>
  <c r="E18" i="2"/>
  <c r="P17" i="2"/>
  <c r="K17" i="2"/>
  <c r="K27" i="2" s="1"/>
  <c r="E17" i="2"/>
  <c r="D17" i="2"/>
  <c r="Q28" i="2"/>
  <c r="T28" i="2"/>
  <c r="S28" i="2"/>
  <c r="E28" i="2"/>
  <c r="D28" i="2"/>
  <c r="P28" i="2"/>
  <c r="R28" i="2"/>
  <c r="J16" i="2"/>
  <c r="K16" i="2" s="1"/>
  <c r="P16" i="2"/>
  <c r="E16" i="2"/>
  <c r="D16" i="2"/>
  <c r="Q30" i="2"/>
  <c r="T30" i="2"/>
  <c r="E30" i="2"/>
  <c r="D30" i="2"/>
  <c r="S30" i="2"/>
  <c r="R30" i="2"/>
  <c r="P30" i="2"/>
  <c r="E19" i="2"/>
  <c r="P19" i="2"/>
  <c r="M19" i="2"/>
  <c r="N19" i="2" s="1"/>
  <c r="D19" i="2"/>
  <c r="M32" i="2"/>
  <c r="Q32" i="2"/>
  <c r="J32" i="2"/>
  <c r="D32" i="2"/>
  <c r="E32" i="2"/>
  <c r="S32" i="2"/>
  <c r="T32" i="2"/>
  <c r="N32" i="2"/>
  <c r="R32" i="2"/>
  <c r="P32" i="2"/>
  <c r="L32" i="2"/>
  <c r="K32" i="2"/>
  <c r="O32" i="2"/>
  <c r="K22" i="2"/>
  <c r="M22" i="2"/>
  <c r="D22" i="2"/>
  <c r="O22" i="2"/>
  <c r="L22" i="2"/>
  <c r="E22" i="2"/>
  <c r="N22" i="2"/>
  <c r="J22" i="2"/>
  <c r="P22" i="2"/>
  <c r="E29" i="2"/>
  <c r="D29" i="2"/>
  <c r="Q29" i="2"/>
  <c r="T29" i="2"/>
  <c r="S29" i="2"/>
  <c r="P29" i="2"/>
  <c r="R29" i="2"/>
  <c r="N20" i="2"/>
  <c r="N30" i="2" s="1"/>
  <c r="D20" i="2"/>
  <c r="E20" i="2"/>
  <c r="P20" i="2"/>
  <c r="D26" i="2"/>
  <c r="E26" i="2"/>
  <c r="Q26" i="2"/>
  <c r="T26" i="2"/>
  <c r="S26" i="2"/>
  <c r="R26" i="2"/>
  <c r="P26" i="2"/>
  <c r="S71" i="42" l="1" a="1"/>
  <c r="S71" i="42" s="1"/>
  <c r="Q71" i="42" a="1"/>
  <c r="Q71" i="42" s="1"/>
  <c r="O71" i="42" a="1"/>
  <c r="O71" i="42" s="1"/>
  <c r="P71" i="42" a="1"/>
  <c r="P71" i="42" s="1"/>
  <c r="R71" i="42" a="1"/>
  <c r="R71" i="42" s="1"/>
  <c r="T83" i="42"/>
  <c r="Q85" i="42"/>
  <c r="J29" i="42"/>
  <c r="T29" i="42"/>
  <c r="Q47" i="42"/>
  <c r="J47" i="42"/>
  <c r="N97" i="42"/>
  <c r="N18" i="44" s="1"/>
  <c r="R83" i="42"/>
  <c r="O83" i="42"/>
  <c r="P83" i="42"/>
  <c r="K96" i="42"/>
  <c r="T47" i="42"/>
  <c r="N41" i="42"/>
  <c r="J77" i="42"/>
  <c r="N77" i="42"/>
  <c r="S80" i="42"/>
  <c r="O95" i="42"/>
  <c r="O16" i="44" s="1"/>
  <c r="O79" i="42"/>
  <c r="P29" i="42"/>
  <c r="L97" i="42"/>
  <c r="M82" i="42"/>
  <c r="R47" i="42"/>
  <c r="N79" i="42"/>
  <c r="J85" i="42"/>
  <c r="T38" i="42"/>
  <c r="K93" i="42"/>
  <c r="O41" i="42"/>
  <c r="S77" i="42"/>
  <c r="S82" i="42"/>
  <c r="S94" i="42"/>
  <c r="S15" i="44" s="1"/>
  <c r="L29" i="42"/>
  <c r="N47" i="42"/>
  <c r="Q29" i="42"/>
  <c r="P47" i="42"/>
  <c r="P97" i="42"/>
  <c r="P18" i="44" s="1"/>
  <c r="Q97" i="42"/>
  <c r="Q18" i="44" s="1"/>
  <c r="O82" i="42"/>
  <c r="O44" i="42"/>
  <c r="L44" i="42"/>
  <c r="M96" i="42"/>
  <c r="M17" i="44" s="1"/>
  <c r="L94" i="42"/>
  <c r="N78" i="42"/>
  <c r="L93" i="42"/>
  <c r="N84" i="42"/>
  <c r="L41" i="42"/>
  <c r="N50" i="42"/>
  <c r="L50" i="42"/>
  <c r="N83" i="42"/>
  <c r="O78" i="42"/>
  <c r="M83" i="42"/>
  <c r="N82" i="42"/>
  <c r="M38" i="42"/>
  <c r="R97" i="42"/>
  <c r="R18" i="44" s="1"/>
  <c r="J44" i="42"/>
  <c r="S50" i="42"/>
  <c r="S97" i="42"/>
  <c r="S18" i="44" s="1"/>
  <c r="K44" i="42"/>
  <c r="L82" i="42"/>
  <c r="L96" i="42"/>
  <c r="M78" i="42"/>
  <c r="T85" i="42"/>
  <c r="L78" i="42"/>
  <c r="P93" i="42"/>
  <c r="P14" i="44" s="1"/>
  <c r="M29" i="42"/>
  <c r="R50" i="42"/>
  <c r="P94" i="42"/>
  <c r="P15" i="44" s="1"/>
  <c r="J82" i="42"/>
  <c r="K47" i="42"/>
  <c r="S29" i="42"/>
  <c r="T97" i="42"/>
  <c r="N29" i="42"/>
  <c r="R44" i="42"/>
  <c r="S44" i="42"/>
  <c r="Q82" i="42"/>
  <c r="R82" i="42"/>
  <c r="R94" i="42"/>
  <c r="R15" i="44" s="1"/>
  <c r="S79" i="42"/>
  <c r="K94" i="42"/>
  <c r="T96" i="42"/>
  <c r="S84" i="42"/>
  <c r="R77" i="42"/>
  <c r="O96" i="42"/>
  <c r="O17" i="44" s="1"/>
  <c r="P85" i="42"/>
  <c r="O29" i="42"/>
  <c r="J97" i="42"/>
  <c r="J78" i="42"/>
  <c r="P96" i="42"/>
  <c r="P17" i="44" s="1"/>
  <c r="J83" i="42"/>
  <c r="M94" i="42"/>
  <c r="M15" i="44" s="1"/>
  <c r="M47" i="42"/>
  <c r="M41" i="42"/>
  <c r="Q44" i="42"/>
  <c r="M97" i="42"/>
  <c r="M18" i="44" s="1"/>
  <c r="R29" i="42"/>
  <c r="N44" i="42"/>
  <c r="K97" i="42"/>
  <c r="K83" i="42"/>
  <c r="J93" i="42"/>
  <c r="Q79" i="42"/>
  <c r="Q77" i="42"/>
  <c r="R79" i="42"/>
  <c r="O85" i="42"/>
  <c r="S78" i="42"/>
  <c r="T78" i="42"/>
  <c r="M50" i="42"/>
  <c r="L83" i="42"/>
  <c r="P82" i="42"/>
  <c r="M44" i="42"/>
  <c r="S83" i="42"/>
  <c r="O97" i="42"/>
  <c r="O18" i="44" s="1"/>
  <c r="P44" i="42"/>
  <c r="N94" i="42"/>
  <c r="N15" i="44" s="1"/>
  <c r="Q94" i="42"/>
  <c r="Q15" i="44" s="1"/>
  <c r="N95" i="42"/>
  <c r="N16" i="44" s="1"/>
  <c r="K38" i="42"/>
  <c r="Q84" i="42"/>
  <c r="R96" i="42"/>
  <c r="R17" i="44" s="1"/>
  <c r="J17" i="2"/>
  <c r="J27" i="2" s="1"/>
  <c r="M20" i="2"/>
  <c r="L20" i="2" s="1"/>
  <c r="K20" i="2" s="1"/>
  <c r="L19" i="2"/>
  <c r="K19" i="2" s="1"/>
  <c r="K29" i="2" s="1"/>
  <c r="K80" i="42"/>
  <c r="S96" i="42"/>
  <c r="S17" i="44" s="1"/>
  <c r="N93" i="42"/>
  <c r="N14" i="44" s="1"/>
  <c r="L80" i="42"/>
  <c r="N96" i="42"/>
  <c r="N17" i="44" s="1"/>
  <c r="M79" i="42"/>
  <c r="S93" i="42"/>
  <c r="S14" i="44" s="1"/>
  <c r="T41" i="42"/>
  <c r="M84" i="42"/>
  <c r="R41" i="42"/>
  <c r="T50" i="42"/>
  <c r="L47" i="42"/>
  <c r="R93" i="42"/>
  <c r="R14" i="44" s="1"/>
  <c r="P80" i="42"/>
  <c r="S85" i="42"/>
  <c r="K50" i="42"/>
  <c r="Q95" i="42"/>
  <c r="Q16" i="44" s="1"/>
  <c r="O50" i="42"/>
  <c r="T79" i="42"/>
  <c r="Q80" i="42"/>
  <c r="K95" i="42"/>
  <c r="K78" i="42"/>
  <c r="T82" i="42"/>
  <c r="N85" i="42"/>
  <c r="S47" i="42"/>
  <c r="M93" i="42"/>
  <c r="M14" i="44" s="1"/>
  <c r="K84" i="42"/>
  <c r="M95" i="42"/>
  <c r="L85" i="42"/>
  <c r="O77" i="42"/>
  <c r="Q78" i="42"/>
  <c r="Q50" i="42"/>
  <c r="P79" i="42"/>
  <c r="R80" i="42"/>
  <c r="P77" i="42"/>
  <c r="O93" i="42"/>
  <c r="J38" i="42"/>
  <c r="N80" i="42"/>
  <c r="Q96" i="42"/>
  <c r="Q17" i="44" s="1"/>
  <c r="J96" i="42"/>
  <c r="T77" i="42"/>
  <c r="S95" i="42"/>
  <c r="S16" i="44" s="1"/>
  <c r="O47" i="42"/>
  <c r="M77" i="42"/>
  <c r="J80" i="42"/>
  <c r="T44" i="42"/>
  <c r="T84" i="42"/>
  <c r="L77" i="42"/>
  <c r="R38" i="42"/>
  <c r="O38" i="42"/>
  <c r="P41" i="42"/>
  <c r="P78" i="42"/>
  <c r="O80" i="42"/>
  <c r="R78" i="42"/>
  <c r="O31" i="2"/>
  <c r="J26" i="2"/>
  <c r="J94" i="42"/>
  <c r="O94" i="42"/>
  <c r="O15" i="44" s="1"/>
  <c r="K82" i="42"/>
  <c r="R85" i="42"/>
  <c r="Q93" i="42"/>
  <c r="Q14" i="44" s="1"/>
  <c r="J79" i="42"/>
  <c r="L79" i="42"/>
  <c r="K41" i="42"/>
  <c r="M85" i="42"/>
  <c r="T95" i="42"/>
  <c r="K79" i="42"/>
  <c r="T93" i="42"/>
  <c r="P50" i="42"/>
  <c r="O84" i="42"/>
  <c r="L38" i="42"/>
  <c r="T80" i="42"/>
  <c r="Q41" i="42"/>
  <c r="Q83" i="42"/>
  <c r="L84" i="42"/>
  <c r="M80" i="42"/>
  <c r="J84" i="42"/>
  <c r="R84" i="42"/>
  <c r="L95" i="42"/>
  <c r="K77" i="42"/>
  <c r="J95" i="42"/>
  <c r="K85" i="42"/>
  <c r="P95" i="42"/>
  <c r="P16" i="44" s="1"/>
  <c r="R95" i="42"/>
  <c r="R16" i="44" s="1"/>
  <c r="N38" i="42"/>
  <c r="S41" i="42"/>
  <c r="J50" i="42"/>
  <c r="T94" i="42"/>
  <c r="P38" i="42"/>
  <c r="J41" i="42"/>
  <c r="P84" i="42"/>
  <c r="K18" i="2"/>
  <c r="J18" i="2" s="1"/>
  <c r="J28" i="2" s="1"/>
  <c r="L28" i="2"/>
  <c r="K26" i="2"/>
  <c r="L16" i="2"/>
  <c r="O20" i="2"/>
  <c r="N81" i="42" s="1"/>
  <c r="M29" i="2"/>
  <c r="L17" i="2"/>
  <c r="N29" i="2"/>
  <c r="O19" i="2"/>
  <c r="O29" i="2" s="1"/>
  <c r="R13" i="42"/>
  <c r="R26" i="42" s="1"/>
  <c r="R20" i="42"/>
  <c r="P20" i="42"/>
  <c r="P13" i="42"/>
  <c r="P26" i="42" s="1"/>
  <c r="N18" i="2"/>
  <c r="O20" i="42"/>
  <c r="O13" i="42"/>
  <c r="O26" i="42" s="1"/>
  <c r="S13" i="42"/>
  <c r="S26" i="42" s="1"/>
  <c r="S20" i="42"/>
  <c r="N21" i="2"/>
  <c r="Q20" i="42"/>
  <c r="Q13" i="42"/>
  <c r="Q26" i="42" s="1"/>
  <c r="L81" i="42" l="1"/>
  <c r="K81" i="42"/>
  <c r="K87" i="42" s="1"/>
  <c r="J81" i="42"/>
  <c r="J87" i="42" s="1"/>
  <c r="O30" i="2"/>
  <c r="S81" i="42"/>
  <c r="S87" i="42" s="1"/>
  <c r="R81" i="42"/>
  <c r="R87" i="42" s="1"/>
  <c r="Q81" i="42"/>
  <c r="Q87" i="42" s="1"/>
  <c r="O81" i="42"/>
  <c r="O87" i="42" s="1"/>
  <c r="T81" i="42"/>
  <c r="T87" i="42" s="1"/>
  <c r="P81" i="42"/>
  <c r="P87" i="42" s="1"/>
  <c r="M81" i="42"/>
  <c r="M87" i="42" s="1"/>
  <c r="N20" i="42"/>
  <c r="L29" i="2"/>
  <c r="L99" i="42"/>
  <c r="J19" i="2"/>
  <c r="J29" i="2" s="1"/>
  <c r="L30" i="2"/>
  <c r="M30" i="2"/>
  <c r="Q99" i="42"/>
  <c r="P52" i="42"/>
  <c r="P54" i="42" s="1"/>
  <c r="T99" i="42"/>
  <c r="M52" i="42"/>
  <c r="M54" i="42" s="1"/>
  <c r="N13" i="42"/>
  <c r="N26" i="42" s="1"/>
  <c r="R52" i="42"/>
  <c r="R54" i="42" s="1"/>
  <c r="K52" i="42"/>
  <c r="K54" i="42" s="1"/>
  <c r="R99" i="42"/>
  <c r="N87" i="42"/>
  <c r="J99" i="42"/>
  <c r="O52" i="42"/>
  <c r="O54" i="42" s="1"/>
  <c r="J52" i="42"/>
  <c r="J54" i="42" s="1"/>
  <c r="K99" i="42"/>
  <c r="N99" i="42"/>
  <c r="S99" i="42"/>
  <c r="O99" i="42"/>
  <c r="M99" i="42"/>
  <c r="M16" i="44"/>
  <c r="O14" i="44"/>
  <c r="L87" i="42"/>
  <c r="P99" i="42"/>
  <c r="K28" i="2"/>
  <c r="M17" i="2"/>
  <c r="L27" i="2"/>
  <c r="M16" i="2"/>
  <c r="L26" i="2"/>
  <c r="K30" i="2"/>
  <c r="J20" i="2"/>
  <c r="J30" i="2" s="1"/>
  <c r="N28" i="2"/>
  <c r="O18" i="2"/>
  <c r="O28" i="2" s="1"/>
  <c r="M21" i="2"/>
  <c r="N31" i="2"/>
  <c r="N16" i="2" l="1"/>
  <c r="M26" i="2"/>
  <c r="M27" i="2"/>
  <c r="N17" i="2"/>
  <c r="M13" i="42"/>
  <c r="M26" i="42" s="1"/>
  <c r="M20" i="42"/>
  <c r="L21" i="2"/>
  <c r="M31" i="2"/>
  <c r="O17" i="2" l="1"/>
  <c r="O27" i="2" s="1"/>
  <c r="N27" i="2"/>
  <c r="N26" i="2"/>
  <c r="O16" i="2"/>
  <c r="K21" i="2"/>
  <c r="L31" i="2"/>
  <c r="L13" i="42"/>
  <c r="L26" i="42" s="1"/>
  <c r="L20" i="42"/>
  <c r="Q24" i="42" l="1"/>
  <c r="N22" i="42"/>
  <c r="O17" i="42"/>
  <c r="K15" i="42"/>
  <c r="P22" i="42"/>
  <c r="T17" i="42"/>
  <c r="N17" i="42"/>
  <c r="R15" i="42"/>
  <c r="P15" i="42"/>
  <c r="M15" i="42"/>
  <c r="O15" i="42"/>
  <c r="P24" i="42"/>
  <c r="J22" i="42"/>
  <c r="R22" i="42"/>
  <c r="S24" i="42"/>
  <c r="J24" i="42"/>
  <c r="L15" i="42"/>
  <c r="N15" i="42"/>
  <c r="O22" i="42"/>
  <c r="M17" i="42"/>
  <c r="J15" i="42"/>
  <c r="P17" i="42"/>
  <c r="S15" i="42"/>
  <c r="T22" i="42"/>
  <c r="S22" i="42"/>
  <c r="O26" i="2"/>
  <c r="J17" i="42"/>
  <c r="Q22" i="42"/>
  <c r="S17" i="42"/>
  <c r="T15" i="42"/>
  <c r="M24" i="42"/>
  <c r="M22" i="42"/>
  <c r="Q17" i="42"/>
  <c r="L22" i="42"/>
  <c r="K22" i="42"/>
  <c r="O24" i="42"/>
  <c r="L24" i="42"/>
  <c r="Q15" i="42"/>
  <c r="K24" i="42"/>
  <c r="L17" i="42"/>
  <c r="T24" i="42"/>
  <c r="K17" i="42"/>
  <c r="R17" i="42"/>
  <c r="N24" i="42"/>
  <c r="R24" i="42"/>
  <c r="K13" i="42"/>
  <c r="K26" i="42" s="1"/>
  <c r="K20" i="42"/>
  <c r="J21" i="2"/>
  <c r="J31" i="2" s="1"/>
  <c r="K31" i="2"/>
  <c r="L31" i="42" l="1"/>
  <c r="N31" i="42"/>
  <c r="J13" i="42"/>
  <c r="J26" i="42" s="1"/>
  <c r="J20" i="42"/>
  <c r="N35" i="42" l="1"/>
  <c r="L35" i="42"/>
  <c r="L33" i="42"/>
  <c r="L52" i="42" s="1"/>
  <c r="N33" i="42"/>
  <c r="S30" i="42" l="1"/>
  <c r="S38" i="42"/>
  <c r="S52" i="42" s="1"/>
  <c r="S54" i="42" s="1"/>
  <c r="Q38" i="42"/>
  <c r="L54" i="42"/>
  <c r="N52" i="42"/>
  <c r="Q52" i="42" l="1"/>
  <c r="Q54" i="42" s="1"/>
  <c r="N54" i="42"/>
  <c r="N106" i="42" l="1"/>
  <c r="N107" i="42" s="1"/>
  <c r="M106" i="42"/>
  <c r="M107" i="42" s="1"/>
  <c r="N105" i="42"/>
  <c r="N13" i="44" s="1"/>
  <c r="M105" i="42"/>
  <c r="M13" i="44" s="1"/>
  <c r="O106" i="42"/>
  <c r="O107" i="42" s="1"/>
  <c r="Q106" i="42"/>
  <c r="Q107" i="42" s="1"/>
  <c r="P106" i="42"/>
  <c r="P107" i="42" s="1"/>
  <c r="O105" i="42"/>
  <c r="O13" i="44" s="1"/>
  <c r="R106" i="42"/>
  <c r="R107" i="42" s="1"/>
  <c r="Q105" i="42"/>
  <c r="Q13" i="44" s="1"/>
  <c r="P105" i="42"/>
  <c r="P13" i="44" s="1"/>
  <c r="S106" i="42"/>
  <c r="S107" i="42" s="1"/>
  <c r="R105" i="42"/>
  <c r="R13" i="44" s="1"/>
  <c r="S105" i="42"/>
  <c r="S13" i="44" s="1"/>
  <c r="H72" i="55" l="1"/>
  <c r="H76" i="55" s="1"/>
  <c r="H80" i="55" s="1"/>
  <c r="H81" i="55" l="1"/>
  <c r="H84" i="55"/>
  <c r="I80" i="55"/>
  <c r="H79" i="55"/>
  <c r="H75" i="55"/>
  <c r="I76" i="55"/>
  <c r="V76" i="55" s="1"/>
  <c r="H77" i="55"/>
  <c r="I81" i="55" s="1"/>
  <c r="H73" i="55"/>
  <c r="I73" i="55" s="1"/>
  <c r="V73" i="55" s="1"/>
  <c r="I72" i="55"/>
  <c r="V72" i="55" s="1"/>
  <c r="H71" i="55"/>
  <c r="I71" i="55" s="1"/>
  <c r="V71" i="55" s="1"/>
  <c r="I84" i="55" l="1"/>
  <c r="H83" i="55"/>
  <c r="I83" i="55" s="1"/>
  <c r="I79" i="55"/>
  <c r="I77" i="55"/>
  <c r="V77" i="55" s="1"/>
  <c r="I75" i="55"/>
  <c r="V75" i="55" s="1"/>
  <c r="V1" i="55" l="1"/>
  <c r="G11" i="16" s="1"/>
  <c r="S1" i="16" s="1"/>
  <c r="W1" i="44" l="1"/>
  <c r="Y1" i="55"/>
  <c r="X1" i="2"/>
  <c r="W1" i="42"/>
  <c r="V1" i="4"/>
  <c r="V1" i="53"/>
  <c r="V1" i="58"/>
  <c r="V1" i="54"/>
</calcChain>
</file>

<file path=xl/sharedStrings.xml><?xml version="1.0" encoding="utf-8"?>
<sst xmlns="http://schemas.openxmlformats.org/spreadsheetml/2006/main" count="763" uniqueCount="231">
  <si>
    <t>Sheet Name</t>
  </si>
  <si>
    <t>Sheet Description</t>
  </si>
  <si>
    <t>Back to Index</t>
  </si>
  <si>
    <t>Key:</t>
  </si>
  <si>
    <t>Input</t>
  </si>
  <si>
    <t>External Link</t>
  </si>
  <si>
    <t>Internal Link</t>
  </si>
  <si>
    <t>Source</t>
  </si>
  <si>
    <t>Unit</t>
  </si>
  <si>
    <t>Ref</t>
  </si>
  <si>
    <t>Dollars</t>
  </si>
  <si>
    <t>unit</t>
  </si>
  <si>
    <t>$dollars</t>
  </si>
  <si>
    <t>Thousands</t>
  </si>
  <si>
    <t>Millions</t>
  </si>
  <si>
    <t>$millions</t>
  </si>
  <si>
    <t>Percent</t>
  </si>
  <si>
    <t>Number</t>
  </si>
  <si>
    <t>number</t>
  </si>
  <si>
    <t>Unit Denominations</t>
  </si>
  <si>
    <t>$000</t>
  </si>
  <si>
    <t>End</t>
  </si>
  <si>
    <t>Basis</t>
  </si>
  <si>
    <t>Actual</t>
  </si>
  <si>
    <t>Overall Check:</t>
  </si>
  <si>
    <t>Check | List</t>
  </si>
  <si>
    <t>Check List</t>
  </si>
  <si>
    <t>Sheet</t>
  </si>
  <si>
    <t>Ok/Check</t>
  </si>
  <si>
    <t>Status</t>
  </si>
  <si>
    <t>Calculated</t>
  </si>
  <si>
    <t>Per cent</t>
  </si>
  <si>
    <t>Debt Raising Costs</t>
  </si>
  <si>
    <t>Inflation</t>
  </si>
  <si>
    <t>External</t>
  </si>
  <si>
    <t>Input | Inflation</t>
  </si>
  <si>
    <t>n/a</t>
  </si>
  <si>
    <t>Factor</t>
  </si>
  <si>
    <t>factor</t>
  </si>
  <si>
    <t>Debt raising costs</t>
  </si>
  <si>
    <t>Check</t>
  </si>
  <si>
    <t>Index</t>
  </si>
  <si>
    <t>Rate of change</t>
  </si>
  <si>
    <t>Weights</t>
  </si>
  <si>
    <t>Input | Debt raising costs</t>
  </si>
  <si>
    <t>Input | Opex allowances</t>
  </si>
  <si>
    <t>Operating expenditure</t>
  </si>
  <si>
    <t>CPI indexes (nominal to real)</t>
  </si>
  <si>
    <t>Partial factor productivity</t>
  </si>
  <si>
    <t>Total step changes</t>
  </si>
  <si>
    <t>Input |Step changes</t>
  </si>
  <si>
    <r>
      <t>Inputs the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data, including historical opex by category, one-off costs, step changes, demand forecasts, carbon costs, self insurance, network growth, and partial factor productivity</t>
    </r>
  </si>
  <si>
    <t>Shows checks on the calculations within the model</t>
  </si>
  <si>
    <t>Lookup | Tables</t>
  </si>
  <si>
    <t>Notes</t>
  </si>
  <si>
    <t>Inputs for Post Tax Revenue Model</t>
  </si>
  <si>
    <t>Note. The dollar base should be consistent with the post tax revenue model</t>
  </si>
  <si>
    <t>Input | Reported opex</t>
  </si>
  <si>
    <r>
      <t>Inputs the reported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from the prior regulatory control period.</t>
    </r>
  </si>
  <si>
    <t>Includes the lookup tables used within this opex model.</t>
  </si>
  <si>
    <t>Input | Step changes</t>
  </si>
  <si>
    <t>Input | General</t>
  </si>
  <si>
    <t>Inputs NSP name, regulatory years for the prior and forecast regulatory control period etc.</t>
  </si>
  <si>
    <t>Model index</t>
  </si>
  <si>
    <t>NSP name</t>
  </si>
  <si>
    <t>Forecast regulatory control period, first year</t>
  </si>
  <si>
    <t>Forecast regulatory control period, last year</t>
  </si>
  <si>
    <t>Value</t>
  </si>
  <si>
    <t>NSP</t>
  </si>
  <si>
    <t>AER</t>
  </si>
  <si>
    <t>Years</t>
  </si>
  <si>
    <t>Forecast base year</t>
  </si>
  <si>
    <t>PTRM</t>
  </si>
  <si>
    <t>Total opex</t>
  </si>
  <si>
    <t>Estimate</t>
  </si>
  <si>
    <t>RIN</t>
  </si>
  <si>
    <t>Cost category</t>
  </si>
  <si>
    <t>Input | Forecast price change</t>
  </si>
  <si>
    <t>Input | Forecast productivity</t>
  </si>
  <si>
    <t>Step change</t>
  </si>
  <si>
    <t>Forecast price change</t>
  </si>
  <si>
    <t>CPI</t>
  </si>
  <si>
    <t>Worksheet check:</t>
  </si>
  <si>
    <t>index</t>
  </si>
  <si>
    <t>Input | Forecast output growth</t>
  </si>
  <si>
    <t>Output measure</t>
  </si>
  <si>
    <t>Calc | Estimated final year expenditure</t>
  </si>
  <si>
    <t>Calc | Rate of change</t>
  </si>
  <si>
    <t>Growth rate</t>
  </si>
  <si>
    <t>Efficiency adjustment</t>
  </si>
  <si>
    <t>Calc | Step changes</t>
  </si>
  <si>
    <t>Calc | Total forecast operating expenditure</t>
  </si>
  <si>
    <t>Inputs|Reported opex</t>
  </si>
  <si>
    <t>Input | General inputs</t>
  </si>
  <si>
    <t>Inputs</t>
  </si>
  <si>
    <t>ABS</t>
  </si>
  <si>
    <t>Inputs inflation data.</t>
  </si>
  <si>
    <t>Index value, new base</t>
  </si>
  <si>
    <t>calculated</t>
  </si>
  <si>
    <t>CPI indexes (real to real)</t>
  </si>
  <si>
    <t>nominal</t>
  </si>
  <si>
    <t>external</t>
  </si>
  <si>
    <t>Step changes</t>
  </si>
  <si>
    <t>Calc | Opex forecast</t>
  </si>
  <si>
    <t>Estimated final year opex</t>
  </si>
  <si>
    <t>Total forecast opex, excluding debt raising costs</t>
  </si>
  <si>
    <t>Total forecast opex, including debt raising costs</t>
  </si>
  <si>
    <t>Category specific forecasts</t>
  </si>
  <si>
    <t>Expenditure related to category specific forecasts</t>
  </si>
  <si>
    <t>Input | Adjustments</t>
  </si>
  <si>
    <t>Adjustment</t>
  </si>
  <si>
    <t>Adjustment 2</t>
  </si>
  <si>
    <t>Adjustment 3</t>
  </si>
  <si>
    <t>Adjustment 4</t>
  </si>
  <si>
    <t>Adjustment 5</t>
  </si>
  <si>
    <t>Input | Category specifc forecasts</t>
  </si>
  <si>
    <t>Calc | Category specific forecasts</t>
  </si>
  <si>
    <t>Total category specific forecasts</t>
  </si>
  <si>
    <t>Year ending</t>
  </si>
  <si>
    <t>Months</t>
  </si>
  <si>
    <t>month 1</t>
  </si>
  <si>
    <t>month 2</t>
  </si>
  <si>
    <t>month 3</t>
  </si>
  <si>
    <t>month 4</t>
  </si>
  <si>
    <t>month 5</t>
  </si>
  <si>
    <t>month 6</t>
  </si>
  <si>
    <t>month 7</t>
  </si>
  <si>
    <t>month 8</t>
  </si>
  <si>
    <t>month 9</t>
  </si>
  <si>
    <t>month 10</t>
  </si>
  <si>
    <t>month 11</t>
  </si>
  <si>
    <t>month 12</t>
  </si>
  <si>
    <t>Percentage Change from Corresponding Quarter of Previous Year</t>
  </si>
  <si>
    <t>Total forecast opex, excluding category specific forecasts</t>
  </si>
  <si>
    <t>Decision stage</t>
  </si>
  <si>
    <t>Reported base year opex</t>
  </si>
  <si>
    <t>Forecast rate of change, year-on-year</t>
  </si>
  <si>
    <t>Forecast rate of change, cumulative</t>
  </si>
  <si>
    <t>Previous period year 1</t>
  </si>
  <si>
    <t>Previous period year 2</t>
  </si>
  <si>
    <t>Previous period year 3</t>
  </si>
  <si>
    <t>Previous period year 4</t>
  </si>
  <si>
    <t>Previous period year 5</t>
  </si>
  <si>
    <t>Forecast period year 1</t>
  </si>
  <si>
    <t>Forecast period year 2</t>
  </si>
  <si>
    <t>Forecast period year 3</t>
  </si>
  <si>
    <t>Forecast period year 4</t>
  </si>
  <si>
    <t>Forecast period year 5</t>
  </si>
  <si>
    <t>Previous regulatory control period, first year</t>
  </si>
  <si>
    <t>Previous regulatory control period, last year</t>
  </si>
  <si>
    <t>Regulatory years</t>
  </si>
  <si>
    <t>Year</t>
  </si>
  <si>
    <t>Year Ending</t>
  </si>
  <si>
    <t>Financial Year</t>
  </si>
  <si>
    <t>Calendar Year</t>
  </si>
  <si>
    <t>Add estimated change in opex between the base year and the final year</t>
  </si>
  <si>
    <t>Total opex, categories forecast specifically</t>
  </si>
  <si>
    <t>Add back non-recurrent efficiency gains in the base year</t>
  </si>
  <si>
    <t>Allowances related to category specific forecasts</t>
  </si>
  <si>
    <t>Reported opex, total</t>
  </si>
  <si>
    <t>Base year opex allowance, total</t>
  </si>
  <si>
    <t>Final year opex allowance, total</t>
  </si>
  <si>
    <t>Reported opex, category specific forecasts</t>
  </si>
  <si>
    <t>Base year opex allowance, category specific forecasts</t>
  </si>
  <si>
    <t>Final year opex allowance, category specific forecasts</t>
  </si>
  <si>
    <t>Remove estimated final year opex for categories forecast specifically</t>
  </si>
  <si>
    <t>Adjusted final year opex</t>
  </si>
  <si>
    <t>Annual RIN for each year and/or reset RIN.</t>
  </si>
  <si>
    <t>Output weights</t>
  </si>
  <si>
    <t>Forecast output growth</t>
  </si>
  <si>
    <t>These inputs should be entered as positive values.</t>
  </si>
  <si>
    <t>Movement in provisions</t>
  </si>
  <si>
    <t>Total opex to be trended</t>
  </si>
  <si>
    <t>Non-recurrent efficiency gain in the base year</t>
  </si>
  <si>
    <t>These inputs should be entered as reported.</t>
  </si>
  <si>
    <t>Categories of opex to be excluded from forecast opex (excluding category specific forecasts)</t>
  </si>
  <si>
    <t>Calculates the opex forecast. Sheet used when the rate of change is applied from the final year.</t>
  </si>
  <si>
    <t>Previous period year 0</t>
  </si>
  <si>
    <t>Adjustments can be postive or negative.</t>
  </si>
  <si>
    <t>Previous period year 6</t>
  </si>
  <si>
    <t>Superannuation guarantee increases</t>
  </si>
  <si>
    <t>WPI - average + super guarantee increases</t>
  </si>
  <si>
    <t>Forecast output change, year-on-year</t>
  </si>
  <si>
    <t>Forecast price change, year-on-year</t>
  </si>
  <si>
    <t>Forecast productivity change, year-on-year</t>
  </si>
  <si>
    <t>Forecast output change, cumulative</t>
  </si>
  <si>
    <t>Forecast price change, cumulative</t>
  </si>
  <si>
    <t>Forecast productivity change, cumulative</t>
  </si>
  <si>
    <t>Input | Rate of change</t>
  </si>
  <si>
    <t>Calc | Opex Forecast</t>
  </si>
  <si>
    <t>Output | Models</t>
  </si>
  <si>
    <t>Units</t>
  </si>
  <si>
    <t>AER PTRM for the current control period.</t>
  </si>
  <si>
    <t>WPI - average</t>
  </si>
  <si>
    <t>Customer numbers (#)</t>
  </si>
  <si>
    <t>Circuit Length (km)</t>
  </si>
  <si>
    <t xml:space="preserve">Ratcheted maximum demand </t>
  </si>
  <si>
    <t>Stage</t>
  </si>
  <si>
    <t>Pre-submission</t>
  </si>
  <si>
    <t>Proposal</t>
  </si>
  <si>
    <t>Draft decision</t>
  </si>
  <si>
    <t>Network</t>
  </si>
  <si>
    <t>Revised proposal</t>
  </si>
  <si>
    <t>Final decision</t>
  </si>
  <si>
    <t>WPI - BIS Oxford forecast</t>
  </si>
  <si>
    <t>SFA CD</t>
  </si>
  <si>
    <t>LSE CD</t>
  </si>
  <si>
    <t>LSE TLG</t>
  </si>
  <si>
    <t>SFA TLG</t>
  </si>
  <si>
    <t>–</t>
  </si>
  <si>
    <t>RBA</t>
  </si>
  <si>
    <t>Forecast annual CPI growth</t>
  </si>
  <si>
    <t>Forecast and actual index value</t>
  </si>
  <si>
    <t>Output elasticities</t>
  </si>
  <si>
    <t>DMIA</t>
  </si>
  <si>
    <t>Adjustment 1</t>
  </si>
  <si>
    <t>WPI - KPMG forecast</t>
  </si>
  <si>
    <t>AER opex model v2.1</t>
  </si>
  <si>
    <t>Cloud computing</t>
  </si>
  <si>
    <t>Insurance</t>
  </si>
  <si>
    <t>DER/Data Enablement</t>
  </si>
  <si>
    <t>GSL</t>
  </si>
  <si>
    <t>Property and fleet</t>
  </si>
  <si>
    <t>Essential Energy</t>
  </si>
  <si>
    <t>Estimated final year opex as proposed by Essential</t>
  </si>
  <si>
    <t>Formula used to goal see non-recurrent efficiency value</t>
  </si>
  <si>
    <t>Our final year opex in cell N33 prior to applying non-recurrent efficiency</t>
  </si>
  <si>
    <t>Non-recurrent efficiency gain</t>
  </si>
  <si>
    <t>Estimate: RBA, Statement on monetary policy (SoMP), August 2023. Update for the most recent SoMP available.</t>
  </si>
  <si>
    <t>Inputs the cost escalation weights, cost escalation forecast, and inflation actuals and forecast.</t>
  </si>
  <si>
    <t>Outputs the forecasts needed as a post tax revenue model inputs.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</si>
</sst>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8">
    <numFmt numFmtId="164" formatCode="_(* #,##0_);_(* \(#,##0\);_(* &quot;-&quot;_);_(@_)"/>
    <numFmt numFmtId="165" formatCode="_(&quot;$&quot;* #,##0.00_);_(&quot;$&quot;* \(#,##0.00\);_(&quot;$&quot;* &quot;-&quot;??_);_(@_)"/>
    <numFmt numFmtId="166" formatCode="_(* #,##0.00_);_(* \(#,##0.00\);_(* &quot;-&quot;??_);_(@_)"/>
    <numFmt numFmtId="167" formatCode="_(&quot;$&quot;* #,##0_);_(&quot;$&quot;* \(#,##0\);_(&quot;$&quot;* &quot;-&quot;_);_(@_)"/>
    <numFmt numFmtId="168" formatCode="_-* #,##0_-;\-* #,##0_-;_-* &quot;-&quot;??_-;_-@_-"/>
    <numFmt numFmtId="169" formatCode="dd\-mmm"/>
    <numFmt numFmtId="170" formatCode="dd/mmm"/>
    <numFmt numFmtId="171" formatCode="_(#,##0_);\(#,##0\);_(&quot;-&quot;_)"/>
    <numFmt numFmtId="172" formatCode="_(#,##0.00%_);\(#,##0.00%\);_(&quot;-&quot;_)"/>
    <numFmt numFmtId="173" formatCode="_(#,##0.000_);\(#,##0.000\);_(&quot;-&quot;_)"/>
    <numFmt numFmtId="174" formatCode="_(#,##0.00_);\(#,##0.00\);_(&quot;-&quot;_)"/>
    <numFmt numFmtId="175" formatCode="[$-C09]dd\-mmm\-yy;@"/>
    <numFmt numFmtId="176" formatCode="_-* #,##0.0000_-;\-* #,##0.0000_-;_-* &quot;-&quot;??_-;_-@_-"/>
    <numFmt numFmtId="177" formatCode="_(#,##0.0000_);\(#,##0.0000\);_(&quot;-&quot;_)"/>
    <numFmt numFmtId="178" formatCode="_-* #,##0.00_-;[Red]\(#,##0.00\)_-;_-* &quot;-&quot;??_-;_-@_-"/>
    <numFmt numFmtId="179" formatCode="mm/dd/yy"/>
    <numFmt numFmtId="180" formatCode="_([$€-2]* #,##0.00_);_([$€-2]* \(#,##0.00\);_([$€-2]* &quot;-&quot;??_)"/>
    <numFmt numFmtId="181" formatCode="0_);[Red]\(0\)"/>
    <numFmt numFmtId="182" formatCode="0.0%"/>
    <numFmt numFmtId="183" formatCode="_(* #,##0_);_(* \(#,##0\);_(* &quot;-&quot;?_);_(@_)"/>
    <numFmt numFmtId="184" formatCode="#,##0.0_);\(#,##0.0\)"/>
    <numFmt numFmtId="185" formatCode="#,##0_ ;\-#,##0\ "/>
    <numFmt numFmtId="186" formatCode="#,##0;[Red]\(#,##0.0\)"/>
    <numFmt numFmtId="187" formatCode="#,##0_ ;[Red]\(#,##0\)\ "/>
    <numFmt numFmtId="188" formatCode="#,##0.00;\(#,##0.00\)"/>
    <numFmt numFmtId="189" formatCode="_)d\-mmm\-yy_)"/>
    <numFmt numFmtId="190" formatCode="_(#,##0.0_);\(#,##0.0\);_(&quot;-&quot;_)"/>
    <numFmt numFmtId="191" formatCode="_(###0_);\(###0\);_(###0_)"/>
    <numFmt numFmtId="192" formatCode="#,##0.0000_);[Red]\(#,##0.0000\)"/>
    <numFmt numFmtId="193" formatCode="0.0"/>
    <numFmt numFmtId="194" formatCode=";;_(&quot;-&quot;_)"/>
    <numFmt numFmtId="195" formatCode="_-* #,##0.0_-;\-* #,##0.0_-;_-* &quot;-&quot;??_-;_-@_-"/>
    <numFmt numFmtId="196" formatCode="0.00;\-0.00;_(&quot;-&quot;_)"/>
    <numFmt numFmtId="197" formatCode="[$-C09]mmm\-yyyy;@"/>
    <numFmt numFmtId="198" formatCode="_-* #\ ##0.00_-;\-* #\ ##0.00_-;_-* &quot;-&quot;??_-;_-@_-"/>
    <numFmt numFmtId="199" formatCode="_(#\ ##0.00_);\(#\ ##0.00\);_(&quot;-&quot;_)"/>
    <numFmt numFmtId="200" formatCode="#\ ##0.00_ ;\-#\ ##0.00\ ;&quot;-&quot;"/>
    <numFmt numFmtId="201" formatCode="#\ ##0.00;\-#\ ##0.00;&quot;-&quot;"/>
    <numFmt numFmtId="202" formatCode="&quot;Warning&quot;;&quot;Warning&quot;;&quot;OK&quot;"/>
    <numFmt numFmtId="203" formatCode="mmmm"/>
    <numFmt numFmtId="204" formatCode="mmm\ yyyy"/>
    <numFmt numFmtId="205" formatCode="0.00_ ;\-0.00\ "/>
    <numFmt numFmtId="206" formatCode="0_ ;\-0\ "/>
    <numFmt numFmtId="207" formatCode="#,##0_);\(#,##0\);\-\-_)"/>
    <numFmt numFmtId="208" formatCode="0.000"/>
    <numFmt numFmtId="209" formatCode="0.00%;\–0.00%;&quot;–&quot;"/>
    <numFmt numFmtId="210" formatCode="_-* ##\ ##0.00_-;\-* ##\ ##0.00_-;_-* &quot;-&quot;??_-;_-@_-"/>
    <numFmt numFmtId="211" formatCode="_-* ####\ ##0.00_-;\-* ####\ ##0.00_-;_-* &quot;-&quot;??_-;_-@_-"/>
  </numFmts>
  <fonts count="95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Arial"/>
      <family val="2"/>
    </font>
    <font>
      <sz val="8"/>
      <color indexed="8"/>
      <name val="Arial"/>
      <family val="2"/>
    </font>
    <font>
      <i/>
      <sz val="8"/>
      <color indexed="8"/>
      <name val="Arial"/>
      <family val="2"/>
    </font>
    <font>
      <b/>
      <sz val="8"/>
      <color indexed="8"/>
      <name val="Arial"/>
      <family val="2"/>
    </font>
    <font>
      <i/>
      <u/>
      <sz val="10"/>
      <color indexed="12"/>
      <name val="Calibri"/>
      <family val="2"/>
    </font>
    <font>
      <b/>
      <sz val="8"/>
      <color indexed="9"/>
      <name val="Arial"/>
      <family val="2"/>
    </font>
    <font>
      <b/>
      <i/>
      <sz val="8"/>
      <color indexed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8"/>
      <color theme="10"/>
      <name val="Arial"/>
      <family val="2"/>
    </font>
    <font>
      <sz val="8"/>
      <name val="Arial"/>
      <family val="2"/>
    </font>
    <font>
      <sz val="11"/>
      <color indexed="8"/>
      <name val="Arial"/>
      <family val="2"/>
    </font>
    <font>
      <i/>
      <u/>
      <sz val="8"/>
      <color theme="10"/>
      <name val="Arial"/>
      <family val="2"/>
    </font>
    <font>
      <b/>
      <i/>
      <sz val="8"/>
      <color indexed="8"/>
      <name val="Arial"/>
      <family val="2"/>
    </font>
    <font>
      <b/>
      <i/>
      <sz val="8"/>
      <name val="Arial"/>
      <family val="2"/>
    </font>
    <font>
      <sz val="8"/>
      <color rgb="FFFF000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8"/>
      <color theme="1"/>
      <name val="Arial"/>
      <family val="2"/>
    </font>
    <font>
      <b/>
      <sz val="10"/>
      <name val="Arial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sz val="11"/>
      <color theme="1"/>
      <name val="Calibri"/>
      <family val="2"/>
      <scheme val="minor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4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b/>
      <sz val="12"/>
      <color theme="1"/>
      <name val="Arial"/>
      <family val="2"/>
    </font>
    <font>
      <u/>
      <sz val="8"/>
      <color theme="1"/>
      <name val="Arial"/>
      <family val="2"/>
    </font>
    <font>
      <i/>
      <sz val="10"/>
      <color theme="1"/>
      <name val="Arial"/>
      <family val="2"/>
    </font>
    <font>
      <b/>
      <i/>
      <sz val="8"/>
      <color theme="1"/>
      <name val="Arial"/>
      <family val="2"/>
    </font>
    <font>
      <i/>
      <sz val="8"/>
      <color theme="1"/>
      <name val="Arial"/>
      <family val="2"/>
    </font>
    <font>
      <b/>
      <sz val="13"/>
      <color indexed="9"/>
      <name val="Arial"/>
      <family val="2"/>
    </font>
    <font>
      <sz val="10"/>
      <color indexed="55"/>
      <name val="Arial"/>
      <family val="2"/>
    </font>
    <font>
      <b/>
      <sz val="10"/>
      <color theme="1"/>
      <name val="Arial"/>
      <family val="2"/>
    </font>
    <font>
      <b/>
      <sz val="13"/>
      <color theme="4" tint="-0.24994659260841701"/>
      <name val="Arial"/>
      <family val="2"/>
    </font>
    <font>
      <b/>
      <sz val="12"/>
      <color indexed="8"/>
      <name val="Arial"/>
      <family val="2"/>
    </font>
    <font>
      <u/>
      <sz val="11"/>
      <name val="Arial"/>
      <family val="2"/>
    </font>
    <font>
      <i/>
      <sz val="11"/>
      <name val="Arial"/>
      <family val="2"/>
    </font>
    <font>
      <i/>
      <sz val="10"/>
      <color theme="1" tint="0.24994659260841701"/>
      <name val="Arial"/>
      <family val="2"/>
    </font>
    <font>
      <sz val="10"/>
      <color indexed="16"/>
      <name val="Arial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sz val="11"/>
      <color indexed="9"/>
      <name val="Arial"/>
      <family val="2"/>
    </font>
    <font>
      <b/>
      <sz val="11"/>
      <color indexed="9"/>
      <name val="Arial"/>
      <family val="2"/>
    </font>
    <font>
      <sz val="10"/>
      <color theme="1"/>
      <name val="Arial"/>
      <family val="2"/>
    </font>
    <font>
      <sz val="10"/>
      <color theme="5" tint="-0.499984740745262"/>
      <name val="Arial"/>
      <family val="2"/>
    </font>
    <font>
      <b/>
      <i/>
      <sz val="8"/>
      <color theme="0"/>
      <name val="Arial"/>
      <family val="2"/>
    </font>
    <font>
      <b/>
      <sz val="12"/>
      <color theme="0"/>
      <name val="Arial"/>
      <family val="2"/>
    </font>
    <font>
      <sz val="10"/>
      <color theme="1"/>
      <name val="Verdana"/>
      <family val="2"/>
    </font>
    <font>
      <sz val="8"/>
      <color theme="1"/>
      <name val="Calibri"/>
      <family val="2"/>
    </font>
  </fonts>
  <fills count="53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2"/>
      </patternFill>
    </fill>
    <fill>
      <patternFill patternType="solid">
        <fgColor indexed="27"/>
        <bgColor indexed="64"/>
      </patternFill>
    </fill>
    <fill>
      <patternFill patternType="mediumGray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lightUp">
        <fgColor indexed="23"/>
        <bgColor auto="1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gray0625">
        <fgColor indexed="22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DAEEF3"/>
        <bgColor rgb="FF00FFFF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ashed">
        <color rgb="FFFF0000"/>
      </left>
      <right style="dashed">
        <color rgb="FFFF0000"/>
      </right>
      <top style="dashed">
        <color rgb="FFFF0000"/>
      </top>
      <bottom style="dashed">
        <color rgb="FFFF0000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medium">
        <color indexed="9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hair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06">
    <xf numFmtId="0" fontId="0" fillId="0" borderId="0"/>
    <xf numFmtId="170" fontId="6" fillId="7" borderId="0" applyProtection="0"/>
    <xf numFmtId="9" fontId="13" fillId="0" borderId="0" applyFont="0" applyFill="0" applyBorder="0" applyAlignment="0" applyProtection="0"/>
    <xf numFmtId="0" fontId="14" fillId="0" borderId="0" applyNumberFormat="0" applyFill="0" applyBorder="0" applyAlignment="0" applyProtection="0"/>
    <xf numFmtId="9" fontId="16" fillId="0" borderId="0" applyFont="0" applyFill="0" applyBorder="0" applyAlignment="0" applyProtection="0"/>
    <xf numFmtId="171" fontId="15" fillId="0" borderId="5">
      <alignment horizontal="right" vertical="center"/>
      <protection locked="0"/>
    </xf>
    <xf numFmtId="166" fontId="13" fillId="0" borderId="0" applyFont="0" applyFill="0" applyBorder="0" applyAlignment="0" applyProtection="0"/>
    <xf numFmtId="0" fontId="22" fillId="0" borderId="0"/>
    <xf numFmtId="166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78" fontId="15" fillId="0" borderId="0"/>
    <xf numFmtId="178" fontId="15" fillId="0" borderId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5" fillId="11" borderId="0" applyNumberFormat="0" applyBorder="0" applyAlignment="0" applyProtection="0"/>
    <xf numFmtId="0" fontId="25" fillId="12" borderId="0" applyNumberFormat="0" applyBorder="0" applyAlignment="0" applyProtection="0"/>
    <xf numFmtId="0" fontId="25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1" borderId="0" applyNumberFormat="0" applyBorder="0" applyAlignment="0" applyProtection="0"/>
    <xf numFmtId="0" fontId="25" fillId="12" borderId="0" applyNumberFormat="0" applyBorder="0" applyAlignment="0" applyProtection="0"/>
    <xf numFmtId="0" fontId="21" fillId="17" borderId="0" applyNumberFormat="0" applyBorder="0" applyAlignment="0" applyProtection="0"/>
    <xf numFmtId="0" fontId="21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5" fillId="22" borderId="0" applyNumberFormat="0" applyBorder="0" applyAlignment="0" applyProtection="0"/>
    <xf numFmtId="0" fontId="25" fillId="23" borderId="0" applyNumberFormat="0" applyBorder="0" applyAlignment="0" applyProtection="0"/>
    <xf numFmtId="0" fontId="21" fillId="20" borderId="0" applyNumberFormat="0" applyBorder="0" applyAlignment="0" applyProtection="0"/>
    <xf numFmtId="0" fontId="21" fillId="24" borderId="0" applyNumberFormat="0" applyBorder="0" applyAlignment="0" applyProtection="0"/>
    <xf numFmtId="0" fontId="25" fillId="21" borderId="0" applyNumberFormat="0" applyBorder="0" applyAlignment="0" applyProtection="0"/>
    <xf numFmtId="0" fontId="25" fillId="25" borderId="0" applyNumberFormat="0" applyBorder="0" applyAlignment="0" applyProtection="0"/>
    <xf numFmtId="0" fontId="21" fillId="17" borderId="0" applyNumberFormat="0" applyBorder="0" applyAlignment="0" applyProtection="0"/>
    <xf numFmtId="0" fontId="21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26" fillId="0" borderId="0"/>
    <xf numFmtId="167" fontId="27" fillId="0" borderId="0" applyFont="0" applyFill="0" applyBorder="0" applyAlignment="0" applyProtection="0"/>
    <xf numFmtId="0" fontId="28" fillId="30" borderId="0" applyNumberFormat="0" applyBorder="0" applyAlignment="0" applyProtection="0"/>
    <xf numFmtId="0" fontId="29" fillId="0" borderId="0" applyNumberFormat="0" applyFill="0" applyBorder="0" applyAlignment="0"/>
    <xf numFmtId="164" fontId="22" fillId="4" borderId="0" applyNumberFormat="0" applyFont="0" applyBorder="0" applyAlignment="0">
      <alignment horizontal="right"/>
    </xf>
    <xf numFmtId="164" fontId="22" fillId="4" borderId="0" applyNumberFormat="0" applyFont="0" applyBorder="0" applyAlignment="0">
      <alignment horizontal="right"/>
    </xf>
    <xf numFmtId="0" fontId="30" fillId="0" borderId="0" applyNumberFormat="0" applyFill="0" applyBorder="0" applyAlignment="0">
      <protection locked="0"/>
    </xf>
    <xf numFmtId="0" fontId="31" fillId="14" borderId="11" applyNumberFormat="0" applyAlignment="0" applyProtection="0"/>
    <xf numFmtId="0" fontId="32" fillId="31" borderId="12" applyNumberFormat="0" applyAlignment="0" applyProtection="0"/>
    <xf numFmtId="164" fontId="22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3" fontId="35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179" fontId="22" fillId="0" borderId="0" applyFont="0" applyFill="0" applyBorder="0" applyAlignment="0" applyProtection="0"/>
    <xf numFmtId="179" fontId="22" fillId="0" borderId="0" applyFont="0" applyFill="0" applyBorder="0" applyAlignment="0" applyProtection="0"/>
    <xf numFmtId="0" fontId="36" fillId="32" borderId="0" applyNumberFormat="0" applyBorder="0" applyAlignment="0" applyProtection="0"/>
    <xf numFmtId="0" fontId="36" fillId="33" borderId="0" applyNumberFormat="0" applyBorder="0" applyAlignment="0" applyProtection="0"/>
    <xf numFmtId="0" fontId="36" fillId="34" borderId="0" applyNumberFormat="0" applyBorder="0" applyAlignment="0" applyProtection="0"/>
    <xf numFmtId="180" fontId="21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0" fontId="38" fillId="0" borderId="0"/>
    <xf numFmtId="0" fontId="39" fillId="0" borderId="0"/>
    <xf numFmtId="0" fontId="40" fillId="35" borderId="0" applyNumberFormat="0" applyBorder="0" applyAlignment="0" applyProtection="0"/>
    <xf numFmtId="0" fontId="24" fillId="0" borderId="0" applyFill="0" applyBorder="0">
      <alignment vertical="center"/>
    </xf>
    <xf numFmtId="0" fontId="41" fillId="0" borderId="13" applyNumberFormat="0" applyFill="0" applyAlignment="0" applyProtection="0"/>
    <xf numFmtId="0" fontId="24" fillId="0" borderId="0" applyFill="0" applyBorder="0">
      <alignment vertical="center"/>
    </xf>
    <xf numFmtId="0" fontId="42" fillId="0" borderId="0" applyFill="0" applyBorder="0">
      <alignment vertical="center"/>
    </xf>
    <xf numFmtId="0" fontId="43" fillId="0" borderId="14" applyNumberFormat="0" applyFill="0" applyAlignment="0" applyProtection="0"/>
    <xf numFmtId="0" fontId="42" fillId="0" borderId="0" applyFill="0" applyBorder="0">
      <alignment vertical="center"/>
    </xf>
    <xf numFmtId="0" fontId="12" fillId="0" borderId="0" applyFill="0" applyBorder="0">
      <alignment vertical="center"/>
    </xf>
    <xf numFmtId="0" fontId="44" fillId="0" borderId="15" applyNumberFormat="0" applyFill="0" applyAlignment="0" applyProtection="0"/>
    <xf numFmtId="0" fontId="12" fillId="0" borderId="0" applyFill="0" applyBorder="0">
      <alignment vertical="center"/>
    </xf>
    <xf numFmtId="0" fontId="15" fillId="0" borderId="0" applyFill="0" applyBorder="0">
      <alignment vertical="center"/>
    </xf>
    <xf numFmtId="0" fontId="44" fillId="0" borderId="0" applyNumberFormat="0" applyFill="0" applyBorder="0" applyAlignment="0" applyProtection="0"/>
    <xf numFmtId="0" fontId="15" fillId="0" borderId="0" applyFill="0" applyBorder="0">
      <alignment vertical="center"/>
    </xf>
    <xf numFmtId="182" fontId="45" fillId="0" borderId="0"/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0" applyFill="0" applyBorder="0">
      <alignment horizontal="center" vertical="center"/>
      <protection locked="0"/>
    </xf>
    <xf numFmtId="0" fontId="48" fillId="0" borderId="0" applyFill="0" applyBorder="0">
      <alignment horizontal="left" vertical="center"/>
      <protection locked="0"/>
    </xf>
    <xf numFmtId="0" fontId="49" fillId="12" borderId="11" applyNumberFormat="0" applyAlignment="0" applyProtection="0"/>
    <xf numFmtId="164" fontId="22" fillId="36" borderId="0" applyFont="0" applyBorder="0" applyAlignment="0">
      <alignment horizontal="right"/>
      <protection locked="0"/>
    </xf>
    <xf numFmtId="164" fontId="22" fillId="36" borderId="0" applyFont="0" applyBorder="0" applyAlignment="0">
      <alignment horizontal="right"/>
      <protection locked="0"/>
    </xf>
    <xf numFmtId="183" fontId="22" fillId="6" borderId="0" applyFont="0" applyBorder="0">
      <alignment horizontal="right"/>
      <protection locked="0"/>
    </xf>
    <xf numFmtId="183" fontId="22" fillId="6" borderId="0" applyFont="0" applyBorder="0">
      <alignment horizontal="right"/>
      <protection locked="0"/>
    </xf>
    <xf numFmtId="164" fontId="22" fillId="10" borderId="0" applyFont="0" applyBorder="0">
      <alignment horizontal="right"/>
      <protection locked="0"/>
    </xf>
    <xf numFmtId="164" fontId="22" fillId="10" borderId="0" applyFont="0" applyBorder="0">
      <alignment horizontal="right"/>
      <protection locked="0"/>
    </xf>
    <xf numFmtId="0" fontId="15" fillId="4" borderId="0"/>
    <xf numFmtId="0" fontId="50" fillId="0" borderId="16" applyNumberFormat="0" applyFill="0" applyAlignment="0" applyProtection="0"/>
    <xf numFmtId="184" fontId="51" fillId="0" borderId="0"/>
    <xf numFmtId="0" fontId="52" fillId="0" borderId="0" applyFill="0" applyBorder="0">
      <alignment horizontal="left" vertical="center"/>
    </xf>
    <xf numFmtId="0" fontId="53" fillId="15" borderId="0" applyNumberFormat="0" applyBorder="0" applyAlignment="0" applyProtection="0"/>
    <xf numFmtId="185" fontId="5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3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5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2" fillId="0" borderId="0"/>
    <xf numFmtId="0" fontId="27" fillId="0" borderId="0"/>
    <xf numFmtId="0" fontId="22" fillId="3" borderId="0"/>
    <xf numFmtId="0" fontId="55" fillId="0" borderId="0"/>
    <xf numFmtId="0" fontId="22" fillId="0" borderId="0"/>
    <xf numFmtId="0" fontId="22" fillId="0" borderId="0"/>
    <xf numFmtId="0" fontId="22" fillId="13" borderId="17" applyNumberFormat="0" applyFont="0" applyAlignment="0" applyProtection="0"/>
    <xf numFmtId="0" fontId="56" fillId="14" borderId="18" applyNumberFormat="0" applyAlignment="0" applyProtection="0"/>
    <xf numFmtId="186" fontId="22" fillId="0" borderId="0" applyFill="0" applyBorder="0"/>
    <xf numFmtId="186" fontId="22" fillId="0" borderId="0" applyFill="0" applyBorder="0"/>
    <xf numFmtId="186" fontId="22" fillId="0" borderId="0" applyFill="0" applyBorder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182" fontId="57" fillId="0" borderId="0"/>
    <xf numFmtId="0" fontId="12" fillId="0" borderId="0" applyFill="0" applyBorder="0">
      <alignment vertical="center"/>
    </xf>
    <xf numFmtId="0" fontId="33" fillId="0" borderId="0" applyNumberFormat="0" applyFont="0" applyFill="0" applyBorder="0" applyAlignment="0" applyProtection="0">
      <alignment horizontal="left"/>
    </xf>
    <xf numFmtId="15" fontId="33" fillId="0" borderId="0" applyFont="0" applyFill="0" applyBorder="0" applyAlignment="0" applyProtection="0"/>
    <xf numFmtId="4" fontId="33" fillId="0" borderId="0" applyFont="0" applyFill="0" applyBorder="0" applyAlignment="0" applyProtection="0"/>
    <xf numFmtId="187" fontId="58" fillId="0" borderId="19"/>
    <xf numFmtId="0" fontId="59" fillId="0" borderId="20">
      <alignment horizontal="center"/>
    </xf>
    <xf numFmtId="3" fontId="33" fillId="0" borderId="0" applyFont="0" applyFill="0" applyBorder="0" applyAlignment="0" applyProtection="0"/>
    <xf numFmtId="0" fontId="33" fillId="37" borderId="0" applyNumberFormat="0" applyFont="0" applyBorder="0" applyAlignment="0" applyProtection="0"/>
    <xf numFmtId="188" fontId="22" fillId="0" borderId="0"/>
    <xf numFmtId="188" fontId="22" fillId="0" borderId="0"/>
    <xf numFmtId="188" fontId="22" fillId="0" borderId="0"/>
    <xf numFmtId="189" fontId="15" fillId="0" borderId="0" applyFill="0" applyBorder="0">
      <alignment horizontal="right" vertical="center"/>
    </xf>
    <xf numFmtId="190" fontId="15" fillId="0" borderId="0" applyFill="0" applyBorder="0">
      <alignment horizontal="right" vertical="center"/>
    </xf>
    <xf numFmtId="191" fontId="15" fillId="0" borderId="0" applyFill="0" applyBorder="0">
      <alignment horizontal="right" vertical="center"/>
    </xf>
    <xf numFmtId="0" fontId="22" fillId="13" borderId="0" applyNumberFormat="0" applyFont="0" applyBorder="0" applyAlignment="0" applyProtection="0"/>
    <xf numFmtId="0" fontId="22" fillId="13" borderId="0" applyNumberFormat="0" applyFont="0" applyBorder="0" applyAlignment="0" applyProtection="0"/>
    <xf numFmtId="0" fontId="22" fillId="14" borderId="0" applyNumberFormat="0" applyFont="0" applyBorder="0" applyAlignment="0" applyProtection="0"/>
    <xf numFmtId="0" fontId="22" fillId="14" borderId="0" applyNumberFormat="0" applyFont="0" applyBorder="0" applyAlignment="0" applyProtection="0"/>
    <xf numFmtId="0" fontId="22" fillId="16" borderId="0" applyNumberFormat="0" applyFont="0" applyBorder="0" applyAlignment="0" applyProtection="0"/>
    <xf numFmtId="0" fontId="22" fillId="16" borderId="0" applyNumberFormat="0" applyFon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16" borderId="0" applyNumberFormat="0" applyFont="0" applyBorder="0" applyAlignment="0" applyProtection="0"/>
    <xf numFmtId="0" fontId="22" fillId="16" borderId="0" applyNumberFormat="0" applyFon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Border="0" applyAlignment="0" applyProtection="0"/>
    <xf numFmtId="0" fontId="22" fillId="0" borderId="0" applyNumberFormat="0" applyFont="0" applyBorder="0" applyAlignment="0" applyProtection="0"/>
    <xf numFmtId="0" fontId="60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52" fillId="0" borderId="0"/>
    <xf numFmtId="0" fontId="61" fillId="0" borderId="0"/>
    <xf numFmtId="15" fontId="22" fillId="0" borderId="0"/>
    <xf numFmtId="15" fontId="22" fillId="0" borderId="0"/>
    <xf numFmtId="15" fontId="22" fillId="0" borderId="0"/>
    <xf numFmtId="10" fontId="22" fillId="0" borderId="0"/>
    <xf numFmtId="10" fontId="22" fillId="0" borderId="0"/>
    <xf numFmtId="10" fontId="22" fillId="0" borderId="0"/>
    <xf numFmtId="0" fontId="62" fillId="9" borderId="7" applyBorder="0" applyProtection="0">
      <alignment horizontal="centerContinuous" vertical="center"/>
    </xf>
    <xf numFmtId="0" fontId="63" fillId="0" borderId="0" applyBorder="0" applyProtection="0">
      <alignment vertical="center"/>
    </xf>
    <xf numFmtId="0" fontId="64" fillId="0" borderId="0">
      <alignment horizontal="left"/>
    </xf>
    <xf numFmtId="0" fontId="64" fillId="0" borderId="10" applyFill="0" applyBorder="0" applyProtection="0">
      <alignment horizontal="left" vertical="top"/>
    </xf>
    <xf numFmtId="49" fontId="22" fillId="0" borderId="0" applyFont="0" applyFill="0" applyBorder="0" applyAlignment="0" applyProtection="0"/>
    <xf numFmtId="0" fontId="65" fillId="0" borderId="0"/>
    <xf numFmtId="49" fontId="22" fillId="0" borderId="0" applyFont="0" applyFill="0" applyBorder="0" applyAlignment="0" applyProtection="0"/>
    <xf numFmtId="0" fontId="66" fillId="0" borderId="0"/>
    <xf numFmtId="0" fontId="66" fillId="0" borderId="0"/>
    <xf numFmtId="0" fontId="65" fillId="0" borderId="0"/>
    <xf numFmtId="184" fontId="67" fillId="0" borderId="0"/>
    <xf numFmtId="0" fontId="60" fillId="0" borderId="0" applyNumberFormat="0" applyFill="0" applyBorder="0" applyAlignment="0" applyProtection="0"/>
    <xf numFmtId="0" fontId="68" fillId="0" borderId="0" applyFill="0" applyBorder="0">
      <alignment horizontal="left" vertical="center"/>
      <protection locked="0"/>
    </xf>
    <xf numFmtId="0" fontId="65" fillId="0" borderId="0"/>
    <xf numFmtId="0" fontId="69" fillId="0" borderId="0" applyFill="0" applyBorder="0">
      <alignment horizontal="left" vertical="center"/>
      <protection locked="0"/>
    </xf>
    <xf numFmtId="0" fontId="36" fillId="0" borderId="21" applyNumberFormat="0" applyFill="0" applyAlignment="0" applyProtection="0"/>
    <xf numFmtId="0" fontId="70" fillId="0" borderId="0" applyNumberFormat="0" applyFill="0" applyBorder="0" applyAlignment="0" applyProtection="0"/>
    <xf numFmtId="192" fontId="22" fillId="0" borderId="7" applyBorder="0" applyProtection="0">
      <alignment horizontal="right"/>
    </xf>
    <xf numFmtId="192" fontId="22" fillId="0" borderId="7" applyBorder="0" applyProtection="0">
      <alignment horizontal="right"/>
    </xf>
    <xf numFmtId="192" fontId="22" fillId="0" borderId="7" applyBorder="0" applyProtection="0">
      <alignment horizontal="right"/>
    </xf>
    <xf numFmtId="0" fontId="4" fillId="0" borderId="0"/>
    <xf numFmtId="9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76" fillId="42" borderId="0"/>
    <xf numFmtId="202" fontId="77" fillId="0" borderId="22">
      <alignment horizontal="center"/>
    </xf>
    <xf numFmtId="0" fontId="78" fillId="43" borderId="6">
      <alignment horizontal="center" vertical="center"/>
    </xf>
    <xf numFmtId="0" fontId="22" fillId="44" borderId="11"/>
    <xf numFmtId="0" fontId="79" fillId="0" borderId="0" applyFill="0" applyBorder="0"/>
    <xf numFmtId="0" fontId="80" fillId="0" borderId="0" applyNumberFormat="0" applyFill="0"/>
    <xf numFmtId="0" fontId="81" fillId="0" borderId="0" applyFill="0"/>
    <xf numFmtId="0" fontId="82" fillId="0" borderId="0" applyFill="0"/>
    <xf numFmtId="0" fontId="83" fillId="0" borderId="0" applyFill="0"/>
    <xf numFmtId="0" fontId="76" fillId="45" borderId="0"/>
    <xf numFmtId="0" fontId="22" fillId="38" borderId="23" applyNumberFormat="0" applyFont="0" applyAlignment="0"/>
    <xf numFmtId="0" fontId="84" fillId="7" borderId="24" applyNumberFormat="0"/>
    <xf numFmtId="0" fontId="85" fillId="46" borderId="0"/>
    <xf numFmtId="0" fontId="86" fillId="46" borderId="0" applyNumberFormat="0"/>
    <xf numFmtId="0" fontId="87" fillId="46" borderId="0"/>
    <xf numFmtId="0" fontId="88" fillId="47" borderId="6" applyNumberFormat="0">
      <alignment horizontal="center" vertical="center"/>
    </xf>
    <xf numFmtId="0" fontId="89" fillId="48" borderId="11" applyNumberFormat="0" applyAlignment="0">
      <alignment horizontal="right"/>
    </xf>
    <xf numFmtId="0" fontId="24" fillId="38" borderId="23" applyNumberFormat="0" applyAlignment="0"/>
    <xf numFmtId="0" fontId="77" fillId="0" borderId="0" applyNumberFormat="0" applyFill="0" applyBorder="0"/>
    <xf numFmtId="0" fontId="90" fillId="49" borderId="23" applyNumberFormat="0">
      <protection locked="0"/>
    </xf>
    <xf numFmtId="0" fontId="3" fillId="0" borderId="0"/>
    <xf numFmtId="0" fontId="92" fillId="50" borderId="27">
      <alignment vertical="center"/>
    </xf>
    <xf numFmtId="166" fontId="13" fillId="0" borderId="0" applyFont="0" applyFill="0" applyBorder="0" applyAlignment="0" applyProtection="0"/>
    <xf numFmtId="166" fontId="22" fillId="0" borderId="0" applyFont="0" applyFill="0" applyBorder="0" applyAlignment="0" applyProtection="0"/>
    <xf numFmtId="164" fontId="22" fillId="4" borderId="0" applyNumberFormat="0" applyFont="0" applyBorder="0" applyAlignment="0">
      <alignment horizontal="right"/>
    </xf>
    <xf numFmtId="164" fontId="22" fillId="4" borderId="0" applyNumberFormat="0" applyFont="0" applyBorder="0" applyAlignment="0">
      <alignment horizontal="right"/>
    </xf>
    <xf numFmtId="166" fontId="21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22" fillId="36" borderId="0" applyFont="0" applyBorder="0" applyAlignment="0">
      <alignment horizontal="right"/>
      <protection locked="0"/>
    </xf>
    <xf numFmtId="164" fontId="22" fillId="36" borderId="0" applyFont="0" applyBorder="0" applyAlignment="0">
      <alignment horizontal="right"/>
      <protection locked="0"/>
    </xf>
    <xf numFmtId="164" fontId="22" fillId="10" borderId="0" applyFont="0" applyBorder="0">
      <alignment horizontal="right"/>
      <protection locked="0"/>
    </xf>
    <xf numFmtId="164" fontId="22" fillId="10" borderId="0" applyFont="0" applyBorder="0">
      <alignment horizontal="right"/>
      <protection locked="0"/>
    </xf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93" fillId="0" borderId="0"/>
    <xf numFmtId="9" fontId="93" fillId="0" borderId="0" applyFont="0" applyFill="0" applyBorder="0" applyAlignment="0" applyProtection="0"/>
    <xf numFmtId="165" fontId="93" fillId="0" borderId="0" applyFont="0" applyFill="0" applyBorder="0" applyAlignment="0" applyProtection="0"/>
    <xf numFmtId="0" fontId="2" fillId="0" borderId="0"/>
    <xf numFmtId="166" fontId="93" fillId="0" borderId="0" applyFont="0" applyFill="0" applyBorder="0" applyAlignment="0" applyProtection="0"/>
    <xf numFmtId="0" fontId="93" fillId="0" borderId="0"/>
    <xf numFmtId="207" fontId="22" fillId="0" borderId="0" applyFill="0" applyBorder="0">
      <alignment vertical="center"/>
    </xf>
    <xf numFmtId="0" fontId="1" fillId="0" borderId="0"/>
  </cellStyleXfs>
  <cellXfs count="214">
    <xf numFmtId="0" fontId="0" fillId="0" borderId="0" xfId="0"/>
    <xf numFmtId="0" fontId="5" fillId="2" borderId="0" xfId="0" applyFont="1" applyFill="1"/>
    <xf numFmtId="0" fontId="5" fillId="2" borderId="0" xfId="0" applyFont="1" applyFill="1" applyAlignment="1">
      <alignment horizontal="right"/>
    </xf>
    <xf numFmtId="0" fontId="6" fillId="2" borderId="0" xfId="0" applyFont="1" applyFill="1" applyAlignment="1">
      <alignment horizontal="center"/>
    </xf>
    <xf numFmtId="0" fontId="6" fillId="2" borderId="0" xfId="0" applyFont="1" applyFill="1"/>
    <xf numFmtId="0" fontId="5" fillId="2" borderId="1" xfId="0" applyFont="1" applyFill="1" applyBorder="1"/>
    <xf numFmtId="168" fontId="6" fillId="3" borderId="0" xfId="0" applyNumberFormat="1" applyFont="1" applyFill="1"/>
    <xf numFmtId="168" fontId="7" fillId="0" borderId="0" xfId="0" applyNumberFormat="1" applyFont="1"/>
    <xf numFmtId="168" fontId="6" fillId="0" borderId="0" xfId="0" applyNumberFormat="1" applyFont="1"/>
    <xf numFmtId="168" fontId="8" fillId="0" borderId="0" xfId="0" applyNumberFormat="1" applyFont="1"/>
    <xf numFmtId="168" fontId="9" fillId="0" borderId="0" xfId="0" applyNumberFormat="1" applyFont="1"/>
    <xf numFmtId="0" fontId="6" fillId="5" borderId="0" xfId="0" applyFont="1" applyFill="1"/>
    <xf numFmtId="0" fontId="6" fillId="6" borderId="0" xfId="0" applyFont="1" applyFill="1"/>
    <xf numFmtId="168" fontId="12" fillId="0" borderId="0" xfId="0" applyNumberFormat="1" applyFont="1"/>
    <xf numFmtId="168" fontId="8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left" indent="1"/>
    </xf>
    <xf numFmtId="168" fontId="7" fillId="0" borderId="0" xfId="0" applyNumberFormat="1" applyFont="1" applyAlignment="1">
      <alignment horizontal="center"/>
    </xf>
    <xf numFmtId="168" fontId="0" fillId="0" borderId="0" xfId="0" applyNumberFormat="1"/>
    <xf numFmtId="166" fontId="12" fillId="0" borderId="6" xfId="0" applyNumberFormat="1" applyFont="1" applyBorder="1" applyAlignment="1">
      <alignment horizontal="center"/>
    </xf>
    <xf numFmtId="168" fontId="17" fillId="0" borderId="0" xfId="3" applyNumberFormat="1" applyFont="1" applyAlignment="1" applyProtection="1"/>
    <xf numFmtId="168" fontId="7" fillId="3" borderId="0" xfId="0" applyNumberFormat="1" applyFont="1" applyFill="1"/>
    <xf numFmtId="168" fontId="18" fillId="0" borderId="0" xfId="0" applyNumberFormat="1" applyFont="1" applyAlignment="1">
      <alignment horizontal="center"/>
    </xf>
    <xf numFmtId="168" fontId="7" fillId="3" borderId="0" xfId="0" applyNumberFormat="1" applyFont="1" applyFill="1" applyAlignment="1">
      <alignment horizontal="center"/>
    </xf>
    <xf numFmtId="174" fontId="12" fillId="0" borderId="0" xfId="5" applyNumberFormat="1" applyFont="1" applyBorder="1" applyAlignment="1" applyProtection="1">
      <alignment horizontal="center" vertical="center"/>
    </xf>
    <xf numFmtId="175" fontId="6" fillId="0" borderId="0" xfId="0" applyNumberFormat="1" applyFont="1"/>
    <xf numFmtId="168" fontId="17" fillId="0" borderId="0" xfId="3" applyNumberFormat="1" applyFont="1" applyAlignment="1" applyProtection="1">
      <alignment horizontal="center"/>
    </xf>
    <xf numFmtId="0" fontId="71" fillId="38" borderId="0" xfId="0" applyFont="1" applyFill="1" applyAlignment="1">
      <alignment horizontal="left" vertical="center"/>
    </xf>
    <xf numFmtId="0" fontId="71" fillId="38" borderId="0" xfId="0" applyFont="1" applyFill="1" applyAlignment="1">
      <alignment horizontal="left" indent="9"/>
    </xf>
    <xf numFmtId="0" fontId="72" fillId="38" borderId="0" xfId="0" applyFont="1" applyFill="1"/>
    <xf numFmtId="0" fontId="0" fillId="38" borderId="0" xfId="0" applyFill="1"/>
    <xf numFmtId="0" fontId="0" fillId="38" borderId="0" xfId="0" applyFill="1" applyAlignment="1">
      <alignment horizontal="right"/>
    </xf>
    <xf numFmtId="166" fontId="23" fillId="38" borderId="0" xfId="0" applyNumberFormat="1" applyFont="1" applyFill="1" applyAlignment="1">
      <alignment horizontal="center"/>
    </xf>
    <xf numFmtId="0" fontId="73" fillId="38" borderId="1" xfId="0" applyFont="1" applyFill="1" applyBorder="1" applyAlignment="1">
      <alignment horizontal="left"/>
    </xf>
    <xf numFmtId="0" fontId="0" fillId="38" borderId="1" xfId="0" applyFill="1" applyBorder="1"/>
    <xf numFmtId="0" fontId="0" fillId="39" borderId="4" xfId="0" applyFill="1" applyBorder="1"/>
    <xf numFmtId="0" fontId="24" fillId="39" borderId="4" xfId="0" applyFont="1" applyFill="1" applyBorder="1" applyAlignment="1">
      <alignment vertical="center"/>
    </xf>
    <xf numFmtId="0" fontId="0" fillId="39" borderId="4" xfId="0" applyFill="1" applyBorder="1" applyAlignment="1">
      <alignment wrapText="1"/>
    </xf>
    <xf numFmtId="165" fontId="24" fillId="39" borderId="4" xfId="0" applyNumberFormat="1" applyFont="1" applyFill="1" applyBorder="1" applyAlignment="1">
      <alignment horizontal="center" wrapText="1"/>
    </xf>
    <xf numFmtId="0" fontId="0" fillId="3" borderId="0" xfId="0" applyFill="1" applyAlignment="1">
      <alignment wrapText="1"/>
    </xf>
    <xf numFmtId="0" fontId="0" fillId="3" borderId="0" xfId="0" applyFill="1"/>
    <xf numFmtId="0" fontId="23" fillId="39" borderId="4" xfId="0" applyFont="1" applyFill="1" applyBorder="1"/>
    <xf numFmtId="169" fontId="6" fillId="41" borderId="3" xfId="0" applyNumberFormat="1" applyFont="1" applyFill="1" applyBorder="1" applyAlignment="1" applyProtection="1">
      <alignment horizontal="center"/>
      <protection locked="0"/>
    </xf>
    <xf numFmtId="0" fontId="75" fillId="39" borderId="4" xfId="0" applyFont="1" applyFill="1" applyBorder="1"/>
    <xf numFmtId="0" fontId="73" fillId="38" borderId="0" xfId="0" applyFont="1" applyFill="1" applyAlignment="1">
      <alignment horizontal="left"/>
    </xf>
    <xf numFmtId="0" fontId="73" fillId="38" borderId="0" xfId="0" applyFont="1" applyFill="1" applyAlignment="1">
      <alignment horizontal="left" indent="9"/>
    </xf>
    <xf numFmtId="0" fontId="0" fillId="3" borderId="8" xfId="0" applyFill="1" applyBorder="1" applyAlignment="1">
      <alignment wrapText="1"/>
    </xf>
    <xf numFmtId="0" fontId="0" fillId="3" borderId="8" xfId="0" applyFill="1" applyBorder="1"/>
    <xf numFmtId="0" fontId="0" fillId="0" borderId="8" xfId="0" applyBorder="1"/>
    <xf numFmtId="0" fontId="6" fillId="40" borderId="0" xfId="0" applyFont="1" applyFill="1" applyAlignment="1">
      <alignment horizontal="center"/>
    </xf>
    <xf numFmtId="168" fontId="18" fillId="0" borderId="0" xfId="0" applyNumberFormat="1" applyFont="1" applyAlignment="1">
      <alignment horizontal="center" wrapText="1"/>
    </xf>
    <xf numFmtId="193" fontId="6" fillId="41" borderId="3" xfId="0" applyNumberFormat="1" applyFont="1" applyFill="1" applyBorder="1" applyAlignment="1" applyProtection="1">
      <alignment horizontal="center"/>
      <protection locked="0"/>
    </xf>
    <xf numFmtId="197" fontId="6" fillId="0" borderId="0" xfId="0" applyNumberFormat="1" applyFont="1" applyAlignment="1">
      <alignment horizontal="left"/>
    </xf>
    <xf numFmtId="195" fontId="6" fillId="0" borderId="0" xfId="0" applyNumberFormat="1" applyFont="1"/>
    <xf numFmtId="168" fontId="7" fillId="0" borderId="0" xfId="0" applyNumberFormat="1" applyFont="1" applyAlignment="1">
      <alignment horizontal="center" wrapText="1"/>
    </xf>
    <xf numFmtId="168" fontId="19" fillId="40" borderId="9" xfId="0" applyNumberFormat="1" applyFont="1" applyFill="1" applyBorder="1" applyAlignment="1" applyProtection="1">
      <alignment horizontal="center"/>
      <protection locked="0"/>
    </xf>
    <xf numFmtId="0" fontId="73" fillId="38" borderId="1" xfId="0" applyFont="1" applyFill="1" applyBorder="1" applyAlignment="1">
      <alignment horizontal="left" indent="9"/>
    </xf>
    <xf numFmtId="0" fontId="23" fillId="38" borderId="2" xfId="0" applyFont="1" applyFill="1" applyBorder="1"/>
    <xf numFmtId="0" fontId="74" fillId="38" borderId="2" xfId="0" applyFont="1" applyFill="1" applyBorder="1"/>
    <xf numFmtId="0" fontId="74" fillId="39" borderId="4" xfId="0" applyFont="1" applyFill="1" applyBorder="1"/>
    <xf numFmtId="0" fontId="74" fillId="39" borderId="4" xfId="0" applyFont="1" applyFill="1" applyBorder="1" applyAlignment="1">
      <alignment horizontal="center"/>
    </xf>
    <xf numFmtId="0" fontId="19" fillId="39" borderId="4" xfId="0" applyFont="1" applyFill="1" applyBorder="1" applyAlignment="1">
      <alignment horizontal="center" vertical="center"/>
    </xf>
    <xf numFmtId="0" fontId="19" fillId="39" borderId="4" xfId="0" applyFont="1" applyFill="1" applyBorder="1" applyAlignment="1">
      <alignment vertical="center"/>
    </xf>
    <xf numFmtId="0" fontId="74" fillId="39" borderId="4" xfId="0" applyFont="1" applyFill="1" applyBorder="1" applyAlignment="1">
      <alignment wrapText="1"/>
    </xf>
    <xf numFmtId="165" fontId="19" fillId="39" borderId="4" xfId="0" applyNumberFormat="1" applyFont="1" applyFill="1" applyBorder="1" applyAlignment="1">
      <alignment horizontal="center" wrapText="1"/>
    </xf>
    <xf numFmtId="0" fontId="74" fillId="3" borderId="0" xfId="0" applyFont="1" applyFill="1" applyAlignment="1">
      <alignment wrapText="1"/>
    </xf>
    <xf numFmtId="0" fontId="74" fillId="3" borderId="0" xfId="0" applyFont="1" applyFill="1"/>
    <xf numFmtId="0" fontId="74" fillId="0" borderId="0" xfId="0" applyFont="1"/>
    <xf numFmtId="168" fontId="6" fillId="0" borderId="0" xfId="0" applyNumberFormat="1" applyFont="1" applyAlignment="1">
      <alignment horizontal="center"/>
    </xf>
    <xf numFmtId="168" fontId="17" fillId="0" borderId="0" xfId="3" applyNumberFormat="1" applyFont="1" applyFill="1" applyAlignment="1" applyProtection="1">
      <alignment horizontal="center"/>
    </xf>
    <xf numFmtId="198" fontId="6" fillId="0" borderId="0" xfId="0" applyNumberFormat="1" applyFont="1" applyAlignment="1">
      <alignment horizontal="center"/>
    </xf>
    <xf numFmtId="168" fontId="7" fillId="0" borderId="7" xfId="0" applyNumberFormat="1" applyFont="1" applyBorder="1" applyAlignment="1">
      <alignment horizontal="center"/>
    </xf>
    <xf numFmtId="168" fontId="8" fillId="0" borderId="8" xfId="0" applyNumberFormat="1" applyFont="1" applyBorder="1" applyAlignment="1">
      <alignment horizontal="left" indent="1"/>
    </xf>
    <xf numFmtId="168" fontId="7" fillId="0" borderId="8" xfId="0" applyNumberFormat="1" applyFont="1" applyBorder="1" applyAlignment="1">
      <alignment horizontal="center"/>
    </xf>
    <xf numFmtId="198" fontId="8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left"/>
    </xf>
    <xf numFmtId="10" fontId="6" fillId="0" borderId="0" xfId="2" applyNumberFormat="1" applyFont="1" applyAlignment="1" applyProtection="1">
      <alignment horizontal="center"/>
    </xf>
    <xf numFmtId="168" fontId="8" fillId="0" borderId="8" xfId="0" applyNumberFormat="1" applyFont="1" applyBorder="1"/>
    <xf numFmtId="176" fontId="6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left" indent="2"/>
    </xf>
    <xf numFmtId="168" fontId="18" fillId="0" borderId="8" xfId="0" applyNumberFormat="1" applyFont="1" applyBorder="1" applyAlignment="1">
      <alignment horizontal="center"/>
    </xf>
    <xf numFmtId="168" fontId="8" fillId="0" borderId="0" xfId="0" applyNumberFormat="1" applyFont="1" applyAlignment="1">
      <alignment horizontal="left" indent="1"/>
    </xf>
    <xf numFmtId="195" fontId="8" fillId="0" borderId="0" xfId="0" applyNumberFormat="1" applyFont="1" applyAlignment="1">
      <alignment horizontal="center"/>
    </xf>
    <xf numFmtId="201" fontId="6" fillId="0" borderId="0" xfId="0" applyNumberFormat="1" applyFont="1" applyAlignment="1">
      <alignment horizontal="center"/>
    </xf>
    <xf numFmtId="201" fontId="8" fillId="0" borderId="0" xfId="0" applyNumberFormat="1" applyFont="1" applyAlignment="1">
      <alignment horizontal="center"/>
    </xf>
    <xf numFmtId="166" fontId="12" fillId="0" borderId="3" xfId="0" applyNumberFormat="1" applyFont="1" applyBorder="1" applyAlignment="1">
      <alignment horizontal="center"/>
    </xf>
    <xf numFmtId="166" fontId="12" fillId="0" borderId="0" xfId="0" applyNumberFormat="1" applyFont="1" applyAlignment="1">
      <alignment horizontal="center"/>
    </xf>
    <xf numFmtId="0" fontId="10" fillId="38" borderId="2" xfId="0" applyFont="1" applyFill="1" applyBorder="1"/>
    <xf numFmtId="0" fontId="11" fillId="38" borderId="2" xfId="0" applyFont="1" applyFill="1" applyBorder="1" applyAlignment="1">
      <alignment horizontal="center"/>
    </xf>
    <xf numFmtId="0" fontId="11" fillId="38" borderId="2" xfId="0" applyFont="1" applyFill="1" applyBorder="1"/>
    <xf numFmtId="168" fontId="8" fillId="0" borderId="7" xfId="0" applyNumberFormat="1" applyFont="1" applyBorder="1"/>
    <xf numFmtId="168" fontId="6" fillId="0" borderId="7" xfId="0" applyNumberFormat="1" applyFont="1" applyBorder="1"/>
    <xf numFmtId="10" fontId="6" fillId="0" borderId="0" xfId="2" applyNumberFormat="1" applyFont="1" applyBorder="1" applyAlignment="1" applyProtection="1">
      <alignment horizontal="center"/>
    </xf>
    <xf numFmtId="176" fontId="6" fillId="0" borderId="0" xfId="0" applyNumberFormat="1" applyFont="1"/>
    <xf numFmtId="200" fontId="8" fillId="0" borderId="0" xfId="0" applyNumberFormat="1" applyFont="1" applyAlignment="1">
      <alignment horizontal="center"/>
    </xf>
    <xf numFmtId="168" fontId="6" fillId="0" borderId="0" xfId="0" applyNumberFormat="1" applyFont="1" applyProtection="1">
      <protection locked="0"/>
    </xf>
    <xf numFmtId="203" fontId="6" fillId="41" borderId="3" xfId="0" applyNumberFormat="1" applyFont="1" applyFill="1" applyBorder="1" applyAlignment="1" applyProtection="1">
      <alignment horizontal="center"/>
      <protection locked="0"/>
    </xf>
    <xf numFmtId="1" fontId="6" fillId="41" borderId="3" xfId="0" applyNumberFormat="1" applyFont="1" applyFill="1" applyBorder="1" applyAlignment="1" applyProtection="1">
      <alignment horizontal="center"/>
      <protection locked="0"/>
    </xf>
    <xf numFmtId="204" fontId="74" fillId="39" borderId="4" xfId="0" applyNumberFormat="1" applyFont="1" applyFill="1" applyBorder="1" applyAlignment="1">
      <alignment horizontal="center" wrapText="1"/>
    </xf>
    <xf numFmtId="204" fontId="91" fillId="38" borderId="2" xfId="0" applyNumberFormat="1" applyFont="1" applyFill="1" applyBorder="1" applyAlignment="1">
      <alignment horizontal="center"/>
    </xf>
    <xf numFmtId="204" fontId="74" fillId="38" borderId="2" xfId="0" applyNumberFormat="1" applyFont="1" applyFill="1" applyBorder="1" applyAlignment="1">
      <alignment horizontal="left"/>
    </xf>
    <xf numFmtId="204" fontId="6" fillId="0" borderId="0" xfId="0" applyNumberFormat="1" applyFont="1" applyAlignment="1">
      <alignment horizontal="left" indent="1"/>
    </xf>
    <xf numFmtId="204" fontId="7" fillId="0" borderId="0" xfId="0" applyNumberFormat="1" applyFont="1" applyAlignment="1">
      <alignment horizontal="center"/>
    </xf>
    <xf numFmtId="204" fontId="8" fillId="0" borderId="0" xfId="0" applyNumberFormat="1" applyFont="1" applyAlignment="1">
      <alignment horizontal="center"/>
    </xf>
    <xf numFmtId="168" fontId="14" fillId="0" borderId="0" xfId="3" applyNumberFormat="1" applyAlignment="1" applyProtection="1">
      <alignment horizontal="center"/>
    </xf>
    <xf numFmtId="0" fontId="74" fillId="38" borderId="25" xfId="0" applyFont="1" applyFill="1" applyBorder="1"/>
    <xf numFmtId="204" fontId="18" fillId="0" borderId="0" xfId="0" applyNumberFormat="1" applyFont="1" applyAlignment="1">
      <alignment horizontal="center"/>
    </xf>
    <xf numFmtId="168" fontId="8" fillId="0" borderId="7" xfId="0" applyNumberFormat="1" applyFont="1" applyBorder="1" applyAlignment="1">
      <alignment horizontal="left" indent="1"/>
    </xf>
    <xf numFmtId="204" fontId="7" fillId="0" borderId="7" xfId="0" applyNumberFormat="1" applyFont="1" applyBorder="1" applyAlignment="1">
      <alignment horizontal="center"/>
    </xf>
    <xf numFmtId="205" fontId="6" fillId="0" borderId="0" xfId="2" applyNumberFormat="1" applyFont="1" applyFill="1" applyBorder="1" applyAlignment="1" applyProtection="1">
      <alignment horizontal="center"/>
    </xf>
    <xf numFmtId="0" fontId="14" fillId="38" borderId="0" xfId="3" applyFill="1" applyBorder="1" applyAlignment="1">
      <alignment horizontal="right"/>
    </xf>
    <xf numFmtId="0" fontId="74" fillId="38" borderId="2" xfId="0" applyFont="1" applyFill="1" applyBorder="1" applyAlignment="1">
      <alignment horizontal="center"/>
    </xf>
    <xf numFmtId="0" fontId="6" fillId="0" borderId="3" xfId="0" applyFont="1" applyBorder="1" applyAlignment="1" applyProtection="1">
      <alignment horizontal="center"/>
      <protection locked="0"/>
    </xf>
    <xf numFmtId="204" fontId="6" fillId="0" borderId="3" xfId="0" applyNumberFormat="1" applyFont="1" applyBorder="1" applyAlignment="1" applyProtection="1">
      <alignment horizontal="center"/>
      <protection locked="0"/>
    </xf>
    <xf numFmtId="0" fontId="14" fillId="38" borderId="0" xfId="3" applyFill="1" applyBorder="1" applyAlignment="1" applyProtection="1">
      <alignment horizontal="right"/>
    </xf>
    <xf numFmtId="195" fontId="6" fillId="0" borderId="0" xfId="0" applyNumberFormat="1" applyFont="1" applyProtection="1">
      <protection locked="0"/>
    </xf>
    <xf numFmtId="195" fontId="8" fillId="0" borderId="0" xfId="0" applyNumberFormat="1" applyFont="1" applyProtection="1">
      <protection locked="0"/>
    </xf>
    <xf numFmtId="182" fontId="6" fillId="0" borderId="0" xfId="2" applyNumberFormat="1" applyFont="1" applyFill="1" applyBorder="1" applyAlignment="1" applyProtection="1">
      <alignment horizontal="center"/>
      <protection locked="0"/>
    </xf>
    <xf numFmtId="204" fontId="19" fillId="8" borderId="9" xfId="0" applyNumberFormat="1" applyFont="1" applyFill="1" applyBorder="1" applyAlignment="1" applyProtection="1">
      <alignment horizontal="center"/>
      <protection locked="0"/>
    </xf>
    <xf numFmtId="206" fontId="6" fillId="0" borderId="0" xfId="0" applyNumberFormat="1" applyFont="1" applyProtection="1">
      <protection locked="0"/>
    </xf>
    <xf numFmtId="1" fontId="6" fillId="0" borderId="0" xfId="0" applyNumberFormat="1" applyFont="1" applyAlignment="1" applyProtection="1">
      <alignment horizontal="center"/>
      <protection locked="0"/>
    </xf>
    <xf numFmtId="204" fontId="6" fillId="0" borderId="0" xfId="0" applyNumberFormat="1" applyFont="1" applyAlignment="1" applyProtection="1">
      <alignment horizontal="center"/>
      <protection locked="0"/>
    </xf>
    <xf numFmtId="0" fontId="72" fillId="38" borderId="0" xfId="3" applyFont="1" applyFill="1" applyBorder="1" applyAlignment="1" applyProtection="1"/>
    <xf numFmtId="195" fontId="20" fillId="0" borderId="0" xfId="0" applyNumberFormat="1" applyFont="1" applyProtection="1">
      <protection locked="0"/>
    </xf>
    <xf numFmtId="195" fontId="14" fillId="0" borderId="0" xfId="3" applyNumberFormat="1" applyProtection="1">
      <protection locked="0"/>
    </xf>
    <xf numFmtId="193" fontId="6" fillId="0" borderId="0" xfId="0" applyNumberFormat="1" applyFont="1" applyAlignment="1" applyProtection="1">
      <alignment horizontal="center"/>
      <protection locked="0"/>
    </xf>
    <xf numFmtId="193" fontId="0" fillId="41" borderId="3" xfId="0" applyNumberFormat="1" applyFont="1" applyFill="1" applyBorder="1" applyAlignment="1" applyProtection="1">
      <alignment horizontal="center"/>
      <protection locked="0"/>
    </xf>
    <xf numFmtId="0" fontId="0" fillId="39" borderId="4" xfId="0" applyFont="1" applyFill="1" applyBorder="1"/>
    <xf numFmtId="0" fontId="78" fillId="39" borderId="4" xfId="0" applyFont="1" applyFill="1" applyBorder="1" applyAlignment="1">
      <alignment vertical="center"/>
    </xf>
    <xf numFmtId="0" fontId="0" fillId="39" borderId="4" xfId="0" applyFont="1" applyFill="1" applyBorder="1" applyAlignment="1">
      <alignment wrapText="1"/>
    </xf>
    <xf numFmtId="165" fontId="78" fillId="39" borderId="4" xfId="0" applyNumberFormat="1" applyFont="1" applyFill="1" applyBorder="1" applyAlignment="1">
      <alignment horizontal="center" wrapText="1"/>
    </xf>
    <xf numFmtId="168" fontId="0" fillId="0" borderId="0" xfId="0" applyNumberFormat="1" applyFont="1"/>
    <xf numFmtId="168" fontId="75" fillId="0" borderId="0" xfId="0" applyNumberFormat="1" applyFont="1" applyAlignment="1">
      <alignment horizontal="center"/>
    </xf>
    <xf numFmtId="168" fontId="74" fillId="0" borderId="0" xfId="0" applyNumberFormat="1" applyFont="1" applyAlignment="1">
      <alignment horizontal="center"/>
    </xf>
    <xf numFmtId="168" fontId="23" fillId="0" borderId="0" xfId="0" applyNumberFormat="1" applyFont="1"/>
    <xf numFmtId="204" fontId="23" fillId="0" borderId="7" xfId="0" applyNumberFormat="1" applyFont="1" applyBorder="1" applyAlignment="1">
      <alignment horizontal="center"/>
    </xf>
    <xf numFmtId="168" fontId="23" fillId="0" borderId="7" xfId="0" applyNumberFormat="1" applyFont="1" applyBorder="1"/>
    <xf numFmtId="168" fontId="0" fillId="0" borderId="0" xfId="0" applyNumberFormat="1" applyFont="1" applyAlignment="1">
      <alignment horizontal="left" indent="1"/>
    </xf>
    <xf numFmtId="174" fontId="23" fillId="0" borderId="0" xfId="5" applyNumberFormat="1" applyFont="1" applyBorder="1" applyAlignment="1" applyProtection="1">
      <alignment horizontal="center" vertical="center"/>
    </xf>
    <xf numFmtId="49" fontId="0" fillId="41" borderId="3" xfId="0" applyNumberFormat="1" applyFont="1" applyFill="1" applyBorder="1" applyAlignment="1" applyProtection="1">
      <alignment horizontal="left" indent="1"/>
      <protection locked="0"/>
    </xf>
    <xf numFmtId="204" fontId="0" fillId="0" borderId="0" xfId="2" applyNumberFormat="1" applyFont="1" applyFill="1" applyBorder="1" applyAlignment="1" applyProtection="1">
      <alignment horizontal="center"/>
      <protection locked="0"/>
    </xf>
    <xf numFmtId="2" fontId="0" fillId="0" borderId="0" xfId="0" applyNumberFormat="1" applyFont="1" applyAlignment="1" applyProtection="1">
      <alignment horizontal="center"/>
      <protection locked="0"/>
    </xf>
    <xf numFmtId="168" fontId="23" fillId="0" borderId="4" xfId="0" applyNumberFormat="1" applyFont="1" applyBorder="1" applyAlignment="1">
      <alignment horizontal="left"/>
    </xf>
    <xf numFmtId="168" fontId="75" fillId="0" borderId="4" xfId="0" applyNumberFormat="1" applyFont="1" applyBorder="1" applyAlignment="1">
      <alignment horizontal="center"/>
    </xf>
    <xf numFmtId="204" fontId="75" fillId="0" borderId="4" xfId="0" applyNumberFormat="1" applyFont="1" applyBorder="1" applyAlignment="1">
      <alignment horizontal="center"/>
    </xf>
    <xf numFmtId="199" fontId="23" fillId="0" borderId="4" xfId="5" applyNumberFormat="1" applyFont="1" applyBorder="1" applyAlignment="1" applyProtection="1">
      <alignment horizontal="center" vertical="center"/>
    </xf>
    <xf numFmtId="204" fontId="75" fillId="0" borderId="0" xfId="0" applyNumberFormat="1" applyFont="1" applyAlignment="1">
      <alignment horizontal="center"/>
    </xf>
    <xf numFmtId="49" fontId="75" fillId="0" borderId="4" xfId="0" applyNumberFormat="1" applyFont="1" applyBorder="1" applyAlignment="1">
      <alignment horizontal="center"/>
    </xf>
    <xf numFmtId="166" fontId="0" fillId="0" borderId="0" xfId="0" applyNumberFormat="1" applyFont="1"/>
    <xf numFmtId="2" fontId="23" fillId="0" borderId="4" xfId="5" applyNumberFormat="1" applyFont="1" applyBorder="1" applyAlignment="1" applyProtection="1">
      <alignment horizontal="center" vertical="center"/>
    </xf>
    <xf numFmtId="204" fontId="23" fillId="0" borderId="0" xfId="0" applyNumberFormat="1" applyFont="1" applyAlignment="1">
      <alignment horizontal="center"/>
    </xf>
    <xf numFmtId="204" fontId="0" fillId="0" borderId="0" xfId="2" applyNumberFormat="1" applyFont="1" applyFill="1" applyBorder="1" applyAlignment="1" applyProtection="1">
      <alignment horizontal="center"/>
    </xf>
    <xf numFmtId="49" fontId="0" fillId="0" borderId="28" xfId="0" applyNumberFormat="1" applyFont="1" applyBorder="1" applyAlignment="1">
      <alignment horizontal="left" indent="1"/>
    </xf>
    <xf numFmtId="168" fontId="0" fillId="0" borderId="0" xfId="0" applyNumberFormat="1" applyFont="1" applyAlignment="1" applyProtection="1">
      <alignment horizontal="center"/>
      <protection locked="0"/>
    </xf>
    <xf numFmtId="49" fontId="0" fillId="0" borderId="0" xfId="0" applyNumberFormat="1" applyFont="1" applyAlignment="1">
      <alignment horizontal="left" indent="1"/>
    </xf>
    <xf numFmtId="182" fontId="0" fillId="0" borderId="0" xfId="2" applyNumberFormat="1" applyFont="1" applyFill="1" applyBorder="1" applyAlignment="1" applyProtection="1">
      <alignment horizontal="center"/>
      <protection locked="0"/>
    </xf>
    <xf numFmtId="0" fontId="74" fillId="39" borderId="4" xfId="0" applyFont="1" applyFill="1" applyBorder="1" applyAlignment="1">
      <alignment horizontal="center" vertical="center"/>
    </xf>
    <xf numFmtId="0" fontId="74" fillId="39" borderId="4" xfId="0" applyFont="1" applyFill="1" applyBorder="1" applyAlignment="1">
      <alignment vertical="center"/>
    </xf>
    <xf numFmtId="168" fontId="0" fillId="3" borderId="0" xfId="0" applyNumberFormat="1" applyFont="1" applyFill="1"/>
    <xf numFmtId="168" fontId="75" fillId="3" borderId="0" xfId="0" applyNumberFormat="1" applyFont="1" applyFill="1" applyAlignment="1">
      <alignment horizontal="center"/>
    </xf>
    <xf numFmtId="10" fontId="0" fillId="0" borderId="0" xfId="2" applyNumberFormat="1" applyFont="1" applyBorder="1" applyAlignment="1" applyProtection="1">
      <alignment horizontal="center"/>
    </xf>
    <xf numFmtId="168" fontId="23" fillId="0" borderId="0" xfId="0" applyNumberFormat="1" applyFont="1" applyAlignment="1">
      <alignment horizontal="center"/>
    </xf>
    <xf numFmtId="168" fontId="75" fillId="0" borderId="0" xfId="6" applyNumberFormat="1" applyFont="1" applyAlignment="1" applyProtection="1">
      <alignment horizontal="center"/>
    </xf>
    <xf numFmtId="172" fontId="0" fillId="0" borderId="0" xfId="2" applyNumberFormat="1" applyFont="1" applyFill="1" applyBorder="1" applyAlignment="1" applyProtection="1">
      <alignment horizontal="center" vertical="center"/>
    </xf>
    <xf numFmtId="177" fontId="0" fillId="0" borderId="0" xfId="5" applyNumberFormat="1" applyFont="1" applyBorder="1" applyAlignment="1" applyProtection="1">
      <alignment horizontal="center" vertical="center"/>
    </xf>
    <xf numFmtId="204" fontId="0" fillId="0" borderId="0" xfId="0" applyNumberFormat="1" applyFont="1" applyAlignment="1">
      <alignment horizontal="left" indent="1"/>
    </xf>
    <xf numFmtId="173" fontId="0" fillId="0" borderId="0" xfId="5" applyNumberFormat="1" applyFont="1" applyBorder="1" applyAlignment="1" applyProtection="1">
      <alignment horizontal="center" vertical="center"/>
    </xf>
    <xf numFmtId="10" fontId="0" fillId="0" borderId="0" xfId="2" applyNumberFormat="1" applyFont="1" applyFill="1" applyBorder="1" applyAlignment="1" applyProtection="1">
      <alignment horizontal="center" vertical="center"/>
    </xf>
    <xf numFmtId="176" fontId="0" fillId="0" borderId="0" xfId="0" applyNumberFormat="1" applyFont="1"/>
    <xf numFmtId="168" fontId="75" fillId="0" borderId="0" xfId="0" applyNumberFormat="1" applyFont="1" applyAlignment="1" applyProtection="1">
      <alignment horizontal="center"/>
      <protection locked="0"/>
    </xf>
    <xf numFmtId="168" fontId="0" fillId="0" borderId="0" xfId="0" applyNumberFormat="1" applyFont="1" applyProtection="1">
      <protection locked="0"/>
    </xf>
    <xf numFmtId="0" fontId="0" fillId="41" borderId="3" xfId="0" applyFont="1" applyFill="1" applyBorder="1" applyAlignment="1" applyProtection="1">
      <alignment horizontal="left" indent="1"/>
      <protection locked="0"/>
    </xf>
    <xf numFmtId="10" fontId="0" fillId="0" borderId="0" xfId="2" applyNumberFormat="1" applyFont="1" applyFill="1" applyProtection="1">
      <protection locked="0"/>
    </xf>
    <xf numFmtId="168" fontId="0" fillId="0" borderId="0" xfId="0" applyNumberFormat="1" applyFont="1" applyAlignment="1">
      <alignment horizontal="left"/>
    </xf>
    <xf numFmtId="182" fontId="0" fillId="0" borderId="0" xfId="2" applyNumberFormat="1" applyFont="1" applyFill="1" applyAlignment="1" applyProtection="1">
      <alignment horizontal="center"/>
      <protection locked="0"/>
    </xf>
    <xf numFmtId="166" fontId="23" fillId="0" borderId="0" xfId="0" applyNumberFormat="1" applyFont="1" applyAlignment="1">
      <alignment horizontal="center"/>
    </xf>
    <xf numFmtId="174" fontId="0" fillId="0" borderId="0" xfId="5" applyNumberFormat="1" applyFont="1" applyBorder="1" applyAlignment="1" applyProtection="1">
      <alignment horizontal="center" vertical="center"/>
    </xf>
    <xf numFmtId="194" fontId="0" fillId="8" borderId="3" xfId="0" applyNumberFormat="1" applyFont="1" applyFill="1" applyBorder="1" applyAlignment="1">
      <alignment horizontal="left" indent="1"/>
    </xf>
    <xf numFmtId="10" fontId="0" fillId="0" borderId="0" xfId="2" applyNumberFormat="1" applyFont="1" applyFill="1" applyBorder="1" applyAlignment="1" applyProtection="1">
      <alignment horizontal="center"/>
      <protection locked="0"/>
    </xf>
    <xf numFmtId="10" fontId="0" fillId="41" borderId="3" xfId="2" applyNumberFormat="1" applyFont="1" applyFill="1" applyBorder="1" applyAlignment="1" applyProtection="1">
      <alignment horizontal="center"/>
      <protection locked="0"/>
    </xf>
    <xf numFmtId="168" fontId="0" fillId="0" borderId="0" xfId="5" applyNumberFormat="1" applyFont="1" applyBorder="1" applyAlignment="1">
      <alignment horizontal="center" vertical="center"/>
      <protection locked="0"/>
    </xf>
    <xf numFmtId="10" fontId="0" fillId="0" borderId="0" xfId="2" applyNumberFormat="1" applyFont="1" applyAlignment="1" applyProtection="1">
      <alignment horizontal="center"/>
    </xf>
    <xf numFmtId="194" fontId="23" fillId="40" borderId="26" xfId="0" applyNumberFormat="1" applyFont="1" applyFill="1" applyBorder="1" applyAlignment="1" applyProtection="1">
      <alignment horizontal="center"/>
      <protection locked="0"/>
    </xf>
    <xf numFmtId="208" fontId="0" fillId="41" borderId="3" xfId="2" applyNumberFormat="1" applyFont="1" applyFill="1" applyBorder="1" applyAlignment="1" applyProtection="1">
      <alignment horizontal="center"/>
      <protection locked="0"/>
    </xf>
    <xf numFmtId="208" fontId="0" fillId="41" borderId="3" xfId="0" applyNumberFormat="1" applyFont="1" applyFill="1" applyBorder="1" applyAlignment="1" applyProtection="1">
      <alignment horizontal="left" indent="1"/>
      <protection locked="0"/>
    </xf>
    <xf numFmtId="194" fontId="23" fillId="8" borderId="26" xfId="0" applyNumberFormat="1" applyFont="1" applyFill="1" applyBorder="1" applyAlignment="1" applyProtection="1">
      <alignment horizontal="center"/>
      <protection locked="0"/>
    </xf>
    <xf numFmtId="168" fontId="0" fillId="0" borderId="0" xfId="0" applyNumberFormat="1" applyFont="1" applyAlignment="1">
      <alignment horizontal="center"/>
    </xf>
    <xf numFmtId="209" fontId="0" fillId="8" borderId="3" xfId="2" applyNumberFormat="1" applyFont="1" applyFill="1" applyBorder="1" applyAlignment="1" applyProtection="1">
      <alignment horizontal="center"/>
      <protection locked="0"/>
    </xf>
    <xf numFmtId="182" fontId="0" fillId="0" borderId="0" xfId="2" applyNumberFormat="1" applyFont="1" applyAlignment="1" applyProtection="1">
      <alignment horizontal="center"/>
      <protection locked="0"/>
    </xf>
    <xf numFmtId="168" fontId="94" fillId="0" borderId="0" xfId="0" applyNumberFormat="1" applyFont="1" applyAlignment="1">
      <alignment horizontal="center"/>
    </xf>
    <xf numFmtId="174" fontId="23" fillId="0" borderId="0" xfId="5" applyNumberFormat="1" applyFont="1" applyBorder="1" applyAlignment="1">
      <alignment horizontal="center" vertical="center"/>
      <protection locked="0"/>
    </xf>
    <xf numFmtId="10" fontId="0" fillId="0" borderId="0" xfId="2" applyNumberFormat="1" applyFont="1" applyFill="1" applyBorder="1" applyAlignment="1" applyProtection="1">
      <alignment horizontal="center"/>
    </xf>
    <xf numFmtId="165" fontId="74" fillId="39" borderId="4" xfId="0" applyNumberFormat="1" applyFont="1" applyFill="1" applyBorder="1" applyAlignment="1">
      <alignment horizontal="center" wrapText="1"/>
    </xf>
    <xf numFmtId="196" fontId="0" fillId="0" borderId="0" xfId="2" applyNumberFormat="1" applyFont="1" applyFill="1" applyBorder="1" applyAlignment="1" applyProtection="1">
      <alignment horizontal="center"/>
      <protection locked="0"/>
    </xf>
    <xf numFmtId="168" fontId="0" fillId="51" borderId="3" xfId="0" applyNumberFormat="1" applyFont="1" applyFill="1" applyBorder="1" applyAlignment="1" applyProtection="1">
      <alignment horizontal="left" indent="1"/>
      <protection locked="0"/>
    </xf>
    <xf numFmtId="168" fontId="0" fillId="41" borderId="3" xfId="0" applyNumberFormat="1" applyFont="1" applyFill="1" applyBorder="1" applyAlignment="1" applyProtection="1">
      <alignment horizontal="left" indent="1"/>
      <protection locked="0"/>
    </xf>
    <xf numFmtId="2" fontId="15" fillId="0" borderId="0" xfId="0" applyNumberFormat="1" applyFont="1" applyAlignment="1" applyProtection="1">
      <alignment horizontal="center"/>
      <protection locked="0"/>
    </xf>
    <xf numFmtId="198" fontId="12" fillId="0" borderId="29" xfId="0" applyNumberFormat="1" applyFont="1" applyBorder="1" applyAlignment="1">
      <alignment horizontal="center"/>
    </xf>
    <xf numFmtId="198" fontId="15" fillId="0" borderId="0" xfId="0" applyNumberFormat="1" applyFont="1" applyAlignment="1">
      <alignment horizontal="left"/>
    </xf>
    <xf numFmtId="210" fontId="15" fillId="0" borderId="29" xfId="0" applyNumberFormat="1" applyFont="1" applyBorder="1" applyAlignment="1">
      <alignment horizontal="center"/>
    </xf>
    <xf numFmtId="211" fontId="8" fillId="0" borderId="0" xfId="0" applyNumberFormat="1" applyFont="1" applyAlignment="1">
      <alignment horizontal="center"/>
    </xf>
    <xf numFmtId="198" fontId="6" fillId="0" borderId="0" xfId="0" applyNumberFormat="1" applyFont="1" applyAlignment="1">
      <alignment horizontal="left"/>
    </xf>
    <xf numFmtId="198" fontId="8" fillId="0" borderId="29" xfId="0" applyNumberFormat="1" applyFont="1" applyBorder="1" applyAlignment="1">
      <alignment horizontal="center"/>
    </xf>
    <xf numFmtId="2" fontId="15" fillId="52" borderId="0" xfId="0" applyNumberFormat="1" applyFont="1" applyFill="1" applyAlignment="1" applyProtection="1">
      <alignment horizontal="center"/>
      <protection locked="0"/>
    </xf>
    <xf numFmtId="182" fontId="6" fillId="0" borderId="0" xfId="0" applyNumberFormat="1" applyFont="1" applyAlignment="1" applyProtection="1">
      <alignment horizontal="center"/>
      <protection locked="0"/>
    </xf>
    <xf numFmtId="10" fontId="15" fillId="0" borderId="0" xfId="2" applyNumberFormat="1" applyFont="1" applyAlignment="1" applyProtection="1">
      <alignment horizontal="center"/>
      <protection locked="0"/>
    </xf>
    <xf numFmtId="168" fontId="15" fillId="0" borderId="0" xfId="0" applyNumberFormat="1" applyFont="1" applyAlignment="1" applyProtection="1">
      <alignment horizontal="center"/>
      <protection locked="0"/>
    </xf>
    <xf numFmtId="196" fontId="15" fillId="0" borderId="0" xfId="2" applyNumberFormat="1" applyFont="1" applyFill="1" applyBorder="1" applyAlignment="1" applyProtection="1">
      <alignment horizontal="center"/>
      <protection locked="0"/>
    </xf>
    <xf numFmtId="168" fontId="15" fillId="0" borderId="0" xfId="0" applyNumberFormat="1" applyFont="1"/>
    <xf numFmtId="0" fontId="15" fillId="39" borderId="4" xfId="0" applyFont="1" applyFill="1" applyBorder="1" applyAlignment="1">
      <alignment wrapText="1"/>
    </xf>
    <xf numFmtId="204" fontId="12" fillId="0" borderId="0" xfId="0" applyNumberFormat="1" applyFont="1" applyAlignment="1">
      <alignment horizontal="center"/>
    </xf>
    <xf numFmtId="0" fontId="14" fillId="0" borderId="0" xfId="3" applyFill="1"/>
    <xf numFmtId="10" fontId="6" fillId="0" borderId="0" xfId="0" applyNumberFormat="1" applyFont="1" applyAlignment="1">
      <alignment horizontal="center"/>
    </xf>
    <xf numFmtId="10" fontId="15" fillId="0" borderId="0" xfId="2" applyNumberFormat="1" applyFont="1" applyAlignment="1" applyProtection="1">
      <alignment horizontal="center"/>
    </xf>
    <xf numFmtId="0" fontId="74" fillId="38" borderId="2" xfId="0" applyFont="1" applyFill="1" applyBorder="1" applyAlignment="1">
      <alignment horizontal="center"/>
    </xf>
  </cellXfs>
  <cellStyles count="306">
    <cellStyle name=" 1" xfId="10" xr:uid="{00000000-0005-0000-0000-000000000000}"/>
    <cellStyle name=" 1 2" xfId="11" xr:uid="{00000000-0005-0000-0000-000001000000}"/>
    <cellStyle name=" 1_29(d) - Gas extensions -tariffs" xfId="12" xr:uid="{00000000-0005-0000-0000-000002000000}"/>
    <cellStyle name="_Capex" xfId="13" xr:uid="{00000000-0005-0000-0000-000003000000}"/>
    <cellStyle name="_Capex 2" xfId="14" xr:uid="{00000000-0005-0000-0000-000004000000}"/>
    <cellStyle name="_Capex_29(d) - Gas extensions -tariffs" xfId="15" xr:uid="{00000000-0005-0000-0000-000005000000}"/>
    <cellStyle name="_UED AMP 2009-14 Final 250309 Less PU" xfId="16" xr:uid="{00000000-0005-0000-0000-000006000000}"/>
    <cellStyle name="_UED AMP 2009-14 Final 250309 Less PU_1011 monthly" xfId="17" xr:uid="{00000000-0005-0000-0000-000007000000}"/>
    <cellStyle name="20% - Accent1 2" xfId="18" xr:uid="{00000000-0005-0000-0000-000008000000}"/>
    <cellStyle name="20% - Accent2 2" xfId="19" xr:uid="{00000000-0005-0000-0000-000009000000}"/>
    <cellStyle name="20% - Accent3 2" xfId="20" xr:uid="{00000000-0005-0000-0000-00000A000000}"/>
    <cellStyle name="20% - Accent4 2" xfId="21" xr:uid="{00000000-0005-0000-0000-00000B000000}"/>
    <cellStyle name="20% - Accent5 2" xfId="22" xr:uid="{00000000-0005-0000-0000-00000C000000}"/>
    <cellStyle name="20% - Accent6 2" xfId="23" xr:uid="{00000000-0005-0000-0000-00000D000000}"/>
    <cellStyle name="40% - Accent1 2" xfId="24" xr:uid="{00000000-0005-0000-0000-00000E000000}"/>
    <cellStyle name="40% - Accent2 2" xfId="25" xr:uid="{00000000-0005-0000-0000-00000F000000}"/>
    <cellStyle name="40% - Accent3 2" xfId="26" xr:uid="{00000000-0005-0000-0000-000010000000}"/>
    <cellStyle name="40% - Accent4 2" xfId="27" xr:uid="{00000000-0005-0000-0000-000011000000}"/>
    <cellStyle name="40% - Accent5 2" xfId="28" xr:uid="{00000000-0005-0000-0000-000012000000}"/>
    <cellStyle name="40% - Accent6 2" xfId="29" xr:uid="{00000000-0005-0000-0000-000013000000}"/>
    <cellStyle name="60% - Accent1 2" xfId="30" xr:uid="{00000000-0005-0000-0000-000014000000}"/>
    <cellStyle name="60% - Accent2 2" xfId="31" xr:uid="{00000000-0005-0000-0000-000015000000}"/>
    <cellStyle name="60% - Accent3 2" xfId="32" xr:uid="{00000000-0005-0000-0000-000016000000}"/>
    <cellStyle name="60% - Accent4 2" xfId="33" xr:uid="{00000000-0005-0000-0000-000017000000}"/>
    <cellStyle name="60% - Accent5 2" xfId="34" xr:uid="{00000000-0005-0000-0000-000018000000}"/>
    <cellStyle name="60% - Accent6 2" xfId="35" xr:uid="{00000000-0005-0000-0000-000019000000}"/>
    <cellStyle name="Accent1 - 20%" xfId="36" xr:uid="{00000000-0005-0000-0000-00001A000000}"/>
    <cellStyle name="Accent1 - 40%" xfId="37" xr:uid="{00000000-0005-0000-0000-00001B000000}"/>
    <cellStyle name="Accent1 - 60%" xfId="38" xr:uid="{00000000-0005-0000-0000-00001C000000}"/>
    <cellStyle name="Accent1 2" xfId="39" xr:uid="{00000000-0005-0000-0000-00001D000000}"/>
    <cellStyle name="Accent2 - 20%" xfId="40" xr:uid="{00000000-0005-0000-0000-00001E000000}"/>
    <cellStyle name="Accent2 - 40%" xfId="41" xr:uid="{00000000-0005-0000-0000-00001F000000}"/>
    <cellStyle name="Accent2 - 60%" xfId="42" xr:uid="{00000000-0005-0000-0000-000020000000}"/>
    <cellStyle name="Accent2 2" xfId="43" xr:uid="{00000000-0005-0000-0000-000021000000}"/>
    <cellStyle name="Accent3 - 20%" xfId="44" xr:uid="{00000000-0005-0000-0000-000022000000}"/>
    <cellStyle name="Accent3 - 40%" xfId="45" xr:uid="{00000000-0005-0000-0000-000023000000}"/>
    <cellStyle name="Accent3 - 60%" xfId="46" xr:uid="{00000000-0005-0000-0000-000024000000}"/>
    <cellStyle name="Accent3 2" xfId="47" xr:uid="{00000000-0005-0000-0000-000025000000}"/>
    <cellStyle name="Accent4 - 20%" xfId="48" xr:uid="{00000000-0005-0000-0000-000026000000}"/>
    <cellStyle name="Accent4 - 40%" xfId="49" xr:uid="{00000000-0005-0000-0000-000027000000}"/>
    <cellStyle name="Accent4 - 60%" xfId="50" xr:uid="{00000000-0005-0000-0000-000028000000}"/>
    <cellStyle name="Accent4 2" xfId="51" xr:uid="{00000000-0005-0000-0000-000029000000}"/>
    <cellStyle name="Accent5 - 20%" xfId="52" xr:uid="{00000000-0005-0000-0000-00002A000000}"/>
    <cellStyle name="Accent5 - 40%" xfId="53" xr:uid="{00000000-0005-0000-0000-00002B000000}"/>
    <cellStyle name="Accent5 - 60%" xfId="54" xr:uid="{00000000-0005-0000-0000-00002C000000}"/>
    <cellStyle name="Accent5 2" xfId="55" xr:uid="{00000000-0005-0000-0000-00002D000000}"/>
    <cellStyle name="Accent6 - 20%" xfId="56" xr:uid="{00000000-0005-0000-0000-00002E000000}"/>
    <cellStyle name="Accent6 - 40%" xfId="57" xr:uid="{00000000-0005-0000-0000-00002F000000}"/>
    <cellStyle name="Accent6 - 60%" xfId="58" xr:uid="{00000000-0005-0000-0000-000030000000}"/>
    <cellStyle name="Accent6 2" xfId="59" xr:uid="{00000000-0005-0000-0000-000031000000}"/>
    <cellStyle name="Agara" xfId="60" xr:uid="{00000000-0005-0000-0000-000032000000}"/>
    <cellStyle name="Assumptions Right Number" xfId="5" xr:uid="{00000000-0005-0000-0000-000033000000}"/>
    <cellStyle name="B79812_.wvu.PrintTitlest" xfId="61" xr:uid="{00000000-0005-0000-0000-000034000000}"/>
    <cellStyle name="Bad 2" xfId="62" xr:uid="{00000000-0005-0000-0000-000035000000}"/>
    <cellStyle name="Black" xfId="63" xr:uid="{00000000-0005-0000-0000-000036000000}"/>
    <cellStyle name="Blockout" xfId="64" xr:uid="{00000000-0005-0000-0000-000037000000}"/>
    <cellStyle name="Blockout 2" xfId="65" xr:uid="{00000000-0005-0000-0000-000038000000}"/>
    <cellStyle name="Blockout 2 2" xfId="269" xr:uid="{00000000-0005-0000-0000-000039000000}"/>
    <cellStyle name="Blockout 3" xfId="268" xr:uid="{00000000-0005-0000-0000-00003A000000}"/>
    <cellStyle name="Blue" xfId="66" xr:uid="{00000000-0005-0000-0000-00003B000000}"/>
    <cellStyle name="Calcs_Divider" xfId="244" xr:uid="{00000000-0005-0000-0000-00003C000000}"/>
    <cellStyle name="Calculation 2" xfId="67" xr:uid="{00000000-0005-0000-0000-00003D000000}"/>
    <cellStyle name="Check" xfId="245" xr:uid="{00000000-0005-0000-0000-00003E000000}"/>
    <cellStyle name="Check Cell 2" xfId="68" xr:uid="{00000000-0005-0000-0000-00003F000000}"/>
    <cellStyle name="Column_Heading_1" xfId="246" xr:uid="{00000000-0005-0000-0000-000040000000}"/>
    <cellStyle name="Comma" xfId="6" builtinId="3"/>
    <cellStyle name="Comma [0]7Z_87C" xfId="69" xr:uid="{00000000-0005-0000-0000-000042000000}"/>
    <cellStyle name="Comma 0" xfId="70" xr:uid="{00000000-0005-0000-0000-000043000000}"/>
    <cellStyle name="Comma 1" xfId="71" xr:uid="{00000000-0005-0000-0000-000044000000}"/>
    <cellStyle name="Comma 1 2" xfId="72" xr:uid="{00000000-0005-0000-0000-000045000000}"/>
    <cellStyle name="Comma 10" xfId="266" xr:uid="{00000000-0005-0000-0000-000046000000}"/>
    <cellStyle name="Comma 2" xfId="8" xr:uid="{00000000-0005-0000-0000-000047000000}"/>
    <cellStyle name="Comma 2 2" xfId="73" xr:uid="{00000000-0005-0000-0000-000048000000}"/>
    <cellStyle name="Comma 2 2 2" xfId="270" xr:uid="{00000000-0005-0000-0000-000049000000}"/>
    <cellStyle name="Comma 2 3" xfId="74" xr:uid="{00000000-0005-0000-0000-00004A000000}"/>
    <cellStyle name="Comma 2 3 2" xfId="75" xr:uid="{00000000-0005-0000-0000-00004B000000}"/>
    <cellStyle name="Comma 2 3 2 2" xfId="272" xr:uid="{00000000-0005-0000-0000-00004C000000}"/>
    <cellStyle name="Comma 2 3 3" xfId="271" xr:uid="{00000000-0005-0000-0000-00004D000000}"/>
    <cellStyle name="Comma 2 4" xfId="76" xr:uid="{00000000-0005-0000-0000-00004E000000}"/>
    <cellStyle name="Comma 2 4 2" xfId="273" xr:uid="{00000000-0005-0000-0000-00004F000000}"/>
    <cellStyle name="Comma 2 5" xfId="77" xr:uid="{00000000-0005-0000-0000-000050000000}"/>
    <cellStyle name="Comma 2 5 2" xfId="274" xr:uid="{00000000-0005-0000-0000-000051000000}"/>
    <cellStyle name="Comma 2 6" xfId="267" xr:uid="{00000000-0005-0000-0000-000052000000}"/>
    <cellStyle name="Comma 3" xfId="78" xr:uid="{00000000-0005-0000-0000-000053000000}"/>
    <cellStyle name="Comma 3 2" xfId="79" xr:uid="{00000000-0005-0000-0000-000054000000}"/>
    <cellStyle name="Comma 3 3" xfId="80" xr:uid="{00000000-0005-0000-0000-000055000000}"/>
    <cellStyle name="Comma 3 3 2" xfId="275" xr:uid="{00000000-0005-0000-0000-000056000000}"/>
    <cellStyle name="Comma 4" xfId="81" xr:uid="{00000000-0005-0000-0000-000057000000}"/>
    <cellStyle name="Comma 4 2" xfId="276" xr:uid="{00000000-0005-0000-0000-000058000000}"/>
    <cellStyle name="Comma 5" xfId="82" xr:uid="{00000000-0005-0000-0000-000059000000}"/>
    <cellStyle name="Comma 5 2" xfId="277" xr:uid="{00000000-0005-0000-0000-00005A000000}"/>
    <cellStyle name="Comma 6" xfId="83" xr:uid="{00000000-0005-0000-0000-00005B000000}"/>
    <cellStyle name="Comma 6 2" xfId="278" xr:uid="{00000000-0005-0000-0000-00005C000000}"/>
    <cellStyle name="Comma 7" xfId="84" xr:uid="{00000000-0005-0000-0000-00005D000000}"/>
    <cellStyle name="Comma 7 2" xfId="279" xr:uid="{00000000-0005-0000-0000-00005E000000}"/>
    <cellStyle name="Comma 8" xfId="85" xr:uid="{00000000-0005-0000-0000-00005F000000}"/>
    <cellStyle name="Comma 8 2" xfId="280" xr:uid="{00000000-0005-0000-0000-000060000000}"/>
    <cellStyle name="Comma 9" xfId="302" xr:uid="{00000000-0005-0000-0000-000061000000}"/>
    <cellStyle name="Comma0" xfId="86" xr:uid="{00000000-0005-0000-0000-000062000000}"/>
    <cellStyle name="Currency 11" xfId="87" xr:uid="{00000000-0005-0000-0000-000063000000}"/>
    <cellStyle name="Currency 11 2" xfId="88" xr:uid="{00000000-0005-0000-0000-000064000000}"/>
    <cellStyle name="Currency 11 2 2" xfId="282" xr:uid="{00000000-0005-0000-0000-000065000000}"/>
    <cellStyle name="Currency 11 3" xfId="281" xr:uid="{00000000-0005-0000-0000-000066000000}"/>
    <cellStyle name="Currency 2" xfId="89" xr:uid="{00000000-0005-0000-0000-000067000000}"/>
    <cellStyle name="Currency 2 2" xfId="90" xr:uid="{00000000-0005-0000-0000-000068000000}"/>
    <cellStyle name="Currency 2 2 2" xfId="284" xr:uid="{00000000-0005-0000-0000-000069000000}"/>
    <cellStyle name="Currency 2 3" xfId="283" xr:uid="{00000000-0005-0000-0000-00006A000000}"/>
    <cellStyle name="Currency 3" xfId="91" xr:uid="{00000000-0005-0000-0000-00006B000000}"/>
    <cellStyle name="Currency 3 2" xfId="92" xr:uid="{00000000-0005-0000-0000-00006C000000}"/>
    <cellStyle name="Currency 3 2 2" xfId="286" xr:uid="{00000000-0005-0000-0000-00006D000000}"/>
    <cellStyle name="Currency 3 3" xfId="285" xr:uid="{00000000-0005-0000-0000-00006E000000}"/>
    <cellStyle name="Currency 4" xfId="93" xr:uid="{00000000-0005-0000-0000-00006F000000}"/>
    <cellStyle name="Currency 4 2" xfId="94" xr:uid="{00000000-0005-0000-0000-000070000000}"/>
    <cellStyle name="Currency 4 2 2" xfId="288" xr:uid="{00000000-0005-0000-0000-000071000000}"/>
    <cellStyle name="Currency 4 3" xfId="287" xr:uid="{00000000-0005-0000-0000-000072000000}"/>
    <cellStyle name="Currency 5" xfId="243" xr:uid="{00000000-0005-0000-0000-000073000000}"/>
    <cellStyle name="Currency 5 2" xfId="297" xr:uid="{00000000-0005-0000-0000-000074000000}"/>
    <cellStyle name="Currency 6" xfId="300" xr:uid="{00000000-0005-0000-0000-000075000000}"/>
    <cellStyle name="D4_B8B1_005004B79812_.wvu.PrintTitlest" xfId="95" xr:uid="{00000000-0005-0000-0000-000076000000}"/>
    <cellStyle name="Date" xfId="96" xr:uid="{00000000-0005-0000-0000-000077000000}"/>
    <cellStyle name="Date 2" xfId="97" xr:uid="{00000000-0005-0000-0000-000078000000}"/>
    <cellStyle name="dms_1" xfId="265" xr:uid="{00000000-0005-0000-0000-000079000000}"/>
    <cellStyle name="Emphasis 1" xfId="98" xr:uid="{00000000-0005-0000-0000-00007A000000}"/>
    <cellStyle name="Emphasis 2" xfId="99" xr:uid="{00000000-0005-0000-0000-00007B000000}"/>
    <cellStyle name="Emphasis 3" xfId="100" xr:uid="{00000000-0005-0000-0000-00007C000000}"/>
    <cellStyle name="Empty_Cell" xfId="247" xr:uid="{00000000-0005-0000-0000-00007D000000}"/>
    <cellStyle name="Euro" xfId="101" xr:uid="{00000000-0005-0000-0000-00007E000000}"/>
    <cellStyle name="Explanatory Text 2" xfId="102" xr:uid="{00000000-0005-0000-0000-00007F000000}"/>
    <cellStyle name="Fixed" xfId="103" xr:uid="{00000000-0005-0000-0000-000080000000}"/>
    <cellStyle name="Fixed 2" xfId="104" xr:uid="{00000000-0005-0000-0000-000081000000}"/>
    <cellStyle name="Gilsans" xfId="105" xr:uid="{00000000-0005-0000-0000-000082000000}"/>
    <cellStyle name="Gilsansl" xfId="106" xr:uid="{00000000-0005-0000-0000-000083000000}"/>
    <cellStyle name="Good 2" xfId="107" xr:uid="{00000000-0005-0000-0000-000084000000}"/>
    <cellStyle name="Header1" xfId="248" xr:uid="{00000000-0005-0000-0000-000085000000}"/>
    <cellStyle name="Header2" xfId="249" xr:uid="{00000000-0005-0000-0000-000086000000}"/>
    <cellStyle name="Header3" xfId="250" xr:uid="{00000000-0005-0000-0000-000087000000}"/>
    <cellStyle name="Header4" xfId="251" xr:uid="{00000000-0005-0000-0000-000088000000}"/>
    <cellStyle name="Header5" xfId="252" xr:uid="{00000000-0005-0000-0000-000089000000}"/>
    <cellStyle name="Heading 1 2" xfId="108" xr:uid="{00000000-0005-0000-0000-00008A000000}"/>
    <cellStyle name="Heading 1 2 2" xfId="109" xr:uid="{00000000-0005-0000-0000-00008B000000}"/>
    <cellStyle name="Heading 1 3" xfId="110" xr:uid="{00000000-0005-0000-0000-00008C000000}"/>
    <cellStyle name="Heading 2 2" xfId="111" xr:uid="{00000000-0005-0000-0000-00008D000000}"/>
    <cellStyle name="Heading 2 2 2" xfId="112" xr:uid="{00000000-0005-0000-0000-00008E000000}"/>
    <cellStyle name="Heading 2 3" xfId="113" xr:uid="{00000000-0005-0000-0000-00008F000000}"/>
    <cellStyle name="Heading 3 2" xfId="114" xr:uid="{00000000-0005-0000-0000-000090000000}"/>
    <cellStyle name="Heading 3 2 2" xfId="115" xr:uid="{00000000-0005-0000-0000-000091000000}"/>
    <cellStyle name="Heading 3 3" xfId="116" xr:uid="{00000000-0005-0000-0000-000092000000}"/>
    <cellStyle name="Heading 4 2" xfId="117" xr:uid="{00000000-0005-0000-0000-000093000000}"/>
    <cellStyle name="Heading 4 2 2" xfId="118" xr:uid="{00000000-0005-0000-0000-000094000000}"/>
    <cellStyle name="Heading 4 3" xfId="119" xr:uid="{00000000-0005-0000-0000-000095000000}"/>
    <cellStyle name="Heading(4)" xfId="120" xr:uid="{00000000-0005-0000-0000-000096000000}"/>
    <cellStyle name="Hyperlink" xfId="3" builtinId="8"/>
    <cellStyle name="Hyperlink 2" xfId="121" xr:uid="{00000000-0005-0000-0000-000098000000}"/>
    <cellStyle name="Hyperlink Arrow" xfId="122" xr:uid="{00000000-0005-0000-0000-000099000000}"/>
    <cellStyle name="Hyperlink Text" xfId="123" xr:uid="{00000000-0005-0000-0000-00009A000000}"/>
    <cellStyle name="Input 2" xfId="124" xr:uid="{00000000-0005-0000-0000-00009B000000}"/>
    <cellStyle name="Input|Date" xfId="1" xr:uid="{00000000-0005-0000-0000-00009C000000}"/>
    <cellStyle name="Input1" xfId="125" xr:uid="{00000000-0005-0000-0000-00009D000000}"/>
    <cellStyle name="Input1 2" xfId="126" xr:uid="{00000000-0005-0000-0000-00009E000000}"/>
    <cellStyle name="Input1 2 2" xfId="290" xr:uid="{00000000-0005-0000-0000-00009F000000}"/>
    <cellStyle name="Input1 3" xfId="289" xr:uid="{00000000-0005-0000-0000-0000A0000000}"/>
    <cellStyle name="Input2" xfId="127" xr:uid="{00000000-0005-0000-0000-0000A1000000}"/>
    <cellStyle name="Input2 2" xfId="128" xr:uid="{00000000-0005-0000-0000-0000A2000000}"/>
    <cellStyle name="Input3" xfId="129" xr:uid="{00000000-0005-0000-0000-0000A3000000}"/>
    <cellStyle name="Input3 2" xfId="130" xr:uid="{00000000-0005-0000-0000-0000A4000000}"/>
    <cellStyle name="Input3 2 2" xfId="292" xr:uid="{00000000-0005-0000-0000-0000A5000000}"/>
    <cellStyle name="Input3 3" xfId="291" xr:uid="{00000000-0005-0000-0000-0000A6000000}"/>
    <cellStyle name="Inputs_Divider" xfId="253" xr:uid="{00000000-0005-0000-0000-0000A7000000}"/>
    <cellStyle name="InSheet" xfId="254" xr:uid="{00000000-0005-0000-0000-0000A8000000}"/>
    <cellStyle name="K_Number" xfId="304" xr:uid="{00000000-0005-0000-0000-0000A9000000}"/>
    <cellStyle name="Lines" xfId="131" xr:uid="{00000000-0005-0000-0000-0000AA000000}"/>
    <cellStyle name="Linked Cell 2" xfId="132" xr:uid="{00000000-0005-0000-0000-0000AB000000}"/>
    <cellStyle name="Mine" xfId="133" xr:uid="{00000000-0005-0000-0000-0000AC000000}"/>
    <cellStyle name="Model Name" xfId="134" xr:uid="{00000000-0005-0000-0000-0000AD000000}"/>
    <cellStyle name="Neutral 2" xfId="135" xr:uid="{00000000-0005-0000-0000-0000AE000000}"/>
    <cellStyle name="Normal" xfId="0" builtinId="0"/>
    <cellStyle name="Normal - Style1" xfId="136" xr:uid="{00000000-0005-0000-0000-0000B0000000}"/>
    <cellStyle name="Normal 10" xfId="241" xr:uid="{00000000-0005-0000-0000-0000B1000000}"/>
    <cellStyle name="Normal 10 2" xfId="295" xr:uid="{00000000-0005-0000-0000-0000B2000000}"/>
    <cellStyle name="Normal 10 3" xfId="305" xr:uid="{8AEA0D15-5C51-43D8-B1A9-559B282927D3}"/>
    <cellStyle name="Normal 11" xfId="264" xr:uid="{00000000-0005-0000-0000-0000B3000000}"/>
    <cellStyle name="Normal 11 2" xfId="298" xr:uid="{00000000-0005-0000-0000-0000B4000000}"/>
    <cellStyle name="Normal 12" xfId="301" xr:uid="{00000000-0005-0000-0000-0000B5000000}"/>
    <cellStyle name="Normal 13" xfId="137" xr:uid="{00000000-0005-0000-0000-0000B6000000}"/>
    <cellStyle name="Normal 13 2" xfId="7" xr:uid="{00000000-0005-0000-0000-0000B7000000}"/>
    <cellStyle name="Normal 13_29(d) - Gas extensions -tariffs" xfId="138" xr:uid="{00000000-0005-0000-0000-0000B8000000}"/>
    <cellStyle name="Normal 15" xfId="139" xr:uid="{00000000-0005-0000-0000-0000B9000000}"/>
    <cellStyle name="Normal 16" xfId="140" xr:uid="{00000000-0005-0000-0000-0000BA000000}"/>
    <cellStyle name="Normal 2" xfId="141" xr:uid="{00000000-0005-0000-0000-0000BB000000}"/>
    <cellStyle name="Normal 2 2" xfId="142" xr:uid="{00000000-0005-0000-0000-0000BC000000}"/>
    <cellStyle name="Normal 2 2 2" xfId="143" xr:uid="{00000000-0005-0000-0000-0000BD000000}"/>
    <cellStyle name="Normal 2 3" xfId="144" xr:uid="{00000000-0005-0000-0000-0000BE000000}"/>
    <cellStyle name="Normal 2 3 2" xfId="145" xr:uid="{00000000-0005-0000-0000-0000BF000000}"/>
    <cellStyle name="Normal 2 3_29(d) - Gas extensions -tariffs" xfId="146" xr:uid="{00000000-0005-0000-0000-0000C0000000}"/>
    <cellStyle name="Normal 2 4" xfId="147" xr:uid="{00000000-0005-0000-0000-0000C1000000}"/>
    <cellStyle name="Normal 2 5" xfId="148" xr:uid="{00000000-0005-0000-0000-0000C2000000}"/>
    <cellStyle name="Normal 2_29(d) - Gas extensions -tariffs" xfId="149" xr:uid="{00000000-0005-0000-0000-0000C3000000}"/>
    <cellStyle name="Normal 3" xfId="150" xr:uid="{00000000-0005-0000-0000-0000C4000000}"/>
    <cellStyle name="Normal 3 2" xfId="151" xr:uid="{00000000-0005-0000-0000-0000C5000000}"/>
    <cellStyle name="Normal 3_29(d) - Gas extensions -tariffs" xfId="152" xr:uid="{00000000-0005-0000-0000-0000C6000000}"/>
    <cellStyle name="Normal 38" xfId="153" xr:uid="{00000000-0005-0000-0000-0000C7000000}"/>
    <cellStyle name="Normal 38 2" xfId="154" xr:uid="{00000000-0005-0000-0000-0000C8000000}"/>
    <cellStyle name="Normal 38_29(d) - Gas extensions -tariffs" xfId="155" xr:uid="{00000000-0005-0000-0000-0000C9000000}"/>
    <cellStyle name="Normal 4" xfId="156" xr:uid="{00000000-0005-0000-0000-0000CA000000}"/>
    <cellStyle name="Normal 4 2" xfId="157" xr:uid="{00000000-0005-0000-0000-0000CB000000}"/>
    <cellStyle name="Normal 4 3" xfId="158" xr:uid="{00000000-0005-0000-0000-0000CC000000}"/>
    <cellStyle name="Normal 4 3 2" xfId="293" xr:uid="{00000000-0005-0000-0000-0000CD000000}"/>
    <cellStyle name="Normal 4_29(d) - Gas extensions -tariffs" xfId="159" xr:uid="{00000000-0005-0000-0000-0000CE000000}"/>
    <cellStyle name="Normal 40" xfId="160" xr:uid="{00000000-0005-0000-0000-0000CF000000}"/>
    <cellStyle name="Normal 40 2" xfId="161" xr:uid="{00000000-0005-0000-0000-0000D0000000}"/>
    <cellStyle name="Normal 40_29(d) - Gas extensions -tariffs" xfId="162" xr:uid="{00000000-0005-0000-0000-0000D1000000}"/>
    <cellStyle name="Normal 42" xfId="303" xr:uid="{00000000-0005-0000-0000-0000D2000000}"/>
    <cellStyle name="Normal 5" xfId="163" xr:uid="{00000000-0005-0000-0000-0000D3000000}"/>
    <cellStyle name="Normal 5 2" xfId="164" xr:uid="{00000000-0005-0000-0000-0000D4000000}"/>
    <cellStyle name="Normal 6" xfId="165" xr:uid="{00000000-0005-0000-0000-0000D5000000}"/>
    <cellStyle name="Normal 6 2" xfId="166" xr:uid="{00000000-0005-0000-0000-0000D6000000}"/>
    <cellStyle name="Normal 7" xfId="9" xr:uid="{00000000-0005-0000-0000-0000D7000000}"/>
    <cellStyle name="Normal 7 2" xfId="167" xr:uid="{00000000-0005-0000-0000-0000D8000000}"/>
    <cellStyle name="Normal 7 2 2" xfId="294" xr:uid="{00000000-0005-0000-0000-0000D9000000}"/>
    <cellStyle name="Normal 8" xfId="168" xr:uid="{00000000-0005-0000-0000-0000DA000000}"/>
    <cellStyle name="Normal 9" xfId="169" xr:uid="{00000000-0005-0000-0000-0000DB000000}"/>
    <cellStyle name="Note 2" xfId="170" xr:uid="{00000000-0005-0000-0000-0000DC000000}"/>
    <cellStyle name="OffSheet" xfId="255" xr:uid="{00000000-0005-0000-0000-0000DD000000}"/>
    <cellStyle name="Output 2" xfId="171" xr:uid="{00000000-0005-0000-0000-0000DE000000}"/>
    <cellStyle name="Percent" xfId="2" builtinId="5"/>
    <cellStyle name="Percent [2]" xfId="172" xr:uid="{00000000-0005-0000-0000-0000E0000000}"/>
    <cellStyle name="Percent [2] 2" xfId="173" xr:uid="{00000000-0005-0000-0000-0000E1000000}"/>
    <cellStyle name="Percent [2]_29(d) - Gas extensions -tariffs" xfId="174" xr:uid="{00000000-0005-0000-0000-0000E2000000}"/>
    <cellStyle name="Percent 2" xfId="4" xr:uid="{00000000-0005-0000-0000-0000E3000000}"/>
    <cellStyle name="Percent 2 2" xfId="175" xr:uid="{00000000-0005-0000-0000-0000E4000000}"/>
    <cellStyle name="Percent 3" xfId="176" xr:uid="{00000000-0005-0000-0000-0000E5000000}"/>
    <cellStyle name="Percent 3 2" xfId="177" xr:uid="{00000000-0005-0000-0000-0000E6000000}"/>
    <cellStyle name="Percent 4" xfId="178" xr:uid="{00000000-0005-0000-0000-0000E7000000}"/>
    <cellStyle name="Percent 5" xfId="242" xr:uid="{00000000-0005-0000-0000-0000E8000000}"/>
    <cellStyle name="Percent 5 2" xfId="296" xr:uid="{00000000-0005-0000-0000-0000E9000000}"/>
    <cellStyle name="Percent 6" xfId="299" xr:uid="{00000000-0005-0000-0000-0000EA000000}"/>
    <cellStyle name="Percent 7" xfId="179" xr:uid="{00000000-0005-0000-0000-0000EB000000}"/>
    <cellStyle name="Percentage" xfId="180" xr:uid="{00000000-0005-0000-0000-0000EC000000}"/>
    <cellStyle name="Period Title" xfId="181" xr:uid="{00000000-0005-0000-0000-0000ED000000}"/>
    <cellStyle name="PSChar" xfId="182" xr:uid="{00000000-0005-0000-0000-0000EE000000}"/>
    <cellStyle name="PSDate" xfId="183" xr:uid="{00000000-0005-0000-0000-0000EF000000}"/>
    <cellStyle name="PSDec" xfId="184" xr:uid="{00000000-0005-0000-0000-0000F0000000}"/>
    <cellStyle name="PSDetail" xfId="185" xr:uid="{00000000-0005-0000-0000-0000F1000000}"/>
    <cellStyle name="PSHeading" xfId="186" xr:uid="{00000000-0005-0000-0000-0000F2000000}"/>
    <cellStyle name="PSInt" xfId="187" xr:uid="{00000000-0005-0000-0000-0000F3000000}"/>
    <cellStyle name="PSSpacer" xfId="188" xr:uid="{00000000-0005-0000-0000-0000F4000000}"/>
    <cellStyle name="Ratio" xfId="189" xr:uid="{00000000-0005-0000-0000-0000F5000000}"/>
    <cellStyle name="Ratio 2" xfId="190" xr:uid="{00000000-0005-0000-0000-0000F6000000}"/>
    <cellStyle name="Ratio_29(d) - Gas extensions -tariffs" xfId="191" xr:uid="{00000000-0005-0000-0000-0000F7000000}"/>
    <cellStyle name="Right Date" xfId="192" xr:uid="{00000000-0005-0000-0000-0000F8000000}"/>
    <cellStyle name="Right Number" xfId="193" xr:uid="{00000000-0005-0000-0000-0000F9000000}"/>
    <cellStyle name="Right Year" xfId="194" xr:uid="{00000000-0005-0000-0000-0000FA000000}"/>
    <cellStyle name="SAPError" xfId="195" xr:uid="{00000000-0005-0000-0000-0000FB000000}"/>
    <cellStyle name="SAPError 2" xfId="196" xr:uid="{00000000-0005-0000-0000-0000FC000000}"/>
    <cellStyle name="SAPKey" xfId="197" xr:uid="{00000000-0005-0000-0000-0000FD000000}"/>
    <cellStyle name="SAPKey 2" xfId="198" xr:uid="{00000000-0005-0000-0000-0000FE000000}"/>
    <cellStyle name="SAPLocked" xfId="199" xr:uid="{00000000-0005-0000-0000-0000FF000000}"/>
    <cellStyle name="SAPLocked 2" xfId="200" xr:uid="{00000000-0005-0000-0000-000000010000}"/>
    <cellStyle name="SAPOutput" xfId="201" xr:uid="{00000000-0005-0000-0000-000001010000}"/>
    <cellStyle name="SAPOutput 2" xfId="202" xr:uid="{00000000-0005-0000-0000-000002010000}"/>
    <cellStyle name="SAPSpace" xfId="203" xr:uid="{00000000-0005-0000-0000-000003010000}"/>
    <cellStyle name="SAPSpace 2" xfId="204" xr:uid="{00000000-0005-0000-0000-000004010000}"/>
    <cellStyle name="SAPText" xfId="205" xr:uid="{00000000-0005-0000-0000-000005010000}"/>
    <cellStyle name="SAPText 2" xfId="206" xr:uid="{00000000-0005-0000-0000-000006010000}"/>
    <cellStyle name="SAPUnLocked" xfId="207" xr:uid="{00000000-0005-0000-0000-000007010000}"/>
    <cellStyle name="SAPUnLocked 2" xfId="208" xr:uid="{00000000-0005-0000-0000-000008010000}"/>
    <cellStyle name="Sheet Title" xfId="209" xr:uid="{00000000-0005-0000-0000-000009010000}"/>
    <cellStyle name="SheetHeader1" xfId="256" xr:uid="{00000000-0005-0000-0000-00000A010000}"/>
    <cellStyle name="SheetHeader2" xfId="257" xr:uid="{00000000-0005-0000-0000-00000B010000}"/>
    <cellStyle name="SheetHeader3" xfId="258" xr:uid="{00000000-0005-0000-0000-00000C010000}"/>
    <cellStyle name="Style 1" xfId="210" xr:uid="{00000000-0005-0000-0000-00000D010000}"/>
    <cellStyle name="Style 1 2" xfId="211" xr:uid="{00000000-0005-0000-0000-00000E010000}"/>
    <cellStyle name="Style 1_29(d) - Gas extensions -tariffs" xfId="212" xr:uid="{00000000-0005-0000-0000-00000F010000}"/>
    <cellStyle name="Style2" xfId="213" xr:uid="{00000000-0005-0000-0000-000010010000}"/>
    <cellStyle name="Style3" xfId="214" xr:uid="{00000000-0005-0000-0000-000011010000}"/>
    <cellStyle name="Style4" xfId="215" xr:uid="{00000000-0005-0000-0000-000012010000}"/>
    <cellStyle name="Style4 2" xfId="216" xr:uid="{00000000-0005-0000-0000-000013010000}"/>
    <cellStyle name="Style4_29(d) - Gas extensions -tariffs" xfId="217" xr:uid="{00000000-0005-0000-0000-000014010000}"/>
    <cellStyle name="Style5" xfId="218" xr:uid="{00000000-0005-0000-0000-000015010000}"/>
    <cellStyle name="Style5 2" xfId="219" xr:uid="{00000000-0005-0000-0000-000016010000}"/>
    <cellStyle name="Style5_29(d) - Gas extensions -tariffs" xfId="220" xr:uid="{00000000-0005-0000-0000-000017010000}"/>
    <cellStyle name="Table Head Green" xfId="221" xr:uid="{00000000-0005-0000-0000-000018010000}"/>
    <cellStyle name="Table Head_pldt" xfId="222" xr:uid="{00000000-0005-0000-0000-000019010000}"/>
    <cellStyle name="Table Source" xfId="223" xr:uid="{00000000-0005-0000-0000-00001A010000}"/>
    <cellStyle name="Table Units" xfId="224" xr:uid="{00000000-0005-0000-0000-00001B010000}"/>
    <cellStyle name="Table_Heading" xfId="259" xr:uid="{00000000-0005-0000-0000-00001C010000}"/>
    <cellStyle name="Technical_Input" xfId="260" xr:uid="{00000000-0005-0000-0000-00001D010000}"/>
    <cellStyle name="Text" xfId="225" xr:uid="{00000000-0005-0000-0000-00001E010000}"/>
    <cellStyle name="Text 2" xfId="226" xr:uid="{00000000-0005-0000-0000-00001F010000}"/>
    <cellStyle name="Text 3" xfId="227" xr:uid="{00000000-0005-0000-0000-000020010000}"/>
    <cellStyle name="Text Head 1" xfId="228" xr:uid="{00000000-0005-0000-0000-000021010000}"/>
    <cellStyle name="Text Head 2" xfId="229" xr:uid="{00000000-0005-0000-0000-000022010000}"/>
    <cellStyle name="Text Indent 2" xfId="230" xr:uid="{00000000-0005-0000-0000-000023010000}"/>
    <cellStyle name="Theirs" xfId="231" xr:uid="{00000000-0005-0000-0000-000024010000}"/>
    <cellStyle name="Title 2" xfId="232" xr:uid="{00000000-0005-0000-0000-000025010000}"/>
    <cellStyle name="TOC 1" xfId="233" xr:uid="{00000000-0005-0000-0000-000026010000}"/>
    <cellStyle name="TOC 2" xfId="234" xr:uid="{00000000-0005-0000-0000-000027010000}"/>
    <cellStyle name="TOC 3" xfId="235" xr:uid="{00000000-0005-0000-0000-000028010000}"/>
    <cellStyle name="Total 2" xfId="236" xr:uid="{00000000-0005-0000-0000-000029010000}"/>
    <cellStyle name="Totals" xfId="261" xr:uid="{00000000-0005-0000-0000-00002A010000}"/>
    <cellStyle name="unit" xfId="262" xr:uid="{00000000-0005-0000-0000-00002B010000}"/>
    <cellStyle name="User_Input" xfId="263" xr:uid="{00000000-0005-0000-0000-00002C010000}"/>
    <cellStyle name="Warning Text 2" xfId="237" xr:uid="{00000000-0005-0000-0000-00002D010000}"/>
    <cellStyle name="year" xfId="238" xr:uid="{00000000-0005-0000-0000-00002E010000}"/>
    <cellStyle name="year 2" xfId="239" xr:uid="{00000000-0005-0000-0000-00002F010000}"/>
    <cellStyle name="year_29(d) - Gas extensions -tariffs" xfId="240" xr:uid="{00000000-0005-0000-0000-000030010000}"/>
  </cellStyles>
  <dxfs count="212"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>
        <bottom style="thin">
          <color auto="1"/>
        </bottom>
        <vertical/>
        <horizontal/>
      </border>
    </dxf>
    <dxf>
      <fill>
        <patternFill>
          <bgColor rgb="FFCCFFCC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rgb="FFCCFFCC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</font>
      <fill>
        <patternFill>
          <bgColor rgb="FFFFFF99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</dxf>
    <dxf>
      <font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</font>
      <numFmt numFmtId="1" formatCode="0"/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DAEEF3"/>
      <color rgb="FFCCFFCC"/>
      <color rgb="FFFFFFCC"/>
      <color rgb="FFDBE5F1"/>
      <color rgb="FF006100"/>
      <color rgb="FFC6EFCE"/>
      <color rgb="FF9C0006"/>
      <color rgb="FFFFFF99"/>
      <color rgb="FFC0C0C0"/>
      <color rgb="FF8DB4E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rba.gov.au/publications/smp/2023/aug/forecasts.html" TargetMode="External"/><Relationship Id="rId2" Type="http://schemas.openxmlformats.org/officeDocument/2006/relationships/hyperlink" Target="https://www.rba.gov.au/publications/smp/2023/aug/forecasts.html" TargetMode="External"/><Relationship Id="rId1" Type="http://schemas.openxmlformats.org/officeDocument/2006/relationships/hyperlink" Target="https://www.rba.gov.au/publications/smp/2023/aug/forecasts.html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s://www.rba.gov.au/publications/smp/2023/aug/forecasts.html" TargetMode="External"/><Relationship Id="rId4" Type="http://schemas.openxmlformats.org/officeDocument/2006/relationships/hyperlink" Target="https://www.rba.gov.au/publications/smp/2023/aug/forecasts.html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tabColor theme="1"/>
  </sheetPr>
  <dimension ref="A1:AD31"/>
  <sheetViews>
    <sheetView showGridLines="0" workbookViewId="0"/>
  </sheetViews>
  <sheetFormatPr defaultColWidth="0" defaultRowHeight="11.25" zeroHeight="1"/>
  <cols>
    <col min="1" max="2" width="1.5" style="8" customWidth="1"/>
    <col min="3" max="3" width="30.83203125" style="8" customWidth="1"/>
    <col min="4" max="4" width="163.83203125" style="8" customWidth="1"/>
    <col min="5" max="5" width="6.5" style="8" customWidth="1"/>
    <col min="6" max="6" width="9.33203125" style="8" hidden="1" customWidth="1"/>
    <col min="7" max="14" width="9.83203125" style="8" hidden="1" customWidth="1"/>
    <col min="15" max="15" width="1.5" style="8" hidden="1" customWidth="1"/>
    <col min="16" max="16" width="10.5" style="8" hidden="1" customWidth="1"/>
    <col min="17" max="17" width="1.5" style="8" hidden="1" customWidth="1"/>
    <col min="18" max="16384" width="10.5" style="8" hidden="1"/>
  </cols>
  <sheetData>
    <row r="1" spans="1:30" s="1" customFormat="1" ht="15.75" customHeight="1">
      <c r="A1" s="29"/>
      <c r="B1" s="26" t="s">
        <v>217</v>
      </c>
      <c r="C1" s="26"/>
      <c r="D1" s="29"/>
      <c r="E1" s="29"/>
      <c r="G1" s="2"/>
      <c r="H1" s="3"/>
      <c r="I1" s="4"/>
    </row>
    <row r="2" spans="1:30" s="5" customFormat="1" ht="13.5" customHeight="1" thickBot="1">
      <c r="A2" s="33"/>
      <c r="B2" s="32" t="s">
        <v>41</v>
      </c>
      <c r="C2" s="32"/>
      <c r="D2" s="33"/>
      <c r="E2" s="33"/>
    </row>
    <row r="3" spans="1:30" s="6" customFormat="1" ht="3" customHeight="1"/>
    <row r="4" spans="1:30" customFormat="1" ht="12.75">
      <c r="A4" s="34"/>
      <c r="B4" s="40" t="s">
        <v>63</v>
      </c>
      <c r="C4" s="34"/>
      <c r="D4" s="34"/>
      <c r="E4" s="34"/>
      <c r="F4" s="35"/>
      <c r="G4" s="35"/>
      <c r="H4" s="35"/>
      <c r="I4" s="35"/>
      <c r="J4" s="36"/>
      <c r="K4" s="37"/>
      <c r="L4" s="36"/>
      <c r="M4" s="37"/>
      <c r="N4" s="36"/>
      <c r="O4" s="36"/>
      <c r="P4" s="36"/>
      <c r="Q4" s="36"/>
      <c r="R4" s="36"/>
      <c r="S4" s="36"/>
      <c r="T4" s="36"/>
      <c r="U4" s="36"/>
      <c r="V4" s="37"/>
      <c r="W4" s="37"/>
      <c r="X4" s="38"/>
      <c r="Y4" s="38"/>
      <c r="Z4" s="38"/>
      <c r="AA4" s="38"/>
      <c r="AB4" s="38"/>
      <c r="AC4" s="39"/>
      <c r="AD4" s="39"/>
    </row>
    <row r="5" spans="1:30"/>
    <row r="6" spans="1:30">
      <c r="C6" s="9" t="s">
        <v>0</v>
      </c>
      <c r="D6" s="9" t="s">
        <v>1</v>
      </c>
    </row>
    <row r="7" spans="1:30">
      <c r="C7" s="19" t="s">
        <v>61</v>
      </c>
      <c r="D7" s="7" t="s">
        <v>62</v>
      </c>
    </row>
    <row r="8" spans="1:30">
      <c r="C8" s="19" t="s">
        <v>35</v>
      </c>
      <c r="D8" s="7" t="s">
        <v>96</v>
      </c>
    </row>
    <row r="9" spans="1:30">
      <c r="C9" s="19" t="s">
        <v>57</v>
      </c>
      <c r="D9" s="7" t="s">
        <v>58</v>
      </c>
    </row>
    <row r="10" spans="1:30">
      <c r="C10" s="19" t="s">
        <v>188</v>
      </c>
      <c r="D10" s="7" t="s">
        <v>229</v>
      </c>
    </row>
    <row r="11" spans="1:30">
      <c r="C11" s="19" t="s">
        <v>60</v>
      </c>
      <c r="D11" s="7" t="s">
        <v>51</v>
      </c>
    </row>
    <row r="12" spans="1:30">
      <c r="C12" s="19" t="s">
        <v>189</v>
      </c>
      <c r="D12" s="7" t="s">
        <v>176</v>
      </c>
    </row>
    <row r="13" spans="1:30">
      <c r="C13" s="19" t="s">
        <v>190</v>
      </c>
      <c r="D13" s="7" t="s">
        <v>230</v>
      </c>
    </row>
    <row r="14" spans="1:30">
      <c r="C14" s="19" t="s">
        <v>53</v>
      </c>
      <c r="D14" s="7" t="s">
        <v>59</v>
      </c>
    </row>
    <row r="15" spans="1:30">
      <c r="C15" s="19" t="s">
        <v>25</v>
      </c>
      <c r="D15" s="7" t="s">
        <v>52</v>
      </c>
    </row>
    <row r="16" spans="1:30" ht="12.75">
      <c r="C16" s="10"/>
      <c r="D16" s="7"/>
    </row>
    <row r="17" spans="1:30" customFormat="1" ht="12.75">
      <c r="A17" s="34"/>
      <c r="B17" s="40" t="s">
        <v>21</v>
      </c>
      <c r="C17" s="34"/>
      <c r="D17" s="34"/>
      <c r="E17" s="34"/>
      <c r="F17" s="35"/>
      <c r="G17" s="35"/>
      <c r="H17" s="35"/>
      <c r="I17" s="35"/>
      <c r="J17" s="36"/>
      <c r="K17" s="37"/>
      <c r="L17" s="36"/>
      <c r="M17" s="37"/>
      <c r="N17" s="36"/>
      <c r="O17" s="36"/>
      <c r="P17" s="36"/>
      <c r="Q17" s="36"/>
      <c r="R17" s="36"/>
      <c r="S17" s="36"/>
      <c r="T17" s="36"/>
      <c r="U17" s="36"/>
      <c r="V17" s="37"/>
      <c r="W17" s="37"/>
      <c r="X17" s="38"/>
      <c r="Y17" s="38"/>
      <c r="Z17" s="38"/>
      <c r="AA17" s="38"/>
      <c r="AB17" s="38"/>
      <c r="AC17" s="39"/>
      <c r="AD17" s="39"/>
    </row>
    <row r="18" spans="1:30" hidden="1">
      <c r="D18" s="7"/>
      <c r="F18" s="24"/>
    </row>
    <row r="19" spans="1:30" hidden="1">
      <c r="D19" s="7"/>
      <c r="F19" s="24"/>
    </row>
    <row r="20" spans="1:30" hidden="1">
      <c r="D20" s="7"/>
      <c r="F20" s="24"/>
    </row>
    <row r="21" spans="1:30" hidden="1">
      <c r="D21" s="7"/>
      <c r="F21" s="24"/>
    </row>
    <row r="22" spans="1:30" hidden="1">
      <c r="D22" s="7"/>
      <c r="F22" s="24"/>
    </row>
    <row r="23" spans="1:30" hidden="1">
      <c r="C23" s="7"/>
      <c r="D23" s="7"/>
      <c r="F23" s="24"/>
    </row>
    <row r="24" spans="1:30" hidden="1">
      <c r="C24" s="7"/>
      <c r="D24" s="7"/>
      <c r="F24" s="24"/>
    </row>
    <row r="25" spans="1:30" hidden="1">
      <c r="C25" s="7"/>
      <c r="D25" s="7"/>
    </row>
    <row r="26" spans="1:30" hidden="1">
      <c r="D26" s="7"/>
    </row>
    <row r="27" spans="1:30" hidden="1">
      <c r="D27" s="7"/>
    </row>
    <row r="28" spans="1:30" hidden="1">
      <c r="D28" s="7"/>
    </row>
    <row r="29" spans="1:30" hidden="1">
      <c r="D29" s="7"/>
    </row>
    <row r="30" spans="1:30" hidden="1">
      <c r="D30" s="7"/>
    </row>
    <row r="31" spans="1:30" ht="12.75" hidden="1">
      <c r="C31" s="10"/>
      <c r="D31" s="7"/>
    </row>
  </sheetData>
  <hyperlinks>
    <hyperlink ref="C12" location="'Calc|Opex forecast'!A1" display="Calc | Opex Forecast" xr:uid="{00000000-0004-0000-0100-000001000000}"/>
    <hyperlink ref="C13" location="'Output|Models'!A1" display="Output | Models" xr:uid="{00000000-0004-0000-0100-000002000000}"/>
    <hyperlink ref="C14" location="'Lookup|Tables'!A1" display="Lookup | Tables" xr:uid="{00000000-0004-0000-0100-000003000000}"/>
    <hyperlink ref="C15" location="'Check|List'!A1" display="Check | List" xr:uid="{00000000-0004-0000-0100-000004000000}"/>
    <hyperlink ref="C7" location="'Input|General'!A1" display="Input | General" xr:uid="{00000000-0004-0000-0100-000005000000}"/>
    <hyperlink ref="C9" location="'Input|Reported opex'!A1" display="Input | Reported opex" xr:uid="{00000000-0004-0000-0100-000006000000}"/>
    <hyperlink ref="C11" location="'Input|Step changes'!A1" display="Input | Step changes" xr:uid="{00000000-0004-0000-0100-000007000000}"/>
    <hyperlink ref="C8" location="'Input|Inflation'!A1" display="Input | Inflation" xr:uid="{00000000-0004-0000-0100-000008000000}"/>
    <hyperlink ref="C10" location="'Input|Rate of change'!A1" display="Input | Rate of change" xr:uid="{00000000-0004-0000-0100-00000A000000}"/>
  </hyperlinks>
  <pageMargins left="0.7" right="0.7" top="0.75" bottom="0.75" header="0.3" footer="0.3"/>
  <pageSetup paperSize="9" orientation="portrait" verticalDpi="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tabColor rgb="FFFFFF99"/>
  </sheetPr>
  <dimension ref="A1:AD27"/>
  <sheetViews>
    <sheetView showGridLines="0" tabSelected="1" zoomScaleNormal="100" workbookViewId="0"/>
  </sheetViews>
  <sheetFormatPr defaultColWidth="0" defaultRowHeight="11.25" zeroHeight="1"/>
  <cols>
    <col min="1" max="2" width="1.5" style="8" customWidth="1"/>
    <col min="3" max="3" width="42" style="8" customWidth="1"/>
    <col min="4" max="4" width="11.1640625" style="16" customWidth="1"/>
    <col min="5" max="6" width="3.33203125" style="16" customWidth="1"/>
    <col min="7" max="7" width="16.1640625" style="16" bestFit="1" customWidth="1"/>
    <col min="8" max="9" width="3.33203125" style="16" customWidth="1"/>
    <col min="10" max="23" width="10.83203125" style="8" customWidth="1"/>
    <col min="24" max="38" width="10.5" style="8" hidden="1" customWidth="1"/>
    <col min="39" max="16384" width="10.5" style="8" hidden="1"/>
  </cols>
  <sheetData>
    <row r="1" spans="1:30" s="29" customFormat="1" ht="15.75">
      <c r="B1" s="26" t="str">
        <f>Index!$B$1</f>
        <v>AER opex model v2.1</v>
      </c>
      <c r="C1" s="26"/>
      <c r="D1" s="26"/>
      <c r="E1" s="26"/>
      <c r="F1" s="27"/>
      <c r="G1" s="27"/>
      <c r="H1" s="27"/>
      <c r="I1" s="27"/>
      <c r="J1" s="28" t="s">
        <v>2</v>
      </c>
      <c r="L1" s="30" t="s">
        <v>3</v>
      </c>
      <c r="M1" s="48" t="s">
        <v>4</v>
      </c>
      <c r="N1" s="11" t="s">
        <v>5</v>
      </c>
      <c r="O1" s="12" t="s">
        <v>6</v>
      </c>
      <c r="R1" s="30" t="s">
        <v>82</v>
      </c>
      <c r="S1" s="31" t="str">
        <f>IF(COUNTA($S$5:$S$16)=COUNTIF($S5:$S17,"OK"),"OK","Check")</f>
        <v>OK</v>
      </c>
      <c r="U1" s="113" t="s">
        <v>24</v>
      </c>
      <c r="V1" s="31" t="str">
        <f>'Check|List'!$S$1</f>
        <v>Ok</v>
      </c>
    </row>
    <row r="2" spans="1:30" s="33" customFormat="1" ht="13.5" thickBot="1">
      <c r="B2" s="32" t="str">
        <f>Index!$C$7</f>
        <v>Input | General</v>
      </c>
      <c r="C2" s="32"/>
      <c r="D2" s="32"/>
      <c r="E2" s="32"/>
      <c r="F2" s="55"/>
      <c r="G2" s="55"/>
      <c r="H2" s="55"/>
      <c r="I2" s="55"/>
    </row>
    <row r="3" spans="1:30" s="6" customFormat="1" ht="3" customHeight="1">
      <c r="D3" s="22"/>
      <c r="E3" s="22"/>
      <c r="F3" s="22"/>
      <c r="G3" s="22"/>
      <c r="H3" s="22"/>
      <c r="I3" s="22"/>
    </row>
    <row r="4" spans="1:30" customFormat="1" ht="12.75">
      <c r="A4" s="34"/>
      <c r="B4" s="40" t="s">
        <v>93</v>
      </c>
      <c r="C4" s="34"/>
      <c r="D4" s="34"/>
      <c r="E4" s="34"/>
      <c r="F4" s="35"/>
      <c r="G4" s="35"/>
      <c r="H4" s="35"/>
      <c r="I4" s="35"/>
      <c r="J4" s="36"/>
      <c r="K4" s="37"/>
      <c r="L4" s="36"/>
      <c r="M4" s="37"/>
      <c r="N4" s="36"/>
      <c r="O4" s="36"/>
      <c r="P4" s="36"/>
      <c r="Q4" s="36"/>
      <c r="R4" s="36"/>
      <c r="S4" s="36"/>
      <c r="T4" s="36"/>
      <c r="U4" s="36"/>
      <c r="V4" s="37"/>
      <c r="W4" s="37"/>
      <c r="X4" s="38"/>
      <c r="Y4" s="38"/>
      <c r="Z4" s="38"/>
      <c r="AA4" s="38"/>
      <c r="AB4" s="38"/>
      <c r="AC4" s="39"/>
      <c r="AD4" s="39"/>
    </row>
    <row r="5" spans="1:30"/>
    <row r="6" spans="1:30">
      <c r="C6" s="13" t="s">
        <v>94</v>
      </c>
      <c r="D6" s="21" t="s">
        <v>7</v>
      </c>
      <c r="E6" s="21"/>
      <c r="F6" s="14"/>
      <c r="G6" s="14" t="s">
        <v>67</v>
      </c>
      <c r="H6" s="14"/>
      <c r="I6" s="8"/>
    </row>
    <row r="7" spans="1:30">
      <c r="C7" s="8" t="s">
        <v>64</v>
      </c>
      <c r="D7" s="16" t="s">
        <v>68</v>
      </c>
      <c r="E7" s="8"/>
      <c r="F7" s="8"/>
      <c r="G7" s="41" t="s">
        <v>223</v>
      </c>
      <c r="H7" s="8"/>
      <c r="I7" s="8"/>
      <c r="S7" s="84" t="str">
        <f>IF(COUNTBLANK($G7),"Check","Ok")</f>
        <v>Ok</v>
      </c>
    </row>
    <row r="8" spans="1:30">
      <c r="C8" s="8" t="s">
        <v>134</v>
      </c>
      <c r="D8" s="16" t="s">
        <v>69</v>
      </c>
      <c r="E8" s="8"/>
      <c r="F8" s="8"/>
      <c r="G8" s="41" t="s">
        <v>200</v>
      </c>
      <c r="H8" s="8"/>
      <c r="I8" s="8"/>
      <c r="S8" s="84" t="str">
        <f>IF(COUNTBLANK($G8),"Check","Ok")</f>
        <v>Ok</v>
      </c>
    </row>
    <row r="9" spans="1:30">
      <c r="C9" s="8" t="s">
        <v>118</v>
      </c>
      <c r="D9" s="16" t="s">
        <v>68</v>
      </c>
      <c r="E9" s="8"/>
      <c r="F9" s="8"/>
      <c r="G9" s="95">
        <v>36678</v>
      </c>
      <c r="H9" s="8"/>
      <c r="I9" s="8"/>
      <c r="S9" s="84" t="str">
        <f>IF(COUNTBLANK($G9),"Check","Ok")</f>
        <v>Ok</v>
      </c>
    </row>
    <row r="10" spans="1:30">
      <c r="C10" s="8" t="s">
        <v>148</v>
      </c>
      <c r="D10" s="16" t="s">
        <v>68</v>
      </c>
      <c r="E10" s="8"/>
      <c r="F10" s="8"/>
      <c r="G10" s="96">
        <v>2020</v>
      </c>
      <c r="H10" s="8"/>
      <c r="I10" s="8"/>
      <c r="S10" s="84" t="str">
        <f t="shared" ref="S10:S15" si="0">IF(COUNTBLANK($G10),"Check","Ok")</f>
        <v>Ok</v>
      </c>
    </row>
    <row r="11" spans="1:30">
      <c r="C11" s="8" t="s">
        <v>71</v>
      </c>
      <c r="D11" s="16" t="s">
        <v>68</v>
      </c>
      <c r="E11" s="8"/>
      <c r="F11" s="8"/>
      <c r="G11" s="96">
        <v>2023</v>
      </c>
      <c r="H11" s="8"/>
      <c r="I11" s="8"/>
      <c r="S11" s="84" t="str">
        <f t="shared" si="0"/>
        <v>Ok</v>
      </c>
    </row>
    <row r="12" spans="1:30">
      <c r="C12" s="8" t="s">
        <v>149</v>
      </c>
      <c r="D12" s="16" t="s">
        <v>68</v>
      </c>
      <c r="E12" s="8"/>
      <c r="F12" s="8"/>
      <c r="G12" s="96">
        <v>2024</v>
      </c>
      <c r="H12" s="8"/>
      <c r="I12" s="8"/>
      <c r="S12" s="84" t="str">
        <f t="shared" si="0"/>
        <v>Ok</v>
      </c>
    </row>
    <row r="13" spans="1:30">
      <c r="C13" s="8" t="s">
        <v>65</v>
      </c>
      <c r="D13" s="16" t="s">
        <v>68</v>
      </c>
      <c r="E13" s="8"/>
      <c r="F13" s="8"/>
      <c r="G13" s="96">
        <v>2025</v>
      </c>
      <c r="H13" s="8"/>
      <c r="I13" s="8"/>
      <c r="S13" s="84" t="str">
        <f t="shared" si="0"/>
        <v>Ok</v>
      </c>
    </row>
    <row r="14" spans="1:30">
      <c r="C14" s="8" t="s">
        <v>66</v>
      </c>
      <c r="D14" s="16" t="s">
        <v>68</v>
      </c>
      <c r="E14" s="8"/>
      <c r="F14" s="8"/>
      <c r="G14" s="96">
        <v>2029</v>
      </c>
      <c r="H14" s="8"/>
      <c r="I14" s="8"/>
      <c r="S14" s="84" t="str">
        <f t="shared" si="0"/>
        <v>Ok</v>
      </c>
    </row>
    <row r="15" spans="1:30">
      <c r="C15" s="8" t="s">
        <v>191</v>
      </c>
      <c r="D15" s="16" t="s">
        <v>68</v>
      </c>
      <c r="E15" s="8"/>
      <c r="F15" s="8"/>
      <c r="G15" s="96" t="s">
        <v>15</v>
      </c>
      <c r="H15" s="8"/>
      <c r="I15" s="8"/>
      <c r="S15" s="84" t="str">
        <f t="shared" si="0"/>
        <v>Ok</v>
      </c>
    </row>
    <row r="16" spans="1:30">
      <c r="D16" s="8"/>
      <c r="E16" s="8"/>
      <c r="F16" s="8"/>
      <c r="G16" s="8"/>
      <c r="H16" s="8"/>
      <c r="I16" s="8"/>
    </row>
    <row r="17" spans="1:30" customFormat="1" ht="12.75">
      <c r="A17" s="34"/>
      <c r="B17" s="40" t="s">
        <v>21</v>
      </c>
      <c r="C17" s="34"/>
      <c r="D17" s="34"/>
      <c r="E17" s="34"/>
      <c r="F17" s="35"/>
      <c r="G17" s="35"/>
      <c r="H17" s="35"/>
      <c r="I17" s="35"/>
      <c r="J17" s="36"/>
      <c r="K17" s="37"/>
      <c r="L17" s="36"/>
      <c r="M17" s="37"/>
      <c r="N17" s="36"/>
      <c r="O17" s="36"/>
      <c r="P17" s="36"/>
      <c r="Q17" s="36"/>
      <c r="R17" s="36"/>
      <c r="S17" s="36"/>
      <c r="T17" s="36"/>
      <c r="U17" s="36"/>
      <c r="V17" s="37"/>
      <c r="W17" s="37"/>
      <c r="X17" s="38"/>
      <c r="Y17" s="38"/>
      <c r="Z17" s="38"/>
      <c r="AA17" s="38"/>
      <c r="AB17" s="38"/>
      <c r="AC17" s="39"/>
      <c r="AD17" s="39"/>
    </row>
    <row r="18" spans="1:30" hidden="1">
      <c r="G18" s="21"/>
      <c r="H18" s="21"/>
    </row>
    <row r="19" spans="1:30" hidden="1">
      <c r="G19" s="21"/>
      <c r="H19" s="21"/>
    </row>
    <row r="20" spans="1:30" hidden="1">
      <c r="G20" s="21"/>
      <c r="H20" s="21"/>
    </row>
    <row r="21" spans="1:30" hidden="1">
      <c r="G21" s="21"/>
      <c r="H21" s="21"/>
    </row>
    <row r="22" spans="1:30" hidden="1">
      <c r="G22" s="21"/>
      <c r="H22" s="21"/>
    </row>
    <row r="23" spans="1:30" hidden="1">
      <c r="G23" s="21"/>
      <c r="H23" s="21"/>
    </row>
    <row r="24" spans="1:30" hidden="1">
      <c r="G24" s="21"/>
      <c r="H24" s="21"/>
    </row>
    <row r="25" spans="1:30" hidden="1">
      <c r="G25" s="21"/>
      <c r="H25" s="21"/>
    </row>
    <row r="26" spans="1:30" hidden="1">
      <c r="G26" s="21"/>
      <c r="H26" s="21"/>
    </row>
    <row r="27" spans="1:30" hidden="1">
      <c r="G27" s="21"/>
      <c r="H27" s="21"/>
    </row>
  </sheetData>
  <dataConsolidate/>
  <conditionalFormatting sqref="W14:W16">
    <cfRule type="cellIs" dxfId="211" priority="13" operator="equal">
      <formula>"Check"</formula>
    </cfRule>
    <cfRule type="cellIs" dxfId="210" priority="14" operator="equal">
      <formula>"Ok"</formula>
    </cfRule>
  </conditionalFormatting>
  <conditionalFormatting sqref="V1">
    <cfRule type="cellIs" dxfId="209" priority="3" operator="equal">
      <formula>"Check"</formula>
    </cfRule>
    <cfRule type="cellIs" dxfId="208" priority="4" operator="equal">
      <formula>"Ok"</formula>
    </cfRule>
  </conditionalFormatting>
  <conditionalFormatting sqref="S7:S15">
    <cfRule type="cellIs" dxfId="207" priority="5" operator="equal">
      <formula>"Check"</formula>
    </cfRule>
    <cfRule type="cellIs" dxfId="206" priority="6" operator="equal">
      <formula>"Ok"</formula>
    </cfRule>
  </conditionalFormatting>
  <conditionalFormatting sqref="S1">
    <cfRule type="cellIs" dxfId="205" priority="1" operator="equal">
      <formula>"Check"</formula>
    </cfRule>
    <cfRule type="cellIs" dxfId="204" priority="2" operator="equal">
      <formula>"Ok"</formula>
    </cfRule>
  </conditionalFormatting>
  <dataValidations count="3">
    <dataValidation type="list" allowBlank="1" showInputMessage="1" showErrorMessage="1" sqref="F12:F13" xr:uid="{00000000-0002-0000-0200-000000000000}">
      <formula1>#REF!</formula1>
    </dataValidation>
    <dataValidation type="list" allowBlank="1" showInputMessage="1" showErrorMessage="1" sqref="F14:F16" xr:uid="{00000000-0002-0000-0200-000002000000}">
      <formula1>"Real 2010,Real 2011,Real 2012,Real 2013,Real 2014,Real 2015,Nominal"</formula1>
    </dataValidation>
    <dataValidation type="list" allowBlank="1" showInputMessage="1" showErrorMessage="1" sqref="I12:I16" xr:uid="{00000000-0002-0000-0200-000003000000}">
      <formula1>#REF!</formula1>
    </dataValidation>
  </dataValidations>
  <hyperlinks>
    <hyperlink ref="J1" location="Index!A1" display="Back to Index" xr:uid="{00000000-0004-0000-0200-000000000000}"/>
    <hyperlink ref="U1" location="'Check|List'!A1" display="Overall Check:" xr:uid="{00000000-0004-0000-0200-000001000000}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200-000001000000}">
          <x14:formula1>
            <xm:f>'Lookup|Tables'!$G$8:$G$12</xm:f>
          </x14:formula1>
          <xm:sqref>G8</xm:sqref>
        </x14:dataValidation>
        <x14:dataValidation type="list" allowBlank="1" showInputMessage="1" showErrorMessage="1" xr:uid="{00000000-0002-0000-0200-000004000000}">
          <x14:formula1>
            <xm:f>'Lookup|Tables'!$G$32:$G$43</xm:f>
          </x14:formula1>
          <xm:sqref>G9</xm:sqref>
        </x14:dataValidation>
        <x14:dataValidation type="list" allowBlank="1" showInputMessage="1" showErrorMessage="1" xr:uid="{00000000-0002-0000-0200-000005000000}">
          <x14:formula1>
            <xm:f>'Lookup|Tables'!$G$48:$G$67</xm:f>
          </x14:formula1>
          <xm:sqref>G10:G14</xm:sqref>
        </x14:dataValidation>
        <x14:dataValidation type="list" allowBlank="1" showInputMessage="1" showErrorMessage="1" xr:uid="{00000000-0002-0000-0200-000006000000}">
          <x14:formula1>
            <xm:f>'Lookup|Tables'!$G$17:$G$19</xm:f>
          </x14:formula1>
          <xm:sqref>G15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>
    <tabColor rgb="FFFFFF99"/>
  </sheetPr>
  <dimension ref="A1:AX96"/>
  <sheetViews>
    <sheetView showGridLines="0" workbookViewId="0"/>
  </sheetViews>
  <sheetFormatPr defaultColWidth="0" defaultRowHeight="11.25" customHeight="1" zeroHeight="1"/>
  <cols>
    <col min="1" max="2" width="1.5" style="8" customWidth="1"/>
    <col min="3" max="3" width="11.6640625" style="8" bestFit="1" customWidth="1"/>
    <col min="4" max="4" width="21.5" style="16" bestFit="1" customWidth="1"/>
    <col min="5" max="5" width="21.5" style="16" customWidth="1"/>
    <col min="6" max="9" width="15" style="16" customWidth="1"/>
    <col min="10" max="12" width="3.33203125" style="16" customWidth="1"/>
    <col min="13" max="26" width="10.83203125" style="8" customWidth="1"/>
    <col min="27" max="41" width="10.5" style="8" hidden="1" customWidth="1"/>
    <col min="42" max="16384" width="10.5" style="8" hidden="1"/>
  </cols>
  <sheetData>
    <row r="1" spans="1:33" s="29" customFormat="1" ht="15.75">
      <c r="B1" s="26" t="str">
        <f>Index!$B$1</f>
        <v>AER opex model v2.1</v>
      </c>
      <c r="C1" s="26"/>
      <c r="D1" s="26"/>
      <c r="E1" s="26"/>
      <c r="F1" s="26"/>
      <c r="G1" s="26"/>
      <c r="H1" s="26"/>
      <c r="I1" s="27"/>
      <c r="J1" s="27"/>
      <c r="K1" s="27"/>
      <c r="L1" s="27"/>
      <c r="M1" s="28" t="s">
        <v>2</v>
      </c>
      <c r="O1" s="30" t="s">
        <v>3</v>
      </c>
      <c r="P1" s="48" t="s">
        <v>4</v>
      </c>
      <c r="Q1" s="11" t="s">
        <v>5</v>
      </c>
      <c r="R1" s="12" t="s">
        <v>6</v>
      </c>
      <c r="U1" s="30" t="s">
        <v>82</v>
      </c>
      <c r="V1" s="31" t="str">
        <f>IF(COUNTA($V$5:$V$85)=COUNTIF($V5:$V86,"OK"),"OK","Check")</f>
        <v>OK</v>
      </c>
      <c r="X1" s="113" t="s">
        <v>24</v>
      </c>
      <c r="Y1" s="31" t="str">
        <f>'Check|List'!$S$1</f>
        <v>Ok</v>
      </c>
    </row>
    <row r="2" spans="1:33" s="33" customFormat="1" ht="13.5" thickBot="1">
      <c r="B2" s="32" t="str">
        <f>Index!$C$7</f>
        <v>Input | General</v>
      </c>
      <c r="C2" s="32"/>
      <c r="D2" s="32"/>
      <c r="E2" s="32"/>
      <c r="F2" s="32"/>
      <c r="G2" s="32"/>
      <c r="H2" s="32"/>
      <c r="I2" s="55"/>
      <c r="J2" s="55"/>
      <c r="K2" s="55"/>
      <c r="L2" s="55"/>
    </row>
    <row r="3" spans="1:33" s="6" customFormat="1" ht="3" customHeight="1">
      <c r="D3" s="22"/>
      <c r="E3" s="22"/>
      <c r="F3" s="22"/>
      <c r="G3" s="22"/>
      <c r="H3" s="22"/>
      <c r="I3" s="22"/>
      <c r="J3" s="22"/>
      <c r="K3" s="22"/>
      <c r="L3" s="22"/>
    </row>
    <row r="4" spans="1:33" customFormat="1" ht="12.75">
      <c r="A4" s="34"/>
      <c r="B4" s="40" t="s">
        <v>93</v>
      </c>
      <c r="C4" s="34"/>
      <c r="D4" s="34"/>
      <c r="E4" s="34"/>
      <c r="F4" s="34"/>
      <c r="G4" s="34"/>
      <c r="H4" s="34"/>
      <c r="I4" s="35"/>
      <c r="J4" s="35"/>
      <c r="K4" s="35"/>
      <c r="L4" s="35"/>
      <c r="M4" s="36"/>
      <c r="N4" s="37"/>
      <c r="O4" s="36"/>
      <c r="P4" s="37"/>
      <c r="Q4" s="36"/>
      <c r="R4" s="36"/>
      <c r="S4" s="36"/>
      <c r="T4" s="36"/>
      <c r="U4" s="36"/>
      <c r="V4" s="36"/>
      <c r="W4" s="36"/>
      <c r="X4" s="36"/>
      <c r="Y4" s="37"/>
      <c r="Z4" s="37"/>
      <c r="AA4" s="38"/>
      <c r="AB4" s="38"/>
      <c r="AC4" s="38"/>
      <c r="AD4" s="38"/>
      <c r="AE4" s="38"/>
      <c r="AF4" s="39"/>
      <c r="AG4" s="39"/>
    </row>
    <row r="5" spans="1:33" ht="11.25" customHeight="1"/>
    <row r="6" spans="1:33" ht="53.25">
      <c r="D6" s="49" t="s">
        <v>97</v>
      </c>
      <c r="E6" s="49" t="s">
        <v>132</v>
      </c>
      <c r="F6" s="49" t="s">
        <v>97</v>
      </c>
      <c r="G6" s="49" t="s">
        <v>211</v>
      </c>
      <c r="H6" s="49" t="s">
        <v>212</v>
      </c>
      <c r="I6" s="49" t="s">
        <v>132</v>
      </c>
      <c r="J6" s="49"/>
      <c r="K6" s="8"/>
      <c r="L6" s="8"/>
    </row>
    <row r="7" spans="1:33">
      <c r="C7" s="9" t="s">
        <v>7</v>
      </c>
      <c r="D7" s="53" t="s">
        <v>95</v>
      </c>
      <c r="E7" s="53" t="s">
        <v>30</v>
      </c>
      <c r="F7" s="53" t="s">
        <v>95</v>
      </c>
      <c r="G7" s="53" t="s">
        <v>210</v>
      </c>
      <c r="H7" s="53" t="s">
        <v>30</v>
      </c>
      <c r="I7" s="53" t="s">
        <v>30</v>
      </c>
      <c r="J7" s="53"/>
      <c r="K7" s="8"/>
      <c r="L7" s="8"/>
    </row>
    <row r="8" spans="1:33">
      <c r="C8" s="9" t="s">
        <v>8</v>
      </c>
      <c r="D8" s="53" t="s">
        <v>83</v>
      </c>
      <c r="E8" s="53" t="s">
        <v>16</v>
      </c>
      <c r="F8" s="53" t="s">
        <v>83</v>
      </c>
      <c r="G8" s="53" t="s">
        <v>16</v>
      </c>
      <c r="H8" s="53" t="s">
        <v>83</v>
      </c>
      <c r="I8" s="53" t="s">
        <v>16</v>
      </c>
      <c r="J8" s="53"/>
      <c r="K8" s="8"/>
      <c r="L8" s="8"/>
    </row>
    <row r="9" spans="1:33">
      <c r="C9" s="51">
        <v>39172</v>
      </c>
      <c r="D9" s="50">
        <v>155.6</v>
      </c>
      <c r="E9" s="8"/>
      <c r="F9" s="8"/>
      <c r="G9" s="8"/>
      <c r="H9" s="8"/>
      <c r="I9" s="8"/>
      <c r="J9" s="8"/>
      <c r="K9" s="8"/>
      <c r="L9" s="8"/>
      <c r="V9" s="84" t="str">
        <f>IF(C9&gt;EOMONTH(DATE('Input|General'!$G$12,MONTH('Input|General'!$G$9),1),0),"Ok",IF(D9="","Check","Ok"))</f>
        <v>Ok</v>
      </c>
    </row>
    <row r="10" spans="1:33">
      <c r="C10" s="51">
        <v>39263</v>
      </c>
      <c r="D10" s="50">
        <v>157.5</v>
      </c>
      <c r="E10" s="8"/>
      <c r="F10" s="8"/>
      <c r="G10" s="8"/>
      <c r="H10" s="8"/>
      <c r="I10" s="8"/>
      <c r="J10" s="8"/>
      <c r="K10" s="8"/>
      <c r="L10" s="8"/>
      <c r="V10" s="84" t="str">
        <f>IF(C10&gt;EOMONTH(DATE('Input|General'!$G$12,MONTH('Input|General'!$G$9),1),0),"Ok",IF(D10="","Check","Ok"))</f>
        <v>Ok</v>
      </c>
    </row>
    <row r="11" spans="1:33">
      <c r="C11" s="51">
        <v>39355</v>
      </c>
      <c r="D11" s="50">
        <v>158.6</v>
      </c>
      <c r="E11" s="8"/>
      <c r="F11" s="8"/>
      <c r="G11" s="8"/>
      <c r="H11" s="8"/>
      <c r="I11" s="8"/>
      <c r="J11" s="8"/>
      <c r="K11" s="8"/>
      <c r="L11" s="8"/>
      <c r="V11" s="84" t="str">
        <f>IF(C11&gt;EOMONTH(DATE('Input|General'!$G$12,MONTH('Input|General'!$G$9),1),0),"Ok",IF(D11="","Check","Ok"))</f>
        <v>Ok</v>
      </c>
    </row>
    <row r="12" spans="1:33">
      <c r="C12" s="51">
        <v>39447</v>
      </c>
      <c r="D12" s="50">
        <v>160.1</v>
      </c>
      <c r="E12" s="8"/>
      <c r="F12" s="8"/>
      <c r="G12" s="8"/>
      <c r="H12" s="8"/>
      <c r="I12" s="52"/>
      <c r="J12" s="8"/>
      <c r="K12" s="8"/>
      <c r="L12" s="8"/>
      <c r="V12" s="84" t="str">
        <f>IF(C12&gt;EOMONTH(DATE('Input|General'!$G$12,MONTH('Input|General'!$G$9),1),0),"Ok",IF(D12="","Check","Ok"))</f>
        <v>Ok</v>
      </c>
    </row>
    <row r="13" spans="1:33">
      <c r="C13" s="51">
        <v>39538</v>
      </c>
      <c r="D13" s="50">
        <v>162.19999999999999</v>
      </c>
      <c r="E13" s="75">
        <f>D13/D9-1</f>
        <v>4.2416452442159303E-2</v>
      </c>
      <c r="F13" s="8"/>
      <c r="G13" s="8"/>
      <c r="H13" s="8"/>
      <c r="I13" s="52"/>
      <c r="J13" s="8"/>
      <c r="K13" s="8"/>
      <c r="L13" s="8"/>
      <c r="V13" s="84" t="str">
        <f>IF(C13&gt;EOMONTH(DATE('Input|General'!$G$12,MONTH('Input|General'!$G$9),1),0),"Ok",IF(D13="","Check","Ok"))</f>
        <v>Ok</v>
      </c>
    </row>
    <row r="14" spans="1:33">
      <c r="C14" s="51">
        <v>39629</v>
      </c>
      <c r="D14" s="50">
        <v>164.6</v>
      </c>
      <c r="E14" s="75">
        <f t="shared" ref="E14:E29" si="0">D14/D10-1</f>
        <v>4.5079365079365052E-2</v>
      </c>
      <c r="F14" s="8"/>
      <c r="G14" s="8"/>
      <c r="H14" s="8"/>
      <c r="I14" s="52"/>
      <c r="J14" s="8"/>
      <c r="K14" s="8"/>
      <c r="L14" s="8"/>
      <c r="V14" s="84" t="str">
        <f>IF(C14&gt;EOMONTH(DATE('Input|General'!$G$12,MONTH('Input|General'!$G$9),1),0),"Ok",IF(D14="","Check","Ok"))</f>
        <v>Ok</v>
      </c>
    </row>
    <row r="15" spans="1:33">
      <c r="C15" s="51">
        <v>39721</v>
      </c>
      <c r="D15" s="50">
        <v>166.5</v>
      </c>
      <c r="E15" s="75">
        <f t="shared" si="0"/>
        <v>4.9810844892812067E-2</v>
      </c>
      <c r="F15" s="8"/>
      <c r="G15" s="8"/>
      <c r="H15" s="8"/>
      <c r="I15" s="52"/>
      <c r="J15" s="8"/>
      <c r="K15" s="8"/>
      <c r="L15" s="8"/>
      <c r="V15" s="84" t="str">
        <f>IF(C15&gt;EOMONTH(DATE('Input|General'!$G$12,MONTH('Input|General'!$G$9),1),0),"Ok",IF(D15="","Check","Ok"))</f>
        <v>Ok</v>
      </c>
    </row>
    <row r="16" spans="1:33">
      <c r="C16" s="51">
        <v>39813</v>
      </c>
      <c r="D16" s="50">
        <v>166</v>
      </c>
      <c r="E16" s="75">
        <f t="shared" si="0"/>
        <v>3.6851967520299844E-2</v>
      </c>
      <c r="F16" s="8"/>
      <c r="G16" s="8"/>
      <c r="H16" s="8"/>
      <c r="I16" s="52"/>
      <c r="J16" s="8"/>
      <c r="K16" s="8"/>
      <c r="L16" s="8"/>
      <c r="V16" s="84" t="str">
        <f>IF(C16&gt;EOMONTH(DATE('Input|General'!$G$12,MONTH('Input|General'!$G$9),1),0),"Ok",IF(D16="","Check","Ok"))</f>
        <v>Ok</v>
      </c>
    </row>
    <row r="17" spans="3:22">
      <c r="C17" s="51">
        <v>39903</v>
      </c>
      <c r="D17" s="50">
        <v>166.2</v>
      </c>
      <c r="E17" s="75">
        <f t="shared" si="0"/>
        <v>2.4660912453760897E-2</v>
      </c>
      <c r="F17" s="8"/>
      <c r="G17" s="8"/>
      <c r="H17" s="8"/>
      <c r="I17" s="52"/>
      <c r="J17" s="8"/>
      <c r="K17" s="8"/>
      <c r="L17" s="8"/>
      <c r="V17" s="84" t="str">
        <f>IF(C17&gt;EOMONTH(DATE('Input|General'!$G$12,MONTH('Input|General'!$G$9),1),0),"Ok",IF(D17="","Check","Ok"))</f>
        <v>Ok</v>
      </c>
    </row>
    <row r="18" spans="3:22">
      <c r="C18" s="51">
        <v>39994</v>
      </c>
      <c r="D18" s="50">
        <v>167</v>
      </c>
      <c r="E18" s="75">
        <f t="shared" si="0"/>
        <v>1.4580801944106936E-2</v>
      </c>
      <c r="F18" s="8"/>
      <c r="G18" s="8"/>
      <c r="H18" s="8"/>
      <c r="I18" s="52"/>
      <c r="J18" s="8"/>
      <c r="K18" s="8"/>
      <c r="L18" s="8"/>
      <c r="V18" s="84" t="str">
        <f>IF(C18&gt;EOMONTH(DATE('Input|General'!$G$12,MONTH('Input|General'!$G$9),1),0),"Ok",IF(D18="","Check","Ok"))</f>
        <v>Ok</v>
      </c>
    </row>
    <row r="19" spans="3:22">
      <c r="C19" s="51">
        <v>40086</v>
      </c>
      <c r="D19" s="50">
        <v>168.6</v>
      </c>
      <c r="E19" s="75">
        <f t="shared" si="0"/>
        <v>1.2612612612612484E-2</v>
      </c>
      <c r="F19" s="8"/>
      <c r="G19" s="8"/>
      <c r="H19" s="8"/>
      <c r="I19" s="52"/>
      <c r="J19" s="8"/>
      <c r="K19" s="8"/>
      <c r="L19" s="8"/>
      <c r="V19" s="84" t="str">
        <f>IF(C19&gt;EOMONTH(DATE('Input|General'!$G$12,MONTH('Input|General'!$G$9),1),0),"Ok",IF(D19="","Check","Ok"))</f>
        <v>Ok</v>
      </c>
    </row>
    <row r="20" spans="3:22">
      <c r="C20" s="51">
        <v>40178</v>
      </c>
      <c r="D20" s="50">
        <v>169.5</v>
      </c>
      <c r="E20" s="75">
        <f t="shared" si="0"/>
        <v>2.108433734939763E-2</v>
      </c>
      <c r="F20" s="8"/>
      <c r="G20" s="8"/>
      <c r="H20" s="8"/>
      <c r="I20" s="52"/>
      <c r="J20" s="8"/>
      <c r="K20" s="8"/>
      <c r="L20" s="8"/>
      <c r="V20" s="84" t="str">
        <f>IF(C20&gt;EOMONTH(DATE('Input|General'!$G$12,MONTH('Input|General'!$G$9),1),0),"Ok",IF(D20="","Check","Ok"))</f>
        <v>Ok</v>
      </c>
    </row>
    <row r="21" spans="3:22">
      <c r="C21" s="51">
        <v>40268</v>
      </c>
      <c r="D21" s="50">
        <v>171</v>
      </c>
      <c r="E21" s="75">
        <f t="shared" si="0"/>
        <v>2.8880866425992746E-2</v>
      </c>
      <c r="F21" s="50">
        <v>95.2</v>
      </c>
      <c r="G21" s="124"/>
      <c r="H21" s="124">
        <f>IF(ISBLANK(F21),IF(COUNT(G21:G$84)=0,"",IF(ISBLANK(G21),AVERAGE(H20,H22),(1+G21)*H17)),F21)</f>
        <v>95.2</v>
      </c>
      <c r="I21" s="52"/>
      <c r="J21" s="114"/>
      <c r="K21" s="8"/>
      <c r="L21" s="8"/>
      <c r="V21" s="84" t="str">
        <f>IF(C21&gt;EOMONTH(DATE('Input|General'!$G$12,MONTH('Input|General'!$G$9),1),0),"Ok",IF(D21="","Check","Ok"))</f>
        <v>Ok</v>
      </c>
    </row>
    <row r="22" spans="3:22">
      <c r="C22" s="51">
        <v>40359</v>
      </c>
      <c r="D22" s="50">
        <v>172.1</v>
      </c>
      <c r="E22" s="75">
        <f t="shared" si="0"/>
        <v>3.0538922155688653E-2</v>
      </c>
      <c r="F22" s="50">
        <v>95.8</v>
      </c>
      <c r="G22" s="124"/>
      <c r="H22" s="124">
        <f>IF(ISBLANK(F22),IF(COUNT(G22:G$84)=0,"",IF(ISBLANK(G22),AVERAGE(H21,H23),(1+G22)*H18)),F22)</f>
        <v>95.8</v>
      </c>
      <c r="I22" s="52"/>
      <c r="J22" s="114"/>
      <c r="K22" s="8"/>
      <c r="L22" s="8"/>
      <c r="V22" s="84" t="str">
        <f>IF(C22&gt;EOMONTH(DATE('Input|General'!$G$12,MONTH('Input|General'!$G$9),1),0),"Ok",IF(D22="","Check","Ok"))</f>
        <v>Ok</v>
      </c>
    </row>
    <row r="23" spans="3:22">
      <c r="C23" s="51">
        <v>40451</v>
      </c>
      <c r="D23" s="50">
        <v>173.3</v>
      </c>
      <c r="E23" s="75">
        <f t="shared" si="0"/>
        <v>2.7876631079478242E-2</v>
      </c>
      <c r="F23" s="50">
        <v>96.5</v>
      </c>
      <c r="G23" s="124"/>
      <c r="H23" s="124">
        <f>IF(ISBLANK(F23),IF(COUNT(G23:G$84)=0,"",IF(ISBLANK(G23),AVERAGE(H22,H24),(1+G23)*H19)),F23)</f>
        <v>96.5</v>
      </c>
      <c r="I23" s="52"/>
      <c r="J23" s="114"/>
      <c r="K23" s="8"/>
      <c r="L23" s="8"/>
      <c r="V23" s="84" t="str">
        <f>IF(C23&gt;EOMONTH(DATE('Input|General'!$G$12,MONTH('Input|General'!$G$9),1),0),"Ok",IF(D23="","Check","Ok"))</f>
        <v>Ok</v>
      </c>
    </row>
    <row r="24" spans="3:22">
      <c r="C24" s="51">
        <v>40543</v>
      </c>
      <c r="D24" s="50">
        <v>174</v>
      </c>
      <c r="E24" s="75">
        <f t="shared" si="0"/>
        <v>2.6548672566371723E-2</v>
      </c>
      <c r="F24" s="50">
        <v>96.9</v>
      </c>
      <c r="G24" s="124"/>
      <c r="H24" s="124">
        <f>IF(ISBLANK(F24),IF(COUNT(G24:G$84)=0,"",IF(ISBLANK(G24),AVERAGE(H23,H25),(1+G24)*H20)),F24)</f>
        <v>96.9</v>
      </c>
      <c r="I24" s="52"/>
      <c r="J24" s="114"/>
      <c r="K24" s="8"/>
      <c r="L24" s="8"/>
      <c r="V24" s="84" t="str">
        <f>IF(C24&gt;EOMONTH(DATE('Input|General'!$G$12,MONTH('Input|General'!$G$9),1),0),"Ok",IF(D24="","Check","Ok"))</f>
        <v>Ok</v>
      </c>
    </row>
    <row r="25" spans="3:22">
      <c r="C25" s="51">
        <v>40633</v>
      </c>
      <c r="D25" s="50">
        <v>176.7</v>
      </c>
      <c r="E25" s="75">
        <f t="shared" si="0"/>
        <v>3.3333333333333215E-2</v>
      </c>
      <c r="F25" s="50">
        <v>98.3</v>
      </c>
      <c r="G25" s="124"/>
      <c r="H25" s="124">
        <f>IF(ISBLANK(F25),IF(COUNT(G25:G$84)=0,"",IF(ISBLANK(G25),AVERAGE(H24,H26),(1+G25)*H21)),F25)</f>
        <v>98.3</v>
      </c>
      <c r="I25" s="75">
        <f t="shared" ref="I25:I74" si="1">IF(H25="","",H25/H21-1)</f>
        <v>3.2563025210083918E-2</v>
      </c>
      <c r="J25" s="114"/>
      <c r="K25" s="8"/>
      <c r="L25" s="8"/>
      <c r="V25" s="84" t="str">
        <f>IF(C25&gt;EOMONTH(DATE('Input|General'!$G$12,MONTH('Input|General'!$G$9),1),0),"Ok",IF(D25="","Check","Ok"))</f>
        <v>Ok</v>
      </c>
    </row>
    <row r="26" spans="3:22">
      <c r="C26" s="51">
        <v>40724</v>
      </c>
      <c r="D26" s="50">
        <v>178.3</v>
      </c>
      <c r="E26" s="75">
        <f t="shared" si="0"/>
        <v>3.6025566531086683E-2</v>
      </c>
      <c r="F26" s="50">
        <v>99.2</v>
      </c>
      <c r="G26" s="124"/>
      <c r="H26" s="124">
        <f>IF(ISBLANK(F26),IF(COUNT(G26:G$84)=0,"",IF(ISBLANK(G26),AVERAGE(H25,H27),(1+G26)*H22)),F26)</f>
        <v>99.2</v>
      </c>
      <c r="I26" s="75">
        <f t="shared" si="1"/>
        <v>3.5490605427975108E-2</v>
      </c>
      <c r="J26" s="114"/>
      <c r="K26" s="8"/>
      <c r="L26" s="8"/>
      <c r="V26" s="84" t="str">
        <f>IF(C26&gt;EOMONTH(DATE('Input|General'!$G$12,MONTH('Input|General'!$G$9),1),0),"Ok",IF(D26="","Check","Ok"))</f>
        <v>Ok</v>
      </c>
    </row>
    <row r="27" spans="3:22">
      <c r="C27" s="51">
        <v>40816</v>
      </c>
      <c r="D27" s="50">
        <v>179.4</v>
      </c>
      <c r="E27" s="75">
        <f t="shared" si="0"/>
        <v>3.5199076745527913E-2</v>
      </c>
      <c r="F27" s="50">
        <v>99.8</v>
      </c>
      <c r="G27" s="124"/>
      <c r="H27" s="124">
        <f>IF(ISBLANK(F27),IF(COUNT(G27:G$84)=0,"",IF(ISBLANK(G27),AVERAGE(H26,H28),(1+G27)*H23)),F27)</f>
        <v>99.8</v>
      </c>
      <c r="I27" s="75">
        <f t="shared" si="1"/>
        <v>3.4196891191709877E-2</v>
      </c>
      <c r="J27" s="114"/>
      <c r="K27" s="8"/>
      <c r="L27" s="8"/>
      <c r="V27" s="84" t="str">
        <f>IF(C27&gt;EOMONTH(DATE('Input|General'!$G$12,MONTH('Input|General'!$G$9),1),0),"Ok",IF(D27="","Check","Ok"))</f>
        <v>Ok</v>
      </c>
    </row>
    <row r="28" spans="3:22">
      <c r="C28" s="51">
        <v>40908</v>
      </c>
      <c r="D28" s="50">
        <v>179.4</v>
      </c>
      <c r="E28" s="75">
        <f t="shared" si="0"/>
        <v>3.1034482758620641E-2</v>
      </c>
      <c r="F28" s="50">
        <v>99.8</v>
      </c>
      <c r="G28" s="124"/>
      <c r="H28" s="124">
        <f>IF(ISBLANK(F28),IF(COUNT(G28:G$84)=0,"",IF(ISBLANK(G28),AVERAGE(H27,H29),(1+G28)*H24)),F28)</f>
        <v>99.8</v>
      </c>
      <c r="I28" s="75">
        <f t="shared" si="1"/>
        <v>2.9927760577915352E-2</v>
      </c>
      <c r="J28" s="114"/>
      <c r="K28" s="8"/>
      <c r="L28" s="8"/>
      <c r="V28" s="84" t="str">
        <f>IF(C28&gt;EOMONTH(DATE('Input|General'!$G$12,MONTH('Input|General'!$G$9),1),0),"Ok",IF(D28="","Check","Ok"))</f>
        <v>Ok</v>
      </c>
    </row>
    <row r="29" spans="3:22">
      <c r="C29" s="51">
        <v>40999</v>
      </c>
      <c r="D29" s="50">
        <v>179.5</v>
      </c>
      <c r="E29" s="75">
        <f t="shared" si="0"/>
        <v>1.5846066779853007E-2</v>
      </c>
      <c r="F29" s="50">
        <v>99.9</v>
      </c>
      <c r="G29" s="124"/>
      <c r="H29" s="124">
        <f>IF(ISBLANK(F29),IF(COUNT(G29:G$84)=0,"",IF(ISBLANK(G29),AVERAGE(H28,H30),(1+G29)*H25)),F29)</f>
        <v>99.9</v>
      </c>
      <c r="I29" s="75">
        <f t="shared" si="1"/>
        <v>1.6276703967446737E-2</v>
      </c>
      <c r="J29" s="114"/>
      <c r="K29" s="8"/>
      <c r="L29" s="8"/>
      <c r="V29" s="84" t="str">
        <f>IF(C29&gt;EOMONTH(DATE('Input|General'!$G$12,MONTH('Input|General'!$G$9),1),0),"Ok",IF(D29="","Check","Ok"))</f>
        <v>Ok</v>
      </c>
    </row>
    <row r="30" spans="3:22">
      <c r="C30" s="51">
        <v>41090</v>
      </c>
      <c r="D30" s="8"/>
      <c r="E30" s="8"/>
      <c r="F30" s="50">
        <v>100.4</v>
      </c>
      <c r="G30" s="124"/>
      <c r="H30" s="124">
        <f>IF(ISBLANK(F30),IF(COUNT(G30:G$84)=0,"",IF(ISBLANK(G30),AVERAGE(H29,H31),(1+G30)*H26)),F30)</f>
        <v>100.4</v>
      </c>
      <c r="I30" s="75">
        <f t="shared" si="1"/>
        <v>1.2096774193548487E-2</v>
      </c>
      <c r="J30" s="114"/>
      <c r="K30" s="8"/>
      <c r="L30" s="8"/>
      <c r="V30" s="84" t="str">
        <f>IF(C30&gt;EOMONTH(DATE('Input|General'!$G$12,MONTH('Input|General'!$G$9),1),0),"Ok",IF(I30="","Check","Ok"))</f>
        <v>Ok</v>
      </c>
    </row>
    <row r="31" spans="3:22">
      <c r="C31" s="51">
        <v>41182</v>
      </c>
      <c r="D31" s="8"/>
      <c r="E31" s="8"/>
      <c r="F31" s="50">
        <v>101.8</v>
      </c>
      <c r="G31" s="124"/>
      <c r="H31" s="124">
        <f>IF(ISBLANK(F31),IF(COUNT(G31:G$84)=0,"",IF(ISBLANK(G31),AVERAGE(H30,H32),(1+G31)*H27)),F31)</f>
        <v>101.8</v>
      </c>
      <c r="I31" s="75">
        <f t="shared" si="1"/>
        <v>2.0040080160320661E-2</v>
      </c>
      <c r="J31" s="114"/>
      <c r="K31" s="8"/>
      <c r="L31" s="8"/>
      <c r="V31" s="84" t="str">
        <f>IF(C31&gt;EOMONTH(DATE('Input|General'!$G$12,MONTH('Input|General'!$G$9),1),0),"Ok",IF(I31="","Check","Ok"))</f>
        <v>Ok</v>
      </c>
    </row>
    <row r="32" spans="3:22">
      <c r="C32" s="51">
        <v>41274</v>
      </c>
      <c r="D32" s="8"/>
      <c r="E32" s="8"/>
      <c r="F32" s="50">
        <v>102</v>
      </c>
      <c r="G32" s="124"/>
      <c r="H32" s="124">
        <f>IF(ISBLANK(F32),IF(COUNT(G32:G$84)=0,"",IF(ISBLANK(G32),AVERAGE(H31,H33),(1+G32)*H28)),F32)</f>
        <v>102</v>
      </c>
      <c r="I32" s="75">
        <f t="shared" si="1"/>
        <v>2.2044088176352838E-2</v>
      </c>
      <c r="J32" s="114"/>
      <c r="K32" s="8"/>
      <c r="L32" s="8"/>
      <c r="V32" s="84" t="str">
        <f>IF(C32&gt;EOMONTH(DATE('Input|General'!$G$12,MONTH('Input|General'!$G$9),1),0),"Ok",IF(I32="","Check","Ok"))</f>
        <v>Ok</v>
      </c>
    </row>
    <row r="33" spans="3:22">
      <c r="C33" s="51">
        <v>41364</v>
      </c>
      <c r="D33" s="8"/>
      <c r="E33" s="8"/>
      <c r="F33" s="50">
        <v>102.4</v>
      </c>
      <c r="G33" s="124"/>
      <c r="H33" s="124">
        <f>IF(ISBLANK(F33),IF(COUNT(G33:G$84)=0,"",IF(ISBLANK(G33),AVERAGE(H32,H34),(1+G33)*H29)),F33)</f>
        <v>102.4</v>
      </c>
      <c r="I33" s="75">
        <f t="shared" si="1"/>
        <v>2.5025025025025016E-2</v>
      </c>
      <c r="J33" s="114"/>
      <c r="K33" s="8"/>
      <c r="L33" s="8"/>
      <c r="V33" s="84" t="str">
        <f>IF(C33&gt;EOMONTH(DATE('Input|General'!$G$12,MONTH('Input|General'!$G$9),1),0),"Ok",IF(I33="","Check","Ok"))</f>
        <v>Ok</v>
      </c>
    </row>
    <row r="34" spans="3:22">
      <c r="C34" s="51">
        <v>41455</v>
      </c>
      <c r="D34" s="8"/>
      <c r="E34" s="8"/>
      <c r="F34" s="50">
        <v>102.8</v>
      </c>
      <c r="G34" s="124"/>
      <c r="H34" s="124">
        <f>IF(ISBLANK(F34),IF(COUNT(G34:G$84)=0,"",IF(ISBLANK(G34),AVERAGE(H33,H35),(1+G34)*H30)),F34)</f>
        <v>102.8</v>
      </c>
      <c r="I34" s="75">
        <f t="shared" si="1"/>
        <v>2.3904382470119501E-2</v>
      </c>
      <c r="J34" s="114"/>
      <c r="K34" s="8"/>
      <c r="L34" s="8"/>
      <c r="V34" s="84" t="str">
        <f>IF(C34&gt;EOMONTH(DATE('Input|General'!$G$12,MONTH('Input|General'!$G$9),1),0),"Ok",IF(I34="","Check","Ok"))</f>
        <v>Ok</v>
      </c>
    </row>
    <row r="35" spans="3:22">
      <c r="C35" s="51">
        <v>41547</v>
      </c>
      <c r="D35" s="8"/>
      <c r="E35" s="8"/>
      <c r="F35" s="50">
        <v>104</v>
      </c>
      <c r="G35" s="124"/>
      <c r="H35" s="124">
        <f>IF(ISBLANK(F35),IF(COUNT(G35:G$84)=0,"",IF(ISBLANK(G35),AVERAGE(H34,H36),(1+G35)*H31)),F35)</f>
        <v>104</v>
      </c>
      <c r="I35" s="75">
        <f t="shared" si="1"/>
        <v>2.16110019646365E-2</v>
      </c>
      <c r="J35" s="114"/>
      <c r="K35" s="8"/>
      <c r="L35" s="8"/>
      <c r="V35" s="84" t="str">
        <f>IF(C35&gt;EOMONTH(DATE('Input|General'!$G$12,MONTH('Input|General'!$G$9),1),0),"Ok",IF(I35="","Check","Ok"))</f>
        <v>Ok</v>
      </c>
    </row>
    <row r="36" spans="3:22">
      <c r="C36" s="51">
        <v>41639</v>
      </c>
      <c r="D36" s="8"/>
      <c r="E36" s="8"/>
      <c r="F36" s="50">
        <v>104.8</v>
      </c>
      <c r="G36" s="124"/>
      <c r="H36" s="124">
        <f>IF(ISBLANK(F36),IF(COUNT(G36:G$84)=0,"",IF(ISBLANK(G36),AVERAGE(H35,H37),(1+G36)*H32)),F36)</f>
        <v>104.8</v>
      </c>
      <c r="I36" s="75">
        <f t="shared" si="1"/>
        <v>2.7450980392156765E-2</v>
      </c>
      <c r="J36" s="114"/>
      <c r="K36" s="8"/>
      <c r="L36" s="8"/>
      <c r="V36" s="84" t="str">
        <f>IF(C36&gt;EOMONTH(DATE('Input|General'!$G$12,MONTH('Input|General'!$G$9),1),0),"Ok",IF(I36="","Check","Ok"))</f>
        <v>Ok</v>
      </c>
    </row>
    <row r="37" spans="3:22">
      <c r="C37" s="51">
        <v>41729</v>
      </c>
      <c r="D37" s="8"/>
      <c r="E37" s="8"/>
      <c r="F37" s="50">
        <v>105.4</v>
      </c>
      <c r="G37" s="124"/>
      <c r="H37" s="124">
        <f>IF(ISBLANK(F37),IF(COUNT(G37:G$84)=0,"",IF(ISBLANK(G37),AVERAGE(H36,H38),(1+G37)*H33)),F37)</f>
        <v>105.4</v>
      </c>
      <c r="I37" s="75">
        <f t="shared" si="1"/>
        <v>2.9296875E-2</v>
      </c>
      <c r="J37" s="114"/>
      <c r="K37" s="8"/>
      <c r="L37" s="8"/>
      <c r="V37" s="84" t="str">
        <f>IF(C37&gt;EOMONTH(DATE('Input|General'!$G$12,MONTH('Input|General'!$G$9),1),0),"Ok",IF(I37="","Check","Ok"))</f>
        <v>Ok</v>
      </c>
    </row>
    <row r="38" spans="3:22">
      <c r="C38" s="51">
        <v>41820</v>
      </c>
      <c r="D38" s="8"/>
      <c r="E38" s="8"/>
      <c r="F38" s="50">
        <v>105.9</v>
      </c>
      <c r="G38" s="124"/>
      <c r="H38" s="124">
        <f>IF(ISBLANK(F38),IF(COUNT(G38:G$84)=0,"",IF(ISBLANK(G38),AVERAGE(H37,H39),(1+G38)*H34)),F38)</f>
        <v>105.9</v>
      </c>
      <c r="I38" s="75">
        <f t="shared" si="1"/>
        <v>3.0155642023346418E-2</v>
      </c>
      <c r="J38" s="114"/>
      <c r="K38" s="8"/>
      <c r="L38" s="8"/>
      <c r="V38" s="84" t="str">
        <f>IF(C38&gt;EOMONTH(DATE('Input|General'!$G$12,MONTH('Input|General'!$G$9),1),0),"Ok",IF(I38="","Check","Ok"))</f>
        <v>Ok</v>
      </c>
    </row>
    <row r="39" spans="3:22">
      <c r="C39" s="51">
        <v>41912</v>
      </c>
      <c r="D39" s="8"/>
      <c r="E39" s="8"/>
      <c r="F39" s="50">
        <v>106.4</v>
      </c>
      <c r="G39" s="124"/>
      <c r="H39" s="124">
        <f>IF(ISBLANK(F39),IF(COUNT(G39:G$84)=0,"",IF(ISBLANK(G39),AVERAGE(H38,H40),(1+G39)*H35)),F39)</f>
        <v>106.4</v>
      </c>
      <c r="I39" s="75">
        <f t="shared" si="1"/>
        <v>2.3076923076923217E-2</v>
      </c>
      <c r="J39" s="114"/>
      <c r="K39" s="8"/>
      <c r="L39" s="8"/>
      <c r="V39" s="84" t="str">
        <f>IF(C39&gt;EOMONTH(DATE('Input|General'!$G$12,MONTH('Input|General'!$G$9),1),0),"Ok",IF(I39="","Check","Ok"))</f>
        <v>Ok</v>
      </c>
    </row>
    <row r="40" spans="3:22">
      <c r="C40" s="51">
        <v>42004</v>
      </c>
      <c r="D40" s="8"/>
      <c r="E40" s="8"/>
      <c r="F40" s="50">
        <v>106.6</v>
      </c>
      <c r="G40" s="124"/>
      <c r="H40" s="124">
        <f>IF(ISBLANK(F40),IF(COUNT(G40:G$84)=0,"",IF(ISBLANK(G40),AVERAGE(H39,H41),(1+G40)*H36)),F40)</f>
        <v>106.6</v>
      </c>
      <c r="I40" s="75">
        <f t="shared" si="1"/>
        <v>1.7175572519083859E-2</v>
      </c>
      <c r="J40" s="114"/>
      <c r="K40" s="8"/>
      <c r="L40" s="8"/>
      <c r="V40" s="84" t="str">
        <f>IF(C40&gt;EOMONTH(DATE('Input|General'!$G$12,MONTH('Input|General'!$G$9),1),0),"Ok",IF(I40="","Check","Ok"))</f>
        <v>Ok</v>
      </c>
    </row>
    <row r="41" spans="3:22">
      <c r="C41" s="51">
        <v>42094</v>
      </c>
      <c r="D41" s="8"/>
      <c r="E41" s="8"/>
      <c r="F41" s="50">
        <v>106.8</v>
      </c>
      <c r="G41" s="124"/>
      <c r="H41" s="124">
        <f>IF(ISBLANK(F41),IF(COUNT(G41:G$84)=0,"",IF(ISBLANK(G41),AVERAGE(H40,H42),(1+G41)*H37)),F41)</f>
        <v>106.8</v>
      </c>
      <c r="I41" s="75">
        <f t="shared" si="1"/>
        <v>1.3282732447817747E-2</v>
      </c>
      <c r="J41" s="114"/>
      <c r="K41" s="8"/>
      <c r="L41" s="8"/>
      <c r="V41" s="84" t="str">
        <f>IF(C41&gt;EOMONTH(DATE('Input|General'!$G$12,MONTH('Input|General'!$G$9),1),0),"Ok",IF(I41="","Check","Ok"))</f>
        <v>Ok</v>
      </c>
    </row>
    <row r="42" spans="3:22">
      <c r="C42" s="51">
        <v>42185</v>
      </c>
      <c r="D42" s="8"/>
      <c r="E42" s="8"/>
      <c r="F42" s="50">
        <v>107.5</v>
      </c>
      <c r="G42" s="124"/>
      <c r="H42" s="124">
        <f>IF(ISBLANK(F42),IF(COUNT(G42:G$84)=0,"",IF(ISBLANK(G42),AVERAGE(H41,H43),(1+G42)*H38)),F42)</f>
        <v>107.5</v>
      </c>
      <c r="I42" s="75">
        <f t="shared" si="1"/>
        <v>1.5108593012275628E-2</v>
      </c>
      <c r="J42" s="114"/>
      <c r="K42" s="8"/>
      <c r="L42" s="8"/>
      <c r="V42" s="84" t="str">
        <f>IF(C42&gt;EOMONTH(DATE('Input|General'!$G$12,MONTH('Input|General'!$G$9),1),0),"Ok",IF(I42="","Check","Ok"))</f>
        <v>Ok</v>
      </c>
    </row>
    <row r="43" spans="3:22">
      <c r="C43" s="51">
        <v>42277</v>
      </c>
      <c r="D43" s="8"/>
      <c r="E43" s="8"/>
      <c r="F43" s="50">
        <v>108</v>
      </c>
      <c r="G43" s="124"/>
      <c r="H43" s="124">
        <f>IF(ISBLANK(F43),IF(COUNT(G43:G$84)=0,"",IF(ISBLANK(G43),AVERAGE(H42,H44),(1+G43)*H39)),F43)</f>
        <v>108</v>
      </c>
      <c r="I43" s="75">
        <f t="shared" si="1"/>
        <v>1.5037593984962294E-2</v>
      </c>
      <c r="J43" s="114"/>
      <c r="K43" s="8"/>
      <c r="L43" s="8"/>
      <c r="V43" s="84" t="str">
        <f>IF(C43&gt;EOMONTH(DATE('Input|General'!$G$12,MONTH('Input|General'!$G$9),1),0),"Ok",IF(I43="","Check","Ok"))</f>
        <v>Ok</v>
      </c>
    </row>
    <row r="44" spans="3:22">
      <c r="C44" s="51">
        <v>42369</v>
      </c>
      <c r="D44" s="8"/>
      <c r="E44" s="8"/>
      <c r="F44" s="50">
        <v>108.4</v>
      </c>
      <c r="G44" s="124"/>
      <c r="H44" s="124">
        <f>IF(ISBLANK(F44),IF(COUNT(G44:G$84)=0,"",IF(ISBLANK(G44),AVERAGE(H43,H45),(1+G44)*H40)),F44)</f>
        <v>108.4</v>
      </c>
      <c r="I44" s="75">
        <f t="shared" si="1"/>
        <v>1.6885553470919357E-2</v>
      </c>
      <c r="J44" s="114"/>
      <c r="K44" s="8"/>
      <c r="L44" s="8"/>
      <c r="V44" s="84" t="str">
        <f>IF(C44&gt;EOMONTH(DATE('Input|General'!$G$12,MONTH('Input|General'!$G$9),1),0),"Ok",IF(I44="","Check","Ok"))</f>
        <v>Ok</v>
      </c>
    </row>
    <row r="45" spans="3:22">
      <c r="C45" s="51">
        <v>42460</v>
      </c>
      <c r="D45" s="8"/>
      <c r="E45" s="8"/>
      <c r="F45" s="50">
        <v>108.2</v>
      </c>
      <c r="G45" s="124"/>
      <c r="H45" s="124">
        <f>IF(ISBLANK(F45),IF(COUNT(G45:G$84)=0,"",IF(ISBLANK(G45),AVERAGE(H44,H46),(1+G45)*H41)),F45)</f>
        <v>108.2</v>
      </c>
      <c r="I45" s="75">
        <f t="shared" si="1"/>
        <v>1.3108614232209881E-2</v>
      </c>
      <c r="J45" s="114"/>
      <c r="K45" s="8"/>
      <c r="L45" s="8"/>
      <c r="V45" s="84" t="str">
        <f>IF(C45&gt;EOMONTH(DATE('Input|General'!$G$12,MONTH('Input|General'!$G$9),1),0),"Ok",IF(I45="","Check","Ok"))</f>
        <v>Ok</v>
      </c>
    </row>
    <row r="46" spans="3:22">
      <c r="C46" s="51">
        <v>42551</v>
      </c>
      <c r="D46" s="8"/>
      <c r="E46" s="8"/>
      <c r="F46" s="50">
        <v>108.6</v>
      </c>
      <c r="G46" s="124"/>
      <c r="H46" s="124">
        <f>IF(ISBLANK(F46),IF(COUNT(G46:G$84)=0,"",IF(ISBLANK(G46),AVERAGE(H45,H47),(1+G46)*H42)),F46)</f>
        <v>108.6</v>
      </c>
      <c r="I46" s="75">
        <f t="shared" si="1"/>
        <v>1.0232558139534831E-2</v>
      </c>
      <c r="J46" s="114"/>
      <c r="K46" s="8"/>
      <c r="L46" s="8"/>
      <c r="V46" s="84" t="str">
        <f>IF(C46&gt;EOMONTH(DATE('Input|General'!$G$12,MONTH('Input|General'!$G$9),1),0),"Ok",IF(I46="","Check","Ok"))</f>
        <v>Ok</v>
      </c>
    </row>
    <row r="47" spans="3:22">
      <c r="C47" s="51">
        <v>42643</v>
      </c>
      <c r="D47" s="8"/>
      <c r="E47" s="8"/>
      <c r="F47" s="50">
        <v>109.4</v>
      </c>
      <c r="G47" s="124"/>
      <c r="H47" s="124">
        <f>IF(ISBLANK(F47),IF(COUNT(G47:G$84)=0,"",IF(ISBLANK(G47),AVERAGE(H46,H48),(1+G47)*H43)),F47)</f>
        <v>109.4</v>
      </c>
      <c r="I47" s="75">
        <f t="shared" si="1"/>
        <v>1.2962962962963065E-2</v>
      </c>
      <c r="J47" s="114"/>
      <c r="K47" s="8"/>
      <c r="L47" s="8"/>
      <c r="V47" s="84" t="str">
        <f>IF(C47&gt;EOMONTH(DATE('Input|General'!$G$12,MONTH('Input|General'!$G$9),1),0),"Ok",IF(I47="","Check","Ok"))</f>
        <v>Ok</v>
      </c>
    </row>
    <row r="48" spans="3:22">
      <c r="C48" s="51">
        <v>42735</v>
      </c>
      <c r="D48" s="8"/>
      <c r="E48" s="8"/>
      <c r="F48" s="50">
        <v>110</v>
      </c>
      <c r="G48" s="124"/>
      <c r="H48" s="124">
        <f>IF(ISBLANK(F48),IF(COUNT(G48:G$84)=0,"",IF(ISBLANK(G48),AVERAGE(H47,H49),(1+G48)*H44)),F48)</f>
        <v>110</v>
      </c>
      <c r="I48" s="75">
        <f t="shared" si="1"/>
        <v>1.4760147601476037E-2</v>
      </c>
      <c r="J48" s="114"/>
      <c r="K48" s="8"/>
      <c r="L48" s="8"/>
      <c r="V48" s="84" t="str">
        <f>IF(C48&gt;EOMONTH(DATE('Input|General'!$G$12,MONTH('Input|General'!$G$9),1),0),"Ok",IF(I48="","Check","Ok"))</f>
        <v>Ok</v>
      </c>
    </row>
    <row r="49" spans="3:22">
      <c r="C49" s="51">
        <v>42825</v>
      </c>
      <c r="D49" s="8"/>
      <c r="E49" s="8"/>
      <c r="F49" s="50">
        <v>110.5</v>
      </c>
      <c r="G49" s="124"/>
      <c r="H49" s="124">
        <f>IF(ISBLANK(F49),IF(COUNT(G49:G$84)=0,"",IF(ISBLANK(G49),AVERAGE(H48,H50),(1+G49)*H45)),F49)</f>
        <v>110.5</v>
      </c>
      <c r="I49" s="75">
        <f t="shared" si="1"/>
        <v>2.1256931608133023E-2</v>
      </c>
      <c r="J49" s="114"/>
      <c r="K49" s="8"/>
      <c r="L49" s="8"/>
      <c r="V49" s="84" t="str">
        <f>IF(C49&gt;EOMONTH(DATE('Input|General'!$G$12,MONTH('Input|General'!$G$9),1),0),"Ok",IF(I49="","Check","Ok"))</f>
        <v>Ok</v>
      </c>
    </row>
    <row r="50" spans="3:22">
      <c r="C50" s="51">
        <v>42916</v>
      </c>
      <c r="D50" s="8"/>
      <c r="E50" s="8"/>
      <c r="F50" s="50">
        <v>110.7</v>
      </c>
      <c r="G50" s="124"/>
      <c r="H50" s="124">
        <f>IF(ISBLANK(F50),IF(COUNT(G50:G$84)=0,"",IF(ISBLANK(G50),AVERAGE(H49,H51),(1+G50)*H46)),F50)</f>
        <v>110.7</v>
      </c>
      <c r="I50" s="75">
        <f t="shared" si="1"/>
        <v>1.9337016574585641E-2</v>
      </c>
      <c r="J50" s="115"/>
      <c r="K50" s="8"/>
      <c r="L50" s="8"/>
      <c r="V50" s="84" t="str">
        <f>IF(C50&gt;EOMONTH(DATE('Input|General'!$G$12,MONTH('Input|General'!$G$9),1),0),"Ok",IF(I50="","Check","Ok"))</f>
        <v>Ok</v>
      </c>
    </row>
    <row r="51" spans="3:22">
      <c r="C51" s="51">
        <v>43008</v>
      </c>
      <c r="D51" s="8"/>
      <c r="E51" s="8"/>
      <c r="F51" s="50">
        <v>111.4</v>
      </c>
      <c r="G51" s="124"/>
      <c r="H51" s="124">
        <f>IF(ISBLANK(F51),IF(COUNT(G51:G$84)=0,"",IF(ISBLANK(G51),AVERAGE(H50,H52),(1+G51)*H47)),F51)</f>
        <v>111.4</v>
      </c>
      <c r="I51" s="75">
        <f t="shared" si="1"/>
        <v>1.8281535648994485E-2</v>
      </c>
      <c r="J51" s="114"/>
      <c r="K51" s="8"/>
      <c r="L51" s="8"/>
      <c r="V51" s="84" t="str">
        <f>IF(C51&gt;EOMONTH(DATE('Input|General'!$G$12,MONTH('Input|General'!$G$9),1),0),"Ok",IF(I51="","Check","Ok"))</f>
        <v>Ok</v>
      </c>
    </row>
    <row r="52" spans="3:22">
      <c r="C52" s="51">
        <v>43100</v>
      </c>
      <c r="D52" s="8"/>
      <c r="E52" s="8"/>
      <c r="F52" s="50">
        <v>112.1</v>
      </c>
      <c r="G52" s="124"/>
      <c r="H52" s="124">
        <f>IF(ISBLANK(F52),IF(COUNT(G52:G$84)=0,"",IF(ISBLANK(G52),AVERAGE(H51,H53),(1+G52)*H48)),F52)</f>
        <v>112.1</v>
      </c>
      <c r="I52" s="75">
        <f t="shared" si="1"/>
        <v>1.9090909090909047E-2</v>
      </c>
      <c r="J52" s="114"/>
      <c r="K52" s="8"/>
      <c r="L52" s="8"/>
      <c r="V52" s="84" t="str">
        <f>IF(C52&gt;EOMONTH(DATE('Input|General'!$G$12,MONTH('Input|General'!$G$9),1),0),"Ok",IF(I52="","Check","Ok"))</f>
        <v>Ok</v>
      </c>
    </row>
    <row r="53" spans="3:22">
      <c r="C53" s="51">
        <v>43190</v>
      </c>
      <c r="D53" s="8"/>
      <c r="E53" s="8"/>
      <c r="F53" s="50">
        <v>112.6</v>
      </c>
      <c r="G53" s="124"/>
      <c r="H53" s="124">
        <f>IF(ISBLANK(F53),IF(COUNT(G53:G$84)=0,"",IF(ISBLANK(G53),AVERAGE(H52,H54),(1+G53)*H49)),F53)</f>
        <v>112.6</v>
      </c>
      <c r="I53" s="75">
        <f t="shared" si="1"/>
        <v>1.9004524886877761E-2</v>
      </c>
      <c r="J53" s="114"/>
      <c r="K53" s="8"/>
      <c r="L53" s="8"/>
      <c r="V53" s="84" t="str">
        <f>IF(C53&gt;EOMONTH(DATE('Input|General'!$G$12,MONTH('Input|General'!$G$9),1),0),"Ok",IF(I53="","Check","Ok"))</f>
        <v>Ok</v>
      </c>
    </row>
    <row r="54" spans="3:22">
      <c r="C54" s="51">
        <v>43281</v>
      </c>
      <c r="D54" s="8"/>
      <c r="E54" s="8"/>
      <c r="F54" s="50">
        <v>113</v>
      </c>
      <c r="G54" s="124"/>
      <c r="H54" s="124">
        <f>IF(ISBLANK(F54),IF(COUNT(G54:G$84)=0,"",IF(ISBLANK(G54),AVERAGE(H53,H55),(1+G54)*H50)),F54)</f>
        <v>113</v>
      </c>
      <c r="I54" s="75">
        <f t="shared" si="1"/>
        <v>2.0776874435411097E-2</v>
      </c>
      <c r="J54" s="114"/>
      <c r="K54" s="8"/>
      <c r="L54" s="8"/>
      <c r="V54" s="84" t="str">
        <f>IF(C54&gt;EOMONTH(DATE('Input|General'!$G$12,MONTH('Input|General'!$G$9),1),0),"Ok",IF(I54="","Check","Ok"))</f>
        <v>Ok</v>
      </c>
    </row>
    <row r="55" spans="3:22">
      <c r="C55" s="51">
        <v>43373</v>
      </c>
      <c r="D55" s="8"/>
      <c r="E55" s="8"/>
      <c r="F55" s="50">
        <v>113.5</v>
      </c>
      <c r="G55" s="124"/>
      <c r="H55" s="124">
        <f>IF(ISBLANK(F55),IF(COUNT(G55:G$84)=0,"",IF(ISBLANK(G55),AVERAGE(H54,H56),(1+G55)*H51)),F55)</f>
        <v>113.5</v>
      </c>
      <c r="I55" s="75">
        <f t="shared" si="1"/>
        <v>1.8850987432674993E-2</v>
      </c>
      <c r="J55" s="114"/>
      <c r="K55" s="8"/>
      <c r="L55" s="8"/>
      <c r="V55" s="84" t="str">
        <f>IF(C55&gt;EOMONTH(DATE('Input|General'!$G$12,MONTH('Input|General'!$G$9),1),0),"Ok",IF(I55="","Check","Ok"))</f>
        <v>Ok</v>
      </c>
    </row>
    <row r="56" spans="3:22">
      <c r="C56" s="51">
        <v>43465</v>
      </c>
      <c r="D56" s="8"/>
      <c r="E56" s="8"/>
      <c r="F56" s="50">
        <v>114.1</v>
      </c>
      <c r="G56" s="124"/>
      <c r="H56" s="124">
        <f>IF(ISBLANK(F56),IF(COUNT(G56:G$84)=0,"",IF(ISBLANK(G56),AVERAGE(H55,H57),(1+G56)*H52)),F56)</f>
        <v>114.1</v>
      </c>
      <c r="I56" s="75">
        <f t="shared" si="1"/>
        <v>1.7841213202497874E-2</v>
      </c>
      <c r="J56" s="114"/>
      <c r="K56" s="8"/>
      <c r="L56" s="8"/>
      <c r="V56" s="84" t="str">
        <f>IF(C56&gt;EOMONTH(DATE('Input|General'!$G$12,MONTH('Input|General'!$G$9),1),0),"Ok",IF(I56="","Check","Ok"))</f>
        <v>Ok</v>
      </c>
    </row>
    <row r="57" spans="3:22">
      <c r="C57" s="51">
        <v>43555</v>
      </c>
      <c r="D57" s="8"/>
      <c r="E57" s="8"/>
      <c r="F57" s="50">
        <v>114.1</v>
      </c>
      <c r="G57" s="124"/>
      <c r="H57" s="124">
        <f>IF(ISBLANK(F57),IF(COUNT(G57:G$84)=0,"",IF(ISBLANK(G57),AVERAGE(H56,H58),(1+G57)*H53)),F57)</f>
        <v>114.1</v>
      </c>
      <c r="I57" s="75">
        <f t="shared" si="1"/>
        <v>1.3321492007104752E-2</v>
      </c>
      <c r="J57" s="114"/>
      <c r="K57" s="8"/>
      <c r="L57" s="8"/>
      <c r="V57" s="84" t="str">
        <f>IF(C57&gt;EOMONTH(DATE('Input|General'!$G$12,MONTH('Input|General'!$G$9),1),0),"Ok",IF(I57="","Check","Ok"))</f>
        <v>Ok</v>
      </c>
    </row>
    <row r="58" spans="3:22">
      <c r="C58" s="51">
        <v>43646</v>
      </c>
      <c r="D58" s="8"/>
      <c r="E58" s="8"/>
      <c r="F58" s="50">
        <v>114.8</v>
      </c>
      <c r="G58" s="124"/>
      <c r="H58" s="124">
        <f>IF(ISBLANK(F58),IF(COUNT(G58:G$84)=0,"",IF(ISBLANK(G58),AVERAGE(H57,H59),(1+G58)*H54)),F58)</f>
        <v>114.8</v>
      </c>
      <c r="I58" s="75">
        <f t="shared" si="1"/>
        <v>1.5929203539823078E-2</v>
      </c>
      <c r="J58" s="114"/>
      <c r="K58" s="8"/>
      <c r="L58" s="8"/>
      <c r="V58" s="84" t="str">
        <f>IF(C58&gt;EOMONTH(DATE('Input|General'!$G$12,MONTH('Input|General'!$G$9),1),0),"Ok",IF(I58="","Check","Ok"))</f>
        <v>Ok</v>
      </c>
    </row>
    <row r="59" spans="3:22">
      <c r="C59" s="51">
        <v>43738</v>
      </c>
      <c r="D59" s="8"/>
      <c r="E59" s="8"/>
      <c r="F59" s="50">
        <v>115.4</v>
      </c>
      <c r="G59" s="124"/>
      <c r="H59" s="124">
        <f>IF(ISBLANK(F59),IF(COUNT(G59:G$84)=0,"",IF(ISBLANK(G59),AVERAGE(H58,H60),(1+G59)*H55)),F59)</f>
        <v>115.4</v>
      </c>
      <c r="I59" s="75">
        <f t="shared" si="1"/>
        <v>1.6740088105726914E-2</v>
      </c>
      <c r="J59" s="114"/>
      <c r="K59" s="8"/>
      <c r="L59" s="8"/>
      <c r="V59" s="84" t="str">
        <f>IF(C59&gt;EOMONTH(DATE('Input|General'!$G$12,MONTH('Input|General'!$G$9),1),0),"Ok",IF(I59="","Check","Ok"))</f>
        <v>Ok</v>
      </c>
    </row>
    <row r="60" spans="3:22">
      <c r="C60" s="51">
        <v>43830</v>
      </c>
      <c r="D60" s="8"/>
      <c r="E60" s="8"/>
      <c r="F60" s="50">
        <v>116.2</v>
      </c>
      <c r="G60" s="124"/>
      <c r="H60" s="124">
        <f>IF(ISBLANK(F60),IF(COUNT(G60:G$84)=0,"",IF(ISBLANK(G60),AVERAGE(H59,H61),(1+G60)*H56)),F60)</f>
        <v>116.2</v>
      </c>
      <c r="I60" s="75">
        <f t="shared" si="1"/>
        <v>1.8404907975460238E-2</v>
      </c>
      <c r="J60" s="114"/>
      <c r="K60" s="8"/>
      <c r="L60" s="8"/>
      <c r="V60" s="84" t="str">
        <f>IF(C60&gt;EOMONTH(DATE('Input|General'!$G$12,MONTH('Input|General'!$G$9),1),0),"Ok",IF(I60="","Check","Ok"))</f>
        <v>Ok</v>
      </c>
    </row>
    <row r="61" spans="3:22">
      <c r="C61" s="51">
        <v>43921</v>
      </c>
      <c r="D61" s="8"/>
      <c r="E61" s="8"/>
      <c r="F61" s="50">
        <v>116.6</v>
      </c>
      <c r="G61" s="124"/>
      <c r="H61" s="124">
        <f>IF(ISBLANK(F61),IF(COUNT(G61:G$84)=0,"",IF(ISBLANK(G61),AVERAGE(H60,H62),(1+G61)*H57)),F61)</f>
        <v>116.6</v>
      </c>
      <c r="I61" s="75">
        <f t="shared" si="1"/>
        <v>2.1910604732690686E-2</v>
      </c>
      <c r="J61" s="114"/>
      <c r="K61" s="8"/>
      <c r="L61" s="8"/>
      <c r="V61" s="84" t="str">
        <f>IF(C61&gt;EOMONTH(DATE('Input|General'!$G$12,MONTH('Input|General'!$G$9),1),0),"Ok",IF(I61="","Check","Ok"))</f>
        <v>Ok</v>
      </c>
    </row>
    <row r="62" spans="3:22">
      <c r="C62" s="51">
        <v>44012</v>
      </c>
      <c r="D62" s="8"/>
      <c r="E62" s="8"/>
      <c r="F62" s="50">
        <v>114.4</v>
      </c>
      <c r="G62" s="124"/>
      <c r="H62" s="124">
        <f>IF(ISBLANK(F62),IF(COUNT(G62:G$84)=0,"",IF(ISBLANK(G62),AVERAGE(H61,H63),(1+G62)*H58)),F62)</f>
        <v>114.4</v>
      </c>
      <c r="I62" s="75">
        <f t="shared" si="1"/>
        <v>-3.4843205574912606E-3</v>
      </c>
      <c r="J62" s="114"/>
      <c r="K62" s="8"/>
      <c r="L62" s="8"/>
      <c r="V62" s="84" t="str">
        <f>IF(C62&gt;EOMONTH(DATE('Input|General'!$G$12,MONTH('Input|General'!$G$9),1),0),"Ok",IF(I62="","Check","Ok"))</f>
        <v>Ok</v>
      </c>
    </row>
    <row r="63" spans="3:22">
      <c r="C63" s="51">
        <v>44104</v>
      </c>
      <c r="D63" s="8"/>
      <c r="E63" s="8"/>
      <c r="F63" s="50">
        <v>116.2</v>
      </c>
      <c r="G63" s="124"/>
      <c r="H63" s="124">
        <f>IF(ISBLANK(F63),IF(COUNT(G63:G$84)=0,"",IF(ISBLANK(G63),AVERAGE(H62,H64),(1+G63)*H59)),F63)</f>
        <v>116.2</v>
      </c>
      <c r="I63" s="75">
        <f t="shared" si="1"/>
        <v>6.9324090121316573E-3</v>
      </c>
      <c r="J63" s="114"/>
      <c r="K63" s="8"/>
      <c r="L63" s="8"/>
      <c r="V63" s="84" t="str">
        <f>IF(C63&gt;EOMONTH(DATE('Input|General'!$G$12,MONTH('Input|General'!$G$9),1),0),"Ok",IF(I63="","Check","Ok"))</f>
        <v>Ok</v>
      </c>
    </row>
    <row r="64" spans="3:22">
      <c r="C64" s="51">
        <v>44196</v>
      </c>
      <c r="D64" s="8"/>
      <c r="E64" s="8"/>
      <c r="F64" s="50">
        <v>117.2</v>
      </c>
      <c r="G64" s="124"/>
      <c r="H64" s="124">
        <f>IF(ISBLANK(F64),IF(COUNT(G64:G$84)=0,"",IF(ISBLANK(G64),AVERAGE(H63,H65),(1+G64)*H60)),F64)</f>
        <v>117.2</v>
      </c>
      <c r="I64" s="75">
        <f t="shared" si="1"/>
        <v>8.6058519793459354E-3</v>
      </c>
      <c r="J64" s="114"/>
      <c r="K64" s="8"/>
      <c r="L64" s="8"/>
      <c r="V64" s="84" t="str">
        <f>IF(C64&gt;EOMONTH(DATE('Input|General'!$G$12,MONTH('Input|General'!$G$9),1),0),"Ok",IF(I64="","Check","Ok"))</f>
        <v>Ok</v>
      </c>
    </row>
    <row r="65" spans="3:22">
      <c r="C65" s="51">
        <v>44286</v>
      </c>
      <c r="D65" s="8"/>
      <c r="E65" s="8"/>
      <c r="F65" s="50">
        <v>117.9</v>
      </c>
      <c r="G65" s="124"/>
      <c r="H65" s="124">
        <f>IF(ISBLANK(F65),IF(COUNT(G65:G$84)=0,"",IF(ISBLANK(G65),AVERAGE(H64,H66),(1+G65)*H61)),F65)</f>
        <v>117.9</v>
      </c>
      <c r="I65" s="75">
        <f t="shared" si="1"/>
        <v>1.1149228130360234E-2</v>
      </c>
      <c r="J65" s="114"/>
      <c r="K65" s="8"/>
      <c r="L65" s="8"/>
      <c r="V65" s="84" t="str">
        <f>IF(C65&gt;EOMONTH(DATE('Input|General'!$G$12,MONTH('Input|General'!$G$9),1),0),"Ok",IF(I65="","Check","Ok"))</f>
        <v>Ok</v>
      </c>
    </row>
    <row r="66" spans="3:22">
      <c r="C66" s="51">
        <v>44377</v>
      </c>
      <c r="D66" s="8"/>
      <c r="E66" s="8"/>
      <c r="F66" s="50">
        <v>118.8</v>
      </c>
      <c r="G66" s="124"/>
      <c r="H66" s="124">
        <f>IF(ISBLANK(F66),IF(COUNT(G66:G$84)=0,"",IF(ISBLANK(G66),AVERAGE(H65,H67),(1+G66)*H62)),F66)</f>
        <v>118.8</v>
      </c>
      <c r="I66" s="75">
        <f t="shared" si="1"/>
        <v>3.8461538461538325E-2</v>
      </c>
      <c r="J66" s="114"/>
      <c r="K66" s="8"/>
      <c r="L66" s="8"/>
      <c r="V66" s="84" t="str">
        <f>IF(C66&gt;EOMONTH(DATE('Input|General'!$G$12,MONTH('Input|General'!$G$9),1),0),"Ok",IF(I66="","Check","Ok"))</f>
        <v>Ok</v>
      </c>
    </row>
    <row r="67" spans="3:22">
      <c r="C67" s="51">
        <v>44469</v>
      </c>
      <c r="D67" s="8"/>
      <c r="E67" s="8"/>
      <c r="F67" s="50">
        <v>119.7</v>
      </c>
      <c r="G67" s="124"/>
      <c r="H67" s="124">
        <f>IF(ISBLANK(F67),IF(COUNT(G67:G$84)=0,"",IF(ISBLANK(G67),AVERAGE(H66,H68),(1+G67)*H63)),F67)</f>
        <v>119.7</v>
      </c>
      <c r="I67" s="75">
        <f t="shared" si="1"/>
        <v>3.0120481927710774E-2</v>
      </c>
      <c r="J67" s="114"/>
      <c r="K67" s="8"/>
      <c r="L67" s="8"/>
      <c r="V67" s="84" t="str">
        <f>IF(C67&gt;EOMONTH(DATE('Input|General'!$G$12,MONTH('Input|General'!$G$9),1),0),"Ok",IF(I67="","Check","Ok"))</f>
        <v>Ok</v>
      </c>
    </row>
    <row r="68" spans="3:22">
      <c r="C68" s="51">
        <v>44561</v>
      </c>
      <c r="D68" s="8"/>
      <c r="E68" s="8"/>
      <c r="F68" s="50">
        <v>121.3</v>
      </c>
      <c r="G68" s="124"/>
      <c r="H68" s="124">
        <f>IF(ISBLANK(F68),IF(COUNT(G68:G$84)=0,"",IF(ISBLANK(G68),AVERAGE(H67,H69),(1+G68)*H64)),F68)</f>
        <v>121.3</v>
      </c>
      <c r="I68" s="75">
        <f t="shared" si="1"/>
        <v>3.4982935153583528E-2</v>
      </c>
      <c r="J68" s="114"/>
      <c r="K68" s="8"/>
      <c r="L68" s="8"/>
      <c r="V68" s="84" t="str">
        <f>IF(C68&gt;EOMONTH(DATE('Input|General'!$G$12,MONTH('Input|General'!$G$9),1),0),"Ok",IF(I68="","Check","Ok"))</f>
        <v>Ok</v>
      </c>
    </row>
    <row r="69" spans="3:22">
      <c r="C69" s="51">
        <v>44651</v>
      </c>
      <c r="D69" s="8"/>
      <c r="E69" s="8"/>
      <c r="F69" s="50">
        <v>123.9</v>
      </c>
      <c r="G69" s="124"/>
      <c r="H69" s="124">
        <f>IF(ISBLANK(F69),IF(COUNT(G69:G$84)=0,"",IF(ISBLANK(G69),AVERAGE(H68,H70),(1+G69)*H65)),F69)</f>
        <v>123.9</v>
      </c>
      <c r="I69" s="75">
        <f t="shared" si="1"/>
        <v>5.0890585241730291E-2</v>
      </c>
      <c r="J69" s="114"/>
      <c r="K69" s="8"/>
      <c r="L69" s="8"/>
      <c r="V69" s="84" t="str">
        <f>IF(C69&gt;EOMONTH(DATE('Input|General'!$G$12,MONTH('Input|General'!$G$9),1),0),"Ok",IF(I69="","Check","Ok"))</f>
        <v>Ok</v>
      </c>
    </row>
    <row r="70" spans="3:22">
      <c r="C70" s="51">
        <v>44742</v>
      </c>
      <c r="D70" s="8"/>
      <c r="E70" s="8"/>
      <c r="F70" s="125">
        <v>126.1</v>
      </c>
      <c r="G70" s="124"/>
      <c r="H70" s="124">
        <f>IF(ISBLANK(F70),IF(COUNT(G70:G$84)=0,"",IF(ISBLANK(G70),AVERAGE(H69,H71),(1+G70)*H66)),F70)</f>
        <v>126.1</v>
      </c>
      <c r="I70" s="75">
        <f t="shared" si="1"/>
        <v>6.1447811447811418E-2</v>
      </c>
      <c r="J70" s="123"/>
      <c r="K70" s="8"/>
      <c r="L70" s="8"/>
      <c r="V70" s="84" t="str">
        <f>IF(C70&gt;EOMONTH(DATE('Input|General'!$G$12,MONTH('Input|General'!$G$9),1),0),"Ok",IF(I70="","Check","Ok"))</f>
        <v>Ok</v>
      </c>
    </row>
    <row r="71" spans="3:22">
      <c r="C71" s="51">
        <v>44834</v>
      </c>
      <c r="D71" s="8"/>
      <c r="E71" s="8"/>
      <c r="F71" s="125">
        <v>128.4</v>
      </c>
      <c r="G71" s="124"/>
      <c r="H71" s="124">
        <f>IF(ISBLANK(F71),IF(COUNT(G71:G$84)=0,"",IF(ISBLANK(G71),AVERAGE(H70,H72),(1+G71)*H67)),F71)</f>
        <v>128.4</v>
      </c>
      <c r="I71" s="75">
        <f t="shared" si="1"/>
        <v>7.268170426065157E-2</v>
      </c>
      <c r="J71" s="122"/>
      <c r="K71" s="8"/>
      <c r="L71" s="8"/>
      <c r="V71" s="84" t="str">
        <f>IF(C71&gt;EOMONTH(DATE('Input|General'!$G$12,MONTH('Input|General'!$G$9),1),0),"Ok",IF(I71="","Check","Ok"))</f>
        <v>Ok</v>
      </c>
    </row>
    <row r="72" spans="3:22">
      <c r="C72" s="51">
        <v>44926</v>
      </c>
      <c r="D72" s="8"/>
      <c r="E72" s="8"/>
      <c r="F72" s="125">
        <v>130.80000000000001</v>
      </c>
      <c r="G72" s="116"/>
      <c r="H72" s="124">
        <f>IF(ISBLANK(F72),IF(COUNT(G72:G$84)=0,"",IF(ISBLANK(G72),AVERAGE(H71,H73),(1+G72)*H68)),F72)</f>
        <v>130.80000000000001</v>
      </c>
      <c r="I72" s="75">
        <f t="shared" si="1"/>
        <v>7.8318219291014124E-2</v>
      </c>
      <c r="J72" s="123"/>
      <c r="K72" s="8"/>
      <c r="L72" s="8"/>
      <c r="V72" s="84" t="str">
        <f>IF(C72&gt;EOMONTH(DATE('Input|General'!$G$12,MONTH('Input|General'!$G$9),1),0),"Ok",IF(I72="","Check","Ok"))</f>
        <v>Ok</v>
      </c>
    </row>
    <row r="73" spans="3:22">
      <c r="C73" s="51">
        <v>45016</v>
      </c>
      <c r="D73" s="8"/>
      <c r="E73" s="8"/>
      <c r="F73" s="125">
        <v>132.6</v>
      </c>
      <c r="G73" s="124"/>
      <c r="H73" s="124">
        <f>IF(ISBLANK(F73),IF(COUNT(G73:G$84)=0,"",IF(ISBLANK(G73),AVERAGE(H72,H74),(1+G73)*H69)),F73)</f>
        <v>132.6</v>
      </c>
      <c r="I73" s="75">
        <f t="shared" si="1"/>
        <v>7.0217917675544639E-2</v>
      </c>
      <c r="J73" s="114"/>
      <c r="K73" s="8"/>
      <c r="L73" s="8"/>
      <c r="V73" s="84" t="str">
        <f>IF(C73&gt;EOMONTH(DATE('Input|General'!$G$12,MONTH('Input|General'!$G$9),1),0),"Ok",IF(I73="","Check","Ok"))</f>
        <v>Ok</v>
      </c>
    </row>
    <row r="74" spans="3:22">
      <c r="C74" s="51">
        <v>45107</v>
      </c>
      <c r="D74" s="8"/>
      <c r="E74" s="8"/>
      <c r="F74" s="125">
        <v>133.69999999999999</v>
      </c>
      <c r="G74" s="116"/>
      <c r="H74" s="124">
        <f>IF(ISBLANK(F74),IF(COUNT(G74:G$84)=0,"",IF(ISBLANK(G74),AVERAGE(H73,H75),(1+G74)*H70)),F74)</f>
        <v>133.69999999999999</v>
      </c>
      <c r="I74" s="75">
        <f t="shared" si="1"/>
        <v>6.0269627279936566E-2</v>
      </c>
      <c r="J74" s="210"/>
      <c r="K74" s="8"/>
      <c r="L74" s="8"/>
      <c r="V74" s="84" t="str">
        <f>IF(C74&gt;EOMONTH(DATE('Input|General'!$G$12,MONTH('Input|General'!$G$9),1),0),"Ok",IF(I74="","Check","Ok"))</f>
        <v>Ok</v>
      </c>
    </row>
    <row r="75" spans="3:22">
      <c r="C75" s="51">
        <v>45199</v>
      </c>
      <c r="D75" s="8"/>
      <c r="E75" s="8"/>
      <c r="F75" s="125"/>
      <c r="G75" s="124"/>
      <c r="H75" s="124">
        <f>IF(ISBLANK(F75),IF(COUNT(G75:G$84)=0,"",IF(ISBLANK(G75),AVERAGE(H74,H76),(1+G75)*H71)),F75)</f>
        <v>134.9314</v>
      </c>
      <c r="I75" s="75">
        <f t="shared" ref="I75:I78" si="2">IF(H75="","",H75/H71-1)</f>
        <v>5.0867601246105787E-2</v>
      </c>
      <c r="J75" s="114"/>
      <c r="K75" s="8"/>
      <c r="L75" s="8"/>
      <c r="V75" s="84" t="str">
        <f>IF(C75&gt;EOMONTH(DATE('Input|General'!$G$12,MONTH('Input|General'!$G$9),1),0),"Ok",IF(I75="","Check","Ok"))</f>
        <v>Ok</v>
      </c>
    </row>
    <row r="76" spans="3:22">
      <c r="C76" s="51">
        <v>45291</v>
      </c>
      <c r="D76" s="8"/>
      <c r="E76" s="8"/>
      <c r="F76" s="125"/>
      <c r="G76" s="116">
        <v>4.1000000000000002E-2</v>
      </c>
      <c r="H76" s="124">
        <f>IF(ISBLANK(F76),IF(COUNT(G76:G$84)=0,"",IF(ISBLANK(G76),AVERAGE(H75,H77),(1+G76)*H72)),F76)</f>
        <v>136.1628</v>
      </c>
      <c r="I76" s="75">
        <f t="shared" si="2"/>
        <v>4.0999999999999925E-2</v>
      </c>
      <c r="J76" s="210" t="s">
        <v>228</v>
      </c>
      <c r="K76" s="8"/>
      <c r="L76" s="8"/>
      <c r="V76" s="84" t="str">
        <f>IF(C76&gt;EOMONTH(DATE('Input|General'!$G$12,MONTH('Input|General'!$G$9),1),0),"Ok",IF(I76="","Check","Ok"))</f>
        <v>Ok</v>
      </c>
    </row>
    <row r="77" spans="3:22">
      <c r="C77" s="51">
        <v>45382</v>
      </c>
      <c r="D77" s="8"/>
      <c r="E77" s="8"/>
      <c r="F77" s="125"/>
      <c r="G77" s="124"/>
      <c r="H77" s="124">
        <f>IF(ISBLANK(F77),IF(COUNT(G77:G$84)=0,"",IF(ISBLANK(G77),AVERAGE(H76,H78),(1+G77)*H73)),F77)</f>
        <v>137.33799999999999</v>
      </c>
      <c r="I77" s="75">
        <f t="shared" si="2"/>
        <v>3.5731523378582208E-2</v>
      </c>
      <c r="J77" s="114"/>
      <c r="K77" s="8"/>
      <c r="L77" s="8"/>
      <c r="V77" s="84" t="str">
        <f>IF(C77&gt;EOMONTH(DATE('Input|General'!$G$12,MONTH('Input|General'!$G$9),1),0),"Ok",IF(I77="","Check","Ok"))</f>
        <v>Ok</v>
      </c>
    </row>
    <row r="78" spans="3:22">
      <c r="C78" s="51">
        <v>45473</v>
      </c>
      <c r="D78" s="8"/>
      <c r="E78" s="8"/>
      <c r="F78" s="125"/>
      <c r="G78" s="116">
        <v>3.5999999999999997E-2</v>
      </c>
      <c r="H78" s="124">
        <f>IF(ISBLANK(F78),IF(COUNT(G78:G$84)=0,"",IF(ISBLANK(G78),AVERAGE(H77,H79),(1+G78)*H74)),F78)</f>
        <v>138.51319999999998</v>
      </c>
      <c r="I78" s="75">
        <f t="shared" si="2"/>
        <v>3.6000000000000032E-2</v>
      </c>
      <c r="J78" s="210" t="s">
        <v>228</v>
      </c>
      <c r="K78" s="8"/>
      <c r="L78" s="8"/>
      <c r="V78" s="84" t="str">
        <f>IF(C78&gt;EOMONTH(DATE('Input|General'!$G$12,MONTH('Input|General'!$G$9),1),0),"Ok",IF(I78="","Check","Ok"))</f>
        <v>Ok</v>
      </c>
    </row>
    <row r="79" spans="3:22">
      <c r="C79" s="51">
        <v>45565</v>
      </c>
      <c r="D79" s="8"/>
      <c r="E79" s="8"/>
      <c r="F79" s="125"/>
      <c r="G79" s="124"/>
      <c r="H79" s="124">
        <f>IF(ISBLANK(F79),IF(COUNT(G79:G$84)=0,"",IF(ISBLANK(G79),AVERAGE(H78,H80),(1+G79)*H75)),F79)</f>
        <v>139.58468619999999</v>
      </c>
      <c r="I79" s="75">
        <f>IF(H79="","",H79/H75-1)</f>
        <v>3.4486310821647104E-2</v>
      </c>
      <c r="J79" s="210"/>
      <c r="K79" s="8"/>
      <c r="L79" s="8"/>
      <c r="V79" s="84" t="str">
        <f>IF(C79&gt;EOMONTH(DATE('Input|General'!$G$12,MONTH('Input|General'!$G$9),1),0),"Ok",IF(I79="","Check","Ok"))</f>
        <v>Ok</v>
      </c>
    </row>
    <row r="80" spans="3:22">
      <c r="C80" s="51">
        <v>45657</v>
      </c>
      <c r="D80" s="8"/>
      <c r="E80" s="8"/>
      <c r="F80" s="125"/>
      <c r="G80" s="116">
        <v>3.3000000000000002E-2</v>
      </c>
      <c r="H80" s="124">
        <f>IF(ISBLANK(F80),IF(COUNT(G80:G$84)=0,"",IF(ISBLANK(G80),AVERAGE(H79,H81),(1+G80)*H76)),F80)</f>
        <v>140.6561724</v>
      </c>
      <c r="I80" s="75">
        <f t="shared" ref="I80:I84" si="3">IF(H80="","",H80/H76-1)</f>
        <v>3.2999999999999918E-2</v>
      </c>
      <c r="J80" s="210" t="s">
        <v>228</v>
      </c>
      <c r="K80" s="8"/>
      <c r="L80" s="8"/>
      <c r="V80" s="84" t="str">
        <f>IF(C80&gt;EOMONTH(DATE('Input|General'!$G$12,MONTH('Input|General'!$G$9),1),0),"Ok",IF(I80="","Check","Ok"))</f>
        <v>Ok</v>
      </c>
    </row>
    <row r="81" spans="1:50">
      <c r="C81" s="51">
        <v>45747</v>
      </c>
      <c r="D81" s="8"/>
      <c r="E81" s="8"/>
      <c r="F81" s="125"/>
      <c r="G81" s="124"/>
      <c r="H81" s="124">
        <f>IF(ISBLANK(F81),IF(COUNT(G81:G$84)=0,"",IF(ISBLANK(G81),AVERAGE(H80,H82),(1+G81)*H77)),F81)</f>
        <v>141.73164079999998</v>
      </c>
      <c r="I81" s="75">
        <f t="shared" si="3"/>
        <v>3.1991443009218079E-2</v>
      </c>
      <c r="J81" s="210"/>
      <c r="K81" s="8"/>
      <c r="L81" s="8"/>
      <c r="V81" s="84" t="str">
        <f>IF(C81&gt;EOMONTH(DATE('Input|General'!$G$12,MONTH('Input|General'!$G$9),1),0),"Ok",IF(I81="","Check","Ok"))</f>
        <v>Ok</v>
      </c>
    </row>
    <row r="82" spans="1:50">
      <c r="C82" s="51">
        <v>45838</v>
      </c>
      <c r="D82" s="8"/>
      <c r="E82" s="8"/>
      <c r="F82" s="125"/>
      <c r="G82" s="203">
        <v>3.1E-2</v>
      </c>
      <c r="H82" s="124">
        <f>IF(ISBLANK(F82),IF(COUNT(G82:G$84)=0,"",IF(ISBLANK(G82),AVERAGE(H81,H83),(1+G82)*H78)),F82)</f>
        <v>142.80710919999999</v>
      </c>
      <c r="I82" s="75">
        <f t="shared" si="3"/>
        <v>3.0999999999999917E-2</v>
      </c>
      <c r="J82" s="210" t="s">
        <v>228</v>
      </c>
      <c r="K82" s="8"/>
      <c r="L82" s="8"/>
      <c r="V82" s="84" t="str">
        <f>IF(C82&gt;EOMONTH(DATE('Input|General'!$G$12,MONTH('Input|General'!$G$9),1),0),"Ok",IF(I82="","Check","Ok"))</f>
        <v>Ok</v>
      </c>
    </row>
    <row r="83" spans="1:50">
      <c r="C83" s="51">
        <v>45930</v>
      </c>
      <c r="D83" s="8"/>
      <c r="E83" s="8"/>
      <c r="F83" s="125"/>
      <c r="G83" s="124"/>
      <c r="H83" s="124">
        <f>IF(ISBLANK(F83),IF(COUNT(G83:G$84)=0,"",IF(ISBLANK(G83),AVERAGE(H82,H84),(1+G83)*H79)),F83)</f>
        <v>143.70082721360001</v>
      </c>
      <c r="I83" s="75">
        <f t="shared" si="3"/>
        <v>2.9488485633032191E-2</v>
      </c>
      <c r="J83" s="210"/>
      <c r="K83" s="8"/>
      <c r="L83" s="8"/>
      <c r="V83" s="84" t="str">
        <f>IF(C83&gt;EOMONTH(DATE('Input|General'!$G$12,MONTH('Input|General'!$G$9),1),0),"Ok",IF(I83="","Check","Ok"))</f>
        <v>Ok</v>
      </c>
    </row>
    <row r="84" spans="1:50">
      <c r="C84" s="51">
        <v>46022</v>
      </c>
      <c r="D84" s="8"/>
      <c r="E84" s="8"/>
      <c r="F84" s="125"/>
      <c r="G84" s="203">
        <v>2.8000000000000001E-2</v>
      </c>
      <c r="H84" s="124">
        <f>IF(ISBLANK(F84),IF(COUNT(G84:G$84)=0,"",IF(ISBLANK(G84),AVERAGE(H83,H85),(1+G84)*H80)),F84)</f>
        <v>144.5945452272</v>
      </c>
      <c r="I84" s="75">
        <f t="shared" si="3"/>
        <v>2.8000000000000025E-2</v>
      </c>
      <c r="J84" s="210" t="s">
        <v>228</v>
      </c>
      <c r="K84" s="8"/>
      <c r="L84" s="8"/>
      <c r="V84" s="84" t="str">
        <f>IF(C84&gt;EOMONTH(DATE('Input|General'!$G$12,MONTH('Input|General'!$G$9),1),0),"Ok",IF(I84="","Check","Ok"))</f>
        <v>Ok</v>
      </c>
    </row>
    <row r="85" spans="1:50">
      <c r="F85" s="8"/>
      <c r="G85" s="8"/>
      <c r="H85" s="8"/>
      <c r="I85" s="8"/>
      <c r="J85" s="8"/>
      <c r="K85" s="8"/>
      <c r="L85" s="8"/>
      <c r="V85" s="85"/>
    </row>
    <row r="86" spans="1:50" customFormat="1" ht="12.75">
      <c r="A86" s="34"/>
      <c r="B86" s="40" t="s">
        <v>21</v>
      </c>
      <c r="C86" s="34"/>
      <c r="D86" s="34"/>
      <c r="E86" s="34"/>
      <c r="F86" s="34"/>
      <c r="G86" s="34"/>
      <c r="H86" s="34"/>
      <c r="I86" s="35"/>
      <c r="J86" s="35"/>
      <c r="K86" s="35"/>
      <c r="L86" s="35"/>
      <c r="M86" s="36"/>
      <c r="N86" s="37"/>
      <c r="O86" s="36"/>
      <c r="P86" s="37"/>
      <c r="Q86" s="36"/>
      <c r="R86" s="36"/>
      <c r="S86" s="36"/>
      <c r="T86" s="36"/>
      <c r="U86" s="36"/>
      <c r="V86" s="36"/>
      <c r="W86" s="36"/>
      <c r="X86" s="36"/>
      <c r="Y86" s="37"/>
      <c r="Z86" s="37"/>
      <c r="AA86" s="38"/>
      <c r="AB86" s="38"/>
      <c r="AC86" s="38"/>
      <c r="AD86" s="38"/>
      <c r="AE86" s="38"/>
      <c r="AF86" s="39"/>
      <c r="AG86" s="39"/>
    </row>
    <row r="87" spans="1:50" hidden="1">
      <c r="J87" s="21"/>
      <c r="K87" s="21"/>
    </row>
    <row r="88" spans="1:50" hidden="1">
      <c r="J88" s="21"/>
      <c r="K88" s="21"/>
    </row>
    <row r="89" spans="1:50" s="16" customFormat="1" hidden="1">
      <c r="A89" s="8"/>
      <c r="B89" s="8"/>
      <c r="C89" s="8"/>
      <c r="J89" s="21"/>
      <c r="K89" s="21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8"/>
      <c r="AN89" s="8"/>
      <c r="AO89" s="8"/>
      <c r="AP89" s="8"/>
      <c r="AQ89" s="8"/>
      <c r="AR89" s="8"/>
      <c r="AS89" s="8"/>
      <c r="AT89" s="8"/>
      <c r="AU89" s="8"/>
      <c r="AV89" s="8"/>
      <c r="AW89" s="8"/>
      <c r="AX89" s="8"/>
    </row>
    <row r="90" spans="1:50" s="16" customFormat="1" hidden="1">
      <c r="A90" s="8"/>
      <c r="B90" s="8"/>
      <c r="C90" s="8"/>
      <c r="J90" s="21"/>
      <c r="K90" s="21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8"/>
      <c r="AN90" s="8"/>
      <c r="AO90" s="8"/>
      <c r="AP90" s="8"/>
      <c r="AQ90" s="8"/>
      <c r="AR90" s="8"/>
      <c r="AS90" s="8"/>
      <c r="AT90" s="8"/>
      <c r="AU90" s="8"/>
      <c r="AV90" s="8"/>
      <c r="AW90" s="8"/>
      <c r="AX90" s="8"/>
    </row>
    <row r="91" spans="1:50" s="16" customFormat="1" hidden="1">
      <c r="A91" s="8"/>
      <c r="B91" s="8"/>
      <c r="C91" s="8"/>
      <c r="J91" s="21"/>
      <c r="K91" s="21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  <c r="AM91" s="8"/>
      <c r="AN91" s="8"/>
      <c r="AO91" s="8"/>
      <c r="AP91" s="8"/>
      <c r="AQ91" s="8"/>
      <c r="AR91" s="8"/>
      <c r="AS91" s="8"/>
      <c r="AT91" s="8"/>
      <c r="AU91" s="8"/>
      <c r="AV91" s="8"/>
      <c r="AW91" s="8"/>
      <c r="AX91" s="8"/>
    </row>
    <row r="92" spans="1:50" s="16" customFormat="1" hidden="1">
      <c r="A92" s="8"/>
      <c r="B92" s="8"/>
      <c r="C92" s="8"/>
      <c r="J92" s="21"/>
      <c r="K92" s="21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8"/>
      <c r="AM92" s="8"/>
      <c r="AN92" s="8"/>
      <c r="AO92" s="8"/>
      <c r="AP92" s="8"/>
      <c r="AQ92" s="8"/>
      <c r="AR92" s="8"/>
      <c r="AS92" s="8"/>
      <c r="AT92" s="8"/>
      <c r="AU92" s="8"/>
      <c r="AV92" s="8"/>
      <c r="AW92" s="8"/>
      <c r="AX92" s="8"/>
    </row>
    <row r="93" spans="1:50" s="16" customFormat="1" hidden="1">
      <c r="A93" s="8"/>
      <c r="B93" s="8"/>
      <c r="C93" s="8"/>
      <c r="J93" s="21"/>
      <c r="K93" s="21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8"/>
      <c r="AN93" s="8"/>
      <c r="AO93" s="8"/>
      <c r="AP93" s="8"/>
      <c r="AQ93" s="8"/>
      <c r="AR93" s="8"/>
      <c r="AS93" s="8"/>
      <c r="AT93" s="8"/>
      <c r="AU93" s="8"/>
      <c r="AV93" s="8"/>
      <c r="AW93" s="8"/>
      <c r="AX93" s="8"/>
    </row>
    <row r="94" spans="1:50" s="16" customFormat="1" hidden="1">
      <c r="A94" s="8"/>
      <c r="B94" s="8"/>
      <c r="C94" s="8"/>
      <c r="J94" s="21"/>
      <c r="K94" s="21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8"/>
      <c r="AN94" s="8"/>
      <c r="AO94" s="8"/>
      <c r="AP94" s="8"/>
      <c r="AQ94" s="8"/>
      <c r="AR94" s="8"/>
      <c r="AS94" s="8"/>
      <c r="AT94" s="8"/>
      <c r="AU94" s="8"/>
      <c r="AV94" s="8"/>
      <c r="AW94" s="8"/>
      <c r="AX94" s="8"/>
    </row>
    <row r="95" spans="1:50" s="16" customFormat="1" hidden="1">
      <c r="A95" s="8"/>
      <c r="B95" s="8"/>
      <c r="C95" s="8"/>
      <c r="J95" s="21"/>
      <c r="K95" s="21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  <c r="AM95" s="8"/>
      <c r="AN95" s="8"/>
      <c r="AO95" s="8"/>
      <c r="AP95" s="8"/>
      <c r="AQ95" s="8"/>
      <c r="AR95" s="8"/>
      <c r="AS95" s="8"/>
      <c r="AT95" s="8"/>
      <c r="AU95" s="8"/>
      <c r="AV95" s="8"/>
      <c r="AW95" s="8"/>
      <c r="AX95" s="8"/>
    </row>
    <row r="96" spans="1:50" s="16" customFormat="1" hidden="1">
      <c r="A96" s="8"/>
      <c r="B96" s="8"/>
      <c r="C96" s="8"/>
      <c r="J96" s="21"/>
      <c r="K96" s="21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  <c r="AM96" s="8"/>
      <c r="AN96" s="8"/>
      <c r="AO96" s="8"/>
      <c r="AP96" s="8"/>
      <c r="AQ96" s="8"/>
      <c r="AR96" s="8"/>
      <c r="AS96" s="8"/>
      <c r="AT96" s="8"/>
      <c r="AU96" s="8"/>
      <c r="AV96" s="8"/>
      <c r="AW96" s="8"/>
      <c r="AX96" s="8"/>
    </row>
  </sheetData>
  <conditionalFormatting sqref="Z14:Z50 V85 Z63:Z85">
    <cfRule type="cellIs" dxfId="203" priority="12" operator="equal">
      <formula>"Check"</formula>
    </cfRule>
    <cfRule type="cellIs" dxfId="202" priority="13" operator="equal">
      <formula>"Ok"</formula>
    </cfRule>
  </conditionalFormatting>
  <conditionalFormatting sqref="Y1">
    <cfRule type="cellIs" dxfId="201" priority="8" operator="equal">
      <formula>"Check"</formula>
    </cfRule>
    <cfRule type="cellIs" dxfId="200" priority="9" operator="equal">
      <formula>"Ok"</formula>
    </cfRule>
  </conditionalFormatting>
  <conditionalFormatting sqref="V1">
    <cfRule type="cellIs" dxfId="199" priority="6" operator="equal">
      <formula>"Check"</formula>
    </cfRule>
    <cfRule type="cellIs" dxfId="198" priority="7" operator="equal">
      <formula>"Ok"</formula>
    </cfRule>
  </conditionalFormatting>
  <conditionalFormatting sqref="Z51:Z57">
    <cfRule type="cellIs" dxfId="197" priority="4" operator="equal">
      <formula>"Check"</formula>
    </cfRule>
    <cfRule type="cellIs" dxfId="196" priority="5" operator="equal">
      <formula>"Ok"</formula>
    </cfRule>
  </conditionalFormatting>
  <conditionalFormatting sqref="Z58:Z62 V9:V84">
    <cfRule type="cellIs" dxfId="195" priority="2" operator="equal">
      <formula>"Check"</formula>
    </cfRule>
    <cfRule type="cellIs" dxfId="194" priority="3" operator="equal">
      <formula>"Ok"</formula>
    </cfRule>
  </conditionalFormatting>
  <conditionalFormatting sqref="G21:G84">
    <cfRule type="expression" dxfId="193" priority="1">
      <formula>ISBLANK(F21)</formula>
    </cfRule>
  </conditionalFormatting>
  <dataValidations count="2">
    <dataValidation type="list" allowBlank="1" showInputMessage="1" showErrorMessage="1" sqref="I85" xr:uid="{00000000-0002-0000-0300-000000000000}">
      <formula1>"Real 2010,Real 2011,Real 2012,Real 2013,Real 2014,Real 2015,Nominal"</formula1>
    </dataValidation>
    <dataValidation type="list" allowBlank="1" showInputMessage="1" showErrorMessage="1" sqref="L12:L85" xr:uid="{00000000-0002-0000-0300-000001000000}">
      <formula1>#REF!</formula1>
    </dataValidation>
  </dataValidations>
  <hyperlinks>
    <hyperlink ref="M1" location="Index!A1" display="Back to Index" xr:uid="{00000000-0004-0000-0300-000000000000}"/>
    <hyperlink ref="X1" location="'Check|List'!A1" display="Overall Check:" xr:uid="{00000000-0004-0000-0300-000001000000}"/>
    <hyperlink ref="J76" r:id="rId1" xr:uid="{3516A62A-D5A1-419A-82D8-33FF2CBC9665}"/>
    <hyperlink ref="J78" r:id="rId2" xr:uid="{BA25B596-AF70-4175-80B0-63EE43BE6CE9}"/>
    <hyperlink ref="J80" r:id="rId3" xr:uid="{1E227838-5503-4369-BE80-9FC7C1911FD6}"/>
    <hyperlink ref="J82" r:id="rId4" xr:uid="{0E2E0B55-44EB-421C-BF3F-3FBD7BC6890C}"/>
    <hyperlink ref="J84" r:id="rId5" xr:uid="{DDF79B47-FE09-499F-9E62-6443D73B9529}"/>
  </hyperlinks>
  <pageMargins left="0.7" right="0.7" top="0.75" bottom="0.75" header="0.3" footer="0.3"/>
  <pageSetup paperSize="9" orientation="portrait" verticalDpi="4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3">
    <tabColor rgb="FFFFFF99"/>
  </sheetPr>
  <dimension ref="A1:X73"/>
  <sheetViews>
    <sheetView showGridLines="0" topLeftCell="A22" zoomScale="115" zoomScaleNormal="115" workbookViewId="0"/>
  </sheetViews>
  <sheetFormatPr defaultColWidth="0" defaultRowHeight="11.25" zeroHeight="1"/>
  <cols>
    <col min="1" max="2" width="1.6640625" customWidth="1"/>
    <col min="3" max="3" width="49.83203125" bestFit="1" customWidth="1"/>
    <col min="4" max="6" width="13.33203125" customWidth="1"/>
    <col min="7" max="9" width="3.33203125" customWidth="1"/>
    <col min="10" max="20" width="10.83203125" customWidth="1"/>
    <col min="21" max="21" width="42.33203125" bestFit="1" customWidth="1"/>
    <col min="22" max="22" width="10.83203125" customWidth="1"/>
    <col min="23" max="24" width="0" hidden="1" customWidth="1"/>
    <col min="25" max="16384" width="9.33203125" hidden="1"/>
  </cols>
  <sheetData>
    <row r="1" spans="1:22" ht="15.75">
      <c r="A1" s="29"/>
      <c r="B1" s="26"/>
      <c r="C1" s="26" t="str">
        <f>Index!$B$1</f>
        <v>AER opex model v2.1</v>
      </c>
      <c r="D1" s="26"/>
      <c r="E1" s="26"/>
      <c r="F1" s="27"/>
      <c r="G1" s="27"/>
      <c r="H1" s="27"/>
      <c r="I1" s="27"/>
      <c r="J1" s="121" t="s">
        <v>2</v>
      </c>
      <c r="K1" s="29"/>
      <c r="L1" s="30" t="s">
        <v>3</v>
      </c>
      <c r="M1" s="48" t="s">
        <v>4</v>
      </c>
      <c r="N1" s="11" t="s">
        <v>5</v>
      </c>
      <c r="O1" s="12" t="s">
        <v>6</v>
      </c>
      <c r="P1" s="29"/>
      <c r="Q1" s="29"/>
      <c r="R1" s="30" t="s">
        <v>82</v>
      </c>
      <c r="S1" s="31" t="str">
        <f>IF(COUNTA($V$29:$V$266)=COUNTIF($V$29:$V$266,"OK"),"OK","Check")</f>
        <v>OK</v>
      </c>
      <c r="T1" s="31"/>
      <c r="U1" s="113" t="s">
        <v>24</v>
      </c>
      <c r="V1" s="31" t="str">
        <f>'Check|List'!$S$1</f>
        <v>Ok</v>
      </c>
    </row>
    <row r="2" spans="1:22" ht="13.5" thickBot="1">
      <c r="A2" s="33"/>
      <c r="B2" s="32"/>
      <c r="C2" s="32" t="str">
        <f>Index!$C$9</f>
        <v>Input | Reported opex</v>
      </c>
      <c r="D2" s="32"/>
      <c r="E2" s="32"/>
      <c r="F2" s="55"/>
      <c r="G2" s="55"/>
      <c r="H2" s="55"/>
      <c r="I2" s="55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</row>
    <row r="3" spans="1:22">
      <c r="A3" s="86"/>
      <c r="B3" s="86"/>
      <c r="C3" s="86"/>
      <c r="D3" s="87"/>
      <c r="E3" s="87"/>
      <c r="F3" s="87"/>
      <c r="G3" s="87"/>
      <c r="H3" s="87"/>
      <c r="I3" s="87"/>
      <c r="J3" s="99" t="s">
        <v>118</v>
      </c>
      <c r="K3" s="98"/>
      <c r="L3" s="98"/>
      <c r="M3" s="98"/>
      <c r="N3" s="98"/>
      <c r="O3" s="98"/>
      <c r="P3" s="98"/>
      <c r="Q3" s="98"/>
      <c r="R3" s="98"/>
      <c r="S3" s="98"/>
      <c r="T3" s="98"/>
      <c r="U3" s="88"/>
      <c r="V3" s="88"/>
    </row>
    <row r="4" spans="1:22">
      <c r="A4" s="58"/>
      <c r="B4" s="58"/>
      <c r="C4" s="58"/>
      <c r="D4" s="59" t="s">
        <v>7</v>
      </c>
      <c r="E4" s="59" t="s">
        <v>8</v>
      </c>
      <c r="F4" s="60" t="s">
        <v>22</v>
      </c>
      <c r="G4" s="61"/>
      <c r="H4" s="61"/>
      <c r="I4" s="61"/>
      <c r="J4" s="97">
        <f>DATE(PPFirstYear,MONTH('Input|General'!$G$9),1)</f>
        <v>43983</v>
      </c>
      <c r="K4" s="97">
        <f>DATE(PPFirstYear+1,MONTH('Input|General'!$G$9),1)</f>
        <v>44348</v>
      </c>
      <c r="L4" s="97">
        <f>DATE(PPFirstYear+2,MONTH('Input|General'!$G$9),1)</f>
        <v>44713</v>
      </c>
      <c r="M4" s="97">
        <f>DATE(PPFirstYear+3,MONTH('Input|General'!$G$9),1)</f>
        <v>45078</v>
      </c>
      <c r="N4" s="97">
        <f>DATE(PPFirstYear+4,MONTH('Input|General'!$G$9),1)</f>
        <v>45444</v>
      </c>
      <c r="O4" s="97">
        <f>DATE(PPFirstYear+5,MONTH('Input|General'!$G$9),1)</f>
        <v>45809</v>
      </c>
      <c r="P4" s="97">
        <f>DATE(PPFirstYear+6,MONTH('Input|General'!$G$9),1)</f>
        <v>46174</v>
      </c>
      <c r="Q4" s="97">
        <f>DATE(PPFirstYear+7,MONTH('Input|General'!$G$9),1)</f>
        <v>46539</v>
      </c>
      <c r="R4" s="97">
        <f>DATE(PPFirstYear+8,MONTH('Input|General'!$G$9),1)</f>
        <v>46905</v>
      </c>
      <c r="S4" s="97">
        <f>DATE(PPFirstYear+9,MONTH('Input|General'!$G$9),1)</f>
        <v>47270</v>
      </c>
      <c r="T4" s="97">
        <f>DATE(PPFirstYear+10,MONTH('Input|General'!$G$9),1)</f>
        <v>47635</v>
      </c>
      <c r="U4" s="62"/>
      <c r="V4" s="63"/>
    </row>
    <row r="5" spans="1:22" ht="5.25" customHeight="1">
      <c r="A5" s="6"/>
      <c r="B5" s="6"/>
      <c r="C5" s="6"/>
      <c r="D5" s="22"/>
      <c r="E5" s="22"/>
      <c r="F5" s="22"/>
      <c r="G5" s="22"/>
      <c r="H5" s="22"/>
      <c r="I5" s="22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2" ht="6.75" customHeight="1">
      <c r="A6" s="6"/>
      <c r="B6" s="6"/>
      <c r="C6" s="6"/>
      <c r="D6" s="22"/>
      <c r="E6" s="22"/>
      <c r="F6" s="22"/>
      <c r="G6" s="22"/>
      <c r="H6" s="22"/>
      <c r="I6" s="22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ht="5.25" customHeight="1">
      <c r="A7" s="6"/>
      <c r="B7" s="6"/>
      <c r="C7" s="6"/>
      <c r="D7" s="22"/>
      <c r="E7" s="22"/>
      <c r="F7" s="22"/>
      <c r="G7" s="22"/>
      <c r="H7" s="22"/>
      <c r="I7" s="22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</row>
    <row r="8" spans="1:22" ht="12.75">
      <c r="A8" s="126"/>
      <c r="B8" s="40" t="s">
        <v>45</v>
      </c>
      <c r="C8" s="126"/>
      <c r="D8" s="126"/>
      <c r="E8" s="126"/>
      <c r="F8" s="127"/>
      <c r="G8" s="127"/>
      <c r="H8" s="127"/>
      <c r="I8" s="127"/>
      <c r="J8" s="128"/>
      <c r="K8" s="129"/>
      <c r="L8" s="128"/>
      <c r="M8" s="129"/>
      <c r="N8" s="128"/>
      <c r="O8" s="128"/>
      <c r="P8" s="128"/>
      <c r="Q8" s="128"/>
      <c r="R8" s="128"/>
      <c r="S8" s="128"/>
      <c r="T8" s="128"/>
      <c r="U8" s="128"/>
      <c r="V8" s="37"/>
    </row>
    <row r="9" spans="1:22">
      <c r="A9" s="130"/>
      <c r="B9" s="130"/>
      <c r="C9" s="130"/>
      <c r="D9" s="131"/>
      <c r="E9" s="131"/>
      <c r="F9" s="131"/>
      <c r="G9" s="132"/>
      <c r="H9" s="132"/>
      <c r="I9" s="131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8"/>
    </row>
    <row r="10" spans="1:22">
      <c r="A10" s="130"/>
      <c r="B10" s="130"/>
      <c r="C10" s="133" t="s">
        <v>76</v>
      </c>
      <c r="D10" s="132" t="s">
        <v>7</v>
      </c>
      <c r="E10" s="132" t="s">
        <v>8</v>
      </c>
      <c r="F10" s="132" t="s">
        <v>22</v>
      </c>
      <c r="G10" s="132"/>
      <c r="H10" s="132"/>
      <c r="I10" s="131"/>
      <c r="J10" s="134">
        <f t="shared" ref="J10:S10" si="0">IF(YEAR(J$4)&lt;=PPLastYear,J$4,"")</f>
        <v>43983</v>
      </c>
      <c r="K10" s="134">
        <f t="shared" si="0"/>
        <v>44348</v>
      </c>
      <c r="L10" s="134">
        <f t="shared" si="0"/>
        <v>44713</v>
      </c>
      <c r="M10" s="134">
        <f t="shared" si="0"/>
        <v>45078</v>
      </c>
      <c r="N10" s="134">
        <f t="shared" si="0"/>
        <v>45444</v>
      </c>
      <c r="O10" s="134" t="str">
        <f t="shared" si="0"/>
        <v/>
      </c>
      <c r="P10" s="134" t="str">
        <f t="shared" si="0"/>
        <v/>
      </c>
      <c r="Q10" s="134" t="str">
        <f t="shared" si="0"/>
        <v/>
      </c>
      <c r="R10" s="134" t="str">
        <f t="shared" si="0"/>
        <v/>
      </c>
      <c r="S10" s="134" t="str">
        <f t="shared" si="0"/>
        <v/>
      </c>
      <c r="T10" s="134"/>
      <c r="U10" s="135" t="s">
        <v>54</v>
      </c>
      <c r="V10" s="8"/>
    </row>
    <row r="11" spans="1:22">
      <c r="A11" s="130"/>
      <c r="B11" s="130"/>
      <c r="C11" s="136"/>
      <c r="D11" s="131"/>
      <c r="E11" s="131"/>
      <c r="F11" s="131"/>
      <c r="G11" s="132"/>
      <c r="H11" s="132"/>
      <c r="I11" s="131"/>
      <c r="J11" s="137"/>
      <c r="K11" s="137"/>
      <c r="L11" s="137"/>
      <c r="M11" s="137"/>
      <c r="N11" s="137"/>
      <c r="O11" s="137"/>
      <c r="P11" s="137"/>
      <c r="Q11" s="137"/>
      <c r="R11" s="137"/>
      <c r="S11" s="137"/>
      <c r="T11" s="137"/>
      <c r="U11" s="130"/>
      <c r="V11" s="8"/>
    </row>
    <row r="12" spans="1:22">
      <c r="A12" s="130"/>
      <c r="B12" s="130"/>
      <c r="C12" s="136"/>
      <c r="D12" s="131"/>
      <c r="E12" s="131"/>
      <c r="F12" s="131"/>
      <c r="G12" s="132"/>
      <c r="H12" s="132"/>
      <c r="I12" s="131"/>
      <c r="J12" s="137"/>
      <c r="K12" s="137"/>
      <c r="L12" s="137"/>
      <c r="M12" s="137"/>
      <c r="N12" s="137"/>
      <c r="O12" s="137"/>
      <c r="P12" s="137"/>
      <c r="Q12" s="137"/>
      <c r="R12" s="137"/>
      <c r="S12" s="137"/>
      <c r="T12" s="137"/>
      <c r="U12" s="130"/>
      <c r="V12" s="8"/>
    </row>
    <row r="13" spans="1:22">
      <c r="A13" s="130"/>
      <c r="B13" s="130"/>
      <c r="C13" s="138" t="s">
        <v>73</v>
      </c>
      <c r="D13" s="131" t="s">
        <v>69</v>
      </c>
      <c r="E13" s="131" t="str">
        <f>units</f>
        <v>$millions</v>
      </c>
      <c r="F13" s="139">
        <f>DATE(PPFirstYear-1,MONTH(month),1)</f>
        <v>43617</v>
      </c>
      <c r="G13" s="132"/>
      <c r="H13" s="132"/>
      <c r="I13" s="131"/>
      <c r="J13" s="140">
        <v>386.62105415896849</v>
      </c>
      <c r="K13" s="140">
        <v>368.66351388854468</v>
      </c>
      <c r="L13" s="140">
        <v>357.43033025819386</v>
      </c>
      <c r="M13" s="140">
        <v>338.94776268037208</v>
      </c>
      <c r="N13" s="140">
        <v>307.07656864482209</v>
      </c>
      <c r="O13" s="140"/>
      <c r="P13" s="140"/>
      <c r="Q13" s="140"/>
      <c r="R13" s="140"/>
      <c r="S13" s="140"/>
      <c r="T13" s="140"/>
      <c r="U13" s="130" t="s">
        <v>192</v>
      </c>
      <c r="V13" s="8"/>
    </row>
    <row r="14" spans="1:22">
      <c r="A14" s="130"/>
      <c r="B14" s="130"/>
      <c r="C14" s="136"/>
      <c r="D14" s="131"/>
      <c r="E14" s="131"/>
      <c r="F14" s="131"/>
      <c r="G14" s="132"/>
      <c r="H14" s="132"/>
      <c r="I14" s="131"/>
      <c r="J14" s="137"/>
      <c r="K14" s="137"/>
      <c r="L14" s="137"/>
      <c r="M14" s="137"/>
      <c r="N14" s="137"/>
      <c r="O14" s="137"/>
      <c r="P14" s="137"/>
      <c r="Q14" s="137"/>
      <c r="R14" s="137"/>
      <c r="S14" s="137"/>
      <c r="T14" s="137"/>
      <c r="U14" s="130"/>
      <c r="V14" s="8"/>
    </row>
    <row r="15" spans="1:22">
      <c r="A15" s="130"/>
      <c r="B15" s="130"/>
      <c r="C15" s="141" t="s">
        <v>73</v>
      </c>
      <c r="D15" s="142" t="str">
        <f>D13</f>
        <v>AER</v>
      </c>
      <c r="E15" s="143" t="str">
        <f>E13</f>
        <v>$millions</v>
      </c>
      <c r="F15" s="143">
        <f>$F$13</f>
        <v>43617</v>
      </c>
      <c r="G15" s="132"/>
      <c r="H15" s="132"/>
      <c r="I15" s="131"/>
      <c r="J15" s="144">
        <f>J13</f>
        <v>386.62105415896849</v>
      </c>
      <c r="K15" s="144">
        <f t="shared" ref="K15:S15" si="1">K13</f>
        <v>368.66351388854468</v>
      </c>
      <c r="L15" s="144">
        <f t="shared" si="1"/>
        <v>357.43033025819386</v>
      </c>
      <c r="M15" s="144">
        <f t="shared" si="1"/>
        <v>338.94776268037208</v>
      </c>
      <c r="N15" s="144">
        <f t="shared" si="1"/>
        <v>307.07656864482209</v>
      </c>
      <c r="O15" s="144">
        <f t="shared" si="1"/>
        <v>0</v>
      </c>
      <c r="P15" s="144">
        <f t="shared" si="1"/>
        <v>0</v>
      </c>
      <c r="Q15" s="144">
        <f t="shared" si="1"/>
        <v>0</v>
      </c>
      <c r="R15" s="144">
        <f t="shared" si="1"/>
        <v>0</v>
      </c>
      <c r="S15" s="144">
        <f t="shared" si="1"/>
        <v>0</v>
      </c>
      <c r="T15" s="144"/>
      <c r="U15" s="130"/>
      <c r="V15" s="8"/>
    </row>
    <row r="16" spans="1:22">
      <c r="A16" s="130"/>
      <c r="B16" s="130"/>
      <c r="C16" s="136"/>
      <c r="D16" s="131"/>
      <c r="E16" s="131"/>
      <c r="F16" s="131"/>
      <c r="G16" s="132"/>
      <c r="H16" s="132"/>
      <c r="I16" s="131"/>
      <c r="J16" s="137"/>
      <c r="K16" s="137"/>
      <c r="L16" s="137"/>
      <c r="M16" s="137"/>
      <c r="N16" s="137"/>
      <c r="O16" s="137"/>
      <c r="P16" s="137"/>
      <c r="Q16" s="137"/>
      <c r="R16" s="137"/>
      <c r="S16" s="137"/>
      <c r="T16" s="137"/>
      <c r="U16" s="130"/>
      <c r="V16" s="8"/>
    </row>
    <row r="17" spans="1:22">
      <c r="A17" s="130"/>
      <c r="B17" s="130"/>
      <c r="C17" s="133" t="s">
        <v>158</v>
      </c>
      <c r="D17" s="131"/>
      <c r="E17" s="131"/>
      <c r="F17" s="131"/>
      <c r="G17" s="132"/>
      <c r="H17" s="132"/>
      <c r="I17" s="131"/>
      <c r="J17" s="137"/>
      <c r="K17" s="137"/>
      <c r="L17" s="137"/>
      <c r="M17" s="137"/>
      <c r="N17" s="137"/>
      <c r="O17" s="137"/>
      <c r="P17" s="137"/>
      <c r="Q17" s="137"/>
      <c r="R17" s="137"/>
      <c r="S17" s="137"/>
      <c r="T17" s="137"/>
      <c r="U17" s="130"/>
      <c r="V17" s="8"/>
    </row>
    <row r="18" spans="1:22">
      <c r="A18" s="130"/>
      <c r="B18" s="130"/>
      <c r="C18" s="136"/>
      <c r="D18" s="131"/>
      <c r="E18" s="131"/>
      <c r="F18" s="131"/>
      <c r="G18" s="132"/>
      <c r="H18" s="132"/>
      <c r="I18" s="131"/>
      <c r="J18" s="137"/>
      <c r="K18" s="137"/>
      <c r="L18" s="137"/>
      <c r="M18" s="137"/>
      <c r="N18" s="137"/>
      <c r="O18" s="137"/>
      <c r="P18" s="137"/>
      <c r="Q18" s="137"/>
      <c r="R18" s="137"/>
      <c r="S18" s="137"/>
      <c r="T18" s="137"/>
      <c r="U18" s="130"/>
      <c r="V18" s="8"/>
    </row>
    <row r="19" spans="1:22">
      <c r="A19" s="130"/>
      <c r="B19" s="130"/>
      <c r="C19" s="138" t="s">
        <v>39</v>
      </c>
      <c r="D19" s="131" t="s">
        <v>69</v>
      </c>
      <c r="E19" s="131" t="str">
        <f t="shared" ref="E19:E27" si="2">units</f>
        <v>$millions</v>
      </c>
      <c r="F19" s="145">
        <f>$F$13</f>
        <v>43617</v>
      </c>
      <c r="G19" s="132"/>
      <c r="H19" s="132"/>
      <c r="I19" s="131"/>
      <c r="J19" s="140">
        <v>3.9926105620233887</v>
      </c>
      <c r="K19" s="140">
        <v>4.1004788877014615</v>
      </c>
      <c r="L19" s="140">
        <v>4.1491769318263225</v>
      </c>
      <c r="M19" s="140">
        <v>4.1860621292065741</v>
      </c>
      <c r="N19" s="140">
        <v>4.20513373891011</v>
      </c>
      <c r="O19" s="140"/>
      <c r="P19" s="140"/>
      <c r="Q19" s="140"/>
      <c r="R19" s="140"/>
      <c r="S19" s="140"/>
      <c r="T19" s="140"/>
      <c r="U19" s="130" t="s">
        <v>170</v>
      </c>
      <c r="V19" s="8"/>
    </row>
    <row r="20" spans="1:22">
      <c r="A20" s="130"/>
      <c r="B20" s="130"/>
      <c r="C20" s="138"/>
      <c r="D20" s="131" t="s">
        <v>69</v>
      </c>
      <c r="E20" s="131" t="str">
        <f t="shared" si="2"/>
        <v>$millions</v>
      </c>
      <c r="F20" s="145">
        <f t="shared" ref="F20:F29" si="3">$F$13</f>
        <v>43617</v>
      </c>
      <c r="G20" s="132"/>
      <c r="H20" s="132"/>
      <c r="I20" s="131"/>
      <c r="J20" s="140"/>
      <c r="K20" s="140"/>
      <c r="L20" s="140"/>
      <c r="M20" s="140"/>
      <c r="N20" s="140"/>
      <c r="O20" s="140"/>
      <c r="P20" s="140"/>
      <c r="Q20" s="140"/>
      <c r="R20" s="140"/>
      <c r="S20" s="140"/>
      <c r="T20" s="140"/>
      <c r="U20" s="130"/>
      <c r="V20" s="8"/>
    </row>
    <row r="21" spans="1:22">
      <c r="A21" s="130"/>
      <c r="B21" s="130"/>
      <c r="C21" s="138"/>
      <c r="D21" s="131" t="s">
        <v>69</v>
      </c>
      <c r="E21" s="131" t="str">
        <f t="shared" si="2"/>
        <v>$millions</v>
      </c>
      <c r="F21" s="145">
        <f t="shared" si="3"/>
        <v>43617</v>
      </c>
      <c r="G21" s="132"/>
      <c r="H21" s="132"/>
      <c r="I21" s="131"/>
      <c r="J21" s="140"/>
      <c r="K21" s="140"/>
      <c r="L21" s="140"/>
      <c r="M21" s="140"/>
      <c r="N21" s="140"/>
      <c r="O21" s="140"/>
      <c r="P21" s="140"/>
      <c r="Q21" s="140"/>
      <c r="R21" s="140"/>
      <c r="S21" s="140"/>
      <c r="T21" s="140"/>
      <c r="U21" s="130"/>
      <c r="V21" s="8"/>
    </row>
    <row r="22" spans="1:22">
      <c r="A22" s="130"/>
      <c r="B22" s="130"/>
      <c r="C22" s="138"/>
      <c r="D22" s="131" t="s">
        <v>69</v>
      </c>
      <c r="E22" s="131" t="str">
        <f t="shared" si="2"/>
        <v>$millions</v>
      </c>
      <c r="F22" s="145">
        <f t="shared" si="3"/>
        <v>43617</v>
      </c>
      <c r="G22" s="132"/>
      <c r="H22" s="132"/>
      <c r="I22" s="131"/>
      <c r="J22" s="140"/>
      <c r="K22" s="140"/>
      <c r="L22" s="140"/>
      <c r="M22" s="140"/>
      <c r="N22" s="140"/>
      <c r="O22" s="140"/>
      <c r="P22" s="140"/>
      <c r="Q22" s="140"/>
      <c r="R22" s="140"/>
      <c r="S22" s="140"/>
      <c r="T22" s="140"/>
      <c r="U22" s="130"/>
      <c r="V22" s="8"/>
    </row>
    <row r="23" spans="1:22">
      <c r="A23" s="130"/>
      <c r="B23" s="130"/>
      <c r="C23" s="138"/>
      <c r="D23" s="131" t="s">
        <v>69</v>
      </c>
      <c r="E23" s="131" t="str">
        <f t="shared" si="2"/>
        <v>$millions</v>
      </c>
      <c r="F23" s="145">
        <f t="shared" si="3"/>
        <v>43617</v>
      </c>
      <c r="G23" s="132"/>
      <c r="H23" s="132"/>
      <c r="I23" s="131"/>
      <c r="J23" s="140"/>
      <c r="K23" s="140"/>
      <c r="L23" s="140"/>
      <c r="M23" s="140"/>
      <c r="N23" s="140"/>
      <c r="O23" s="140"/>
      <c r="P23" s="140"/>
      <c r="Q23" s="140"/>
      <c r="R23" s="140"/>
      <c r="S23" s="140"/>
      <c r="T23" s="140"/>
      <c r="U23" s="130"/>
      <c r="V23" s="8"/>
    </row>
    <row r="24" spans="1:22">
      <c r="A24" s="130"/>
      <c r="B24" s="130"/>
      <c r="C24" s="138"/>
      <c r="D24" s="131" t="s">
        <v>69</v>
      </c>
      <c r="E24" s="131" t="str">
        <f t="shared" si="2"/>
        <v>$millions</v>
      </c>
      <c r="F24" s="145">
        <f t="shared" si="3"/>
        <v>43617</v>
      </c>
      <c r="G24" s="132"/>
      <c r="H24" s="132"/>
      <c r="I24" s="131"/>
      <c r="J24" s="140"/>
      <c r="K24" s="140"/>
      <c r="L24" s="140"/>
      <c r="M24" s="140"/>
      <c r="N24" s="140"/>
      <c r="O24" s="140"/>
      <c r="P24" s="140"/>
      <c r="Q24" s="140"/>
      <c r="R24" s="140"/>
      <c r="S24" s="140"/>
      <c r="T24" s="140"/>
      <c r="U24" s="130"/>
      <c r="V24" s="8"/>
    </row>
    <row r="25" spans="1:22">
      <c r="A25" s="130"/>
      <c r="B25" s="130"/>
      <c r="C25" s="138"/>
      <c r="D25" s="131" t="s">
        <v>69</v>
      </c>
      <c r="E25" s="131" t="str">
        <f t="shared" si="2"/>
        <v>$millions</v>
      </c>
      <c r="F25" s="145">
        <f t="shared" si="3"/>
        <v>43617</v>
      </c>
      <c r="G25" s="132"/>
      <c r="H25" s="132"/>
      <c r="I25" s="131"/>
      <c r="J25" s="140"/>
      <c r="K25" s="140"/>
      <c r="L25" s="140"/>
      <c r="M25" s="140"/>
      <c r="N25" s="140"/>
      <c r="O25" s="140"/>
      <c r="P25" s="140"/>
      <c r="Q25" s="140"/>
      <c r="R25" s="140"/>
      <c r="S25" s="140"/>
      <c r="T25" s="140"/>
      <c r="U25" s="130"/>
      <c r="V25" s="8"/>
    </row>
    <row r="26" spans="1:22">
      <c r="A26" s="130"/>
      <c r="B26" s="130"/>
      <c r="C26" s="138"/>
      <c r="D26" s="131" t="s">
        <v>69</v>
      </c>
      <c r="E26" s="131" t="str">
        <f t="shared" si="2"/>
        <v>$millions</v>
      </c>
      <c r="F26" s="145">
        <f t="shared" si="3"/>
        <v>43617</v>
      </c>
      <c r="G26" s="132"/>
      <c r="H26" s="132"/>
      <c r="I26" s="131"/>
      <c r="J26" s="140"/>
      <c r="K26" s="140"/>
      <c r="L26" s="140"/>
      <c r="M26" s="140"/>
      <c r="N26" s="140"/>
      <c r="O26" s="140"/>
      <c r="P26" s="140"/>
      <c r="Q26" s="140"/>
      <c r="R26" s="140"/>
      <c r="S26" s="140"/>
      <c r="T26" s="140"/>
      <c r="U26" s="130"/>
      <c r="V26" s="8"/>
    </row>
    <row r="27" spans="1:22">
      <c r="A27" s="130"/>
      <c r="B27" s="130"/>
      <c r="C27" s="138"/>
      <c r="D27" s="131" t="s">
        <v>69</v>
      </c>
      <c r="E27" s="131" t="str">
        <f t="shared" si="2"/>
        <v>$millions</v>
      </c>
      <c r="F27" s="145">
        <f t="shared" si="3"/>
        <v>43617</v>
      </c>
      <c r="G27" s="132"/>
      <c r="H27" s="132"/>
      <c r="I27" s="131"/>
      <c r="J27" s="140"/>
      <c r="K27" s="140"/>
      <c r="L27" s="140"/>
      <c r="M27" s="140"/>
      <c r="N27" s="140"/>
      <c r="O27" s="140"/>
      <c r="P27" s="140"/>
      <c r="Q27" s="140"/>
      <c r="R27" s="140"/>
      <c r="S27" s="140"/>
      <c r="T27" s="140"/>
      <c r="U27" s="130"/>
      <c r="V27" s="8"/>
    </row>
    <row r="28" spans="1:22">
      <c r="A28" s="130"/>
      <c r="B28" s="130"/>
      <c r="C28" s="136"/>
      <c r="D28" s="131"/>
      <c r="E28" s="131"/>
      <c r="F28" s="131"/>
      <c r="G28" s="132"/>
      <c r="H28" s="132"/>
      <c r="I28" s="131"/>
      <c r="J28" s="137"/>
      <c r="K28" s="137"/>
      <c r="L28" s="137"/>
      <c r="M28" s="137"/>
      <c r="N28" s="137"/>
      <c r="O28" s="137"/>
      <c r="P28" s="137"/>
      <c r="Q28" s="137"/>
      <c r="R28" s="137"/>
      <c r="S28" s="137"/>
      <c r="T28" s="137"/>
      <c r="U28" s="130"/>
      <c r="V28" s="8"/>
    </row>
    <row r="29" spans="1:22">
      <c r="A29" s="130"/>
      <c r="B29" s="130"/>
      <c r="C29" s="141" t="s">
        <v>156</v>
      </c>
      <c r="D29" s="142" t="s">
        <v>30</v>
      </c>
      <c r="E29" s="146" t="str">
        <f>units</f>
        <v>$millions</v>
      </c>
      <c r="F29" s="143">
        <f t="shared" si="3"/>
        <v>43617</v>
      </c>
      <c r="G29" s="132"/>
      <c r="H29" s="132"/>
      <c r="I29" s="131"/>
      <c r="J29" s="144">
        <f>SUM(J19:J27)</f>
        <v>3.9926105620233887</v>
      </c>
      <c r="K29" s="144">
        <f t="shared" ref="K29:S29" si="4">SUM(K19:K27)</f>
        <v>4.1004788877014615</v>
      </c>
      <c r="L29" s="144">
        <f t="shared" si="4"/>
        <v>4.1491769318263225</v>
      </c>
      <c r="M29" s="144">
        <f t="shared" si="4"/>
        <v>4.1860621292065741</v>
      </c>
      <c r="N29" s="144">
        <f t="shared" si="4"/>
        <v>4.20513373891011</v>
      </c>
      <c r="O29" s="144">
        <f t="shared" si="4"/>
        <v>0</v>
      </c>
      <c r="P29" s="144">
        <f t="shared" si="4"/>
        <v>0</v>
      </c>
      <c r="Q29" s="144">
        <f t="shared" si="4"/>
        <v>0</v>
      </c>
      <c r="R29" s="144">
        <f t="shared" si="4"/>
        <v>0</v>
      </c>
      <c r="S29" s="144">
        <f t="shared" si="4"/>
        <v>0</v>
      </c>
      <c r="T29" s="144"/>
      <c r="U29" s="130"/>
      <c r="V29" s="67" t="str">
        <f>IF(COUNTIF(J19:S27,"&lt;0")&gt;0,"Check","Ok")</f>
        <v>Ok</v>
      </c>
    </row>
    <row r="30" spans="1:22">
      <c r="A30" s="130"/>
      <c r="B30" s="130"/>
      <c r="C30" s="130"/>
      <c r="D30" s="131"/>
      <c r="E30" s="131"/>
      <c r="F30" s="131"/>
      <c r="G30" s="132"/>
      <c r="H30" s="132"/>
      <c r="I30" s="131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0"/>
      <c r="V30" s="8"/>
    </row>
    <row r="31" spans="1:22" ht="12.75">
      <c r="A31" s="126"/>
      <c r="B31" s="40" t="s">
        <v>57</v>
      </c>
      <c r="C31" s="126"/>
      <c r="D31" s="126"/>
      <c r="E31" s="126"/>
      <c r="F31" s="127"/>
      <c r="G31" s="127"/>
      <c r="H31" s="127"/>
      <c r="I31" s="127"/>
      <c r="J31" s="128"/>
      <c r="K31" s="129"/>
      <c r="L31" s="128"/>
      <c r="M31" s="129"/>
      <c r="N31" s="128"/>
      <c r="O31" s="128"/>
      <c r="P31" s="128"/>
      <c r="Q31" s="128"/>
      <c r="R31" s="128"/>
      <c r="S31" s="128"/>
      <c r="T31" s="128"/>
      <c r="U31" s="128"/>
      <c r="V31" s="37"/>
    </row>
    <row r="32" spans="1:22">
      <c r="A32" s="130"/>
      <c r="B32" s="130"/>
      <c r="C32" s="130"/>
      <c r="D32" s="131"/>
      <c r="E32" s="131"/>
      <c r="F32" s="131"/>
      <c r="G32" s="131"/>
      <c r="H32" s="131"/>
      <c r="I32" s="131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8"/>
    </row>
    <row r="33" spans="1:22">
      <c r="A33" s="130"/>
      <c r="B33" s="130"/>
      <c r="C33" s="130"/>
      <c r="D33" s="131"/>
      <c r="E33" s="131"/>
      <c r="F33" s="131"/>
      <c r="G33" s="131"/>
      <c r="H33" s="131"/>
      <c r="I33" s="131"/>
      <c r="J33" s="140" t="s">
        <v>23</v>
      </c>
      <c r="K33" s="140" t="s">
        <v>23</v>
      </c>
      <c r="L33" s="140" t="s">
        <v>74</v>
      </c>
      <c r="M33" s="140" t="s">
        <v>74</v>
      </c>
      <c r="N33" s="140" t="s">
        <v>74</v>
      </c>
      <c r="O33" s="140"/>
      <c r="P33" s="140"/>
      <c r="Q33" s="140"/>
      <c r="R33" s="140"/>
      <c r="S33" s="140"/>
      <c r="T33" s="140"/>
      <c r="U33" s="130"/>
      <c r="V33" s="8"/>
    </row>
    <row r="34" spans="1:22">
      <c r="A34" s="130"/>
      <c r="B34" s="130"/>
      <c r="C34" s="133" t="s">
        <v>76</v>
      </c>
      <c r="D34" s="132" t="s">
        <v>7</v>
      </c>
      <c r="E34" s="132" t="s">
        <v>8</v>
      </c>
      <c r="F34" s="132" t="s">
        <v>22</v>
      </c>
      <c r="G34" s="132"/>
      <c r="H34" s="132"/>
      <c r="I34" s="132"/>
      <c r="J34" s="134">
        <f t="shared" ref="J34:S34" si="5">IF(YEAR(J$4)&lt;=PPLastYear,J$4,"")</f>
        <v>43983</v>
      </c>
      <c r="K34" s="134">
        <f t="shared" si="5"/>
        <v>44348</v>
      </c>
      <c r="L34" s="134">
        <f t="shared" si="5"/>
        <v>44713</v>
      </c>
      <c r="M34" s="134">
        <f t="shared" si="5"/>
        <v>45078</v>
      </c>
      <c r="N34" s="134">
        <f t="shared" si="5"/>
        <v>45444</v>
      </c>
      <c r="O34" s="134" t="str">
        <f t="shared" si="5"/>
        <v/>
      </c>
      <c r="P34" s="134" t="str">
        <f t="shared" si="5"/>
        <v/>
      </c>
      <c r="Q34" s="134" t="str">
        <f t="shared" si="5"/>
        <v/>
      </c>
      <c r="R34" s="134" t="str">
        <f t="shared" si="5"/>
        <v/>
      </c>
      <c r="S34" s="134" t="str">
        <f t="shared" si="5"/>
        <v/>
      </c>
      <c r="T34" s="134"/>
      <c r="U34" s="135" t="s">
        <v>54</v>
      </c>
      <c r="V34" s="8"/>
    </row>
    <row r="35" spans="1:22">
      <c r="A35" s="130"/>
      <c r="B35" s="130"/>
      <c r="C35" s="136"/>
      <c r="D35" s="131"/>
      <c r="E35" s="131"/>
      <c r="F35" s="131"/>
      <c r="G35" s="132"/>
      <c r="H35" s="132"/>
      <c r="I35" s="131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8"/>
    </row>
    <row r="36" spans="1:22">
      <c r="A36" s="130"/>
      <c r="B36" s="130"/>
      <c r="C36" s="136"/>
      <c r="D36" s="131"/>
      <c r="E36" s="131"/>
      <c r="F36" s="131"/>
      <c r="G36" s="132"/>
      <c r="H36" s="132"/>
      <c r="I36" s="131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8"/>
    </row>
    <row r="37" spans="1:22">
      <c r="A37" s="130"/>
      <c r="B37" s="130"/>
      <c r="C37" s="138" t="s">
        <v>73</v>
      </c>
      <c r="D37" s="131" t="s">
        <v>75</v>
      </c>
      <c r="E37" s="131" t="str">
        <f>units</f>
        <v>$millions</v>
      </c>
      <c r="F37" s="145" t="s">
        <v>100</v>
      </c>
      <c r="G37" s="132"/>
      <c r="H37" s="132"/>
      <c r="I37" s="131"/>
      <c r="J37" s="140">
        <v>394.65359000000001</v>
      </c>
      <c r="K37" s="140">
        <v>385.62245291999994</v>
      </c>
      <c r="L37" s="140">
        <v>360.87169299999999</v>
      </c>
      <c r="M37" s="140">
        <v>416.66337539721212</v>
      </c>
      <c r="N37" s="140"/>
      <c r="O37" s="140"/>
      <c r="P37" s="140"/>
      <c r="Q37" s="140"/>
      <c r="R37" s="140"/>
      <c r="S37" s="140"/>
      <c r="T37" s="140"/>
      <c r="U37" s="130" t="s">
        <v>167</v>
      </c>
      <c r="V37" s="8"/>
    </row>
    <row r="38" spans="1:22">
      <c r="A38" s="130"/>
      <c r="B38" s="130"/>
      <c r="C38" s="136"/>
      <c r="D38" s="131"/>
      <c r="E38" s="131"/>
      <c r="F38" s="145"/>
      <c r="G38" s="132"/>
      <c r="H38" s="132"/>
      <c r="I38" s="131"/>
      <c r="J38" s="140"/>
      <c r="K38" s="140"/>
      <c r="L38" s="140"/>
      <c r="M38" s="140"/>
      <c r="N38" s="140"/>
      <c r="O38" s="140"/>
      <c r="P38" s="140"/>
      <c r="Q38" s="140"/>
      <c r="R38" s="140"/>
      <c r="S38" s="140"/>
      <c r="T38" s="140"/>
      <c r="U38" s="130"/>
      <c r="V38" s="8"/>
    </row>
    <row r="39" spans="1:22">
      <c r="A39" s="130"/>
      <c r="B39" s="130"/>
      <c r="C39" s="133" t="s">
        <v>175</v>
      </c>
      <c r="D39" s="131"/>
      <c r="E39" s="131"/>
      <c r="F39" s="145"/>
      <c r="G39" s="132"/>
      <c r="H39" s="132"/>
      <c r="I39" s="131"/>
      <c r="J39" s="140"/>
      <c r="K39" s="140"/>
      <c r="L39" s="140"/>
      <c r="M39" s="140"/>
      <c r="N39" s="140"/>
      <c r="O39" s="140"/>
      <c r="P39" s="140"/>
      <c r="Q39" s="140"/>
      <c r="R39" s="140"/>
      <c r="S39" s="140"/>
      <c r="T39" s="140"/>
      <c r="U39" s="130"/>
      <c r="V39" s="8"/>
    </row>
    <row r="40" spans="1:22">
      <c r="A40" s="130"/>
      <c r="B40" s="130"/>
      <c r="C40" s="133"/>
      <c r="D40" s="131"/>
      <c r="E40" s="131"/>
      <c r="F40" s="145"/>
      <c r="G40" s="132"/>
      <c r="H40" s="132"/>
      <c r="I40" s="131"/>
      <c r="J40" s="140"/>
      <c r="K40" s="140"/>
      <c r="L40" s="140"/>
      <c r="M40" s="140"/>
      <c r="N40" s="140"/>
      <c r="O40" s="140"/>
      <c r="P40" s="140"/>
      <c r="Q40" s="140"/>
      <c r="R40" s="140"/>
      <c r="S40" s="140"/>
      <c r="T40" s="140"/>
      <c r="U40" s="130"/>
      <c r="V40" s="8"/>
    </row>
    <row r="41" spans="1:22">
      <c r="A41" s="130"/>
      <c r="B41" s="130"/>
      <c r="C41" s="138" t="s">
        <v>171</v>
      </c>
      <c r="D41" s="131" t="s">
        <v>75</v>
      </c>
      <c r="E41" s="131" t="str">
        <f>units</f>
        <v>$millions</v>
      </c>
      <c r="F41" s="145" t="s">
        <v>100</v>
      </c>
      <c r="G41" s="132"/>
      <c r="H41" s="132"/>
      <c r="I41" s="131"/>
      <c r="J41" s="140">
        <v>12.072732999999999</v>
      </c>
      <c r="K41" s="140">
        <v>1.733862</v>
      </c>
      <c r="L41" s="140">
        <v>-7.2076130000000003</v>
      </c>
      <c r="M41" s="140">
        <v>5.9728149999999998</v>
      </c>
      <c r="N41" s="140"/>
      <c r="O41" s="140"/>
      <c r="P41" s="140"/>
      <c r="Q41" s="140"/>
      <c r="R41" s="140"/>
      <c r="S41" s="140"/>
      <c r="T41" s="140"/>
      <c r="U41" s="130" t="s">
        <v>174</v>
      </c>
      <c r="V41" s="8"/>
    </row>
    <row r="42" spans="1:22">
      <c r="A42" s="130"/>
      <c r="B42" s="130"/>
      <c r="C42" s="138" t="s">
        <v>214</v>
      </c>
      <c r="D42" s="131" t="s">
        <v>75</v>
      </c>
      <c r="E42" s="131" t="str">
        <f>units</f>
        <v>$millions</v>
      </c>
      <c r="F42" s="145" t="s">
        <v>100</v>
      </c>
      <c r="G42" s="132"/>
      <c r="H42" s="132"/>
      <c r="I42" s="131"/>
      <c r="J42" s="195">
        <v>1.3220000000000001E-2</v>
      </c>
      <c r="K42" s="195">
        <v>0</v>
      </c>
      <c r="L42" s="195">
        <v>0.25096986999999998</v>
      </c>
      <c r="M42" s="140">
        <v>2.5445432732071978</v>
      </c>
      <c r="N42" s="140"/>
      <c r="O42" s="140"/>
      <c r="P42" s="140"/>
      <c r="Q42" s="140"/>
      <c r="R42" s="140"/>
      <c r="S42" s="140"/>
      <c r="T42" s="140"/>
      <c r="U42" s="130"/>
      <c r="V42" s="8"/>
    </row>
    <row r="43" spans="1:22">
      <c r="A43" s="130"/>
      <c r="B43" s="130"/>
      <c r="C43" s="138"/>
      <c r="D43" s="131" t="s">
        <v>75</v>
      </c>
      <c r="E43" s="131" t="str">
        <f>units</f>
        <v>$millions</v>
      </c>
      <c r="F43" s="145" t="s">
        <v>100</v>
      </c>
      <c r="G43" s="132"/>
      <c r="H43" s="132"/>
      <c r="I43" s="131"/>
      <c r="J43" s="140"/>
      <c r="K43" s="140"/>
      <c r="L43" s="140"/>
      <c r="M43" s="140"/>
      <c r="N43" s="140"/>
      <c r="O43" s="140"/>
      <c r="P43" s="140"/>
      <c r="Q43" s="140"/>
      <c r="R43" s="140"/>
      <c r="S43" s="140"/>
      <c r="T43" s="140"/>
      <c r="U43" s="130"/>
      <c r="V43" s="8"/>
    </row>
    <row r="44" spans="1:22">
      <c r="A44" s="130"/>
      <c r="B44" s="130"/>
      <c r="C44" s="138"/>
      <c r="D44" s="131" t="s">
        <v>75</v>
      </c>
      <c r="E44" s="131" t="str">
        <f>units</f>
        <v>$millions</v>
      </c>
      <c r="F44" s="145" t="s">
        <v>100</v>
      </c>
      <c r="G44" s="132"/>
      <c r="H44" s="132"/>
      <c r="I44" s="131"/>
      <c r="J44" s="140"/>
      <c r="K44" s="140"/>
      <c r="L44" s="140"/>
      <c r="M44" s="140"/>
      <c r="N44" s="140"/>
      <c r="O44" s="140"/>
      <c r="P44" s="140"/>
      <c r="Q44" s="140"/>
      <c r="R44" s="140"/>
      <c r="S44" s="140"/>
      <c r="T44" s="140"/>
      <c r="U44" s="130"/>
      <c r="V44" s="8"/>
    </row>
    <row r="45" spans="1:22">
      <c r="A45" s="130"/>
      <c r="B45" s="130"/>
      <c r="C45" s="138"/>
      <c r="D45" s="131" t="s">
        <v>75</v>
      </c>
      <c r="E45" s="131" t="str">
        <f>units</f>
        <v>$millions</v>
      </c>
      <c r="F45" s="145" t="s">
        <v>100</v>
      </c>
      <c r="G45" s="132"/>
      <c r="H45" s="132"/>
      <c r="I45" s="131"/>
      <c r="J45" s="140"/>
      <c r="K45" s="140"/>
      <c r="L45" s="140"/>
      <c r="M45" s="140"/>
      <c r="N45" s="140"/>
      <c r="O45" s="140"/>
      <c r="P45" s="140"/>
      <c r="Q45" s="140"/>
      <c r="R45" s="140"/>
      <c r="S45" s="140"/>
      <c r="T45" s="140"/>
      <c r="U45" s="130"/>
      <c r="V45" s="8"/>
    </row>
    <row r="46" spans="1:22">
      <c r="A46" s="130"/>
      <c r="B46" s="130"/>
      <c r="C46" s="136"/>
      <c r="D46" s="131"/>
      <c r="E46" s="131"/>
      <c r="F46" s="131"/>
      <c r="G46" s="132"/>
      <c r="H46" s="132"/>
      <c r="I46" s="131"/>
      <c r="J46" s="130"/>
      <c r="K46" s="130"/>
      <c r="L46" s="130"/>
      <c r="M46" s="130"/>
      <c r="N46" s="147"/>
      <c r="O46" s="147"/>
      <c r="P46" s="147"/>
      <c r="Q46" s="147"/>
      <c r="R46" s="147"/>
      <c r="S46" s="147"/>
      <c r="T46" s="147"/>
      <c r="U46" s="130"/>
      <c r="V46" s="8"/>
    </row>
    <row r="47" spans="1:22">
      <c r="A47" s="130"/>
      <c r="B47" s="130"/>
      <c r="C47" s="141" t="s">
        <v>172</v>
      </c>
      <c r="D47" s="142" t="s">
        <v>30</v>
      </c>
      <c r="E47" s="146" t="str">
        <f>units</f>
        <v>$millions</v>
      </c>
      <c r="F47" s="143" t="s">
        <v>100</v>
      </c>
      <c r="G47" s="132"/>
      <c r="H47" s="132"/>
      <c r="I47" s="131"/>
      <c r="J47" s="144">
        <f>J37-SUM(J41:J45)</f>
        <v>382.56763699999999</v>
      </c>
      <c r="K47" s="144">
        <f t="shared" ref="K47:S47" si="6">K37-SUM(K41:K45)</f>
        <v>383.88859091999996</v>
      </c>
      <c r="L47" s="144">
        <f t="shared" si="6"/>
        <v>367.82833612999997</v>
      </c>
      <c r="M47" s="144">
        <f t="shared" si="6"/>
        <v>408.14601712400491</v>
      </c>
      <c r="N47" s="144">
        <f t="shared" si="6"/>
        <v>0</v>
      </c>
      <c r="O47" s="144">
        <f t="shared" si="6"/>
        <v>0</v>
      </c>
      <c r="P47" s="144">
        <f t="shared" si="6"/>
        <v>0</v>
      </c>
      <c r="Q47" s="144">
        <f t="shared" si="6"/>
        <v>0</v>
      </c>
      <c r="R47" s="144">
        <f t="shared" si="6"/>
        <v>0</v>
      </c>
      <c r="S47" s="144">
        <f t="shared" si="6"/>
        <v>0</v>
      </c>
      <c r="T47" s="144"/>
      <c r="U47" s="130"/>
      <c r="V47" s="8"/>
    </row>
    <row r="48" spans="1:22">
      <c r="A48" s="130"/>
      <c r="B48" s="130"/>
      <c r="C48" s="130"/>
      <c r="D48" s="131"/>
      <c r="E48" s="131"/>
      <c r="F48" s="131"/>
      <c r="G48" s="131"/>
      <c r="H48" s="131"/>
      <c r="I48" s="131"/>
      <c r="J48" s="130"/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8"/>
    </row>
    <row r="49" spans="1:22">
      <c r="A49" s="130"/>
      <c r="B49" s="130"/>
      <c r="C49" s="133" t="s">
        <v>108</v>
      </c>
      <c r="D49" s="131"/>
      <c r="E49" s="131"/>
      <c r="F49" s="131"/>
      <c r="G49" s="131"/>
      <c r="H49" s="131"/>
      <c r="I49" s="131"/>
      <c r="J49" s="130"/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  <c r="V49" s="8"/>
    </row>
    <row r="50" spans="1:22">
      <c r="A50" s="130"/>
      <c r="B50" s="130"/>
      <c r="C50" s="130"/>
      <c r="D50" s="131"/>
      <c r="E50" s="131"/>
      <c r="F50" s="131"/>
      <c r="G50" s="131"/>
      <c r="H50" s="131"/>
      <c r="I50" s="131"/>
      <c r="J50" s="130"/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8"/>
    </row>
    <row r="51" spans="1:22">
      <c r="A51" s="130"/>
      <c r="B51" s="130"/>
      <c r="C51" s="138" t="s">
        <v>39</v>
      </c>
      <c r="D51" s="131" t="s">
        <v>75</v>
      </c>
      <c r="E51" s="131" t="str">
        <f>units</f>
        <v>$millions</v>
      </c>
      <c r="F51" s="145" t="s">
        <v>100</v>
      </c>
      <c r="G51" s="132"/>
      <c r="H51" s="132"/>
      <c r="I51" s="131"/>
      <c r="J51" s="140">
        <v>0</v>
      </c>
      <c r="K51" s="140">
        <v>0</v>
      </c>
      <c r="L51" s="140">
        <v>0</v>
      </c>
      <c r="M51" s="140">
        <v>0</v>
      </c>
      <c r="N51" s="140"/>
      <c r="O51" s="140"/>
      <c r="P51" s="140"/>
      <c r="Q51" s="140"/>
      <c r="R51" s="140"/>
      <c r="S51" s="140"/>
      <c r="T51" s="140"/>
      <c r="U51" s="130" t="s">
        <v>170</v>
      </c>
      <c r="V51" s="8"/>
    </row>
    <row r="52" spans="1:22">
      <c r="A52" s="130"/>
      <c r="B52" s="130"/>
      <c r="C52" s="138"/>
      <c r="D52" s="131" t="s">
        <v>75</v>
      </c>
      <c r="E52" s="131" t="str">
        <f>units</f>
        <v>$millions</v>
      </c>
      <c r="F52" s="145" t="s">
        <v>100</v>
      </c>
      <c r="G52" s="132"/>
      <c r="H52" s="132"/>
      <c r="I52" s="131"/>
      <c r="J52" s="140"/>
      <c r="K52" s="140"/>
      <c r="L52" s="140"/>
      <c r="M52" s="140"/>
      <c r="N52" s="140"/>
      <c r="O52" s="140"/>
      <c r="P52" s="140"/>
      <c r="Q52" s="140"/>
      <c r="R52" s="140"/>
      <c r="S52" s="140"/>
      <c r="T52" s="140"/>
      <c r="U52" s="130"/>
      <c r="V52" s="8"/>
    </row>
    <row r="53" spans="1:22">
      <c r="A53" s="130"/>
      <c r="B53" s="130"/>
      <c r="C53" s="138"/>
      <c r="D53" s="131" t="s">
        <v>75</v>
      </c>
      <c r="E53" s="131" t="str">
        <f>units</f>
        <v>$millions</v>
      </c>
      <c r="F53" s="145" t="s">
        <v>100</v>
      </c>
      <c r="G53" s="132"/>
      <c r="H53" s="132"/>
      <c r="I53" s="131"/>
      <c r="J53" s="140"/>
      <c r="K53" s="140"/>
      <c r="L53" s="140"/>
      <c r="M53" s="140"/>
      <c r="N53" s="140"/>
      <c r="O53" s="140"/>
      <c r="P53" s="140"/>
      <c r="Q53" s="140"/>
      <c r="R53" s="140"/>
      <c r="S53" s="140"/>
      <c r="T53" s="140"/>
      <c r="U53" s="130"/>
      <c r="V53" s="8"/>
    </row>
    <row r="54" spans="1:22">
      <c r="A54" s="130"/>
      <c r="B54" s="130"/>
      <c r="C54" s="138"/>
      <c r="D54" s="131" t="s">
        <v>75</v>
      </c>
      <c r="E54" s="131" t="str">
        <f>units</f>
        <v>$millions</v>
      </c>
      <c r="F54" s="145" t="s">
        <v>100</v>
      </c>
      <c r="G54" s="132"/>
      <c r="H54" s="132"/>
      <c r="I54" s="131"/>
      <c r="J54" s="140"/>
      <c r="K54" s="140"/>
      <c r="L54" s="140"/>
      <c r="M54" s="140"/>
      <c r="N54" s="140"/>
      <c r="O54" s="140"/>
      <c r="P54" s="140"/>
      <c r="Q54" s="140"/>
      <c r="R54" s="140"/>
      <c r="S54" s="140"/>
      <c r="T54" s="140"/>
      <c r="U54" s="130"/>
      <c r="V54" s="8"/>
    </row>
    <row r="55" spans="1:22">
      <c r="A55" s="130"/>
      <c r="B55" s="130"/>
      <c r="C55" s="138"/>
      <c r="D55" s="131" t="s">
        <v>75</v>
      </c>
      <c r="E55" s="131" t="str">
        <f>units</f>
        <v>$millions</v>
      </c>
      <c r="F55" s="145" t="s">
        <v>100</v>
      </c>
      <c r="G55" s="132"/>
      <c r="H55" s="132"/>
      <c r="I55" s="131"/>
      <c r="J55" s="140"/>
      <c r="K55" s="140"/>
      <c r="L55" s="140"/>
      <c r="M55" s="140"/>
      <c r="N55" s="140"/>
      <c r="O55" s="140"/>
      <c r="P55" s="140"/>
      <c r="Q55" s="140"/>
      <c r="R55" s="140"/>
      <c r="S55" s="140"/>
      <c r="T55" s="140"/>
      <c r="U55" s="130"/>
      <c r="V55" s="8"/>
    </row>
    <row r="56" spans="1:22">
      <c r="A56" s="130"/>
      <c r="B56" s="130"/>
      <c r="C56" s="136"/>
      <c r="D56" s="131"/>
      <c r="E56" s="131"/>
      <c r="F56" s="131"/>
      <c r="G56" s="132"/>
      <c r="H56" s="132"/>
      <c r="I56" s="131"/>
      <c r="J56" s="130"/>
      <c r="K56" s="130"/>
      <c r="L56" s="130"/>
      <c r="M56" s="130"/>
      <c r="N56" s="147"/>
      <c r="O56" s="147"/>
      <c r="P56" s="147"/>
      <c r="Q56" s="147"/>
      <c r="R56" s="147"/>
      <c r="S56" s="147"/>
      <c r="T56" s="147"/>
      <c r="U56" s="130"/>
      <c r="V56" s="8"/>
    </row>
    <row r="57" spans="1:22">
      <c r="A57" s="130"/>
      <c r="B57" s="130"/>
      <c r="C57" s="141" t="s">
        <v>156</v>
      </c>
      <c r="D57" s="142" t="s">
        <v>30</v>
      </c>
      <c r="E57" s="146" t="str">
        <f>units</f>
        <v>$millions</v>
      </c>
      <c r="F57" s="143" t="s">
        <v>100</v>
      </c>
      <c r="G57" s="132"/>
      <c r="H57" s="132"/>
      <c r="I57" s="131"/>
      <c r="J57" s="148">
        <f>SUM(J51:J55)</f>
        <v>0</v>
      </c>
      <c r="K57" s="148">
        <f t="shared" ref="K57:S57" si="7">SUM(K51:K55)</f>
        <v>0</v>
      </c>
      <c r="L57" s="148">
        <f t="shared" si="7"/>
        <v>0</v>
      </c>
      <c r="M57" s="148">
        <f t="shared" si="7"/>
        <v>0</v>
      </c>
      <c r="N57" s="148">
        <f t="shared" si="7"/>
        <v>0</v>
      </c>
      <c r="O57" s="148">
        <f t="shared" si="7"/>
        <v>0</v>
      </c>
      <c r="P57" s="148">
        <f t="shared" si="7"/>
        <v>0</v>
      </c>
      <c r="Q57" s="148">
        <f t="shared" si="7"/>
        <v>0</v>
      </c>
      <c r="R57" s="148">
        <f t="shared" si="7"/>
        <v>0</v>
      </c>
      <c r="S57" s="148">
        <f t="shared" si="7"/>
        <v>0</v>
      </c>
      <c r="T57" s="148"/>
      <c r="U57" s="130"/>
      <c r="V57" s="67" t="str">
        <f>IF(COUNTIF(J51:S55,"&lt;0")&gt;0,"Check","Ok")</f>
        <v>Ok</v>
      </c>
    </row>
    <row r="58" spans="1:22">
      <c r="A58" s="130"/>
      <c r="B58" s="130"/>
      <c r="C58" s="130"/>
      <c r="D58" s="131"/>
      <c r="E58" s="131"/>
      <c r="F58" s="131"/>
      <c r="G58" s="132"/>
      <c r="H58" s="132"/>
      <c r="I58" s="131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8"/>
    </row>
    <row r="59" spans="1:22" ht="12.75">
      <c r="A59" s="126"/>
      <c r="B59" s="40" t="s">
        <v>109</v>
      </c>
      <c r="C59" s="126"/>
      <c r="D59" s="126"/>
      <c r="E59" s="126"/>
      <c r="F59" s="127"/>
      <c r="G59" s="127"/>
      <c r="H59" s="127"/>
      <c r="I59" s="127"/>
      <c r="J59" s="128"/>
      <c r="K59" s="129"/>
      <c r="L59" s="128"/>
      <c r="M59" s="129"/>
      <c r="N59" s="128"/>
      <c r="O59" s="128"/>
      <c r="P59" s="128"/>
      <c r="Q59" s="128"/>
      <c r="R59" s="128"/>
      <c r="S59" s="128"/>
      <c r="T59" s="128"/>
      <c r="U59" s="128"/>
      <c r="V59" s="37"/>
    </row>
    <row r="60" spans="1:22">
      <c r="A60" s="130"/>
      <c r="B60" s="130"/>
      <c r="C60" s="130"/>
      <c r="D60" s="131"/>
      <c r="E60" s="131"/>
      <c r="F60" s="131"/>
      <c r="G60" s="131"/>
      <c r="H60" s="131"/>
      <c r="I60" s="131"/>
      <c r="J60" s="130"/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8"/>
    </row>
    <row r="61" spans="1:22">
      <c r="A61" s="130"/>
      <c r="B61" s="130"/>
      <c r="C61" s="133" t="s">
        <v>110</v>
      </c>
      <c r="D61" s="132" t="s">
        <v>7</v>
      </c>
      <c r="E61" s="132" t="s">
        <v>8</v>
      </c>
      <c r="F61" s="132" t="s">
        <v>22</v>
      </c>
      <c r="G61" s="132"/>
      <c r="H61" s="132"/>
      <c r="I61" s="132"/>
      <c r="J61" s="134" t="str">
        <f t="shared" ref="J61:S61" si="8">IF(YEAR(J$4)=PPLastYear,J$4,"")</f>
        <v/>
      </c>
      <c r="K61" s="134" t="str">
        <f t="shared" si="8"/>
        <v/>
      </c>
      <c r="L61" s="134" t="str">
        <f t="shared" si="8"/>
        <v/>
      </c>
      <c r="M61" s="134" t="str">
        <f t="shared" si="8"/>
        <v/>
      </c>
      <c r="N61" s="134">
        <f t="shared" si="8"/>
        <v>45444</v>
      </c>
      <c r="O61" s="134" t="str">
        <f t="shared" si="8"/>
        <v/>
      </c>
      <c r="P61" s="134" t="str">
        <f t="shared" si="8"/>
        <v/>
      </c>
      <c r="Q61" s="134" t="str">
        <f t="shared" si="8"/>
        <v/>
      </c>
      <c r="R61" s="134" t="str">
        <f t="shared" si="8"/>
        <v/>
      </c>
      <c r="S61" s="134" t="str">
        <f t="shared" si="8"/>
        <v/>
      </c>
      <c r="T61" s="134"/>
      <c r="U61" s="130"/>
      <c r="V61" s="8"/>
    </row>
    <row r="62" spans="1:22">
      <c r="A62" s="130"/>
      <c r="B62" s="130"/>
      <c r="C62" s="133"/>
      <c r="D62" s="132"/>
      <c r="E62" s="132"/>
      <c r="F62" s="132"/>
      <c r="G62" s="132"/>
      <c r="H62" s="132"/>
      <c r="I62" s="132"/>
      <c r="J62" s="149"/>
      <c r="K62" s="149"/>
      <c r="L62" s="149"/>
      <c r="M62" s="149"/>
      <c r="N62" s="149"/>
      <c r="O62" s="149"/>
      <c r="P62" s="149"/>
      <c r="Q62" s="149"/>
      <c r="R62" s="149"/>
      <c r="S62" s="149"/>
      <c r="T62" s="149"/>
      <c r="U62" s="130"/>
      <c r="V62" s="8"/>
    </row>
    <row r="63" spans="1:22">
      <c r="A63" s="130"/>
      <c r="B63" s="130"/>
      <c r="C63" s="138" t="s">
        <v>215</v>
      </c>
      <c r="D63" s="131" t="s">
        <v>34</v>
      </c>
      <c r="E63" s="131" t="str">
        <f>units</f>
        <v>$millions</v>
      </c>
      <c r="F63" s="150">
        <f>DATE(PPLastYear,MONTH(month),1)</f>
        <v>45444</v>
      </c>
      <c r="G63" s="132"/>
      <c r="H63" s="132"/>
      <c r="I63" s="132"/>
      <c r="J63" s="140"/>
      <c r="K63" s="140"/>
      <c r="L63" s="140"/>
      <c r="M63" s="140"/>
      <c r="N63" s="140"/>
      <c r="O63" s="140"/>
      <c r="P63" s="140"/>
      <c r="Q63" s="140"/>
      <c r="R63" s="140"/>
      <c r="S63" s="140"/>
      <c r="T63" s="140"/>
      <c r="U63" s="130" t="s">
        <v>178</v>
      </c>
      <c r="V63" s="8"/>
    </row>
    <row r="64" spans="1:22">
      <c r="A64" s="130"/>
      <c r="B64" s="130"/>
      <c r="C64" s="138" t="s">
        <v>111</v>
      </c>
      <c r="D64" s="131" t="s">
        <v>34</v>
      </c>
      <c r="E64" s="131" t="str">
        <f>units</f>
        <v>$millions</v>
      </c>
      <c r="F64" s="150">
        <f>DATE(PPLastYear,MONTH(month),1)</f>
        <v>45444</v>
      </c>
      <c r="G64" s="132"/>
      <c r="H64" s="132"/>
      <c r="I64" s="132"/>
      <c r="J64" s="140"/>
      <c r="K64" s="140"/>
      <c r="L64" s="140"/>
      <c r="M64" s="140"/>
      <c r="N64" s="140"/>
      <c r="O64" s="140"/>
      <c r="P64" s="140"/>
      <c r="Q64" s="140"/>
      <c r="R64" s="140"/>
      <c r="S64" s="140"/>
      <c r="T64" s="140"/>
      <c r="U64" s="133"/>
      <c r="V64" s="8"/>
    </row>
    <row r="65" spans="1:22">
      <c r="A65" s="130"/>
      <c r="B65" s="130"/>
      <c r="C65" s="138" t="s">
        <v>112</v>
      </c>
      <c r="D65" s="131" t="s">
        <v>34</v>
      </c>
      <c r="E65" s="131" t="str">
        <f>units</f>
        <v>$millions</v>
      </c>
      <c r="F65" s="150">
        <f>DATE(PPLastYear,MONTH(month),1)</f>
        <v>45444</v>
      </c>
      <c r="G65" s="132"/>
      <c r="H65" s="132"/>
      <c r="I65" s="132"/>
      <c r="J65" s="140"/>
      <c r="K65" s="140"/>
      <c r="L65" s="140"/>
      <c r="M65" s="140"/>
      <c r="N65" s="140"/>
      <c r="O65" s="140"/>
      <c r="P65" s="140"/>
      <c r="Q65" s="140"/>
      <c r="R65" s="140"/>
      <c r="S65" s="140"/>
      <c r="T65" s="140"/>
      <c r="U65" s="133"/>
      <c r="V65" s="8"/>
    </row>
    <row r="66" spans="1:22">
      <c r="A66" s="130"/>
      <c r="B66" s="130"/>
      <c r="C66" s="138" t="s">
        <v>113</v>
      </c>
      <c r="D66" s="131" t="s">
        <v>34</v>
      </c>
      <c r="E66" s="131" t="str">
        <f>units</f>
        <v>$millions</v>
      </c>
      <c r="F66" s="150">
        <f>DATE(PPLastYear,MONTH(month),1)</f>
        <v>45444</v>
      </c>
      <c r="G66" s="132"/>
      <c r="H66" s="132"/>
      <c r="I66" s="132"/>
      <c r="J66" s="140"/>
      <c r="K66" s="140"/>
      <c r="L66" s="140"/>
      <c r="M66" s="140"/>
      <c r="N66" s="140"/>
      <c r="O66" s="140"/>
      <c r="P66" s="140"/>
      <c r="Q66" s="140"/>
      <c r="R66" s="140"/>
      <c r="S66" s="140"/>
      <c r="T66" s="140"/>
      <c r="U66" s="133"/>
      <c r="V66" s="8"/>
    </row>
    <row r="67" spans="1:22">
      <c r="A67" s="130"/>
      <c r="B67" s="130"/>
      <c r="C67" s="138" t="s">
        <v>114</v>
      </c>
      <c r="D67" s="131" t="s">
        <v>34</v>
      </c>
      <c r="E67" s="131" t="str">
        <f>units</f>
        <v>$millions</v>
      </c>
      <c r="F67" s="150">
        <f>DATE(PPLastYear,MONTH(month),1)</f>
        <v>45444</v>
      </c>
      <c r="G67" s="132"/>
      <c r="H67" s="132"/>
      <c r="I67" s="132"/>
      <c r="J67" s="140"/>
      <c r="K67" s="140"/>
      <c r="L67" s="140"/>
      <c r="M67" s="140"/>
      <c r="N67" s="140"/>
      <c r="O67" s="140"/>
      <c r="P67" s="140"/>
      <c r="Q67" s="140"/>
      <c r="R67" s="140"/>
      <c r="S67" s="140"/>
      <c r="T67" s="140"/>
      <c r="U67" s="133"/>
      <c r="V67" s="8"/>
    </row>
    <row r="68" spans="1:22">
      <c r="A68" s="130"/>
      <c r="B68" s="130"/>
      <c r="C68" s="151"/>
      <c r="D68" s="131"/>
      <c r="E68" s="131"/>
      <c r="F68" s="132"/>
      <c r="G68" s="132"/>
      <c r="H68" s="132"/>
      <c r="I68" s="132"/>
      <c r="J68" s="152"/>
      <c r="K68" s="152"/>
      <c r="L68" s="152"/>
      <c r="M68" s="152"/>
      <c r="N68" s="152"/>
      <c r="O68" s="152"/>
      <c r="P68" s="152"/>
      <c r="Q68" s="152"/>
      <c r="R68" s="152"/>
      <c r="S68" s="152"/>
      <c r="T68" s="152"/>
      <c r="U68" s="133"/>
      <c r="V68" s="8"/>
    </row>
    <row r="69" spans="1:22">
      <c r="A69" s="130"/>
      <c r="B69" s="130"/>
      <c r="C69" s="153" t="s">
        <v>173</v>
      </c>
      <c r="D69" s="131" t="s">
        <v>34</v>
      </c>
      <c r="E69" s="131" t="str">
        <f>units</f>
        <v>$millions</v>
      </c>
      <c r="F69" s="150">
        <f>DATE(PPLastYear,MONTH(month),1)</f>
        <v>45444</v>
      </c>
      <c r="G69" s="132"/>
      <c r="H69" s="132"/>
      <c r="I69" s="132"/>
      <c r="J69" s="140"/>
      <c r="K69" s="140"/>
      <c r="L69" s="140"/>
      <c r="M69" s="140"/>
      <c r="N69" s="202">
        <v>39.337445444947399</v>
      </c>
      <c r="O69" s="140"/>
      <c r="P69" s="140"/>
      <c r="Q69" s="140"/>
      <c r="R69" s="140"/>
      <c r="S69" s="140"/>
      <c r="T69" s="140"/>
      <c r="U69" s="133"/>
      <c r="V69" s="8"/>
    </row>
    <row r="70" spans="1:22">
      <c r="A70" s="130"/>
      <c r="B70" s="130"/>
      <c r="C70" s="153"/>
      <c r="D70" s="131"/>
      <c r="E70" s="131"/>
      <c r="F70" s="132"/>
      <c r="G70" s="132"/>
      <c r="H70" s="132"/>
      <c r="I70" s="132"/>
      <c r="J70" s="152"/>
      <c r="K70" s="152"/>
      <c r="L70" s="152"/>
      <c r="M70" s="152"/>
      <c r="N70" s="152"/>
      <c r="O70" s="152"/>
      <c r="P70" s="152"/>
      <c r="Q70" s="152"/>
      <c r="R70" s="152"/>
      <c r="S70" s="152"/>
      <c r="T70" s="152"/>
      <c r="U70" s="133"/>
      <c r="V70" s="8"/>
    </row>
    <row r="71" spans="1:22">
      <c r="A71" s="130"/>
      <c r="B71" s="130"/>
      <c r="C71" s="153" t="s">
        <v>89</v>
      </c>
      <c r="D71" s="131" t="s">
        <v>34</v>
      </c>
      <c r="E71" s="131" t="s">
        <v>31</v>
      </c>
      <c r="F71" s="132"/>
      <c r="G71" s="132"/>
      <c r="H71" s="132"/>
      <c r="I71" s="132"/>
      <c r="J71" s="154"/>
      <c r="K71" s="154"/>
      <c r="L71" s="154"/>
      <c r="M71" s="154"/>
      <c r="N71" s="154"/>
      <c r="O71" s="154"/>
      <c r="P71" s="154"/>
      <c r="Q71" s="154"/>
      <c r="R71" s="154"/>
      <c r="S71" s="154"/>
      <c r="T71" s="154"/>
      <c r="U71" s="133"/>
      <c r="V71" s="8"/>
    </row>
    <row r="72" spans="1:22">
      <c r="A72" s="130"/>
      <c r="B72" s="130"/>
      <c r="C72" s="136"/>
      <c r="D72" s="131"/>
      <c r="E72" s="131"/>
      <c r="F72" s="131"/>
      <c r="G72" s="132"/>
      <c r="H72" s="132"/>
      <c r="I72" s="131"/>
      <c r="J72" s="130"/>
      <c r="K72" s="130"/>
      <c r="L72" s="130"/>
      <c r="M72" s="130"/>
      <c r="N72" s="130"/>
      <c r="O72" s="130"/>
      <c r="P72" s="130"/>
      <c r="Q72" s="130"/>
      <c r="R72" s="130"/>
      <c r="S72" s="130"/>
      <c r="T72" s="130"/>
      <c r="U72" s="130"/>
      <c r="V72" s="8"/>
    </row>
    <row r="73" spans="1:22" ht="12.75">
      <c r="A73" s="126"/>
      <c r="B73" s="40" t="s">
        <v>21</v>
      </c>
      <c r="C73" s="126"/>
      <c r="D73" s="126"/>
      <c r="E73" s="126"/>
      <c r="F73" s="127"/>
      <c r="G73" s="127"/>
      <c r="H73" s="127"/>
      <c r="I73" s="127"/>
      <c r="J73" s="128"/>
      <c r="K73" s="129"/>
      <c r="L73" s="128"/>
      <c r="M73" s="129"/>
      <c r="N73" s="128"/>
      <c r="O73" s="128"/>
      <c r="P73" s="128"/>
      <c r="Q73" s="128"/>
      <c r="R73" s="128"/>
      <c r="S73" s="128"/>
      <c r="T73" s="128"/>
      <c r="U73" s="128"/>
      <c r="V73" s="37"/>
    </row>
  </sheetData>
  <conditionalFormatting sqref="V37 V51:V55 V41:V45">
    <cfRule type="cellIs" dxfId="192" priority="66" operator="equal">
      <formula>"Check"</formula>
    </cfRule>
    <cfRule type="cellIs" dxfId="191" priority="67" operator="equal">
      <formula>"Ok"</formula>
    </cfRule>
  </conditionalFormatting>
  <conditionalFormatting sqref="V57">
    <cfRule type="cellIs" dxfId="190" priority="64" operator="equal">
      <formula>"Check"</formula>
    </cfRule>
    <cfRule type="cellIs" dxfId="189" priority="65" operator="equal">
      <formula>"Ok"</formula>
    </cfRule>
  </conditionalFormatting>
  <conditionalFormatting sqref="V15">
    <cfRule type="cellIs" dxfId="188" priority="62" operator="equal">
      <formula>"Check"</formula>
    </cfRule>
    <cfRule type="cellIs" dxfId="187" priority="63" operator="equal">
      <formula>"Ok"</formula>
    </cfRule>
  </conditionalFormatting>
  <conditionalFormatting sqref="V1">
    <cfRule type="cellIs" dxfId="186" priority="60" operator="equal">
      <formula>"Check"</formula>
    </cfRule>
    <cfRule type="cellIs" dxfId="185" priority="61" operator="equal">
      <formula>"Ok"</formula>
    </cfRule>
  </conditionalFormatting>
  <conditionalFormatting sqref="S1">
    <cfRule type="cellIs" dxfId="184" priority="58" operator="equal">
      <formula>"Check"</formula>
    </cfRule>
    <cfRule type="cellIs" dxfId="183" priority="59" operator="equal">
      <formula>"Ok"</formula>
    </cfRule>
  </conditionalFormatting>
  <conditionalFormatting sqref="J15:N15">
    <cfRule type="cellIs" dxfId="182" priority="57" operator="equal">
      <formula>0</formula>
    </cfRule>
  </conditionalFormatting>
  <conditionalFormatting sqref="J57:N57">
    <cfRule type="cellIs" dxfId="181" priority="56" operator="equal">
      <formula>0</formula>
    </cfRule>
  </conditionalFormatting>
  <conditionalFormatting sqref="V48:V50">
    <cfRule type="cellIs" dxfId="180" priority="54" operator="equal">
      <formula>"Check"</formula>
    </cfRule>
    <cfRule type="cellIs" dxfId="179" priority="55" operator="equal">
      <formula>"Ok"</formula>
    </cfRule>
  </conditionalFormatting>
  <conditionalFormatting sqref="J33:N33 N37 J54:J55 J43:L45 N42:N45 J51:N51 J42:M42 J41:N41">
    <cfRule type="expression" dxfId="178" priority="52">
      <formula>J$34=J$4</formula>
    </cfRule>
  </conditionalFormatting>
  <conditionalFormatting sqref="J20:N27 J13:O13">
    <cfRule type="expression" dxfId="177" priority="51">
      <formula>J$10=J$4</formula>
    </cfRule>
  </conditionalFormatting>
  <conditionalFormatting sqref="J37:N37">
    <cfRule type="expression" dxfId="176" priority="48">
      <formula>J$10=J$4</formula>
    </cfRule>
  </conditionalFormatting>
  <conditionalFormatting sqref="V47">
    <cfRule type="cellIs" dxfId="175" priority="46" operator="equal">
      <formula>"Check"</formula>
    </cfRule>
    <cfRule type="cellIs" dxfId="174" priority="47" operator="equal">
      <formula>"Ok"</formula>
    </cfRule>
  </conditionalFormatting>
  <conditionalFormatting sqref="J47:N47">
    <cfRule type="cellIs" dxfId="173" priority="44" operator="equal">
      <formula>0</formula>
    </cfRule>
  </conditionalFormatting>
  <conditionalFormatting sqref="J69:T69 J71:T71 J63:N67">
    <cfRule type="expression" dxfId="172" priority="43">
      <formula>J$61=J$4</formula>
    </cfRule>
  </conditionalFormatting>
  <conditionalFormatting sqref="V29">
    <cfRule type="cellIs" dxfId="171" priority="39" operator="equal">
      <formula>"Check"</formula>
    </cfRule>
    <cfRule type="cellIs" dxfId="170" priority="40" operator="equal">
      <formula>"Ok"</formula>
    </cfRule>
  </conditionalFormatting>
  <conditionalFormatting sqref="J29:N29">
    <cfRule type="cellIs" dxfId="169" priority="38" operator="equal">
      <formula>0</formula>
    </cfRule>
  </conditionalFormatting>
  <conditionalFormatting sqref="T1">
    <cfRule type="cellIs" dxfId="168" priority="31" operator="equal">
      <formula>"Check"</formula>
    </cfRule>
    <cfRule type="cellIs" dxfId="167" priority="32" operator="equal">
      <formula>"Ok"</formula>
    </cfRule>
  </conditionalFormatting>
  <conditionalFormatting sqref="O57:T57">
    <cfRule type="cellIs" dxfId="166" priority="13" operator="equal">
      <formula>0</formula>
    </cfRule>
  </conditionalFormatting>
  <conditionalFormatting sqref="O37:T37">
    <cfRule type="expression" dxfId="165" priority="10">
      <formula>O$10=O$4</formula>
    </cfRule>
  </conditionalFormatting>
  <conditionalFormatting sqref="O47:T47">
    <cfRule type="cellIs" dxfId="164" priority="9" operator="equal">
      <formula>0</formula>
    </cfRule>
  </conditionalFormatting>
  <conditionalFormatting sqref="O63:T67">
    <cfRule type="expression" dxfId="163" priority="8">
      <formula>O$61=O$4</formula>
    </cfRule>
  </conditionalFormatting>
  <conditionalFormatting sqref="O29:T29">
    <cfRule type="cellIs" dxfId="162" priority="7" operator="equal">
      <formula>0</formula>
    </cfRule>
  </conditionalFormatting>
  <conditionalFormatting sqref="O15:T15">
    <cfRule type="cellIs" dxfId="161" priority="14" operator="equal">
      <formula>0</formula>
    </cfRule>
  </conditionalFormatting>
  <conditionalFormatting sqref="O41:T45 O33:T33 O37:T37 O51:T51 O54:T55 P52:T53">
    <cfRule type="expression" dxfId="160" priority="12">
      <formula>O$34=O$4</formula>
    </cfRule>
  </conditionalFormatting>
  <conditionalFormatting sqref="P13:T13 O20:T27 P19:T19">
    <cfRule type="expression" dxfId="159" priority="11">
      <formula>O$10=O$4</formula>
    </cfRule>
  </conditionalFormatting>
  <conditionalFormatting sqref="J19:O19">
    <cfRule type="expression" dxfId="158" priority="6">
      <formula>J$10=J$4</formula>
    </cfRule>
  </conditionalFormatting>
  <conditionalFormatting sqref="J53 O52:O53 K53:N55">
    <cfRule type="expression" dxfId="157" priority="5">
      <formula>J$34=J$4</formula>
    </cfRule>
  </conditionalFormatting>
  <conditionalFormatting sqref="M43:M45">
    <cfRule type="expression" dxfId="156" priority="4">
      <formula>M$34=M$4</formula>
    </cfRule>
  </conditionalFormatting>
  <conditionalFormatting sqref="J52:M52">
    <cfRule type="expression" dxfId="155" priority="2">
      <formula>J$34=J$4</formula>
    </cfRule>
  </conditionalFormatting>
  <conditionalFormatting sqref="N52">
    <cfRule type="expression" dxfId="154" priority="1">
      <formula>N$34=N$4</formula>
    </cfRule>
  </conditionalFormatting>
  <dataValidations disablePrompts="1" count="1">
    <dataValidation type="list" allowBlank="1" showInputMessage="1" showErrorMessage="1" sqref="J33:T33" xr:uid="{00000000-0002-0000-0400-000000000000}">
      <formula1>"Actual,Estimate"</formula1>
    </dataValidation>
  </dataValidations>
  <hyperlinks>
    <hyperlink ref="J1" location="Index!A1" display="Back to Index" xr:uid="{00000000-0004-0000-0400-000000000000}"/>
    <hyperlink ref="U1" location="'Check|List'!A1" display="Overall Check:" xr:uid="{00000000-0004-0000-0400-000001000000}"/>
  </hyperlink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3">
    <tabColor rgb="FFFFFF99"/>
  </sheetPr>
  <dimension ref="A1:AH119"/>
  <sheetViews>
    <sheetView showGridLines="0" zoomScaleNormal="100" workbookViewId="0"/>
  </sheetViews>
  <sheetFormatPr defaultColWidth="0" defaultRowHeight="11.25" zeroHeight="1" outlineLevelRow="1"/>
  <cols>
    <col min="1" max="2" width="1.5" style="8" customWidth="1"/>
    <col min="3" max="3" width="57.5" style="8" bestFit="1" customWidth="1"/>
    <col min="4" max="4" width="27.6640625" style="16" customWidth="1"/>
    <col min="5" max="5" width="15.83203125" style="16" customWidth="1"/>
    <col min="6" max="6" width="10.6640625" style="16" customWidth="1"/>
    <col min="7" max="9" width="3.33203125" style="16" customWidth="1"/>
    <col min="10" max="10" width="10.83203125" style="16" customWidth="1"/>
    <col min="11" max="24" width="10.83203125" style="8" customWidth="1"/>
    <col min="25" max="16384" width="10.5" style="8" hidden="1"/>
  </cols>
  <sheetData>
    <row r="1" spans="1:34" s="29" customFormat="1" ht="15.75">
      <c r="B1" s="26" t="str">
        <f>Index!$B$1</f>
        <v>AER opex model v2.1</v>
      </c>
      <c r="C1" s="26"/>
      <c r="D1" s="26"/>
      <c r="E1" s="26"/>
      <c r="F1" s="27"/>
      <c r="G1" s="27"/>
      <c r="H1" s="27"/>
      <c r="I1" s="27"/>
      <c r="J1" s="27"/>
      <c r="K1" s="28" t="s">
        <v>2</v>
      </c>
      <c r="M1" s="30" t="s">
        <v>3</v>
      </c>
      <c r="N1" s="48" t="s">
        <v>4</v>
      </c>
      <c r="O1" s="11" t="s">
        <v>5</v>
      </c>
      <c r="P1" s="12" t="s">
        <v>6</v>
      </c>
      <c r="S1" s="30" t="s">
        <v>82</v>
      </c>
      <c r="T1" s="31" t="str">
        <f>IF(COUNTIF(X5:X118,"Check")=0,"Ok","Check")</f>
        <v>Ok</v>
      </c>
      <c r="U1" s="31"/>
      <c r="W1" s="113" t="s">
        <v>24</v>
      </c>
      <c r="X1" s="31" t="str">
        <f>'Check|List'!$S$1</f>
        <v>Ok</v>
      </c>
    </row>
    <row r="2" spans="1:34" s="33" customFormat="1" ht="13.5" thickBot="1">
      <c r="B2" s="32" t="str">
        <f>Index!$C$10</f>
        <v>Input | Rate of change</v>
      </c>
      <c r="C2" s="32"/>
      <c r="D2" s="32"/>
      <c r="E2" s="32"/>
      <c r="F2" s="55"/>
      <c r="G2" s="55"/>
      <c r="H2" s="55"/>
      <c r="I2" s="55"/>
      <c r="J2" s="55"/>
    </row>
    <row r="3" spans="1:34" s="56" customFormat="1">
      <c r="D3" s="110"/>
      <c r="E3" s="110"/>
      <c r="F3" s="110"/>
      <c r="G3" s="110"/>
      <c r="H3" s="110"/>
      <c r="I3" s="110"/>
      <c r="J3" s="99" t="s">
        <v>118</v>
      </c>
      <c r="K3" s="213"/>
      <c r="L3" s="213"/>
      <c r="M3" s="213"/>
      <c r="N3" s="110"/>
      <c r="O3" s="213"/>
      <c r="P3" s="213"/>
      <c r="Q3" s="213"/>
      <c r="R3" s="213"/>
      <c r="S3" s="213"/>
      <c r="T3" s="213"/>
      <c r="U3" s="110"/>
      <c r="V3" s="57"/>
      <c r="W3" s="57"/>
      <c r="X3" s="57"/>
      <c r="Y3" s="57"/>
      <c r="Z3" s="57"/>
      <c r="AA3" s="57"/>
      <c r="AB3" s="57"/>
      <c r="AC3" s="57"/>
      <c r="AD3" s="57"/>
    </row>
    <row r="4" spans="1:34" s="66" customFormat="1" ht="10.5">
      <c r="A4" s="58"/>
      <c r="B4" s="58"/>
      <c r="C4" s="58"/>
      <c r="D4" s="59" t="s">
        <v>7</v>
      </c>
      <c r="E4" s="59" t="s">
        <v>8</v>
      </c>
      <c r="F4" s="155" t="s">
        <v>22</v>
      </c>
      <c r="G4" s="156"/>
      <c r="H4" s="156"/>
      <c r="I4" s="156"/>
      <c r="J4" s="97">
        <f>DATE(PPFirstYear-1,MONTH('Input|General'!$G$9),1)</f>
        <v>43617</v>
      </c>
      <c r="K4" s="97">
        <f>DATE(PPFirstYear,MONTH('Input|General'!$G$9),1)</f>
        <v>43983</v>
      </c>
      <c r="L4" s="97">
        <f>DATE(PPFirstYear+1,MONTH('Input|General'!$G$9),1)</f>
        <v>44348</v>
      </c>
      <c r="M4" s="97">
        <f>DATE(PPFirstYear+2,MONTH('Input|General'!$G$9),1)</f>
        <v>44713</v>
      </c>
      <c r="N4" s="97">
        <f>DATE(PPFirstYear+3,MONTH('Input|General'!$G$9),1)</f>
        <v>45078</v>
      </c>
      <c r="O4" s="97">
        <f>DATE(PPFirstYear+4,MONTH('Input|General'!$G$9),1)</f>
        <v>45444</v>
      </c>
      <c r="P4" s="97">
        <f>DATE(PPFirstYear+5,MONTH('Input|General'!$G$9),1)</f>
        <v>45809</v>
      </c>
      <c r="Q4" s="97">
        <f>DATE(PPFirstYear+6,MONTH('Input|General'!$G$9),1)</f>
        <v>46174</v>
      </c>
      <c r="R4" s="97">
        <f>DATE(PPFirstYear+7,MONTH('Input|General'!$G$9),1)</f>
        <v>46539</v>
      </c>
      <c r="S4" s="97">
        <f>DATE(PPFirstYear+8,MONTH('Input|General'!$G$9),1)</f>
        <v>46905</v>
      </c>
      <c r="T4" s="97">
        <f>DATE(PPFirstYear+9,MONTH('Input|General'!$G$9),1)</f>
        <v>47270</v>
      </c>
      <c r="U4" s="97">
        <f>DATE(PPFirstYear+10,MONTH('Input|General'!$G$9),1)</f>
        <v>47635</v>
      </c>
      <c r="V4" s="62"/>
      <c r="W4" s="62"/>
      <c r="X4" s="63"/>
      <c r="Y4" s="64"/>
      <c r="Z4" s="64"/>
      <c r="AA4" s="64"/>
      <c r="AB4" s="64"/>
      <c r="AC4" s="64"/>
      <c r="AD4" s="64"/>
      <c r="AE4" s="64"/>
      <c r="AF4" s="64"/>
      <c r="AG4" s="65"/>
      <c r="AH4" s="65"/>
    </row>
    <row r="5" spans="1:34" s="6" customFormat="1" ht="3" customHeight="1">
      <c r="A5" s="157"/>
      <c r="B5" s="157"/>
      <c r="C5" s="157"/>
      <c r="D5" s="158"/>
      <c r="E5" s="158"/>
      <c r="F5" s="158"/>
      <c r="G5" s="158"/>
      <c r="H5" s="158"/>
      <c r="I5" s="158"/>
      <c r="J5" s="158"/>
      <c r="K5" s="157"/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57"/>
    </row>
    <row r="6" spans="1:34" s="6" customFormat="1" ht="9" customHeight="1">
      <c r="A6" s="157"/>
      <c r="B6" s="157"/>
      <c r="C6" s="157"/>
      <c r="D6" s="158"/>
      <c r="E6" s="158"/>
      <c r="F6" s="158"/>
      <c r="G6" s="158"/>
      <c r="H6" s="158"/>
      <c r="I6" s="158"/>
      <c r="J6" s="158"/>
      <c r="K6" s="157"/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7"/>
      <c r="W6" s="157"/>
    </row>
    <row r="7" spans="1:34" s="6" customFormat="1" ht="3" customHeight="1">
      <c r="A7" s="157"/>
      <c r="B7" s="157"/>
      <c r="C7" s="157"/>
      <c r="D7" s="158"/>
      <c r="E7" s="158"/>
      <c r="F7" s="158"/>
      <c r="G7" s="158"/>
      <c r="H7" s="158"/>
      <c r="I7" s="158"/>
      <c r="J7" s="158"/>
      <c r="K7" s="157"/>
      <c r="L7" s="157"/>
      <c r="M7" s="157"/>
      <c r="N7" s="157"/>
      <c r="O7" s="157"/>
      <c r="P7" s="157"/>
      <c r="Q7" s="157"/>
      <c r="R7" s="157"/>
      <c r="S7" s="157"/>
      <c r="T7" s="157"/>
      <c r="U7" s="157"/>
      <c r="V7" s="157"/>
      <c r="W7" s="157"/>
    </row>
    <row r="8" spans="1:34" customFormat="1" ht="12.75">
      <c r="A8" s="126"/>
      <c r="B8" s="40" t="s">
        <v>35</v>
      </c>
      <c r="C8" s="126"/>
      <c r="D8" s="126"/>
      <c r="E8" s="126"/>
      <c r="F8" s="127"/>
      <c r="G8" s="127"/>
      <c r="H8" s="127"/>
      <c r="I8" s="127"/>
      <c r="J8" s="127"/>
      <c r="K8" s="128"/>
      <c r="L8" s="129"/>
      <c r="M8" s="128"/>
      <c r="N8" s="129"/>
      <c r="O8" s="128"/>
      <c r="P8" s="128"/>
      <c r="Q8" s="128"/>
      <c r="R8" s="128"/>
      <c r="S8" s="128"/>
      <c r="T8" s="128"/>
      <c r="U8" s="128"/>
      <c r="V8" s="128"/>
      <c r="W8" s="128"/>
      <c r="X8" s="37"/>
      <c r="Y8" s="38"/>
      <c r="Z8" s="38"/>
      <c r="AA8" s="38"/>
      <c r="AB8" s="38"/>
      <c r="AC8" s="38"/>
      <c r="AD8" s="38"/>
      <c r="AE8" s="38"/>
      <c r="AF8" s="38"/>
      <c r="AG8" s="39"/>
      <c r="AH8" s="39"/>
    </row>
    <row r="9" spans="1:34" ht="11.25" customHeight="1" outlineLevel="1">
      <c r="A9" s="130"/>
      <c r="B9" s="130"/>
      <c r="C9" s="130"/>
      <c r="D9" s="131"/>
      <c r="E9" s="131"/>
      <c r="F9" s="131"/>
      <c r="G9" s="131"/>
      <c r="H9" s="131"/>
      <c r="I9" s="131"/>
      <c r="J9" s="131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</row>
    <row r="10" spans="1:34" ht="11.25" customHeight="1" outlineLevel="1">
      <c r="A10" s="130"/>
      <c r="B10" s="130"/>
      <c r="C10" s="133" t="s">
        <v>33</v>
      </c>
      <c r="D10" s="131"/>
      <c r="E10" s="131"/>
      <c r="F10" s="131"/>
      <c r="G10" s="131"/>
      <c r="H10" s="131"/>
      <c r="I10" s="131"/>
      <c r="J10" s="134">
        <f t="shared" ref="J10:T10" si="0">IF(YEAR(J$4)&lt;=PPLastYear,J$4,"")</f>
        <v>43617</v>
      </c>
      <c r="K10" s="134">
        <f t="shared" si="0"/>
        <v>43983</v>
      </c>
      <c r="L10" s="134">
        <f t="shared" si="0"/>
        <v>44348</v>
      </c>
      <c r="M10" s="134">
        <f t="shared" si="0"/>
        <v>44713</v>
      </c>
      <c r="N10" s="134">
        <f t="shared" si="0"/>
        <v>45078</v>
      </c>
      <c r="O10" s="134">
        <f t="shared" si="0"/>
        <v>45444</v>
      </c>
      <c r="P10" s="134" t="str">
        <f t="shared" si="0"/>
        <v/>
      </c>
      <c r="Q10" s="134" t="str">
        <f t="shared" si="0"/>
        <v/>
      </c>
      <c r="R10" s="134" t="str">
        <f t="shared" si="0"/>
        <v/>
      </c>
      <c r="S10" s="134" t="str">
        <f t="shared" si="0"/>
        <v/>
      </c>
      <c r="T10" s="134" t="str">
        <f t="shared" si="0"/>
        <v/>
      </c>
      <c r="U10" s="149"/>
      <c r="V10" s="130"/>
      <c r="W10" s="130"/>
    </row>
    <row r="11" spans="1:34" ht="11.25" customHeight="1" outlineLevel="1">
      <c r="A11" s="130"/>
      <c r="B11" s="130"/>
      <c r="C11" s="133"/>
      <c r="D11" s="131"/>
      <c r="E11" s="131"/>
      <c r="F11" s="131"/>
      <c r="G11" s="131"/>
      <c r="H11" s="131"/>
      <c r="I11" s="131"/>
      <c r="J11" s="130"/>
      <c r="K11" s="130"/>
      <c r="L11" s="130"/>
      <c r="M11" s="130"/>
      <c r="N11" s="130"/>
      <c r="O11" s="130"/>
      <c r="P11" s="159"/>
      <c r="Q11" s="159"/>
      <c r="R11" s="159"/>
      <c r="S11" s="159"/>
      <c r="T11" s="159"/>
      <c r="U11" s="159"/>
      <c r="V11" s="160"/>
      <c r="W11" s="160"/>
      <c r="X11" s="14"/>
    </row>
    <row r="12" spans="1:34" ht="11.25" customHeight="1" outlineLevel="1">
      <c r="A12" s="130"/>
      <c r="B12" s="130"/>
      <c r="C12" s="136" t="s">
        <v>33</v>
      </c>
      <c r="D12" s="161" t="s">
        <v>98</v>
      </c>
      <c r="E12" s="131" t="str">
        <f>percent</f>
        <v>Per cent</v>
      </c>
      <c r="F12" s="131"/>
      <c r="G12" s="131"/>
      <c r="H12" s="131"/>
      <c r="I12" s="131"/>
      <c r="J12" s="159">
        <f>IF(J10=J4,LOOKUP(EOMONTH(J4,0),'Input|Inflation'!$C$9:$C$84,'Input|Inflation'!$I$9:$I$84),"")</f>
        <v>1.5929203539823078E-2</v>
      </c>
      <c r="K12" s="159">
        <f>IF(K10=K4,LOOKUP(EOMONTH(K4,0),'Input|Inflation'!$C$9:$C$84,'Input|Inflation'!$I$9:$I$84),"")</f>
        <v>-3.4843205574912606E-3</v>
      </c>
      <c r="L12" s="159">
        <f>IF(L10=L4,LOOKUP(EOMONTH(L4,0),'Input|Inflation'!$C$9:$C$84,'Input|Inflation'!$I$9:$I$84),"")</f>
        <v>3.8461538461538325E-2</v>
      </c>
      <c r="M12" s="159">
        <f>IF(M10=M4,LOOKUP(EOMONTH(M4,0),'Input|Inflation'!$C$9:$C$84,'Input|Inflation'!$I$9:$I$84),"")</f>
        <v>6.1447811447811418E-2</v>
      </c>
      <c r="N12" s="159">
        <f>IF(N10=N4,LOOKUP(EOMONTH(N4,0),'Input|Inflation'!$C$9:$C$84,'Input|Inflation'!$I$9:$I$84),"")</f>
        <v>6.0269627279936566E-2</v>
      </c>
      <c r="O12" s="159">
        <f>IF(O10=O4,LOOKUP(EOMONTH(O4,0),'Input|Inflation'!$C$9:$C$84,'Input|Inflation'!$I$9:$I$84),"")</f>
        <v>3.6000000000000032E-2</v>
      </c>
      <c r="P12" s="159" t="str">
        <f>IF(P10=P4,LOOKUP(EOMONTH(P4,0),'Input|Inflation'!$C$9:$C$84,'Input|Inflation'!$I$9:$I$84),"")</f>
        <v/>
      </c>
      <c r="Q12" s="159" t="str">
        <f>IF(Q10=Q4,LOOKUP(EOMONTH(Q4,0),'Input|Inflation'!$C$9:$C$84,'Input|Inflation'!$I$9:$I$84),"")</f>
        <v/>
      </c>
      <c r="R12" s="159" t="str">
        <f>IF(R10=R4,LOOKUP(EOMONTH(R4,0),'Input|Inflation'!$C$9:$C$84,'Input|Inflation'!$I$9:$I$84),"")</f>
        <v/>
      </c>
      <c r="S12" s="159" t="str">
        <f>IF(S10=S4,LOOKUP(EOMONTH(S4,0),'Input|Inflation'!$C$9:$C$84,'Input|Inflation'!$I$9:$I$84),"")</f>
        <v/>
      </c>
      <c r="T12" s="159" t="str">
        <f>IF(T10=T4,LOOKUP(EOMONTH(T4,0),'Input|Inflation'!$C$9:$C$84,'Input|Inflation'!$I$9:$I$84),"")</f>
        <v/>
      </c>
      <c r="U12" s="159"/>
      <c r="V12" s="162"/>
      <c r="W12" s="130"/>
    </row>
    <row r="13" spans="1:34" ht="11.25" customHeight="1" outlineLevel="1">
      <c r="A13" s="130"/>
      <c r="B13" s="130"/>
      <c r="C13" s="130"/>
      <c r="D13" s="130"/>
      <c r="E13" s="130"/>
      <c r="F13" s="130"/>
      <c r="G13" s="130"/>
      <c r="H13" s="130"/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</row>
    <row r="14" spans="1:34" ht="11.25" customHeight="1" outlineLevel="1">
      <c r="A14" s="130"/>
      <c r="B14" s="130"/>
      <c r="C14" s="133" t="s">
        <v>99</v>
      </c>
      <c r="D14" s="131"/>
      <c r="E14" s="131"/>
      <c r="F14" s="131"/>
      <c r="G14" s="131"/>
      <c r="H14" s="131"/>
      <c r="I14" s="130"/>
      <c r="J14" s="134">
        <f t="shared" ref="J14:T14" si="1">IF(YEAR(J$4)&lt;=PPLastYear,J$4,"")</f>
        <v>43617</v>
      </c>
      <c r="K14" s="134">
        <f t="shared" si="1"/>
        <v>43983</v>
      </c>
      <c r="L14" s="134">
        <f t="shared" si="1"/>
        <v>44348</v>
      </c>
      <c r="M14" s="134">
        <f t="shared" si="1"/>
        <v>44713</v>
      </c>
      <c r="N14" s="134">
        <f t="shared" si="1"/>
        <v>45078</v>
      </c>
      <c r="O14" s="134">
        <f t="shared" si="1"/>
        <v>45444</v>
      </c>
      <c r="P14" s="134" t="str">
        <f t="shared" si="1"/>
        <v/>
      </c>
      <c r="Q14" s="134" t="str">
        <f t="shared" si="1"/>
        <v/>
      </c>
      <c r="R14" s="134" t="str">
        <f t="shared" si="1"/>
        <v/>
      </c>
      <c r="S14" s="134" t="str">
        <f t="shared" si="1"/>
        <v/>
      </c>
      <c r="T14" s="134" t="str">
        <f t="shared" si="1"/>
        <v/>
      </c>
      <c r="U14" s="149"/>
      <c r="V14" s="130"/>
      <c r="W14" s="130"/>
    </row>
    <row r="15" spans="1:34" ht="11.25" customHeight="1" outlineLevel="1">
      <c r="A15" s="130"/>
      <c r="B15" s="130"/>
      <c r="C15" s="133"/>
      <c r="D15" s="131"/>
      <c r="E15" s="131"/>
      <c r="F15" s="131"/>
      <c r="G15" s="131"/>
      <c r="H15" s="131"/>
      <c r="I15" s="130"/>
      <c r="J15" s="160"/>
      <c r="K15" s="160"/>
      <c r="L15" s="160"/>
      <c r="M15" s="160"/>
      <c r="N15" s="160"/>
      <c r="O15" s="160"/>
      <c r="P15" s="163"/>
      <c r="Q15" s="163"/>
      <c r="R15" s="163"/>
      <c r="S15" s="163"/>
      <c r="T15" s="163"/>
      <c r="U15" s="163"/>
      <c r="V15" s="130"/>
      <c r="W15" s="130"/>
    </row>
    <row r="16" spans="1:34" ht="11.25" customHeight="1" outlineLevel="1">
      <c r="A16" s="130"/>
      <c r="B16" s="130"/>
      <c r="C16" s="164">
        <f t="array" ref="C16:C22">TRANSPOSE(J10:P10)</f>
        <v>43617</v>
      </c>
      <c r="D16" s="161" t="str">
        <f t="shared" ref="D16:D20" si="2">IF(ISNONTEXT($C16),"calculated","")</f>
        <v>calculated</v>
      </c>
      <c r="E16" s="131" t="str">
        <f>IF(ISNONTEXT($C16),"index","")</f>
        <v>index</v>
      </c>
      <c r="F16" s="131"/>
      <c r="G16" s="131"/>
      <c r="H16" s="131"/>
      <c r="I16" s="131"/>
      <c r="J16" s="165">
        <f t="shared" ref="J16:N16" si="3">IF(AND($C16&gt;J$14,ISNONTEXT($C16)),K16/(1+K$12),IF(AND($C16=J$14,J$14=J$4),1,IF(AND($C16&lt;J$14,J$14=J$4),I16*(1+J$12),0)))</f>
        <v>1</v>
      </c>
      <c r="K16" s="165">
        <f t="shared" si="3"/>
        <v>0.99651567944250874</v>
      </c>
      <c r="L16" s="165">
        <f t="shared" si="3"/>
        <v>1.0348432055749128</v>
      </c>
      <c r="M16" s="165">
        <f t="shared" si="3"/>
        <v>1.0984320557491287</v>
      </c>
      <c r="N16" s="165">
        <f t="shared" si="3"/>
        <v>1.1646341463414631</v>
      </c>
      <c r="O16" s="165">
        <f t="shared" ref="O16:P16" si="4">IF(AND($C16&gt;O$14,ISNONTEXT($C16)),P16/(1+O$12),IF(AND($C16=O$14,O$14=O$4),1,IF(AND($C16&lt;O$14,O$14=O$4),N16*(1+O$12),0)))</f>
        <v>1.2065609756097557</v>
      </c>
      <c r="P16" s="165">
        <f t="shared" si="4"/>
        <v>0</v>
      </c>
      <c r="Q16" s="166"/>
      <c r="R16" s="166"/>
      <c r="S16" s="166"/>
      <c r="T16" s="166"/>
      <c r="U16" s="166"/>
      <c r="V16" s="130"/>
      <c r="W16" s="130"/>
    </row>
    <row r="17" spans="1:23" ht="11.25" customHeight="1" outlineLevel="1">
      <c r="A17" s="130"/>
      <c r="B17" s="130"/>
      <c r="C17" s="164">
        <v>43983</v>
      </c>
      <c r="D17" s="161" t="str">
        <f t="shared" si="2"/>
        <v>calculated</v>
      </c>
      <c r="E17" s="131" t="str">
        <f t="shared" ref="E17:E22" si="5">IF(ISNONTEXT($C17),"index","")</f>
        <v>index</v>
      </c>
      <c r="F17" s="131"/>
      <c r="G17" s="131"/>
      <c r="H17" s="131"/>
      <c r="I17" s="165"/>
      <c r="J17" s="165">
        <f t="shared" ref="J17:N17" si="6">IF(AND($C17&gt;J$14,ISNONTEXT($C17)),K17/(1+K$12),IF(AND($C17=J$14,J$14=J$4),1,IF(AND($C17&lt;J$14,J$14=J$4),I17*(1+J$12),0)))</f>
        <v>1.0034965034965035</v>
      </c>
      <c r="K17" s="165">
        <f t="shared" si="6"/>
        <v>1</v>
      </c>
      <c r="L17" s="165">
        <f t="shared" si="6"/>
        <v>1.0384615384615383</v>
      </c>
      <c r="M17" s="165">
        <f t="shared" si="6"/>
        <v>1.1022727272727271</v>
      </c>
      <c r="N17" s="165">
        <f t="shared" si="6"/>
        <v>1.1687062937062935</v>
      </c>
      <c r="O17" s="165">
        <f t="shared" ref="O17:P17" si="7">IF(AND($C17&gt;O$14,ISNONTEXT($C17)),P17/(1+O$12),IF(AND($C17=O$14,O$14=O$4),1,IF(AND($C17&lt;O$14,O$14=O$4),N17*(1+O$12),0)))</f>
        <v>1.2107797202797201</v>
      </c>
      <c r="P17" s="165">
        <f t="shared" si="7"/>
        <v>0</v>
      </c>
      <c r="Q17" s="166"/>
      <c r="R17" s="166"/>
      <c r="S17" s="166"/>
      <c r="T17" s="166"/>
      <c r="U17" s="166"/>
      <c r="V17" s="130"/>
      <c r="W17" s="130"/>
    </row>
    <row r="18" spans="1:23" ht="11.25" customHeight="1" outlineLevel="1">
      <c r="A18" s="130"/>
      <c r="B18" s="130"/>
      <c r="C18" s="164">
        <v>44348</v>
      </c>
      <c r="D18" s="161" t="str">
        <f t="shared" si="2"/>
        <v>calculated</v>
      </c>
      <c r="E18" s="131" t="str">
        <f t="shared" si="5"/>
        <v>index</v>
      </c>
      <c r="F18" s="131"/>
      <c r="G18" s="131"/>
      <c r="H18" s="131"/>
      <c r="I18" s="165"/>
      <c r="J18" s="165">
        <f t="shared" ref="J18:N18" si="8">IF(AND($C18&gt;J$14,ISNONTEXT($C18)),K18/(1+K$12),IF(AND($C18=J$14,J$14=J$4),1,IF(AND($C18&lt;J$14,J$14=J$4),I18*(1+J$12),0)))</f>
        <v>0.96632996632996648</v>
      </c>
      <c r="K18" s="165">
        <f t="shared" si="8"/>
        <v>0.96296296296296313</v>
      </c>
      <c r="L18" s="165">
        <f t="shared" si="8"/>
        <v>1</v>
      </c>
      <c r="M18" s="165">
        <f t="shared" si="8"/>
        <v>1.0614478114478114</v>
      </c>
      <c r="N18" s="165">
        <f t="shared" si="8"/>
        <v>1.1254208754208754</v>
      </c>
      <c r="O18" s="165">
        <f t="shared" ref="O18:P18" si="9">IF(AND($C18&gt;O$14,ISNONTEXT($C18)),P18/(1+O$12),IF(AND($C18=O$14,O$14=O$4),1,IF(AND($C18&lt;O$14,O$14=O$4),N18*(1+O$12),0)))</f>
        <v>1.165936026936027</v>
      </c>
      <c r="P18" s="165">
        <f t="shared" si="9"/>
        <v>0</v>
      </c>
      <c r="Q18" s="166"/>
      <c r="R18" s="166"/>
      <c r="S18" s="166"/>
      <c r="T18" s="166"/>
      <c r="U18" s="166"/>
      <c r="V18" s="130"/>
      <c r="W18" s="130"/>
    </row>
    <row r="19" spans="1:23" ht="11.25" customHeight="1" outlineLevel="1">
      <c r="A19" s="130"/>
      <c r="B19" s="130"/>
      <c r="C19" s="164">
        <v>44713</v>
      </c>
      <c r="D19" s="161" t="str">
        <f t="shared" si="2"/>
        <v>calculated</v>
      </c>
      <c r="E19" s="131" t="str">
        <f t="shared" si="5"/>
        <v>index</v>
      </c>
      <c r="F19" s="131"/>
      <c r="G19" s="131"/>
      <c r="H19" s="131"/>
      <c r="I19" s="165"/>
      <c r="J19" s="165">
        <f t="shared" ref="J19:N19" si="10">IF(AND($C19&gt;J$14,ISNONTEXT($C19)),K19/(1+K$12),IF(AND($C19=J$14,J$14=J$4),1,IF(AND($C19&lt;J$14,J$14=J$4),I19*(1+J$12),0)))</f>
        <v>0.91038858049167337</v>
      </c>
      <c r="K19" s="165">
        <f t="shared" si="10"/>
        <v>0.90721649484536093</v>
      </c>
      <c r="L19" s="165">
        <f t="shared" si="10"/>
        <v>0.94210943695479776</v>
      </c>
      <c r="M19" s="165">
        <f t="shared" si="10"/>
        <v>1</v>
      </c>
      <c r="N19" s="165">
        <f t="shared" si="10"/>
        <v>1.0602696272799366</v>
      </c>
      <c r="O19" s="165">
        <f t="shared" ref="O19:P19" si="11">IF(AND($C19&gt;O$14,ISNONTEXT($C19)),P19/(1+O$12),IF(AND($C19=O$14,O$14=O$4),1,IF(AND($C19&lt;O$14,O$14=O$4),N19*(1+O$12),0)))</f>
        <v>1.0984393338620144</v>
      </c>
      <c r="P19" s="165">
        <f t="shared" si="11"/>
        <v>0</v>
      </c>
      <c r="Q19" s="166"/>
      <c r="R19" s="166"/>
      <c r="S19" s="166"/>
      <c r="T19" s="166"/>
      <c r="U19" s="166"/>
      <c r="V19" s="130"/>
      <c r="W19" s="130"/>
    </row>
    <row r="20" spans="1:23" ht="11.25" customHeight="1" outlineLevel="1">
      <c r="A20" s="130"/>
      <c r="B20" s="130"/>
      <c r="C20" s="164">
        <v>45078</v>
      </c>
      <c r="D20" s="161" t="str">
        <f t="shared" si="2"/>
        <v>calculated</v>
      </c>
      <c r="E20" s="131" t="str">
        <f t="shared" si="5"/>
        <v>index</v>
      </c>
      <c r="F20" s="131"/>
      <c r="G20" s="131"/>
      <c r="H20" s="131"/>
      <c r="I20" s="165"/>
      <c r="J20" s="165">
        <f>IF(AND($C20&gt;J$14,ISNONTEXT($C20)),K20/(1+K$12),IF(AND($C20=J$14,J$14=J$4),1,IF(AND($C20&lt;J$14,J$14=J$4),I20*(1+J$12),0)))</f>
        <v>0.85863874345549751</v>
      </c>
      <c r="K20" s="165">
        <f t="shared" ref="K20:N20" si="12">IF(AND($C20&gt;K$14,ISNONTEXT($C20)),L20/(1+L$12),IF(AND($C20=K$14,K$14=K$4),1,IF(AND($C20&lt;K$14,K$14=K$4),J20*(1+K$12),0)))</f>
        <v>0.85564697083021701</v>
      </c>
      <c r="L20" s="165">
        <f t="shared" si="12"/>
        <v>0.88855646970830215</v>
      </c>
      <c r="M20" s="165">
        <f t="shared" si="12"/>
        <v>0.94315632011967088</v>
      </c>
      <c r="N20" s="165">
        <f t="shared" si="12"/>
        <v>1</v>
      </c>
      <c r="O20" s="165">
        <f t="shared" ref="O20:P20" si="13">IF(AND($C20&gt;O$14,ISNONTEXT($C20)),P20/(1+O$12),IF(AND($C20=O$14,O$14=O$4),1,IF(AND($C20&lt;O$14,O$14=O$4),N20*(1+O$12),0)))</f>
        <v>1.036</v>
      </c>
      <c r="P20" s="165">
        <f t="shared" si="13"/>
        <v>0</v>
      </c>
      <c r="Q20" s="166"/>
      <c r="R20" s="166"/>
      <c r="S20" s="166"/>
      <c r="T20" s="166"/>
      <c r="U20" s="166"/>
      <c r="V20" s="130"/>
      <c r="W20" s="130"/>
    </row>
    <row r="21" spans="1:23" ht="11.25" customHeight="1" outlineLevel="1">
      <c r="A21" s="130"/>
      <c r="B21" s="130"/>
      <c r="C21" s="164">
        <v>45444</v>
      </c>
      <c r="D21" s="161" t="str">
        <f>IF(ISNONTEXT($C21),"calculated","")</f>
        <v>calculated</v>
      </c>
      <c r="E21" s="131" t="str">
        <f t="shared" si="5"/>
        <v>index</v>
      </c>
      <c r="F21" s="131"/>
      <c r="G21" s="131"/>
      <c r="H21" s="131"/>
      <c r="I21" s="165"/>
      <c r="J21" s="165">
        <f>IF(AND($C21&gt;J$14,ISNONTEXT($C21)),K21/(1+K$12),IF(AND($C21=J$14,J$14=J$4),1,IF(AND($C21&lt;J$14,J$14=J$4),I21*(1+J$12),0)))</f>
        <v>0.82880187592229471</v>
      </c>
      <c r="K21" s="165">
        <f t="shared" ref="K21:K22" si="14">IF(AND($C21&gt;K$14,ISNONTEXT($C21)),L21/(1+L$12),IF(AND($C21=K$14,K$14=K$4),1,IF(AND($C21&lt;K$14,K$14=K$4),J21*(1+K$12),0)))</f>
        <v>0.82591406450793137</v>
      </c>
      <c r="L21" s="165">
        <f t="shared" ref="L21:L22" si="15">IF(AND($C21&gt;L$14,ISNONTEXT($C21)),M21/(1+M$12),IF(AND($C21=L$14,L$14=L$4),1,IF(AND($C21&lt;L$14,L$14=L$4),K21*(1+L$12),0)))</f>
        <v>0.85767999006592865</v>
      </c>
      <c r="M21" s="165">
        <f t="shared" ref="M21:M22" si="16">IF(AND($C21&gt;M$14,ISNONTEXT($C21)),N21/(1+N$12),IF(AND($C21=M$14,M$14=M$4),1,IF(AND($C21&lt;M$14,M$14=M$4),L21*(1+M$12),0)))</f>
        <v>0.91038254837806065</v>
      </c>
      <c r="N21" s="165">
        <f t="shared" ref="N21:N22" si="17">IF(AND($C21&gt;N$14,ISNONTEXT($C21)),O21/(1+O$12),IF(AND($C21=N$14,N$14=N$4),1,IF(AND($C21&lt;N$14,N$14=N$4),M21*(1+N$12),0)))</f>
        <v>0.96525096525096521</v>
      </c>
      <c r="O21" s="165">
        <f t="shared" ref="O21:P21" si="18">IF(AND($C21&gt;O$14,ISNONTEXT($C21)),P21/(1+O$12),IF(AND($C21=O$14,O$14=O$4),1,IF(AND($C21&lt;O$14,O$14=O$4),N21*(1+O$12),0)))</f>
        <v>1</v>
      </c>
      <c r="P21" s="165">
        <f t="shared" si="18"/>
        <v>0</v>
      </c>
      <c r="Q21" s="166"/>
      <c r="R21" s="166"/>
      <c r="S21" s="166"/>
      <c r="T21" s="166"/>
      <c r="U21" s="166"/>
      <c r="V21" s="130"/>
      <c r="W21" s="130"/>
    </row>
    <row r="22" spans="1:23" ht="11.25" customHeight="1" outlineLevel="1">
      <c r="A22" s="130"/>
      <c r="B22" s="130"/>
      <c r="C22" s="164" t="str">
        <v/>
      </c>
      <c r="D22" s="161" t="str">
        <f>IF(ISNONTEXT($C22),"calculated","")</f>
        <v/>
      </c>
      <c r="E22" s="131" t="str">
        <f t="shared" si="5"/>
        <v/>
      </c>
      <c r="F22" s="131"/>
      <c r="G22" s="131"/>
      <c r="H22" s="131"/>
      <c r="I22" s="165"/>
      <c r="J22" s="165">
        <f>IF(AND($C22&gt;J$14,ISNONTEXT($C22)),K22/(1+K$12),IF(AND($C22=J$14,J$14=J$4),1,IF(AND($C22&lt;J$14,J$14=J$4),I22*(1+J$12),0)))</f>
        <v>0</v>
      </c>
      <c r="K22" s="165">
        <f t="shared" si="14"/>
        <v>0</v>
      </c>
      <c r="L22" s="165">
        <f t="shared" si="15"/>
        <v>0</v>
      </c>
      <c r="M22" s="165">
        <f t="shared" si="16"/>
        <v>0</v>
      </c>
      <c r="N22" s="165">
        <f t="shared" si="17"/>
        <v>0</v>
      </c>
      <c r="O22" s="165">
        <f t="shared" ref="O22:P22" si="19">IF(AND($C22&gt;O$14,ISNONTEXT($C22)),P22/(1+P$12),IF(AND($C22=O$14,O$14=O$4),1,IF(AND($C22&lt;O$14,O$14=O$4),N22*(1+O$12),0)))</f>
        <v>0</v>
      </c>
      <c r="P22" s="165">
        <f t="shared" si="19"/>
        <v>0</v>
      </c>
      <c r="Q22" s="166"/>
      <c r="R22" s="166"/>
      <c r="S22" s="166"/>
      <c r="T22" s="166"/>
      <c r="U22" s="166"/>
      <c r="V22" s="130"/>
      <c r="W22" s="130"/>
    </row>
    <row r="23" spans="1:23" ht="11.25" customHeight="1" outlineLevel="1">
      <c r="A23" s="130"/>
      <c r="B23" s="130"/>
      <c r="C23" s="136"/>
      <c r="D23" s="131"/>
      <c r="E23" s="131"/>
      <c r="F23" s="131"/>
      <c r="G23" s="131"/>
      <c r="H23" s="131"/>
      <c r="I23" s="131"/>
      <c r="J23" s="165"/>
      <c r="K23" s="165"/>
      <c r="L23" s="165"/>
      <c r="M23" s="165"/>
      <c r="N23" s="165"/>
      <c r="O23" s="165"/>
      <c r="P23" s="165"/>
      <c r="Q23" s="165"/>
      <c r="R23" s="165"/>
      <c r="S23" s="165"/>
      <c r="T23" s="165"/>
      <c r="U23" s="165"/>
      <c r="V23" s="130"/>
      <c r="W23" s="130"/>
    </row>
    <row r="24" spans="1:23" ht="11.25" customHeight="1" outlineLevel="1">
      <c r="A24" s="130"/>
      <c r="B24" s="130"/>
      <c r="C24" s="133" t="s">
        <v>47</v>
      </c>
      <c r="D24" s="131"/>
      <c r="E24" s="131"/>
      <c r="F24" s="131"/>
      <c r="G24" s="131"/>
      <c r="H24" s="131"/>
      <c r="I24" s="131"/>
      <c r="J24" s="134">
        <f t="shared" ref="J24:T24" si="20">IF(YEAR(J$4)&lt;=PPLastYear,J$4,"")</f>
        <v>43617</v>
      </c>
      <c r="K24" s="134">
        <f t="shared" si="20"/>
        <v>43983</v>
      </c>
      <c r="L24" s="134">
        <f t="shared" si="20"/>
        <v>44348</v>
      </c>
      <c r="M24" s="134">
        <f t="shared" si="20"/>
        <v>44713</v>
      </c>
      <c r="N24" s="134">
        <f t="shared" si="20"/>
        <v>45078</v>
      </c>
      <c r="O24" s="134">
        <f t="shared" si="20"/>
        <v>45444</v>
      </c>
      <c r="P24" s="134" t="str">
        <f t="shared" si="20"/>
        <v/>
      </c>
      <c r="Q24" s="134" t="str">
        <f t="shared" si="20"/>
        <v/>
      </c>
      <c r="R24" s="134" t="str">
        <f t="shared" si="20"/>
        <v/>
      </c>
      <c r="S24" s="134" t="str">
        <f t="shared" si="20"/>
        <v/>
      </c>
      <c r="T24" s="134" t="str">
        <f t="shared" si="20"/>
        <v/>
      </c>
      <c r="U24" s="149"/>
      <c r="V24" s="130"/>
      <c r="W24" s="130"/>
    </row>
    <row r="25" spans="1:23" ht="11.25" customHeight="1" outlineLevel="1">
      <c r="A25" s="130"/>
      <c r="B25" s="130"/>
      <c r="C25" s="136"/>
      <c r="D25" s="131"/>
      <c r="E25" s="131"/>
      <c r="F25" s="131"/>
      <c r="G25" s="131"/>
      <c r="H25" s="131"/>
      <c r="I25" s="131"/>
      <c r="J25" s="130"/>
      <c r="K25" s="130"/>
      <c r="L25" s="130"/>
      <c r="M25" s="130"/>
      <c r="N25" s="130"/>
      <c r="O25" s="130"/>
      <c r="P25" s="130"/>
      <c r="Q25" s="165"/>
      <c r="R25" s="165"/>
      <c r="S25" s="165"/>
      <c r="T25" s="165"/>
      <c r="U25" s="165"/>
      <c r="V25" s="130"/>
      <c r="W25" s="130"/>
    </row>
    <row r="26" spans="1:23" ht="11.25" customHeight="1" outlineLevel="1">
      <c r="A26" s="130"/>
      <c r="B26" s="130"/>
      <c r="C26" s="164">
        <f t="array" ref="C26:C32">TRANSPOSE(J10:P10)</f>
        <v>43617</v>
      </c>
      <c r="D26" s="161" t="str">
        <f t="shared" ref="D26:D32" si="21">IF(ISNONTEXT($C26),"calculated","")</f>
        <v>calculated</v>
      </c>
      <c r="E26" s="131" t="str">
        <f>IF(ISNONTEXT($C26),"index","")</f>
        <v>index</v>
      </c>
      <c r="F26" s="131"/>
      <c r="G26" s="131"/>
      <c r="H26" s="131"/>
      <c r="I26" s="165"/>
      <c r="J26" s="165">
        <f>IF(AND(J$24=J$4,ISNONTEXT($C26)),1/J16*(1+J$12)^0.5,0)</f>
        <v>1.0079331344587412</v>
      </c>
      <c r="K26" s="165">
        <f t="shared" ref="K26:T26" si="22">IF(AND(K$24=K$4,ISNONTEXT($C26)),1/K16*(1+K$12)^0.5,0)</f>
        <v>1.0017467262220046</v>
      </c>
      <c r="L26" s="165">
        <f t="shared" si="22"/>
        <v>0.98473790545302708</v>
      </c>
      <c r="M26" s="165">
        <f t="shared" si="22"/>
        <v>0.93794230437362447</v>
      </c>
      <c r="N26" s="165">
        <f t="shared" si="22"/>
        <v>0.88413511795969557</v>
      </c>
      <c r="O26" s="165">
        <f t="shared" si="22"/>
        <v>0.84358840752791209</v>
      </c>
      <c r="P26" s="165">
        <f t="shared" si="22"/>
        <v>0</v>
      </c>
      <c r="Q26" s="165">
        <f t="shared" si="22"/>
        <v>0</v>
      </c>
      <c r="R26" s="165">
        <f t="shared" si="22"/>
        <v>0</v>
      </c>
      <c r="S26" s="165">
        <f t="shared" si="22"/>
        <v>0</v>
      </c>
      <c r="T26" s="165">
        <f t="shared" si="22"/>
        <v>0</v>
      </c>
      <c r="U26" s="165"/>
      <c r="V26" s="167"/>
      <c r="W26" s="167"/>
    </row>
    <row r="27" spans="1:23" ht="11.25" customHeight="1" outlineLevel="1">
      <c r="A27" s="130"/>
      <c r="B27" s="130"/>
      <c r="C27" s="164">
        <v>43983</v>
      </c>
      <c r="D27" s="161" t="str">
        <f t="shared" si="21"/>
        <v>calculated</v>
      </c>
      <c r="E27" s="131" t="str">
        <f t="shared" ref="E27:E32" si="23">IF(ISNONTEXT($C27),"index","")</f>
        <v>index</v>
      </c>
      <c r="F27" s="131"/>
      <c r="G27" s="131"/>
      <c r="H27" s="131"/>
      <c r="I27" s="165"/>
      <c r="J27" s="165">
        <f t="shared" ref="J27:T27" si="24">IF(AND(J$24=J$4,ISNONTEXT($C27)),1/J17*(1+J$12)^0.5,0)</f>
        <v>1.0044211723177698</v>
      </c>
      <c r="K27" s="165">
        <f t="shared" si="24"/>
        <v>0.99825631951042948</v>
      </c>
      <c r="L27" s="165">
        <f t="shared" si="24"/>
        <v>0.98130676292531638</v>
      </c>
      <c r="M27" s="165">
        <f t="shared" si="24"/>
        <v>0.93467421272075479</v>
      </c>
      <c r="N27" s="165">
        <f t="shared" si="24"/>
        <v>0.88105450779258843</v>
      </c>
      <c r="O27" s="165">
        <f t="shared" si="24"/>
        <v>0.84064907509750109</v>
      </c>
      <c r="P27" s="165">
        <f t="shared" si="24"/>
        <v>0</v>
      </c>
      <c r="Q27" s="165">
        <f t="shared" si="24"/>
        <v>0</v>
      </c>
      <c r="R27" s="165">
        <f t="shared" si="24"/>
        <v>0</v>
      </c>
      <c r="S27" s="165">
        <f t="shared" si="24"/>
        <v>0</v>
      </c>
      <c r="T27" s="165">
        <f t="shared" si="24"/>
        <v>0</v>
      </c>
      <c r="U27" s="165"/>
      <c r="V27" s="167"/>
      <c r="W27" s="167"/>
    </row>
    <row r="28" spans="1:23" ht="11.25" customHeight="1" outlineLevel="1">
      <c r="A28" s="130"/>
      <c r="B28" s="130"/>
      <c r="C28" s="164">
        <v>44348</v>
      </c>
      <c r="D28" s="161" t="str">
        <f t="shared" si="21"/>
        <v>calculated</v>
      </c>
      <c r="E28" s="131" t="str">
        <f t="shared" si="23"/>
        <v>index</v>
      </c>
      <c r="F28" s="131"/>
      <c r="G28" s="131"/>
      <c r="H28" s="131"/>
      <c r="I28" s="165"/>
      <c r="J28" s="165">
        <f t="shared" ref="J28:T28" si="25">IF(AND(J$24=J$4,ISNONTEXT($C28)),1/J18*(1+J$12)^0.5,0)</f>
        <v>1.0430527558684535</v>
      </c>
      <c r="K28" s="165">
        <f t="shared" si="25"/>
        <v>1.0366507933377536</v>
      </c>
      <c r="L28" s="165">
        <f t="shared" si="25"/>
        <v>1.019049330730136</v>
      </c>
      <c r="M28" s="165">
        <f t="shared" si="25"/>
        <v>0.970623220902322</v>
      </c>
      <c r="N28" s="165">
        <f t="shared" si="25"/>
        <v>0.9149412196307648</v>
      </c>
      <c r="O28" s="165">
        <f t="shared" si="25"/>
        <v>0.8729817318320201</v>
      </c>
      <c r="P28" s="165">
        <f t="shared" si="25"/>
        <v>0</v>
      </c>
      <c r="Q28" s="165">
        <f t="shared" si="25"/>
        <v>0</v>
      </c>
      <c r="R28" s="165">
        <f t="shared" si="25"/>
        <v>0</v>
      </c>
      <c r="S28" s="165">
        <f t="shared" si="25"/>
        <v>0</v>
      </c>
      <c r="T28" s="165">
        <f t="shared" si="25"/>
        <v>0</v>
      </c>
      <c r="U28" s="165"/>
      <c r="V28" s="167"/>
      <c r="W28" s="167"/>
    </row>
    <row r="29" spans="1:23" ht="11.25" customHeight="1" outlineLevel="1">
      <c r="A29" s="130"/>
      <c r="B29" s="130"/>
      <c r="C29" s="164">
        <v>44713</v>
      </c>
      <c r="D29" s="161" t="str">
        <f t="shared" si="21"/>
        <v>calculated</v>
      </c>
      <c r="E29" s="131" t="str">
        <f t="shared" si="23"/>
        <v>index</v>
      </c>
      <c r="F29" s="131"/>
      <c r="G29" s="131"/>
      <c r="H29" s="131"/>
      <c r="I29" s="165"/>
      <c r="J29" s="165">
        <f t="shared" ref="J29:T29" si="26">IF(AND(J$24=J$4,ISNONTEXT($C29)),1/J19*(1+J$12)^0.5,0)</f>
        <v>1.1071460649411782</v>
      </c>
      <c r="K29" s="165">
        <f t="shared" si="26"/>
        <v>1.100350715823996</v>
      </c>
      <c r="L29" s="165">
        <f t="shared" si="26"/>
        <v>1.0816676818608599</v>
      </c>
      <c r="M29" s="165">
        <f t="shared" si="26"/>
        <v>1.0302658935671953</v>
      </c>
      <c r="N29" s="165">
        <f t="shared" si="26"/>
        <v>0.97116235518046667</v>
      </c>
      <c r="O29" s="165">
        <f t="shared" si="26"/>
        <v>0.92662454868701805</v>
      </c>
      <c r="P29" s="165">
        <f t="shared" si="26"/>
        <v>0</v>
      </c>
      <c r="Q29" s="165">
        <f t="shared" si="26"/>
        <v>0</v>
      </c>
      <c r="R29" s="165">
        <f t="shared" si="26"/>
        <v>0</v>
      </c>
      <c r="S29" s="165">
        <f t="shared" si="26"/>
        <v>0</v>
      </c>
      <c r="T29" s="165">
        <f t="shared" si="26"/>
        <v>0</v>
      </c>
      <c r="U29" s="165"/>
      <c r="V29" s="167"/>
      <c r="W29" s="167"/>
    </row>
    <row r="30" spans="1:23" ht="11.25" customHeight="1" outlineLevel="1">
      <c r="A30" s="130"/>
      <c r="B30" s="130"/>
      <c r="C30" s="164">
        <v>45078</v>
      </c>
      <c r="D30" s="161" t="str">
        <f t="shared" si="21"/>
        <v>calculated</v>
      </c>
      <c r="E30" s="131" t="str">
        <f t="shared" si="23"/>
        <v>index</v>
      </c>
      <c r="F30" s="131"/>
      <c r="G30" s="131"/>
      <c r="H30" s="131"/>
      <c r="I30" s="165"/>
      <c r="J30" s="165">
        <f t="shared" ref="J30:T30" si="27">IF(AND(J$24=J$4,ISNONTEXT($C30)),1/J20*(1+J$12)^0.5,0)</f>
        <v>1.1738733456196315</v>
      </c>
      <c r="K30" s="165">
        <f t="shared" si="27"/>
        <v>1.1666684433439196</v>
      </c>
      <c r="L30" s="165">
        <f t="shared" si="27"/>
        <v>1.1468593898873669</v>
      </c>
      <c r="M30" s="165">
        <f t="shared" si="27"/>
        <v>1.0923596349717211</v>
      </c>
      <c r="N30" s="165">
        <f t="shared" si="27"/>
        <v>1.0296939483554988</v>
      </c>
      <c r="O30" s="165">
        <f t="shared" si="27"/>
        <v>0.98247186486482407</v>
      </c>
      <c r="P30" s="165">
        <f t="shared" si="27"/>
        <v>0</v>
      </c>
      <c r="Q30" s="165">
        <f t="shared" si="27"/>
        <v>0</v>
      </c>
      <c r="R30" s="165">
        <f t="shared" si="27"/>
        <v>0</v>
      </c>
      <c r="S30" s="165">
        <f t="shared" si="27"/>
        <v>0</v>
      </c>
      <c r="T30" s="165">
        <f t="shared" si="27"/>
        <v>0</v>
      </c>
      <c r="U30" s="165"/>
      <c r="V30" s="167"/>
      <c r="W30" s="167"/>
    </row>
    <row r="31" spans="1:23" ht="11.25" customHeight="1" outlineLevel="1">
      <c r="A31" s="130"/>
      <c r="B31" s="130"/>
      <c r="C31" s="164">
        <v>45444</v>
      </c>
      <c r="D31" s="161" t="str">
        <f t="shared" si="21"/>
        <v>calculated</v>
      </c>
      <c r="E31" s="131" t="str">
        <f t="shared" si="23"/>
        <v>index</v>
      </c>
      <c r="F31" s="131"/>
      <c r="G31" s="131"/>
      <c r="H31" s="131"/>
      <c r="I31" s="165"/>
      <c r="J31" s="165">
        <f t="shared" ref="J31:T32" si="28">IF(AND(J$24=J$4,ISNONTEXT($C31)),1/J21*(1+J$12)^0.5,0)</f>
        <v>1.2161327860619384</v>
      </c>
      <c r="K31" s="165">
        <f t="shared" si="28"/>
        <v>1.2086685073043009</v>
      </c>
      <c r="L31" s="165">
        <f t="shared" si="28"/>
        <v>1.1881463279233122</v>
      </c>
      <c r="M31" s="165">
        <f t="shared" si="28"/>
        <v>1.1316845818307031</v>
      </c>
      <c r="N31" s="165">
        <f t="shared" si="28"/>
        <v>1.0667629304962967</v>
      </c>
      <c r="O31" s="165">
        <f t="shared" si="28"/>
        <v>1.0178408519999578</v>
      </c>
      <c r="P31" s="165">
        <f t="shared" si="28"/>
        <v>0</v>
      </c>
      <c r="Q31" s="165">
        <f t="shared" si="28"/>
        <v>0</v>
      </c>
      <c r="R31" s="165">
        <f t="shared" si="28"/>
        <v>0</v>
      </c>
      <c r="S31" s="165">
        <f t="shared" si="28"/>
        <v>0</v>
      </c>
      <c r="T31" s="165">
        <f t="shared" si="28"/>
        <v>0</v>
      </c>
      <c r="U31" s="165"/>
      <c r="V31" s="167"/>
      <c r="W31" s="167"/>
    </row>
    <row r="32" spans="1:23" ht="11.25" customHeight="1" outlineLevel="1">
      <c r="A32" s="130"/>
      <c r="B32" s="130"/>
      <c r="C32" s="164" t="str">
        <v/>
      </c>
      <c r="D32" s="161" t="str">
        <f t="shared" si="21"/>
        <v/>
      </c>
      <c r="E32" s="131" t="str">
        <f t="shared" si="23"/>
        <v/>
      </c>
      <c r="F32" s="131"/>
      <c r="G32" s="131"/>
      <c r="H32" s="131"/>
      <c r="I32" s="165"/>
      <c r="J32" s="165">
        <f t="shared" si="28"/>
        <v>0</v>
      </c>
      <c r="K32" s="165">
        <f t="shared" si="28"/>
        <v>0</v>
      </c>
      <c r="L32" s="165">
        <f t="shared" si="28"/>
        <v>0</v>
      </c>
      <c r="M32" s="165">
        <f t="shared" si="28"/>
        <v>0</v>
      </c>
      <c r="N32" s="165">
        <f t="shared" si="28"/>
        <v>0</v>
      </c>
      <c r="O32" s="165">
        <f t="shared" si="28"/>
        <v>0</v>
      </c>
      <c r="P32" s="165">
        <f t="shared" si="28"/>
        <v>0</v>
      </c>
      <c r="Q32" s="165">
        <f t="shared" si="28"/>
        <v>0</v>
      </c>
      <c r="R32" s="165">
        <f t="shared" si="28"/>
        <v>0</v>
      </c>
      <c r="S32" s="165">
        <f t="shared" si="28"/>
        <v>0</v>
      </c>
      <c r="T32" s="165">
        <f t="shared" si="28"/>
        <v>0</v>
      </c>
      <c r="U32" s="165"/>
      <c r="V32" s="167"/>
      <c r="W32" s="167"/>
    </row>
    <row r="33" spans="1:34">
      <c r="A33" s="130"/>
      <c r="B33" s="130"/>
      <c r="C33" s="136"/>
      <c r="D33" s="131"/>
      <c r="E33" s="131"/>
      <c r="F33" s="131"/>
      <c r="G33" s="131"/>
      <c r="H33" s="131"/>
      <c r="I33" s="131"/>
      <c r="J33" s="131"/>
      <c r="K33" s="165"/>
      <c r="L33" s="165"/>
      <c r="M33" s="165"/>
      <c r="N33" s="165"/>
      <c r="O33" s="165"/>
      <c r="P33" s="163"/>
      <c r="Q33" s="165"/>
      <c r="R33" s="165"/>
      <c r="S33" s="165"/>
      <c r="T33" s="165"/>
      <c r="U33" s="165"/>
      <c r="V33" s="130"/>
      <c r="W33" s="130"/>
    </row>
    <row r="34" spans="1:34" customFormat="1" ht="12.75">
      <c r="A34" s="126"/>
      <c r="B34" s="40" t="s">
        <v>77</v>
      </c>
      <c r="C34" s="126"/>
      <c r="D34" s="126"/>
      <c r="E34" s="126"/>
      <c r="F34" s="127"/>
      <c r="G34" s="127"/>
      <c r="H34" s="127"/>
      <c r="I34" s="127"/>
      <c r="J34" s="127"/>
      <c r="K34" s="128"/>
      <c r="L34" s="129"/>
      <c r="M34" s="128"/>
      <c r="N34" s="129"/>
      <c r="O34" s="128"/>
      <c r="P34" s="128"/>
      <c r="Q34" s="128"/>
      <c r="R34" s="128"/>
      <c r="S34" s="128"/>
      <c r="T34" s="128"/>
      <c r="U34" s="128"/>
      <c r="V34" s="128"/>
      <c r="W34" s="128"/>
      <c r="X34" s="37"/>
      <c r="Y34" s="38"/>
      <c r="Z34" s="38"/>
      <c r="AA34" s="38"/>
      <c r="AB34" s="38"/>
      <c r="AC34" s="38"/>
      <c r="AD34" s="38"/>
      <c r="AE34" s="38"/>
      <c r="AF34" s="38"/>
      <c r="AG34" s="39"/>
      <c r="AH34" s="39"/>
    </row>
    <row r="35" spans="1:34" ht="11.25" customHeight="1" outlineLevel="1">
      <c r="A35" s="130"/>
      <c r="B35" s="130"/>
      <c r="C35" s="130"/>
      <c r="D35" s="131"/>
      <c r="E35" s="131"/>
      <c r="F35" s="131"/>
      <c r="G35" s="131"/>
      <c r="H35" s="131"/>
      <c r="I35" s="131"/>
      <c r="J35" s="131"/>
      <c r="K35" s="131"/>
      <c r="L35" s="131"/>
      <c r="M35" s="131"/>
      <c r="N35" s="131"/>
      <c r="O35" s="131"/>
      <c r="P35" s="131"/>
      <c r="Q35" s="131"/>
      <c r="R35" s="131"/>
      <c r="S35" s="131"/>
      <c r="T35" s="131"/>
      <c r="U35" s="131"/>
      <c r="V35" s="130"/>
      <c r="W35" s="130"/>
    </row>
    <row r="36" spans="1:34" ht="11.25" customHeight="1" outlineLevel="1">
      <c r="A36" s="130"/>
      <c r="B36" s="130"/>
      <c r="C36" s="133" t="s">
        <v>80</v>
      </c>
      <c r="D36" s="132" t="s">
        <v>7</v>
      </c>
      <c r="E36" s="132" t="s">
        <v>8</v>
      </c>
      <c r="F36" s="131"/>
      <c r="G36" s="131"/>
      <c r="H36" s="131"/>
      <c r="I36" s="131"/>
      <c r="J36" s="149" t="str">
        <f t="shared" ref="J36:U36" si="29">IF(YEAR(J$4)&gt;=FPFirstYear,IF(YEAR(J$4)&lt;=FPLastYear,J$4,""),"")</f>
        <v/>
      </c>
      <c r="K36" s="149" t="str">
        <f t="shared" si="29"/>
        <v/>
      </c>
      <c r="L36" s="149" t="str">
        <f t="shared" si="29"/>
        <v/>
      </c>
      <c r="M36" s="149" t="str">
        <f t="shared" si="29"/>
        <v/>
      </c>
      <c r="N36" s="149" t="str">
        <f t="shared" si="29"/>
        <v/>
      </c>
      <c r="O36" s="149" t="str">
        <f t="shared" si="29"/>
        <v/>
      </c>
      <c r="P36" s="149">
        <f t="shared" si="29"/>
        <v>45809</v>
      </c>
      <c r="Q36" s="149">
        <f t="shared" si="29"/>
        <v>46174</v>
      </c>
      <c r="R36" s="149">
        <f t="shared" si="29"/>
        <v>46539</v>
      </c>
      <c r="S36" s="149">
        <f t="shared" si="29"/>
        <v>46905</v>
      </c>
      <c r="T36" s="149">
        <f t="shared" si="29"/>
        <v>47270</v>
      </c>
      <c r="U36" s="149" t="str">
        <f t="shared" si="29"/>
        <v/>
      </c>
      <c r="V36" s="130"/>
      <c r="W36" s="130"/>
    </row>
    <row r="37" spans="1:34" ht="11.25" customHeight="1" outlineLevel="1">
      <c r="A37" s="130"/>
      <c r="B37" s="130"/>
      <c r="C37" s="130"/>
      <c r="D37" s="131"/>
      <c r="E37" s="131"/>
      <c r="F37" s="131"/>
      <c r="G37" s="131"/>
      <c r="H37" s="131"/>
      <c r="I37" s="131"/>
      <c r="J37" s="131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</row>
    <row r="38" spans="1:34" ht="11.25" customHeight="1" outlineLevel="1">
      <c r="A38" s="130"/>
      <c r="B38" s="130"/>
      <c r="C38" s="138" t="s">
        <v>216</v>
      </c>
      <c r="D38" s="131" t="s">
        <v>101</v>
      </c>
      <c r="E38" s="131" t="str">
        <f t="shared" ref="E38:E45" si="30">percent</f>
        <v>Per cent</v>
      </c>
      <c r="F38" s="131"/>
      <c r="G38" s="131"/>
      <c r="H38" s="131"/>
      <c r="I38" s="131"/>
      <c r="J38" s="168"/>
      <c r="K38" s="169"/>
      <c r="L38" s="169"/>
      <c r="M38" s="169"/>
      <c r="N38" s="169"/>
      <c r="O38" s="169"/>
      <c r="P38" s="204">
        <v>2.9162293192528388E-3</v>
      </c>
      <c r="Q38" s="204">
        <v>6.5104681588685764E-3</v>
      </c>
      <c r="R38" s="204">
        <v>8.456533981035852E-3</v>
      </c>
      <c r="S38" s="204">
        <v>9.2627596362757636E-3</v>
      </c>
      <c r="T38" s="204">
        <v>9.4712192533161765E-3</v>
      </c>
      <c r="U38" s="130"/>
      <c r="V38" s="130"/>
      <c r="W38" s="130"/>
    </row>
    <row r="39" spans="1:34" ht="11.25" customHeight="1" outlineLevel="1">
      <c r="A39" s="130"/>
      <c r="B39" s="130"/>
      <c r="C39" s="170" t="s">
        <v>204</v>
      </c>
      <c r="D39" s="131" t="s">
        <v>101</v>
      </c>
      <c r="E39" s="131" t="str">
        <f t="shared" si="30"/>
        <v>Per cent</v>
      </c>
      <c r="F39" s="131"/>
      <c r="G39" s="131"/>
      <c r="H39" s="131"/>
      <c r="I39" s="131"/>
      <c r="J39" s="168"/>
      <c r="K39" s="169"/>
      <c r="L39" s="169"/>
      <c r="M39" s="169"/>
      <c r="N39" s="169"/>
      <c r="O39" s="169"/>
      <c r="P39" s="204">
        <v>1.2082364468509153E-2</v>
      </c>
      <c r="Q39" s="204">
        <v>1.1407345898888472E-2</v>
      </c>
      <c r="R39" s="204">
        <v>8.5909321977557431E-3</v>
      </c>
      <c r="S39" s="204">
        <v>5.2010829179102739E-3</v>
      </c>
      <c r="T39" s="204">
        <v>9.2917581213205931E-3</v>
      </c>
      <c r="U39" s="130"/>
      <c r="V39" s="130"/>
      <c r="W39" s="130"/>
    </row>
    <row r="40" spans="1:34" ht="11.25" customHeight="1" outlineLevel="1">
      <c r="A40" s="130"/>
      <c r="B40" s="130"/>
      <c r="C40" s="138" t="s">
        <v>193</v>
      </c>
      <c r="D40" s="131" t="s">
        <v>101</v>
      </c>
      <c r="E40" s="131" t="str">
        <f t="shared" si="30"/>
        <v>Per cent</v>
      </c>
      <c r="F40" s="131"/>
      <c r="G40" s="131"/>
      <c r="H40" s="131"/>
      <c r="I40" s="131"/>
      <c r="J40" s="168"/>
      <c r="K40" s="169"/>
      <c r="L40" s="169"/>
      <c r="M40" s="169"/>
      <c r="N40" s="169"/>
      <c r="O40" s="169"/>
      <c r="P40" s="204">
        <f>AVERAGE(P38:P39)</f>
        <v>7.499296893880996E-3</v>
      </c>
      <c r="Q40" s="204">
        <f t="shared" ref="Q40:T40" si="31">AVERAGE(Q38:Q39)</f>
        <v>8.9589070288785232E-3</v>
      </c>
      <c r="R40" s="204">
        <f t="shared" si="31"/>
        <v>8.5237330893957984E-3</v>
      </c>
      <c r="S40" s="204">
        <f t="shared" si="31"/>
        <v>7.2319212770930192E-3</v>
      </c>
      <c r="T40" s="204">
        <f t="shared" si="31"/>
        <v>9.3814886873183848E-3</v>
      </c>
      <c r="U40" s="130"/>
      <c r="V40" s="130"/>
      <c r="W40" s="130"/>
    </row>
    <row r="41" spans="1:34" ht="11.25" customHeight="1" outlineLevel="1">
      <c r="A41" s="130"/>
      <c r="B41" s="130"/>
      <c r="C41" s="138" t="s">
        <v>180</v>
      </c>
      <c r="D41" s="131" t="s">
        <v>101</v>
      </c>
      <c r="E41" s="131" t="str">
        <f t="shared" si="30"/>
        <v>Per cent</v>
      </c>
      <c r="F41" s="131"/>
      <c r="G41" s="131"/>
      <c r="H41" s="131"/>
      <c r="I41" s="131"/>
      <c r="J41" s="168"/>
      <c r="K41" s="169"/>
      <c r="L41" s="169"/>
      <c r="M41" s="169"/>
      <c r="N41" s="169"/>
      <c r="O41" s="169"/>
      <c r="P41" s="204">
        <v>5.0000000000000001E-3</v>
      </c>
      <c r="Q41" s="204">
        <v>5.0000000000000001E-3</v>
      </c>
      <c r="R41" s="204">
        <v>0</v>
      </c>
      <c r="S41" s="204">
        <v>0</v>
      </c>
      <c r="T41" s="204">
        <v>0</v>
      </c>
      <c r="U41" s="171"/>
      <c r="V41" s="172"/>
      <c r="W41" s="130"/>
    </row>
    <row r="42" spans="1:34" ht="11.25" customHeight="1" outlineLevel="1">
      <c r="A42" s="130"/>
      <c r="B42" s="130"/>
      <c r="C42" s="138" t="s">
        <v>181</v>
      </c>
      <c r="D42" s="131" t="s">
        <v>101</v>
      </c>
      <c r="E42" s="131" t="str">
        <f t="shared" si="30"/>
        <v>Per cent</v>
      </c>
      <c r="F42" s="131"/>
      <c r="G42" s="131"/>
      <c r="H42" s="131"/>
      <c r="I42" s="131"/>
      <c r="J42" s="168"/>
      <c r="K42" s="169"/>
      <c r="L42" s="169"/>
      <c r="M42" s="169"/>
      <c r="N42" s="169"/>
      <c r="O42" s="169"/>
      <c r="P42" s="204">
        <f>P41+P40</f>
        <v>1.2499296893880997E-2</v>
      </c>
      <c r="Q42" s="204">
        <f t="shared" ref="Q42:T42" si="32">Q41+Q40</f>
        <v>1.3958907028878524E-2</v>
      </c>
      <c r="R42" s="204">
        <f t="shared" si="32"/>
        <v>8.5237330893957984E-3</v>
      </c>
      <c r="S42" s="204">
        <f t="shared" si="32"/>
        <v>7.2319212770930192E-3</v>
      </c>
      <c r="T42" s="204">
        <f t="shared" si="32"/>
        <v>9.3814886873183848E-3</v>
      </c>
      <c r="U42" s="171"/>
      <c r="V42" s="130"/>
      <c r="W42" s="130"/>
    </row>
    <row r="43" spans="1:34" ht="11.25" customHeight="1" outlineLevel="1">
      <c r="A43" s="130"/>
      <c r="B43" s="130"/>
      <c r="C43" s="138"/>
      <c r="D43" s="131" t="s">
        <v>101</v>
      </c>
      <c r="E43" s="131" t="str">
        <f t="shared" si="30"/>
        <v>Per cent</v>
      </c>
      <c r="F43" s="131"/>
      <c r="G43" s="131"/>
      <c r="H43" s="131"/>
      <c r="I43" s="131"/>
      <c r="J43" s="168"/>
      <c r="K43" s="169"/>
      <c r="L43" s="169"/>
      <c r="M43" s="169"/>
      <c r="N43" s="169"/>
      <c r="O43" s="169"/>
      <c r="P43" s="173"/>
      <c r="Q43" s="173"/>
      <c r="R43" s="173"/>
      <c r="S43" s="173"/>
      <c r="T43" s="173"/>
      <c r="U43" s="171"/>
      <c r="V43" s="130"/>
      <c r="W43" s="130"/>
    </row>
    <row r="44" spans="1:34" ht="11.25" customHeight="1" outlineLevel="1">
      <c r="A44" s="130"/>
      <c r="B44" s="130"/>
      <c r="C44" s="138"/>
      <c r="D44" s="131" t="s">
        <v>101</v>
      </c>
      <c r="E44" s="131" t="str">
        <f t="shared" si="30"/>
        <v>Per cent</v>
      </c>
      <c r="F44" s="131"/>
      <c r="G44" s="131"/>
      <c r="H44" s="131"/>
      <c r="I44" s="131"/>
      <c r="J44" s="168"/>
      <c r="K44" s="169"/>
      <c r="L44" s="169"/>
      <c r="M44" s="169"/>
      <c r="N44" s="169"/>
      <c r="O44" s="169"/>
      <c r="P44" s="173"/>
      <c r="Q44" s="173"/>
      <c r="R44" s="173"/>
      <c r="S44" s="173"/>
      <c r="T44" s="173"/>
      <c r="U44" s="171"/>
      <c r="V44" s="130"/>
      <c r="W44" s="130"/>
    </row>
    <row r="45" spans="1:34" ht="11.25" customHeight="1" outlineLevel="1">
      <c r="A45" s="130"/>
      <c r="B45" s="130"/>
      <c r="C45" s="138" t="s">
        <v>81</v>
      </c>
      <c r="D45" s="131" t="s">
        <v>101</v>
      </c>
      <c r="E45" s="131" t="str">
        <f t="shared" si="30"/>
        <v>Per cent</v>
      </c>
      <c r="F45" s="131"/>
      <c r="G45" s="131"/>
      <c r="H45" s="131"/>
      <c r="I45" s="131"/>
      <c r="J45" s="168"/>
      <c r="K45" s="169"/>
      <c r="L45" s="169"/>
      <c r="M45" s="169"/>
      <c r="N45" s="169"/>
      <c r="O45" s="169"/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1"/>
      <c r="V45" s="130"/>
      <c r="W45" s="130"/>
    </row>
    <row r="46" spans="1:34" ht="11.25" customHeight="1" outlineLevel="1">
      <c r="A46" s="130"/>
      <c r="B46" s="130"/>
      <c r="C46" s="130"/>
      <c r="D46" s="131"/>
      <c r="E46" s="131"/>
      <c r="F46" s="131"/>
      <c r="G46" s="131"/>
      <c r="H46" s="131"/>
      <c r="I46" s="131"/>
      <c r="J46" s="131"/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  <c r="W46" s="130"/>
    </row>
    <row r="47" spans="1:34" ht="11.25" customHeight="1" outlineLevel="1">
      <c r="A47" s="130"/>
      <c r="B47" s="130"/>
      <c r="C47" s="130" t="s">
        <v>40</v>
      </c>
      <c r="D47" s="131" t="s">
        <v>98</v>
      </c>
      <c r="E47" s="131" t="s">
        <v>28</v>
      </c>
      <c r="F47" s="131" t="s">
        <v>36</v>
      </c>
      <c r="G47" s="131"/>
      <c r="H47" s="131"/>
      <c r="I47" s="131"/>
      <c r="J47" s="174" t="str">
        <f t="shared" ref="J47:S47" si="33">IF(J36=J4,IF(COUNTA($C38:$C45)=COUNT(J38:J45),"Ok","Check"),"")</f>
        <v/>
      </c>
      <c r="K47" s="174" t="str">
        <f t="shared" si="33"/>
        <v/>
      </c>
      <c r="L47" s="174" t="str">
        <f t="shared" si="33"/>
        <v/>
      </c>
      <c r="M47" s="174" t="str">
        <f t="shared" si="33"/>
        <v/>
      </c>
      <c r="N47" s="174" t="str">
        <f t="shared" si="33"/>
        <v/>
      </c>
      <c r="O47" s="174" t="str">
        <f t="shared" si="33"/>
        <v/>
      </c>
      <c r="P47" s="174" t="str">
        <f t="shared" si="33"/>
        <v>Ok</v>
      </c>
      <c r="Q47" s="174" t="str">
        <f t="shared" si="33"/>
        <v>Ok</v>
      </c>
      <c r="R47" s="174" t="str">
        <f t="shared" si="33"/>
        <v>Ok</v>
      </c>
      <c r="S47" s="174" t="str">
        <f t="shared" si="33"/>
        <v>Ok</v>
      </c>
      <c r="T47" s="174" t="str">
        <f>IF(T36=T4,IF(COUNTA($C38:$C45)=COUNT(T38:T45),"Ok","Check"),"")</f>
        <v>Ok</v>
      </c>
      <c r="U47" s="174" t="str">
        <f>IF(U36=U4,IF(COUNTA($C38:$C45)=COUNT(U38:U45),"Ok","Check"),"")</f>
        <v/>
      </c>
      <c r="V47" s="175"/>
      <c r="W47" s="130"/>
      <c r="X47" s="84" t="str">
        <f>IF(COUNTIF(J47:U47,"Check")=0,"Ok","Check")</f>
        <v>Ok</v>
      </c>
    </row>
    <row r="48" spans="1:34" ht="11.25" customHeight="1" outlineLevel="1">
      <c r="A48" s="130"/>
      <c r="B48" s="130"/>
      <c r="C48" s="130"/>
      <c r="D48" s="131"/>
      <c r="E48" s="131"/>
      <c r="F48" s="131"/>
      <c r="G48" s="131"/>
      <c r="H48" s="131"/>
      <c r="I48" s="131"/>
      <c r="J48" s="131"/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  <c r="W48" s="130"/>
    </row>
    <row r="49" spans="1:34" ht="11.25" customHeight="1" outlineLevel="1">
      <c r="A49" s="130"/>
      <c r="B49" s="130"/>
      <c r="C49" s="133" t="s">
        <v>43</v>
      </c>
      <c r="D49" s="132" t="s">
        <v>7</v>
      </c>
      <c r="E49" s="132" t="s">
        <v>8</v>
      </c>
      <c r="F49" s="131"/>
      <c r="G49" s="131"/>
      <c r="H49" s="131"/>
      <c r="I49" s="131"/>
      <c r="J49" s="149" t="str">
        <f t="shared" ref="J49:U49" si="34">IF(YEAR(J$4)&gt;=FPFirstYear,IF(YEAR(J$4)&lt;=FPLastYear,J$4,""),"")</f>
        <v/>
      </c>
      <c r="K49" s="149" t="str">
        <f t="shared" si="34"/>
        <v/>
      </c>
      <c r="L49" s="149" t="str">
        <f t="shared" si="34"/>
        <v/>
      </c>
      <c r="M49" s="149" t="str">
        <f t="shared" si="34"/>
        <v/>
      </c>
      <c r="N49" s="149" t="str">
        <f t="shared" si="34"/>
        <v/>
      </c>
      <c r="O49" s="149" t="str">
        <f t="shared" si="34"/>
        <v/>
      </c>
      <c r="P49" s="149">
        <f t="shared" si="34"/>
        <v>45809</v>
      </c>
      <c r="Q49" s="149">
        <f t="shared" si="34"/>
        <v>46174</v>
      </c>
      <c r="R49" s="149">
        <f t="shared" si="34"/>
        <v>46539</v>
      </c>
      <c r="S49" s="149">
        <f t="shared" si="34"/>
        <v>46905</v>
      </c>
      <c r="T49" s="149">
        <f t="shared" si="34"/>
        <v>47270</v>
      </c>
      <c r="U49" s="149" t="str">
        <f t="shared" si="34"/>
        <v/>
      </c>
      <c r="V49" s="130"/>
      <c r="W49" s="130"/>
    </row>
    <row r="50" spans="1:34" ht="11.25" customHeight="1" outlineLevel="1">
      <c r="A50" s="130"/>
      <c r="B50" s="130"/>
      <c r="C50" s="130"/>
      <c r="D50" s="131"/>
      <c r="E50" s="131"/>
      <c r="F50" s="131"/>
      <c r="G50" s="131"/>
      <c r="H50" s="131"/>
      <c r="I50" s="131"/>
      <c r="J50" s="131"/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  <c r="W50" s="130"/>
    </row>
    <row r="51" spans="1:34" ht="11.25" customHeight="1" outlineLevel="1">
      <c r="A51" s="130"/>
      <c r="B51" s="130"/>
      <c r="C51" s="176" t="str">
        <f t="shared" ref="C51:C58" si="35">C38</f>
        <v>WPI - KPMG forecast</v>
      </c>
      <c r="D51" s="131" t="s">
        <v>101</v>
      </c>
      <c r="E51" s="131" t="str">
        <f t="shared" ref="E51:E58" si="36">percent</f>
        <v>Per cent</v>
      </c>
      <c r="F51" s="131"/>
      <c r="G51" s="131"/>
      <c r="H51" s="131"/>
      <c r="I51" s="131"/>
      <c r="J51" s="168"/>
      <c r="K51" s="169"/>
      <c r="L51" s="169"/>
      <c r="M51" s="169"/>
      <c r="N51" s="169"/>
      <c r="O51" s="169"/>
      <c r="P51" s="154"/>
      <c r="Q51" s="154"/>
      <c r="R51" s="154"/>
      <c r="S51" s="154"/>
      <c r="T51" s="154"/>
      <c r="U51" s="177"/>
      <c r="V51" s="130"/>
      <c r="W51" s="130"/>
    </row>
    <row r="52" spans="1:34" ht="11.25" customHeight="1" outlineLevel="1">
      <c r="A52" s="130"/>
      <c r="B52" s="130"/>
      <c r="C52" s="176" t="str">
        <f t="shared" si="35"/>
        <v>WPI - BIS Oxford forecast</v>
      </c>
      <c r="D52" s="131" t="s">
        <v>101</v>
      </c>
      <c r="E52" s="131" t="str">
        <f t="shared" si="36"/>
        <v>Per cent</v>
      </c>
      <c r="F52" s="131"/>
      <c r="G52" s="131"/>
      <c r="H52" s="131"/>
      <c r="I52" s="131"/>
      <c r="J52" s="168"/>
      <c r="K52" s="169"/>
      <c r="L52" s="169"/>
      <c r="M52" s="169"/>
      <c r="N52" s="169"/>
      <c r="O52" s="169"/>
      <c r="P52" s="154"/>
      <c r="Q52" s="154"/>
      <c r="R52" s="154"/>
      <c r="S52" s="154"/>
      <c r="T52" s="154"/>
      <c r="U52" s="177"/>
      <c r="V52" s="130"/>
      <c r="W52" s="130"/>
    </row>
    <row r="53" spans="1:34" ht="11.25" customHeight="1" outlineLevel="1">
      <c r="A53" s="130"/>
      <c r="B53" s="130"/>
      <c r="C53" s="176" t="str">
        <f t="shared" si="35"/>
        <v>WPI - average</v>
      </c>
      <c r="D53" s="131" t="s">
        <v>101</v>
      </c>
      <c r="E53" s="131" t="str">
        <f t="shared" si="36"/>
        <v>Per cent</v>
      </c>
      <c r="F53" s="131"/>
      <c r="G53" s="131"/>
      <c r="H53" s="131"/>
      <c r="I53" s="131"/>
      <c r="J53" s="168"/>
      <c r="K53" s="169"/>
      <c r="L53" s="169"/>
      <c r="M53" s="169"/>
      <c r="N53" s="169"/>
      <c r="O53" s="169"/>
      <c r="P53" s="154"/>
      <c r="Q53" s="154"/>
      <c r="R53" s="154"/>
      <c r="S53" s="154"/>
      <c r="T53" s="154"/>
      <c r="U53" s="177"/>
      <c r="V53" s="130"/>
      <c r="W53" s="130"/>
    </row>
    <row r="54" spans="1:34" ht="11.25" customHeight="1" outlineLevel="1">
      <c r="A54" s="130"/>
      <c r="B54" s="130"/>
      <c r="C54" s="176" t="str">
        <f t="shared" si="35"/>
        <v>Superannuation guarantee increases</v>
      </c>
      <c r="D54" s="131" t="s">
        <v>101</v>
      </c>
      <c r="E54" s="131" t="str">
        <f t="shared" si="36"/>
        <v>Per cent</v>
      </c>
      <c r="F54" s="131"/>
      <c r="G54" s="131"/>
      <c r="H54" s="131"/>
      <c r="I54" s="131"/>
      <c r="J54" s="168"/>
      <c r="K54" s="169"/>
      <c r="L54" s="169"/>
      <c r="M54" s="169"/>
      <c r="N54" s="169"/>
      <c r="O54" s="169"/>
      <c r="P54" s="154"/>
      <c r="Q54" s="154"/>
      <c r="R54" s="154"/>
      <c r="S54" s="154"/>
      <c r="T54" s="154"/>
      <c r="U54" s="177"/>
      <c r="V54" s="172"/>
      <c r="W54" s="130"/>
    </row>
    <row r="55" spans="1:34" ht="11.25" customHeight="1" outlineLevel="1">
      <c r="A55" s="130"/>
      <c r="B55" s="130"/>
      <c r="C55" s="176" t="str">
        <f t="shared" si="35"/>
        <v>WPI - average + super guarantee increases</v>
      </c>
      <c r="D55" s="131" t="s">
        <v>101</v>
      </c>
      <c r="E55" s="131" t="str">
        <f t="shared" si="36"/>
        <v>Per cent</v>
      </c>
      <c r="F55" s="131"/>
      <c r="G55" s="131"/>
      <c r="H55" s="131"/>
      <c r="I55" s="131"/>
      <c r="J55" s="168"/>
      <c r="K55" s="169"/>
      <c r="L55" s="169"/>
      <c r="M55" s="169"/>
      <c r="N55" s="169"/>
      <c r="O55" s="169"/>
      <c r="P55" s="178">
        <v>0.59199999999999997</v>
      </c>
      <c r="Q55" s="178">
        <v>0.59199999999999997</v>
      </c>
      <c r="R55" s="178">
        <v>0.59199999999999997</v>
      </c>
      <c r="S55" s="178">
        <v>0.59199999999999997</v>
      </c>
      <c r="T55" s="178">
        <v>0.59199999999999997</v>
      </c>
      <c r="U55" s="177"/>
      <c r="V55" s="130"/>
      <c r="W55" s="130"/>
    </row>
    <row r="56" spans="1:34" ht="11.25" customHeight="1" outlineLevel="1">
      <c r="A56" s="130"/>
      <c r="B56" s="130"/>
      <c r="C56" s="176">
        <f t="shared" si="35"/>
        <v>0</v>
      </c>
      <c r="D56" s="131" t="s">
        <v>101</v>
      </c>
      <c r="E56" s="131" t="str">
        <f t="shared" si="36"/>
        <v>Per cent</v>
      </c>
      <c r="F56" s="131"/>
      <c r="G56" s="131"/>
      <c r="H56" s="131"/>
      <c r="I56" s="131"/>
      <c r="J56" s="168"/>
      <c r="K56" s="169"/>
      <c r="L56" s="169"/>
      <c r="M56" s="169"/>
      <c r="N56" s="169"/>
      <c r="O56" s="169"/>
      <c r="P56" s="154"/>
      <c r="Q56" s="154"/>
      <c r="R56" s="154"/>
      <c r="S56" s="154"/>
      <c r="T56" s="154"/>
      <c r="U56" s="177"/>
      <c r="V56" s="130"/>
      <c r="W56" s="130"/>
    </row>
    <row r="57" spans="1:34" ht="11.25" customHeight="1" outlineLevel="1">
      <c r="A57" s="130"/>
      <c r="B57" s="130"/>
      <c r="C57" s="176">
        <f t="shared" si="35"/>
        <v>0</v>
      </c>
      <c r="D57" s="131" t="s">
        <v>101</v>
      </c>
      <c r="E57" s="131" t="str">
        <f t="shared" si="36"/>
        <v>Per cent</v>
      </c>
      <c r="F57" s="131"/>
      <c r="G57" s="131"/>
      <c r="H57" s="131"/>
      <c r="I57" s="131"/>
      <c r="J57" s="168"/>
      <c r="K57" s="169"/>
      <c r="L57" s="169"/>
      <c r="M57" s="169"/>
      <c r="N57" s="169"/>
      <c r="O57" s="169"/>
      <c r="P57" s="154"/>
      <c r="Q57" s="154"/>
      <c r="R57" s="154"/>
      <c r="S57" s="154"/>
      <c r="T57" s="154"/>
      <c r="U57" s="177"/>
      <c r="V57" s="130"/>
      <c r="W57" s="130"/>
    </row>
    <row r="58" spans="1:34" ht="11.25" customHeight="1" outlineLevel="1">
      <c r="A58" s="130"/>
      <c r="B58" s="130"/>
      <c r="C58" s="176" t="str">
        <f t="shared" si="35"/>
        <v>CPI</v>
      </c>
      <c r="D58" s="131" t="s">
        <v>101</v>
      </c>
      <c r="E58" s="131" t="str">
        <f t="shared" si="36"/>
        <v>Per cent</v>
      </c>
      <c r="F58" s="131"/>
      <c r="G58" s="131"/>
      <c r="H58" s="131"/>
      <c r="I58" s="131"/>
      <c r="J58" s="168"/>
      <c r="K58" s="169"/>
      <c r="L58" s="169"/>
      <c r="M58" s="169"/>
      <c r="N58" s="169"/>
      <c r="O58" s="169"/>
      <c r="P58" s="154">
        <v>0.40799999999999997</v>
      </c>
      <c r="Q58" s="154">
        <v>0.40799999999999997</v>
      </c>
      <c r="R58" s="154">
        <v>0.40799999999999997</v>
      </c>
      <c r="S58" s="154">
        <v>0.40799999999999997</v>
      </c>
      <c r="T58" s="154">
        <v>0.40799999999999997</v>
      </c>
      <c r="U58" s="177"/>
      <c r="V58" s="130"/>
      <c r="W58" s="130"/>
    </row>
    <row r="59" spans="1:34" ht="11.25" customHeight="1" outlineLevel="1">
      <c r="A59" s="130"/>
      <c r="B59" s="130"/>
      <c r="C59" s="130"/>
      <c r="D59" s="131"/>
      <c r="E59" s="131"/>
      <c r="F59" s="131"/>
      <c r="G59" s="131"/>
      <c r="H59" s="131"/>
      <c r="I59" s="131"/>
      <c r="J59" s="131"/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  <c r="W59" s="130"/>
    </row>
    <row r="60" spans="1:34" outlineLevel="1">
      <c r="A60" s="130"/>
      <c r="B60" s="130"/>
      <c r="C60" s="130" t="s">
        <v>40</v>
      </c>
      <c r="D60" s="131" t="s">
        <v>98</v>
      </c>
      <c r="E60" s="131" t="s">
        <v>28</v>
      </c>
      <c r="F60" s="131" t="s">
        <v>36</v>
      </c>
      <c r="G60" s="131"/>
      <c r="H60" s="131"/>
      <c r="I60" s="131"/>
      <c r="J60" s="174" t="str">
        <f t="shared" ref="J60:S60" si="37">IF(J49=J$4,IF(SUM(J51:J58)=1,"Ok","Check"),"")</f>
        <v/>
      </c>
      <c r="K60" s="174" t="str">
        <f t="shared" si="37"/>
        <v/>
      </c>
      <c r="L60" s="174" t="str">
        <f t="shared" si="37"/>
        <v/>
      </c>
      <c r="M60" s="174" t="str">
        <f t="shared" si="37"/>
        <v/>
      </c>
      <c r="N60" s="174" t="str">
        <f t="shared" si="37"/>
        <v/>
      </c>
      <c r="O60" s="174" t="str">
        <f t="shared" si="37"/>
        <v/>
      </c>
      <c r="P60" s="174" t="str">
        <f t="shared" si="37"/>
        <v>Ok</v>
      </c>
      <c r="Q60" s="174" t="str">
        <f t="shared" si="37"/>
        <v>Ok</v>
      </c>
      <c r="R60" s="174" t="str">
        <f t="shared" si="37"/>
        <v>Ok</v>
      </c>
      <c r="S60" s="174" t="str">
        <f t="shared" si="37"/>
        <v>Ok</v>
      </c>
      <c r="T60" s="174" t="str">
        <f>IF(T49=T$4,IF(SUM(T51:T58)=1,"Ok","Check"),"")</f>
        <v>Ok</v>
      </c>
      <c r="U60" s="174" t="str">
        <f>IF(U49=U$4,IF(SUM(U51:U58)=1,"Ok","Check"),"")</f>
        <v/>
      </c>
      <c r="V60" s="175"/>
      <c r="W60" s="130"/>
      <c r="X60" s="84" t="str">
        <f>IF(COUNTIF(J60:U60,"Check")=0,"Ok","Check")</f>
        <v>Ok</v>
      </c>
    </row>
    <row r="61" spans="1:34">
      <c r="A61" s="130"/>
      <c r="B61" s="130"/>
      <c r="C61" s="130"/>
      <c r="D61" s="131"/>
      <c r="E61" s="131"/>
      <c r="F61" s="131"/>
      <c r="G61" s="131"/>
      <c r="H61" s="131"/>
      <c r="I61" s="131"/>
      <c r="J61" s="131"/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  <c r="W61" s="130"/>
    </row>
    <row r="62" spans="1:34" customFormat="1" ht="12.75">
      <c r="A62" s="126"/>
      <c r="B62" s="40" t="s">
        <v>84</v>
      </c>
      <c r="C62" s="126"/>
      <c r="D62" s="126"/>
      <c r="E62" s="126"/>
      <c r="F62" s="127"/>
      <c r="G62" s="127"/>
      <c r="H62" s="127"/>
      <c r="I62" s="127"/>
      <c r="J62" s="127"/>
      <c r="K62" s="128"/>
      <c r="L62" s="129"/>
      <c r="M62" s="128"/>
      <c r="N62" s="129"/>
      <c r="O62" s="128"/>
      <c r="P62" s="128"/>
      <c r="Q62" s="128"/>
      <c r="R62" s="128"/>
      <c r="S62" s="128"/>
      <c r="T62" s="128"/>
      <c r="U62" s="128"/>
      <c r="V62" s="128"/>
      <c r="W62" s="128"/>
      <c r="X62" s="37"/>
      <c r="Y62" s="38"/>
      <c r="Z62" s="38"/>
      <c r="AA62" s="38"/>
      <c r="AB62" s="38"/>
      <c r="AC62" s="38"/>
      <c r="AD62" s="38"/>
      <c r="AE62" s="38"/>
      <c r="AF62" s="38"/>
      <c r="AG62" s="39"/>
      <c r="AH62" s="39"/>
    </row>
    <row r="63" spans="1:34" outlineLevel="1">
      <c r="A63" s="130"/>
      <c r="B63" s="130"/>
      <c r="C63" s="130"/>
      <c r="D63" s="131"/>
      <c r="E63" s="131"/>
      <c r="F63" s="131"/>
      <c r="G63" s="132"/>
      <c r="H63" s="132"/>
      <c r="I63" s="131"/>
      <c r="J63" s="131"/>
      <c r="K63" s="130"/>
      <c r="L63" s="130"/>
      <c r="M63" s="130"/>
      <c r="N63" s="130"/>
      <c r="O63" s="130"/>
      <c r="P63" s="130"/>
      <c r="Q63" s="130"/>
      <c r="R63" s="130"/>
      <c r="S63" s="130"/>
      <c r="T63" s="130"/>
      <c r="U63" s="130"/>
      <c r="V63" s="130"/>
      <c r="W63" s="130"/>
    </row>
    <row r="64" spans="1:34" outlineLevel="1">
      <c r="A64" s="130"/>
      <c r="B64" s="130"/>
      <c r="C64" s="133" t="s">
        <v>85</v>
      </c>
      <c r="D64" s="132" t="s">
        <v>7</v>
      </c>
      <c r="E64" s="132" t="s">
        <v>8</v>
      </c>
      <c r="F64" s="132" t="s">
        <v>22</v>
      </c>
      <c r="G64" s="132"/>
      <c r="H64" s="132"/>
      <c r="I64" s="131"/>
      <c r="J64" s="149" t="str">
        <f t="shared" ref="J64:U64" si="38">IF(YEAR(J$4)&gt;=PPLastYear,IF(YEAR(J$4)&lt;=FPLastYear,J$4,""),"")</f>
        <v/>
      </c>
      <c r="K64" s="149" t="str">
        <f t="shared" si="38"/>
        <v/>
      </c>
      <c r="L64" s="149" t="str">
        <f t="shared" si="38"/>
        <v/>
      </c>
      <c r="M64" s="149" t="str">
        <f t="shared" si="38"/>
        <v/>
      </c>
      <c r="N64" s="149" t="str">
        <f t="shared" si="38"/>
        <v/>
      </c>
      <c r="O64" s="149">
        <f t="shared" si="38"/>
        <v>45444</v>
      </c>
      <c r="P64" s="149">
        <f t="shared" si="38"/>
        <v>45809</v>
      </c>
      <c r="Q64" s="149">
        <f t="shared" si="38"/>
        <v>46174</v>
      </c>
      <c r="R64" s="149">
        <f t="shared" si="38"/>
        <v>46539</v>
      </c>
      <c r="S64" s="149">
        <f t="shared" si="38"/>
        <v>46905</v>
      </c>
      <c r="T64" s="149">
        <f t="shared" si="38"/>
        <v>47270</v>
      </c>
      <c r="U64" s="149" t="str">
        <f t="shared" si="38"/>
        <v/>
      </c>
      <c r="V64" s="130"/>
      <c r="W64" s="130"/>
    </row>
    <row r="65" spans="1:24" outlineLevel="1">
      <c r="A65" s="130"/>
      <c r="B65" s="130"/>
      <c r="C65" s="136"/>
      <c r="D65" s="131"/>
      <c r="E65" s="131"/>
      <c r="F65" s="131"/>
      <c r="G65" s="132"/>
      <c r="H65" s="132"/>
      <c r="I65" s="131"/>
      <c r="J65" s="131"/>
      <c r="K65" s="137"/>
      <c r="L65" s="137"/>
      <c r="M65" s="137"/>
      <c r="N65" s="137"/>
      <c r="O65" s="137"/>
      <c r="P65" s="130"/>
      <c r="Q65" s="130"/>
      <c r="R65" s="130"/>
      <c r="S65" s="130"/>
      <c r="T65" s="130"/>
      <c r="U65" s="130"/>
      <c r="V65" s="130"/>
      <c r="W65" s="130"/>
    </row>
    <row r="66" spans="1:24" outlineLevel="1">
      <c r="A66" s="130"/>
      <c r="B66" s="130"/>
      <c r="C66" s="138" t="s">
        <v>194</v>
      </c>
      <c r="D66" s="131" t="s">
        <v>101</v>
      </c>
      <c r="E66" s="131" t="s">
        <v>18</v>
      </c>
      <c r="F66" s="131" t="s">
        <v>36</v>
      </c>
      <c r="G66" s="132"/>
      <c r="H66" s="132"/>
      <c r="I66" s="131"/>
      <c r="J66" s="168"/>
      <c r="K66" s="179"/>
      <c r="L66" s="179"/>
      <c r="M66" s="179"/>
      <c r="N66" s="179"/>
      <c r="O66" s="205">
        <v>946575.6102419839</v>
      </c>
      <c r="P66" s="205">
        <v>954110.37350966653</v>
      </c>
      <c r="Q66" s="205">
        <v>961672.44230717421</v>
      </c>
      <c r="R66" s="205">
        <v>969246.0756743853</v>
      </c>
      <c r="S66" s="205">
        <v>976825.13975011173</v>
      </c>
      <c r="T66" s="205">
        <v>984404.19709093205</v>
      </c>
      <c r="U66" s="152"/>
      <c r="V66" s="130"/>
      <c r="W66" s="130"/>
    </row>
    <row r="67" spans="1:24" outlineLevel="1">
      <c r="A67" s="130"/>
      <c r="B67" s="130"/>
      <c r="C67" s="138" t="s">
        <v>195</v>
      </c>
      <c r="D67" s="131" t="s">
        <v>101</v>
      </c>
      <c r="E67" s="131" t="s">
        <v>18</v>
      </c>
      <c r="F67" s="131" t="s">
        <v>36</v>
      </c>
      <c r="G67" s="132"/>
      <c r="H67" s="132"/>
      <c r="I67" s="131"/>
      <c r="J67" s="168"/>
      <c r="K67" s="179"/>
      <c r="L67" s="179"/>
      <c r="M67" s="179"/>
      <c r="N67" s="179"/>
      <c r="O67" s="205">
        <v>193567.28307681205</v>
      </c>
      <c r="P67" s="205">
        <v>193784.85795171032</v>
      </c>
      <c r="Q67" s="205">
        <v>194002.43282660877</v>
      </c>
      <c r="R67" s="205">
        <v>194220.00770150701</v>
      </c>
      <c r="S67" s="205">
        <v>194437.5825764054</v>
      </c>
      <c r="T67" s="205">
        <v>194655.15745130373</v>
      </c>
      <c r="U67" s="152"/>
      <c r="V67" s="130"/>
      <c r="W67" s="130"/>
    </row>
    <row r="68" spans="1:24" outlineLevel="1">
      <c r="A68" s="130"/>
      <c r="B68" s="130"/>
      <c r="C68" s="138" t="s">
        <v>196</v>
      </c>
      <c r="D68" s="131" t="s">
        <v>101</v>
      </c>
      <c r="E68" s="131" t="s">
        <v>18</v>
      </c>
      <c r="F68" s="131" t="s">
        <v>36</v>
      </c>
      <c r="G68" s="132"/>
      <c r="H68" s="132"/>
      <c r="I68" s="131"/>
      <c r="J68" s="168"/>
      <c r="K68" s="179"/>
      <c r="L68" s="179"/>
      <c r="M68" s="179"/>
      <c r="N68" s="179"/>
      <c r="O68" s="205">
        <v>3082</v>
      </c>
      <c r="P68" s="205">
        <v>3109</v>
      </c>
      <c r="Q68" s="205">
        <v>3136</v>
      </c>
      <c r="R68" s="205">
        <v>3163</v>
      </c>
      <c r="S68" s="205">
        <v>3190</v>
      </c>
      <c r="T68" s="205">
        <v>3217</v>
      </c>
      <c r="U68" s="152"/>
      <c r="V68" s="130"/>
      <c r="W68" s="130"/>
    </row>
    <row r="69" spans="1:24" outlineLevel="1">
      <c r="A69" s="130"/>
      <c r="B69" s="130"/>
      <c r="C69" s="138"/>
      <c r="D69" s="131" t="s">
        <v>101</v>
      </c>
      <c r="E69" s="131" t="s">
        <v>18</v>
      </c>
      <c r="F69" s="131" t="s">
        <v>36</v>
      </c>
      <c r="G69" s="132"/>
      <c r="H69" s="132"/>
      <c r="I69" s="131"/>
      <c r="J69" s="168"/>
      <c r="K69" s="179"/>
      <c r="L69" s="179"/>
      <c r="M69" s="179"/>
      <c r="N69" s="179"/>
      <c r="O69" s="152"/>
      <c r="P69" s="152"/>
      <c r="Q69" s="152"/>
      <c r="R69" s="152"/>
      <c r="S69" s="152"/>
      <c r="T69" s="152"/>
      <c r="U69" s="152"/>
      <c r="V69" s="130"/>
      <c r="W69" s="130"/>
    </row>
    <row r="70" spans="1:24" outlineLevel="1">
      <c r="A70" s="130"/>
      <c r="B70" s="130"/>
      <c r="C70" s="138"/>
      <c r="D70" s="131" t="s">
        <v>101</v>
      </c>
      <c r="E70" s="131" t="s">
        <v>18</v>
      </c>
      <c r="F70" s="131" t="s">
        <v>36</v>
      </c>
      <c r="G70" s="132"/>
      <c r="H70" s="132"/>
      <c r="I70" s="131"/>
      <c r="J70" s="168"/>
      <c r="K70" s="179"/>
      <c r="L70" s="179"/>
      <c r="M70" s="179"/>
      <c r="N70" s="179"/>
      <c r="O70" s="152"/>
      <c r="P70" s="152"/>
      <c r="Q70" s="152"/>
      <c r="R70" s="152"/>
      <c r="S70" s="152"/>
      <c r="T70" s="152"/>
      <c r="U70" s="152"/>
      <c r="V70" s="130"/>
      <c r="W70" s="130"/>
    </row>
    <row r="71" spans="1:24" outlineLevel="1">
      <c r="A71" s="130"/>
      <c r="B71" s="130"/>
      <c r="C71" s="138"/>
      <c r="D71" s="131" t="s">
        <v>101</v>
      </c>
      <c r="E71" s="131" t="s">
        <v>18</v>
      </c>
      <c r="F71" s="131" t="s">
        <v>36</v>
      </c>
      <c r="G71" s="132"/>
      <c r="H71" s="132"/>
      <c r="I71" s="131"/>
      <c r="J71" s="168"/>
      <c r="K71" s="179"/>
      <c r="L71" s="179"/>
      <c r="M71" s="179"/>
      <c r="N71" s="179"/>
      <c r="O71" s="152"/>
      <c r="P71" s="152"/>
      <c r="Q71" s="152"/>
      <c r="R71" s="152"/>
      <c r="S71" s="152"/>
      <c r="T71" s="152"/>
      <c r="U71" s="152"/>
      <c r="V71" s="130"/>
      <c r="W71" s="130"/>
    </row>
    <row r="72" spans="1:24" outlineLevel="1">
      <c r="A72" s="130"/>
      <c r="B72" s="130"/>
      <c r="C72" s="136"/>
      <c r="D72" s="131"/>
      <c r="E72" s="131"/>
      <c r="F72" s="131"/>
      <c r="G72" s="132"/>
      <c r="H72" s="132"/>
      <c r="I72" s="131"/>
      <c r="J72" s="131"/>
      <c r="K72" s="137"/>
      <c r="L72" s="137"/>
      <c r="M72" s="137"/>
      <c r="N72" s="137"/>
      <c r="O72" s="137"/>
      <c r="P72" s="130"/>
      <c r="Q72" s="130"/>
      <c r="R72" s="130"/>
      <c r="S72" s="130"/>
      <c r="T72" s="130"/>
      <c r="U72" s="130"/>
      <c r="V72" s="130"/>
      <c r="W72" s="130"/>
    </row>
    <row r="73" spans="1:24" outlineLevel="1">
      <c r="A73" s="130"/>
      <c r="B73" s="130"/>
      <c r="C73" s="130" t="s">
        <v>40</v>
      </c>
      <c r="D73" s="131" t="s">
        <v>98</v>
      </c>
      <c r="E73" s="131" t="s">
        <v>28</v>
      </c>
      <c r="F73" s="131" t="s">
        <v>36</v>
      </c>
      <c r="G73" s="131"/>
      <c r="H73" s="131"/>
      <c r="I73" s="131"/>
      <c r="J73" s="174" t="str">
        <f t="shared" ref="J73:S73" si="39">IF(J64=J$4,IF(COUNTA($C66:$C71)=COUNT(J66:J71),"Ok","Check"),"")</f>
        <v/>
      </c>
      <c r="K73" s="174" t="str">
        <f t="shared" si="39"/>
        <v/>
      </c>
      <c r="L73" s="174" t="str">
        <f t="shared" si="39"/>
        <v/>
      </c>
      <c r="M73" s="174" t="str">
        <f t="shared" si="39"/>
        <v/>
      </c>
      <c r="N73" s="174" t="str">
        <f t="shared" si="39"/>
        <v/>
      </c>
      <c r="O73" s="174" t="str">
        <f t="shared" si="39"/>
        <v>Ok</v>
      </c>
      <c r="P73" s="174" t="str">
        <f t="shared" si="39"/>
        <v>Ok</v>
      </c>
      <c r="Q73" s="174" t="str">
        <f t="shared" si="39"/>
        <v>Ok</v>
      </c>
      <c r="R73" s="174" t="str">
        <f t="shared" si="39"/>
        <v>Ok</v>
      </c>
      <c r="S73" s="174" t="str">
        <f t="shared" si="39"/>
        <v>Ok</v>
      </c>
      <c r="T73" s="174" t="str">
        <f>IF(T64=T$4,IF(COUNTA($C66:$C71)=COUNT(T66:T71),"Ok","Check"),"")</f>
        <v>Ok</v>
      </c>
      <c r="U73" s="174" t="str">
        <f>IF(U64=U$4,IF(COUNTA($C66:$C71)=COUNT(U66:U71),"Ok","Check"),"")</f>
        <v/>
      </c>
      <c r="V73" s="175"/>
      <c r="W73" s="130"/>
      <c r="X73" s="84" t="str">
        <f>IF(COUNTIF(J73:U73,"Check")=0,"Ok","Check")</f>
        <v>Ok</v>
      </c>
    </row>
    <row r="74" spans="1:24" outlineLevel="1">
      <c r="A74" s="130"/>
      <c r="B74" s="130"/>
      <c r="C74" s="136"/>
      <c r="D74" s="131"/>
      <c r="E74" s="131"/>
      <c r="F74" s="131"/>
      <c r="G74" s="132"/>
      <c r="H74" s="132"/>
      <c r="I74" s="131"/>
      <c r="J74" s="131"/>
      <c r="K74" s="137"/>
      <c r="L74" s="137"/>
      <c r="M74" s="137"/>
      <c r="N74" s="137"/>
      <c r="O74" s="137"/>
      <c r="P74" s="130"/>
      <c r="Q74" s="130"/>
      <c r="R74" s="130"/>
      <c r="S74" s="130"/>
      <c r="T74" s="130"/>
      <c r="U74" s="130"/>
      <c r="V74" s="130"/>
      <c r="W74" s="130"/>
    </row>
    <row r="75" spans="1:24" outlineLevel="1">
      <c r="A75" s="130"/>
      <c r="B75" s="130"/>
      <c r="C75" s="133" t="s">
        <v>88</v>
      </c>
      <c r="D75" s="132" t="s">
        <v>7</v>
      </c>
      <c r="E75" s="132" t="s">
        <v>8</v>
      </c>
      <c r="F75" s="132" t="s">
        <v>22</v>
      </c>
      <c r="G75" s="132"/>
      <c r="H75" s="132"/>
      <c r="I75" s="131"/>
      <c r="J75" s="149" t="str">
        <f t="shared" ref="J75:U75" si="40">IF(YEAR(J$4)&gt;=FPFirstYear,IF(YEAR(J$4)&lt;=FPLastYear,J$4,""),"")</f>
        <v/>
      </c>
      <c r="K75" s="149" t="str">
        <f t="shared" si="40"/>
        <v/>
      </c>
      <c r="L75" s="149" t="str">
        <f t="shared" si="40"/>
        <v/>
      </c>
      <c r="M75" s="149" t="str">
        <f t="shared" si="40"/>
        <v/>
      </c>
      <c r="N75" s="149" t="str">
        <f t="shared" si="40"/>
        <v/>
      </c>
      <c r="O75" s="149" t="str">
        <f t="shared" si="40"/>
        <v/>
      </c>
      <c r="P75" s="149">
        <f t="shared" si="40"/>
        <v>45809</v>
      </c>
      <c r="Q75" s="149">
        <f t="shared" si="40"/>
        <v>46174</v>
      </c>
      <c r="R75" s="149">
        <f t="shared" si="40"/>
        <v>46539</v>
      </c>
      <c r="S75" s="149">
        <f t="shared" si="40"/>
        <v>46905</v>
      </c>
      <c r="T75" s="149">
        <f t="shared" si="40"/>
        <v>47270</v>
      </c>
      <c r="U75" s="149" t="str">
        <f t="shared" si="40"/>
        <v/>
      </c>
      <c r="V75" s="130" t="str">
        <f>IF(RIGHT(V$4,2)&gt;=RIGHT('Input|General'!$G$13,2),IF(RIGHT(V$4,2)&lt;='Input|General'!$G$14,'Input|Reported opex'!U$4,""),"")</f>
        <v/>
      </c>
      <c r="W75" s="130"/>
    </row>
    <row r="76" spans="1:24" outlineLevel="1">
      <c r="A76" s="130"/>
      <c r="B76" s="130"/>
      <c r="C76" s="136"/>
      <c r="D76" s="131"/>
      <c r="E76" s="131"/>
      <c r="F76" s="131"/>
      <c r="G76" s="132"/>
      <c r="H76" s="132"/>
      <c r="I76" s="131"/>
      <c r="J76" s="131"/>
      <c r="K76" s="137"/>
      <c r="L76" s="137"/>
      <c r="M76" s="137"/>
      <c r="N76" s="137"/>
      <c r="O76" s="137"/>
      <c r="P76" s="130"/>
      <c r="Q76" s="130"/>
      <c r="R76" s="130"/>
      <c r="S76" s="130"/>
      <c r="T76" s="130"/>
      <c r="U76" s="130"/>
      <c r="V76" s="130"/>
      <c r="W76" s="130"/>
    </row>
    <row r="77" spans="1:24" outlineLevel="1">
      <c r="A77" s="130"/>
      <c r="B77" s="130"/>
      <c r="C77" s="176" t="str">
        <f>C66</f>
        <v>Customer numbers (#)</v>
      </c>
      <c r="D77" s="131" t="s">
        <v>98</v>
      </c>
      <c r="E77" s="131" t="s">
        <v>18</v>
      </c>
      <c r="F77" s="131" t="s">
        <v>36</v>
      </c>
      <c r="G77" s="132"/>
      <c r="H77" s="132"/>
      <c r="I77" s="131"/>
      <c r="J77" s="180" t="str">
        <f t="shared" ref="J77:M77" si="41">IF(ISBLANK(I66),"",IF(ISBLANK(J66),"",LN(J66)-LN(I66)))</f>
        <v/>
      </c>
      <c r="K77" s="180" t="str">
        <f t="shared" si="41"/>
        <v/>
      </c>
      <c r="L77" s="180" t="str">
        <f t="shared" si="41"/>
        <v/>
      </c>
      <c r="M77" s="180" t="str">
        <f t="shared" si="41"/>
        <v/>
      </c>
      <c r="N77" s="180" t="str">
        <f>IF(ISBLANK(M66),"",IF(ISBLANK(N66),"",LN(N66)-LN(M66)))</f>
        <v/>
      </c>
      <c r="O77" s="180" t="str">
        <f t="shared" ref="O77:U77" si="42">IF(ISBLANK(N66),"",IF(ISBLANK(O66),"",LN(O66)-LN(N66)))</f>
        <v/>
      </c>
      <c r="P77" s="180">
        <f t="shared" si="42"/>
        <v>7.9285087620366568E-3</v>
      </c>
      <c r="Q77" s="180">
        <f t="shared" si="42"/>
        <v>7.8945358625279738E-3</v>
      </c>
      <c r="R77" s="180">
        <f t="shared" si="42"/>
        <v>7.8446315943949685E-3</v>
      </c>
      <c r="S77" s="180">
        <f t="shared" si="42"/>
        <v>7.7891315944267348E-3</v>
      </c>
      <c r="T77" s="180">
        <f t="shared" si="42"/>
        <v>7.7289228007302313E-3</v>
      </c>
      <c r="U77" s="180" t="str">
        <f t="shared" si="42"/>
        <v/>
      </c>
      <c r="V77" s="130"/>
      <c r="W77" s="130"/>
    </row>
    <row r="78" spans="1:24" outlineLevel="1">
      <c r="A78" s="130"/>
      <c r="B78" s="130"/>
      <c r="C78" s="176" t="str">
        <f t="shared" ref="C78:C82" si="43">C67</f>
        <v>Circuit Length (km)</v>
      </c>
      <c r="D78" s="131" t="s">
        <v>98</v>
      </c>
      <c r="E78" s="131" t="s">
        <v>18</v>
      </c>
      <c r="F78" s="131" t="s">
        <v>36</v>
      </c>
      <c r="G78" s="132"/>
      <c r="H78" s="132"/>
      <c r="I78" s="131"/>
      <c r="J78" s="180" t="str">
        <f t="shared" ref="J78:U78" si="44">IF(ISBLANK(I67),"",IF(ISBLANK(J67),"",LN(J67)-LN(I67)))</f>
        <v/>
      </c>
      <c r="K78" s="180" t="str">
        <f t="shared" si="44"/>
        <v/>
      </c>
      <c r="L78" s="180" t="str">
        <f t="shared" si="44"/>
        <v/>
      </c>
      <c r="M78" s="180" t="str">
        <f t="shared" si="44"/>
        <v/>
      </c>
      <c r="N78" s="180" t="str">
        <f t="shared" si="44"/>
        <v/>
      </c>
      <c r="O78" s="180" t="str">
        <f t="shared" si="44"/>
        <v/>
      </c>
      <c r="P78" s="180">
        <f t="shared" si="44"/>
        <v>1.1233958702412394E-3</v>
      </c>
      <c r="Q78" s="180">
        <f t="shared" si="44"/>
        <v>1.1221352679839924E-3</v>
      </c>
      <c r="R78" s="180">
        <f t="shared" si="44"/>
        <v>1.120877491686656E-3</v>
      </c>
      <c r="S78" s="180">
        <f t="shared" si="44"/>
        <v>1.1196225318599318E-3</v>
      </c>
      <c r="T78" s="180">
        <f t="shared" si="44"/>
        <v>1.1183703790553778E-3</v>
      </c>
      <c r="U78" s="180" t="str">
        <f t="shared" si="44"/>
        <v/>
      </c>
      <c r="V78" s="130"/>
      <c r="W78" s="130"/>
    </row>
    <row r="79" spans="1:24" outlineLevel="1">
      <c r="A79" s="130"/>
      <c r="B79" s="130"/>
      <c r="C79" s="176" t="str">
        <f t="shared" si="43"/>
        <v xml:space="preserve">Ratcheted maximum demand </v>
      </c>
      <c r="D79" s="131" t="s">
        <v>98</v>
      </c>
      <c r="E79" s="131" t="s">
        <v>18</v>
      </c>
      <c r="F79" s="131" t="s">
        <v>36</v>
      </c>
      <c r="G79" s="132"/>
      <c r="H79" s="132"/>
      <c r="I79" s="131"/>
      <c r="J79" s="180" t="str">
        <f t="shared" ref="J79:U79" si="45">IF(ISBLANK(I68),"",IF(ISBLANK(J68),"",LN(J68)-LN(I68)))</f>
        <v/>
      </c>
      <c r="K79" s="180" t="str">
        <f t="shared" si="45"/>
        <v/>
      </c>
      <c r="L79" s="180" t="str">
        <f t="shared" si="45"/>
        <v/>
      </c>
      <c r="M79" s="180" t="str">
        <f t="shared" si="45"/>
        <v/>
      </c>
      <c r="N79" s="180" t="str">
        <f t="shared" si="45"/>
        <v/>
      </c>
      <c r="O79" s="180" t="str">
        <f t="shared" si="45"/>
        <v/>
      </c>
      <c r="P79" s="180">
        <f t="shared" si="45"/>
        <v>8.7223941786920278E-3</v>
      </c>
      <c r="Q79" s="180">
        <f t="shared" si="45"/>
        <v>8.6469714115455787E-3</v>
      </c>
      <c r="R79" s="180">
        <f t="shared" si="45"/>
        <v>8.5728418353490099E-3</v>
      </c>
      <c r="S79" s="180">
        <f t="shared" si="45"/>
        <v>8.4999724732419679E-3</v>
      </c>
      <c r="T79" s="180">
        <f t="shared" si="45"/>
        <v>8.428331460136107E-3</v>
      </c>
      <c r="U79" s="180" t="str">
        <f t="shared" si="45"/>
        <v/>
      </c>
      <c r="V79" s="130"/>
      <c r="W79" s="130"/>
    </row>
    <row r="80" spans="1:24" outlineLevel="1">
      <c r="A80" s="130"/>
      <c r="B80" s="130"/>
      <c r="C80" s="176">
        <f t="shared" si="43"/>
        <v>0</v>
      </c>
      <c r="D80" s="131" t="s">
        <v>98</v>
      </c>
      <c r="E80" s="131" t="s">
        <v>18</v>
      </c>
      <c r="F80" s="131" t="s">
        <v>36</v>
      </c>
      <c r="G80" s="132"/>
      <c r="H80" s="132"/>
      <c r="I80" s="131"/>
      <c r="J80" s="180" t="str">
        <f t="shared" ref="J80:U80" si="46">IF(ISBLANK(I69),"",IF(ISBLANK(J69),"",LN(J69)-LN(I69)))</f>
        <v/>
      </c>
      <c r="K80" s="180" t="str">
        <f t="shared" si="46"/>
        <v/>
      </c>
      <c r="L80" s="180" t="str">
        <f t="shared" si="46"/>
        <v/>
      </c>
      <c r="M80" s="180" t="str">
        <f t="shared" si="46"/>
        <v/>
      </c>
      <c r="N80" s="180" t="str">
        <f t="shared" si="46"/>
        <v/>
      </c>
      <c r="O80" s="180" t="str">
        <f t="shared" si="46"/>
        <v/>
      </c>
      <c r="P80" s="180" t="str">
        <f t="shared" si="46"/>
        <v/>
      </c>
      <c r="Q80" s="180" t="str">
        <f t="shared" si="46"/>
        <v/>
      </c>
      <c r="R80" s="180" t="str">
        <f t="shared" si="46"/>
        <v/>
      </c>
      <c r="S80" s="180" t="str">
        <f t="shared" si="46"/>
        <v/>
      </c>
      <c r="T80" s="180" t="str">
        <f t="shared" si="46"/>
        <v/>
      </c>
      <c r="U80" s="180" t="str">
        <f t="shared" si="46"/>
        <v/>
      </c>
      <c r="V80" s="130"/>
      <c r="W80" s="130"/>
    </row>
    <row r="81" spans="1:23" outlineLevel="1">
      <c r="A81" s="130"/>
      <c r="B81" s="130"/>
      <c r="C81" s="176">
        <f t="shared" si="43"/>
        <v>0</v>
      </c>
      <c r="D81" s="131" t="s">
        <v>98</v>
      </c>
      <c r="E81" s="131" t="s">
        <v>18</v>
      </c>
      <c r="F81" s="131" t="s">
        <v>36</v>
      </c>
      <c r="G81" s="132"/>
      <c r="H81" s="132"/>
      <c r="I81" s="131"/>
      <c r="J81" s="180" t="str">
        <f t="shared" ref="J81:T81" si="47">IF(ISBLANK(I70),"",IF(ISBLANK(J70),"",LN(J70)-LN(I70)))</f>
        <v/>
      </c>
      <c r="K81" s="180" t="str">
        <f t="shared" si="47"/>
        <v/>
      </c>
      <c r="L81" s="180" t="str">
        <f t="shared" si="47"/>
        <v/>
      </c>
      <c r="M81" s="180" t="str">
        <f t="shared" si="47"/>
        <v/>
      </c>
      <c r="N81" s="180" t="str">
        <f t="shared" si="47"/>
        <v/>
      </c>
      <c r="O81" s="180" t="str">
        <f t="shared" si="47"/>
        <v/>
      </c>
      <c r="P81" s="180" t="str">
        <f t="shared" si="47"/>
        <v/>
      </c>
      <c r="Q81" s="180" t="str">
        <f t="shared" si="47"/>
        <v/>
      </c>
      <c r="R81" s="180" t="str">
        <f t="shared" si="47"/>
        <v/>
      </c>
      <c r="S81" s="180" t="str">
        <f t="shared" si="47"/>
        <v/>
      </c>
      <c r="T81" s="180" t="str">
        <f t="shared" si="47"/>
        <v/>
      </c>
      <c r="U81" s="180"/>
      <c r="V81" s="130"/>
      <c r="W81" s="130"/>
    </row>
    <row r="82" spans="1:23" outlineLevel="1">
      <c r="A82" s="130"/>
      <c r="B82" s="130"/>
      <c r="C82" s="176">
        <f t="shared" si="43"/>
        <v>0</v>
      </c>
      <c r="D82" s="131" t="s">
        <v>98</v>
      </c>
      <c r="E82" s="131" t="s">
        <v>18</v>
      </c>
      <c r="F82" s="131" t="s">
        <v>36</v>
      </c>
      <c r="G82" s="132"/>
      <c r="H82" s="132"/>
      <c r="I82" s="131"/>
      <c r="J82" s="180" t="str">
        <f t="shared" ref="J82:T82" si="48">IF(ISBLANK(I71),"",IF(ISBLANK(J71),"",LN(J71)-LN(I71)))</f>
        <v/>
      </c>
      <c r="K82" s="180" t="str">
        <f t="shared" si="48"/>
        <v/>
      </c>
      <c r="L82" s="180" t="str">
        <f t="shared" si="48"/>
        <v/>
      </c>
      <c r="M82" s="180" t="str">
        <f t="shared" si="48"/>
        <v/>
      </c>
      <c r="N82" s="180" t="str">
        <f t="shared" si="48"/>
        <v/>
      </c>
      <c r="O82" s="180" t="str">
        <f t="shared" si="48"/>
        <v/>
      </c>
      <c r="P82" s="180" t="str">
        <f t="shared" si="48"/>
        <v/>
      </c>
      <c r="Q82" s="180" t="str">
        <f t="shared" si="48"/>
        <v/>
      </c>
      <c r="R82" s="180" t="str">
        <f t="shared" si="48"/>
        <v/>
      </c>
      <c r="S82" s="180" t="str">
        <f t="shared" si="48"/>
        <v/>
      </c>
      <c r="T82" s="180" t="str">
        <f t="shared" si="48"/>
        <v/>
      </c>
      <c r="U82" s="180"/>
      <c r="V82" s="130"/>
      <c r="W82" s="130"/>
    </row>
    <row r="83" spans="1:23" outlineLevel="1">
      <c r="A83" s="130"/>
      <c r="B83" s="130"/>
      <c r="C83" s="136"/>
      <c r="D83" s="131"/>
      <c r="E83" s="131"/>
      <c r="F83" s="131"/>
      <c r="G83" s="132"/>
      <c r="H83" s="132"/>
      <c r="I83" s="131"/>
      <c r="J83" s="131"/>
      <c r="K83" s="137"/>
      <c r="L83" s="137"/>
      <c r="M83" s="137"/>
      <c r="N83" s="137"/>
      <c r="O83" s="137"/>
      <c r="P83" s="130"/>
      <c r="Q83" s="130"/>
      <c r="R83" s="130"/>
      <c r="S83" s="130"/>
      <c r="T83" s="130"/>
      <c r="U83" s="130"/>
      <c r="V83" s="130"/>
      <c r="W83" s="130"/>
    </row>
    <row r="84" spans="1:23" outlineLevel="1">
      <c r="A84" s="130"/>
      <c r="B84" s="130"/>
      <c r="C84" s="133" t="s">
        <v>213</v>
      </c>
      <c r="D84" s="132" t="s">
        <v>7</v>
      </c>
      <c r="E84" s="132" t="s">
        <v>8</v>
      </c>
      <c r="F84" s="132" t="s">
        <v>22</v>
      </c>
      <c r="G84" s="132"/>
      <c r="H84" s="132"/>
      <c r="I84" s="131"/>
      <c r="J84" s="181" t="s">
        <v>205</v>
      </c>
      <c r="K84" s="181" t="s">
        <v>206</v>
      </c>
      <c r="L84" s="181" t="s">
        <v>207</v>
      </c>
      <c r="M84" s="181" t="s">
        <v>208</v>
      </c>
      <c r="N84" s="137"/>
      <c r="O84" s="137"/>
      <c r="P84" s="130"/>
      <c r="Q84" s="130"/>
      <c r="R84" s="130"/>
      <c r="S84" s="130"/>
      <c r="T84" s="130"/>
      <c r="U84" s="130"/>
      <c r="V84" s="130"/>
      <c r="W84" s="130"/>
    </row>
    <row r="85" spans="1:23" outlineLevel="1">
      <c r="A85" s="130"/>
      <c r="B85" s="130"/>
      <c r="C85" s="136"/>
      <c r="D85" s="131"/>
      <c r="E85" s="131"/>
      <c r="F85" s="131"/>
      <c r="G85" s="132"/>
      <c r="H85" s="132"/>
      <c r="I85" s="131"/>
      <c r="J85" s="131"/>
      <c r="K85" s="137"/>
      <c r="L85" s="137"/>
      <c r="M85" s="137"/>
      <c r="N85" s="137"/>
      <c r="O85" s="137"/>
      <c r="P85" s="130"/>
      <c r="Q85" s="130"/>
      <c r="R85" s="130"/>
      <c r="S85" s="130"/>
      <c r="T85" s="130"/>
      <c r="U85" s="130"/>
      <c r="V85" s="130"/>
      <c r="W85" s="130"/>
    </row>
    <row r="86" spans="1:23" outlineLevel="1">
      <c r="A86" s="130"/>
      <c r="B86" s="130"/>
      <c r="C86" s="176" t="str">
        <f>C66</f>
        <v>Customer numbers (#)</v>
      </c>
      <c r="D86" s="131" t="s">
        <v>101</v>
      </c>
      <c r="E86" s="131" t="s">
        <v>18</v>
      </c>
      <c r="F86" s="131" t="s">
        <v>36</v>
      </c>
      <c r="G86" s="132"/>
      <c r="H86" s="132"/>
      <c r="I86" s="131"/>
      <c r="J86" s="182">
        <v>0.42</v>
      </c>
      <c r="K86" s="182">
        <v>0.59399999999999997</v>
      </c>
      <c r="L86" s="182">
        <v>0.432</v>
      </c>
      <c r="M86" s="182">
        <v>0.46400000000000002</v>
      </c>
      <c r="N86" s="137"/>
      <c r="O86" s="137"/>
      <c r="P86" s="130"/>
      <c r="Q86" s="130"/>
      <c r="R86" s="130"/>
      <c r="S86" s="130"/>
      <c r="T86" s="130"/>
      <c r="U86" s="130"/>
      <c r="V86" s="130"/>
      <c r="W86" s="130"/>
    </row>
    <row r="87" spans="1:23" outlineLevel="1">
      <c r="A87" s="130"/>
      <c r="B87" s="130"/>
      <c r="C87" s="176" t="str">
        <f t="shared" ref="C87:C91" si="49">C67</f>
        <v>Circuit Length (km)</v>
      </c>
      <c r="D87" s="131" t="s">
        <v>101</v>
      </c>
      <c r="E87" s="131" t="s">
        <v>18</v>
      </c>
      <c r="F87" s="131" t="s">
        <v>36</v>
      </c>
      <c r="G87" s="132"/>
      <c r="H87" s="132"/>
      <c r="I87" s="131"/>
      <c r="J87" s="182">
        <v>0.105</v>
      </c>
      <c r="K87" s="182">
        <v>0.153</v>
      </c>
      <c r="L87" s="182">
        <v>0.16500000000000001</v>
      </c>
      <c r="M87" s="182">
        <v>8.2000000000000003E-2</v>
      </c>
      <c r="N87" s="137"/>
      <c r="O87" s="137"/>
      <c r="P87" s="130"/>
      <c r="Q87" s="130"/>
      <c r="R87" s="130"/>
      <c r="S87" s="130"/>
      <c r="T87" s="130"/>
      <c r="U87" s="130"/>
      <c r="V87" s="130"/>
      <c r="W87" s="130"/>
    </row>
    <row r="88" spans="1:23" outlineLevel="1">
      <c r="A88" s="130"/>
      <c r="B88" s="130"/>
      <c r="C88" s="176" t="str">
        <f t="shared" si="49"/>
        <v xml:space="preserve">Ratcheted maximum demand </v>
      </c>
      <c r="D88" s="131" t="s">
        <v>101</v>
      </c>
      <c r="E88" s="131" t="s">
        <v>18</v>
      </c>
      <c r="F88" s="131" t="s">
        <v>36</v>
      </c>
      <c r="G88" s="132"/>
      <c r="H88" s="132"/>
      <c r="I88" s="131"/>
      <c r="J88" s="182">
        <v>0.44900000000000001</v>
      </c>
      <c r="K88" s="182">
        <v>0.22800000000000001</v>
      </c>
      <c r="L88" s="182">
        <v>0.36</v>
      </c>
      <c r="M88" s="182">
        <v>0.42799999999999999</v>
      </c>
      <c r="N88" s="137"/>
      <c r="O88" s="137"/>
      <c r="P88" s="130"/>
      <c r="Q88" s="130"/>
      <c r="R88" s="130"/>
      <c r="S88" s="130"/>
      <c r="T88" s="130"/>
      <c r="U88" s="130"/>
      <c r="V88" s="130"/>
      <c r="W88" s="130"/>
    </row>
    <row r="89" spans="1:23" outlineLevel="1">
      <c r="A89" s="130"/>
      <c r="B89" s="130"/>
      <c r="C89" s="176">
        <f t="shared" si="49"/>
        <v>0</v>
      </c>
      <c r="D89" s="131" t="s">
        <v>101</v>
      </c>
      <c r="E89" s="131" t="s">
        <v>18</v>
      </c>
      <c r="F89" s="131" t="s">
        <v>36</v>
      </c>
      <c r="G89" s="132"/>
      <c r="H89" s="132"/>
      <c r="I89" s="131"/>
      <c r="J89" s="182"/>
      <c r="K89" s="183"/>
      <c r="L89" s="183"/>
      <c r="M89" s="182"/>
      <c r="N89" s="137"/>
      <c r="O89" s="137"/>
      <c r="P89" s="130"/>
      <c r="Q89" s="130"/>
      <c r="R89" s="130"/>
      <c r="S89" s="130"/>
      <c r="T89" s="130"/>
      <c r="U89" s="130"/>
      <c r="V89" s="130"/>
      <c r="W89" s="130"/>
    </row>
    <row r="90" spans="1:23" outlineLevel="1">
      <c r="A90" s="130"/>
      <c r="B90" s="130"/>
      <c r="C90" s="176">
        <f t="shared" si="49"/>
        <v>0</v>
      </c>
      <c r="D90" s="131" t="s">
        <v>101</v>
      </c>
      <c r="E90" s="131" t="s">
        <v>18</v>
      </c>
      <c r="F90" s="131" t="s">
        <v>36</v>
      </c>
      <c r="G90" s="132"/>
      <c r="H90" s="132"/>
      <c r="I90" s="131"/>
      <c r="J90" s="183"/>
      <c r="K90" s="183"/>
      <c r="L90" s="183"/>
      <c r="M90" s="183"/>
      <c r="N90" s="137"/>
      <c r="O90" s="137"/>
      <c r="P90" s="130"/>
      <c r="Q90" s="130"/>
      <c r="R90" s="130"/>
      <c r="S90" s="130"/>
      <c r="T90" s="130"/>
      <c r="U90" s="130"/>
      <c r="V90" s="130"/>
      <c r="W90" s="130"/>
    </row>
    <row r="91" spans="1:23" outlineLevel="1">
      <c r="A91" s="130"/>
      <c r="B91" s="130"/>
      <c r="C91" s="176">
        <f t="shared" si="49"/>
        <v>0</v>
      </c>
      <c r="D91" s="131" t="s">
        <v>101</v>
      </c>
      <c r="E91" s="131" t="s">
        <v>18</v>
      </c>
      <c r="F91" s="131" t="s">
        <v>36</v>
      </c>
      <c r="G91" s="132"/>
      <c r="H91" s="132"/>
      <c r="I91" s="131"/>
      <c r="J91" s="183"/>
      <c r="K91" s="183"/>
      <c r="L91" s="183"/>
      <c r="M91" s="183"/>
      <c r="N91" s="137"/>
      <c r="O91" s="137"/>
      <c r="P91" s="130"/>
      <c r="Q91" s="130"/>
      <c r="R91" s="130"/>
      <c r="S91" s="130"/>
      <c r="T91" s="130"/>
      <c r="U91" s="130"/>
      <c r="V91" s="130"/>
      <c r="W91" s="130"/>
    </row>
    <row r="92" spans="1:23" outlineLevel="1">
      <c r="A92" s="130"/>
      <c r="B92" s="130"/>
      <c r="C92" s="136"/>
      <c r="D92" s="131"/>
      <c r="E92" s="131"/>
      <c r="F92" s="131"/>
      <c r="G92" s="132"/>
      <c r="H92" s="132"/>
      <c r="I92" s="131"/>
      <c r="J92" s="131"/>
      <c r="K92" s="137"/>
      <c r="L92" s="137"/>
      <c r="M92" s="137"/>
      <c r="N92" s="137"/>
      <c r="O92" s="137"/>
      <c r="P92" s="130"/>
      <c r="Q92" s="130"/>
      <c r="R92" s="130"/>
      <c r="S92" s="130"/>
      <c r="T92" s="130"/>
      <c r="U92" s="130"/>
      <c r="V92" s="130"/>
      <c r="W92" s="130"/>
    </row>
    <row r="93" spans="1:23" outlineLevel="1">
      <c r="A93" s="130"/>
      <c r="B93" s="130"/>
      <c r="C93" s="133" t="s">
        <v>168</v>
      </c>
      <c r="D93" s="132" t="s">
        <v>7</v>
      </c>
      <c r="E93" s="132" t="s">
        <v>8</v>
      </c>
      <c r="F93" s="132" t="s">
        <v>22</v>
      </c>
      <c r="G93" s="132"/>
      <c r="H93" s="132"/>
      <c r="I93" s="131"/>
      <c r="J93" s="184" t="str">
        <f>J84</f>
        <v>SFA CD</v>
      </c>
      <c r="K93" s="184" t="str">
        <f>K84</f>
        <v>LSE CD</v>
      </c>
      <c r="L93" s="184" t="str">
        <f>L84</f>
        <v>LSE TLG</v>
      </c>
      <c r="M93" s="184" t="str">
        <f>M84</f>
        <v>SFA TLG</v>
      </c>
      <c r="N93" s="149"/>
      <c r="O93" s="149"/>
      <c r="P93" s="149"/>
      <c r="Q93" s="149"/>
      <c r="R93" s="149"/>
      <c r="S93" s="149"/>
      <c r="T93" s="149"/>
      <c r="U93" s="149"/>
      <c r="V93" s="130"/>
      <c r="W93" s="130"/>
    </row>
    <row r="94" spans="1:23" outlineLevel="1">
      <c r="A94" s="130"/>
      <c r="B94" s="130"/>
      <c r="C94" s="136"/>
      <c r="D94" s="131"/>
      <c r="E94" s="131"/>
      <c r="F94" s="131"/>
      <c r="G94" s="132"/>
      <c r="H94" s="132"/>
      <c r="I94" s="131"/>
      <c r="J94" s="131"/>
      <c r="K94" s="137"/>
      <c r="L94" s="137"/>
      <c r="M94" s="137"/>
      <c r="N94" s="137"/>
      <c r="O94" s="185"/>
      <c r="P94" s="185"/>
      <c r="Q94" s="185"/>
      <c r="R94" s="185"/>
      <c r="S94" s="185"/>
      <c r="T94" s="185"/>
      <c r="U94" s="185"/>
      <c r="V94" s="130"/>
      <c r="W94" s="130"/>
    </row>
    <row r="95" spans="1:23" outlineLevel="1">
      <c r="A95" s="130"/>
      <c r="B95" s="130"/>
      <c r="C95" s="176" t="str">
        <f t="shared" ref="C95:C100" si="50">C66</f>
        <v>Customer numbers (#)</v>
      </c>
      <c r="D95" s="131" t="s">
        <v>98</v>
      </c>
      <c r="E95" s="131" t="str">
        <f t="shared" ref="E95:E100" si="51">percent</f>
        <v>Per cent</v>
      </c>
      <c r="F95" s="131" t="s">
        <v>36</v>
      </c>
      <c r="G95" s="132"/>
      <c r="H95" s="132"/>
      <c r="I95" s="131"/>
      <c r="J95" s="186">
        <f t="shared" ref="J95:M100" si="52">J86/SUM(J$86:J$91)</f>
        <v>0.43121149897330596</v>
      </c>
      <c r="K95" s="186">
        <f t="shared" si="52"/>
        <v>0.60923076923076924</v>
      </c>
      <c r="L95" s="186">
        <f t="shared" si="52"/>
        <v>0.45141065830721006</v>
      </c>
      <c r="M95" s="186">
        <f t="shared" si="52"/>
        <v>0.47638603696098564</v>
      </c>
      <c r="N95" s="187"/>
      <c r="O95" s="187"/>
      <c r="P95" s="187"/>
      <c r="Q95" s="187"/>
      <c r="R95" s="187"/>
      <c r="S95" s="187"/>
      <c r="T95" s="187"/>
      <c r="U95" s="187"/>
      <c r="V95" s="130"/>
      <c r="W95" s="130"/>
    </row>
    <row r="96" spans="1:23" outlineLevel="1">
      <c r="A96" s="130"/>
      <c r="B96" s="130"/>
      <c r="C96" s="176" t="str">
        <f t="shared" si="50"/>
        <v>Circuit Length (km)</v>
      </c>
      <c r="D96" s="131" t="s">
        <v>98</v>
      </c>
      <c r="E96" s="131" t="str">
        <f t="shared" si="51"/>
        <v>Per cent</v>
      </c>
      <c r="F96" s="131" t="s">
        <v>36</v>
      </c>
      <c r="G96" s="132"/>
      <c r="H96" s="132"/>
      <c r="I96" s="131"/>
      <c r="J96" s="186">
        <f t="shared" si="52"/>
        <v>0.10780287474332649</v>
      </c>
      <c r="K96" s="186">
        <f t="shared" si="52"/>
        <v>0.15692307692307692</v>
      </c>
      <c r="L96" s="186">
        <f t="shared" si="52"/>
        <v>0.17241379310344829</v>
      </c>
      <c r="M96" s="186">
        <f t="shared" si="52"/>
        <v>8.4188911704312114E-2</v>
      </c>
      <c r="N96" s="187"/>
      <c r="O96" s="187"/>
      <c r="P96" s="187"/>
      <c r="Q96" s="187"/>
      <c r="R96" s="187"/>
      <c r="S96" s="187"/>
      <c r="T96" s="187"/>
      <c r="U96" s="187"/>
      <c r="V96" s="130"/>
      <c r="W96" s="130"/>
    </row>
    <row r="97" spans="1:34" outlineLevel="1">
      <c r="A97" s="130"/>
      <c r="B97" s="130"/>
      <c r="C97" s="176" t="str">
        <f t="shared" si="50"/>
        <v xml:space="preserve">Ratcheted maximum demand </v>
      </c>
      <c r="D97" s="131" t="s">
        <v>98</v>
      </c>
      <c r="E97" s="131" t="str">
        <f t="shared" si="51"/>
        <v>Per cent</v>
      </c>
      <c r="F97" s="131" t="s">
        <v>36</v>
      </c>
      <c r="G97" s="132"/>
      <c r="H97" s="132"/>
      <c r="I97" s="131"/>
      <c r="J97" s="186">
        <f t="shared" si="52"/>
        <v>0.46098562628336759</v>
      </c>
      <c r="K97" s="186">
        <f t="shared" si="52"/>
        <v>0.23384615384615387</v>
      </c>
      <c r="L97" s="186">
        <f t="shared" si="52"/>
        <v>0.37617554858934171</v>
      </c>
      <c r="M97" s="186">
        <f t="shared" si="52"/>
        <v>0.43942505133470228</v>
      </c>
      <c r="N97" s="187"/>
      <c r="O97" s="187"/>
      <c r="P97" s="187"/>
      <c r="Q97" s="187"/>
      <c r="R97" s="187"/>
      <c r="S97" s="187"/>
      <c r="T97" s="187"/>
      <c r="U97" s="187"/>
      <c r="V97" s="130"/>
      <c r="W97" s="130"/>
    </row>
    <row r="98" spans="1:34" outlineLevel="1">
      <c r="A98" s="130"/>
      <c r="B98" s="130"/>
      <c r="C98" s="176">
        <f t="shared" si="50"/>
        <v>0</v>
      </c>
      <c r="D98" s="131" t="s">
        <v>98</v>
      </c>
      <c r="E98" s="131" t="str">
        <f t="shared" si="51"/>
        <v>Per cent</v>
      </c>
      <c r="F98" s="131" t="s">
        <v>36</v>
      </c>
      <c r="G98" s="132"/>
      <c r="H98" s="132"/>
      <c r="I98" s="131"/>
      <c r="J98" s="186">
        <f t="shared" si="52"/>
        <v>0</v>
      </c>
      <c r="K98" s="186">
        <f t="shared" si="52"/>
        <v>0</v>
      </c>
      <c r="L98" s="186">
        <f t="shared" si="52"/>
        <v>0</v>
      </c>
      <c r="M98" s="186">
        <f t="shared" si="52"/>
        <v>0</v>
      </c>
      <c r="N98" s="187"/>
      <c r="O98" s="187"/>
      <c r="P98" s="187"/>
      <c r="Q98" s="187"/>
      <c r="R98" s="187"/>
      <c r="S98" s="187"/>
      <c r="T98" s="187"/>
      <c r="U98" s="187"/>
      <c r="V98" s="130"/>
      <c r="W98" s="130"/>
    </row>
    <row r="99" spans="1:34" outlineLevel="1">
      <c r="A99" s="130"/>
      <c r="B99" s="130"/>
      <c r="C99" s="176">
        <f t="shared" si="50"/>
        <v>0</v>
      </c>
      <c r="D99" s="131" t="s">
        <v>98</v>
      </c>
      <c r="E99" s="131" t="str">
        <f t="shared" si="51"/>
        <v>Per cent</v>
      </c>
      <c r="F99" s="131" t="s">
        <v>36</v>
      </c>
      <c r="G99" s="132"/>
      <c r="H99" s="132"/>
      <c r="I99" s="131"/>
      <c r="J99" s="186">
        <f t="shared" si="52"/>
        <v>0</v>
      </c>
      <c r="K99" s="186">
        <f t="shared" si="52"/>
        <v>0</v>
      </c>
      <c r="L99" s="186">
        <f t="shared" si="52"/>
        <v>0</v>
      </c>
      <c r="M99" s="186">
        <f t="shared" si="52"/>
        <v>0</v>
      </c>
      <c r="N99" s="187"/>
      <c r="O99" s="187"/>
      <c r="P99" s="187"/>
      <c r="Q99" s="187"/>
      <c r="R99" s="187"/>
      <c r="S99" s="187"/>
      <c r="T99" s="187"/>
      <c r="U99" s="187"/>
      <c r="V99" s="130"/>
      <c r="W99" s="130"/>
    </row>
    <row r="100" spans="1:34" outlineLevel="1">
      <c r="A100" s="130"/>
      <c r="B100" s="130"/>
      <c r="C100" s="176">
        <f t="shared" si="50"/>
        <v>0</v>
      </c>
      <c r="D100" s="131" t="s">
        <v>98</v>
      </c>
      <c r="E100" s="131" t="str">
        <f t="shared" si="51"/>
        <v>Per cent</v>
      </c>
      <c r="F100" s="131" t="s">
        <v>36</v>
      </c>
      <c r="G100" s="132"/>
      <c r="H100" s="132"/>
      <c r="I100" s="131"/>
      <c r="J100" s="186">
        <f t="shared" si="52"/>
        <v>0</v>
      </c>
      <c r="K100" s="186">
        <f t="shared" si="52"/>
        <v>0</v>
      </c>
      <c r="L100" s="186">
        <f t="shared" si="52"/>
        <v>0</v>
      </c>
      <c r="M100" s="186">
        <f t="shared" si="52"/>
        <v>0</v>
      </c>
      <c r="N100" s="187"/>
      <c r="O100" s="187"/>
      <c r="P100" s="187"/>
      <c r="Q100" s="187"/>
      <c r="R100" s="187"/>
      <c r="S100" s="187"/>
      <c r="T100" s="187"/>
      <c r="U100" s="187"/>
      <c r="V100" s="130"/>
      <c r="W100" s="130"/>
    </row>
    <row r="101" spans="1:34" outlineLevel="1">
      <c r="A101" s="130"/>
      <c r="B101" s="130"/>
      <c r="C101" s="130"/>
      <c r="D101" s="131"/>
      <c r="E101" s="131"/>
      <c r="F101" s="131"/>
      <c r="G101" s="132"/>
      <c r="H101" s="132"/>
      <c r="I101" s="131"/>
      <c r="J101" s="188" t="s">
        <v>209</v>
      </c>
      <c r="K101" s="130"/>
      <c r="L101" s="130"/>
      <c r="M101" s="130"/>
      <c r="N101" s="130"/>
      <c r="O101" s="130"/>
      <c r="P101" s="130"/>
      <c r="Q101" s="130"/>
      <c r="R101" s="130"/>
      <c r="S101" s="130"/>
      <c r="T101" s="130"/>
      <c r="U101" s="130"/>
      <c r="V101" s="130"/>
      <c r="W101" s="130"/>
    </row>
    <row r="102" spans="1:34" outlineLevel="1">
      <c r="A102" s="130"/>
      <c r="B102" s="130"/>
      <c r="C102" s="130" t="s">
        <v>40</v>
      </c>
      <c r="D102" s="131" t="s">
        <v>98</v>
      </c>
      <c r="E102" s="131" t="s">
        <v>28</v>
      </c>
      <c r="F102" s="131" t="s">
        <v>36</v>
      </c>
      <c r="G102" s="131"/>
      <c r="H102" s="131"/>
      <c r="I102" s="131"/>
      <c r="J102" s="174" t="str">
        <f t="array" ref="J102">IF(ISBLANK(J93),IF(ISBLANK(J95:J100),"Ok","Check"),IF(SUM(J95:J100)=1,"Ok","Check"))</f>
        <v>Ok</v>
      </c>
      <c r="K102" s="174" t="str">
        <f t="array" ref="K102">IF(ISBLANK(K93),IF(ISBLANK(K95:K100),"Ok","Check"),IF(SUM(K95:K100)=1,"Ok","Check"))</f>
        <v>Ok</v>
      </c>
      <c r="L102" s="174" t="str">
        <f t="array" ref="L102">IF(ISBLANK(L93),IF(ISBLANK(L95:L100),"Ok","Check"),IF(SUM(L95:L100)=1,"Ok","Check"))</f>
        <v>Ok</v>
      </c>
      <c r="M102" s="174" t="str">
        <f t="array" ref="M102">IF(ISBLANK(M93),IF(ISBLANK(M95:M100),"Ok","Check"),IF(SUM(M95:M100)=1,"Ok","Check"))</f>
        <v>Ok</v>
      </c>
      <c r="N102" s="174" t="str">
        <f t="array" ref="N102">IF(ISBLANK(N95:N100),"",IF(SUM(N95:N100)=1,"Ok","Check"))</f>
        <v/>
      </c>
      <c r="O102" s="174" t="str">
        <f t="array" ref="O102">IF(ISBLANK(O95:O100),"",IF(SUM(O95:O100)=1,"Ok","Check"))</f>
        <v/>
      </c>
      <c r="P102" s="174" t="str">
        <f t="array" ref="P102">IF(ISBLANK(P95:P100),"",IF(SUM(P95:P100)=1,"Ok","Check"))</f>
        <v/>
      </c>
      <c r="Q102" s="174" t="str">
        <f t="array" ref="Q102">IF(ISBLANK(Q95:Q100),"",IF(SUM(Q95:Q100)=1,"Ok","Check"))</f>
        <v/>
      </c>
      <c r="R102" s="174" t="str">
        <f t="array" ref="R102">IF(ISBLANK(R95:R100),"",IF(SUM(R95:R100)=1,"Ok","Check"))</f>
        <v/>
      </c>
      <c r="S102" s="174" t="str">
        <f t="array" ref="S102">IF(ISBLANK(S95:S100),"",IF(SUM(S95:S100)=1,"Ok","Check"))</f>
        <v/>
      </c>
      <c r="T102" s="174" t="str">
        <f t="array" ref="T102">IF(ISBLANK(T95:T100),"",IF(SUM(T95:T100)=1,"Ok","Check"))</f>
        <v/>
      </c>
      <c r="U102" s="174"/>
      <c r="V102" s="175"/>
      <c r="W102" s="130"/>
      <c r="X102" s="84" t="str">
        <f>IF(COUNTIF(K102:T102,"Check")=0,"Ok","Check")</f>
        <v>Ok</v>
      </c>
    </row>
    <row r="103" spans="1:34" outlineLevel="1">
      <c r="A103" s="130"/>
      <c r="B103" s="130"/>
      <c r="C103" s="130"/>
      <c r="D103" s="131"/>
      <c r="E103" s="131"/>
      <c r="F103" s="131"/>
      <c r="G103" s="131"/>
      <c r="H103" s="131"/>
      <c r="I103" s="131"/>
      <c r="J103" s="174"/>
      <c r="K103" s="174"/>
      <c r="L103" s="174"/>
      <c r="M103" s="174"/>
      <c r="N103" s="174"/>
      <c r="O103" s="174"/>
      <c r="P103" s="174"/>
      <c r="Q103" s="174"/>
      <c r="R103" s="174"/>
      <c r="S103" s="174"/>
      <c r="T103" s="174"/>
      <c r="U103" s="174"/>
      <c r="V103" s="175"/>
      <c r="W103" s="130"/>
      <c r="X103" s="85"/>
    </row>
    <row r="104" spans="1:34" outlineLevel="1">
      <c r="A104" s="130"/>
      <c r="B104" s="130"/>
      <c r="C104" s="133" t="s">
        <v>169</v>
      </c>
      <c r="D104" s="132" t="s">
        <v>7</v>
      </c>
      <c r="E104" s="132" t="s">
        <v>8</v>
      </c>
      <c r="F104" s="132" t="s">
        <v>22</v>
      </c>
      <c r="G104" s="131"/>
      <c r="H104" s="131"/>
      <c r="I104" s="131"/>
      <c r="J104" s="149" t="str">
        <f t="shared" ref="J104:U104" si="53">IF(YEAR(J$4)&gt;=FPFirstYear,IF(YEAR(J$4)&lt;=FPLastYear,J$4,""),"")</f>
        <v/>
      </c>
      <c r="K104" s="149" t="str">
        <f t="shared" si="53"/>
        <v/>
      </c>
      <c r="L104" s="149" t="str">
        <f t="shared" si="53"/>
        <v/>
      </c>
      <c r="M104" s="149" t="str">
        <f t="shared" si="53"/>
        <v/>
      </c>
      <c r="N104" s="149" t="str">
        <f t="shared" si="53"/>
        <v/>
      </c>
      <c r="O104" s="149" t="str">
        <f t="shared" si="53"/>
        <v/>
      </c>
      <c r="P104" s="149">
        <f t="shared" si="53"/>
        <v>45809</v>
      </c>
      <c r="Q104" s="149">
        <f t="shared" si="53"/>
        <v>46174</v>
      </c>
      <c r="R104" s="149">
        <f t="shared" si="53"/>
        <v>46539</v>
      </c>
      <c r="S104" s="149">
        <f t="shared" si="53"/>
        <v>46905</v>
      </c>
      <c r="T104" s="149">
        <f t="shared" si="53"/>
        <v>47270</v>
      </c>
      <c r="U104" s="149" t="str">
        <f t="shared" si="53"/>
        <v/>
      </c>
      <c r="V104" s="175"/>
      <c r="W104" s="130"/>
      <c r="X104" s="85"/>
    </row>
    <row r="105" spans="1:34" outlineLevel="1">
      <c r="A105" s="130"/>
      <c r="B105" s="130"/>
      <c r="C105" s="130"/>
      <c r="D105" s="131"/>
      <c r="E105" s="131"/>
      <c r="F105" s="131"/>
      <c r="G105" s="131"/>
      <c r="H105" s="131"/>
      <c r="I105" s="131"/>
      <c r="J105" s="174"/>
      <c r="K105" s="174"/>
      <c r="L105" s="174"/>
      <c r="M105" s="174"/>
      <c r="N105" s="174"/>
      <c r="O105" s="174"/>
      <c r="P105" s="174"/>
      <c r="Q105" s="174"/>
      <c r="R105" s="174"/>
      <c r="S105" s="174"/>
      <c r="T105" s="174"/>
      <c r="U105" s="174"/>
      <c r="V105" s="175"/>
      <c r="W105" s="130"/>
      <c r="X105" s="85"/>
    </row>
    <row r="106" spans="1:34" outlineLevel="1">
      <c r="A106" s="130"/>
      <c r="B106" s="130"/>
      <c r="C106" s="176" t="str">
        <f t="array" ref="C106:C109">TRANSPOSE(J93:M93)</f>
        <v>SFA CD</v>
      </c>
      <c r="D106" s="131" t="s">
        <v>98</v>
      </c>
      <c r="E106" s="131" t="s">
        <v>18</v>
      </c>
      <c r="F106" s="131" t="s">
        <v>36</v>
      </c>
      <c r="G106" s="131"/>
      <c r="H106" s="131"/>
      <c r="I106" s="131"/>
      <c r="J106" s="180" t="str">
        <f t="shared" ref="J106:U106" si="54">IF(J$104=J$4,SUMPRODUCT(J$77:J$82,$J$95:$J$100),"")</f>
        <v/>
      </c>
      <c r="K106" s="180" t="str">
        <f t="shared" si="54"/>
        <v/>
      </c>
      <c r="L106" s="180" t="str">
        <f t="shared" si="54"/>
        <v/>
      </c>
      <c r="M106" s="180" t="str">
        <f t="shared" si="54"/>
        <v/>
      </c>
      <c r="N106" s="180" t="str">
        <f t="shared" si="54"/>
        <v/>
      </c>
      <c r="O106" s="180" t="str">
        <f t="shared" si="54"/>
        <v/>
      </c>
      <c r="P106" s="180">
        <f t="shared" si="54"/>
        <v>7.5608677953423482E-3</v>
      </c>
      <c r="Q106" s="180">
        <f t="shared" si="54"/>
        <v>7.5113135823244703E-3</v>
      </c>
      <c r="R106" s="180">
        <f t="shared" si="54"/>
        <v>7.4554860270479376E-3</v>
      </c>
      <c r="S106" s="180">
        <f t="shared" si="54"/>
        <v>7.3978267720638249E-3</v>
      </c>
      <c r="T106" s="180">
        <f t="shared" si="54"/>
        <v>7.3387035849164523E-3</v>
      </c>
      <c r="U106" s="180" t="str">
        <f t="shared" si="54"/>
        <v/>
      </c>
      <c r="V106" s="175"/>
      <c r="W106" s="130"/>
      <c r="X106" s="85"/>
    </row>
    <row r="107" spans="1:34" outlineLevel="1">
      <c r="A107" s="130"/>
      <c r="B107" s="130"/>
      <c r="C107" s="176" t="str">
        <v>LSE CD</v>
      </c>
      <c r="D107" s="131" t="s">
        <v>98</v>
      </c>
      <c r="E107" s="131" t="s">
        <v>18</v>
      </c>
      <c r="F107" s="131" t="s">
        <v>36</v>
      </c>
      <c r="G107" s="131"/>
      <c r="H107" s="131"/>
      <c r="I107" s="131"/>
      <c r="J107" s="180" t="str">
        <f t="shared" ref="J107:U107" si="55">IF(J$104=J$4,SUMPRODUCT(J$77:J$82,$K$95:$K$100),"")</f>
        <v/>
      </c>
      <c r="K107" s="180" t="str">
        <f t="shared" si="55"/>
        <v/>
      </c>
      <c r="L107" s="180" t="str">
        <f t="shared" si="55"/>
        <v/>
      </c>
      <c r="M107" s="180" t="str">
        <f t="shared" si="55"/>
        <v/>
      </c>
      <c r="N107" s="180" t="str">
        <f t="shared" si="55"/>
        <v/>
      </c>
      <c r="O107" s="180" t="str">
        <f t="shared" si="55"/>
        <v/>
      </c>
      <c r="P107" s="180">
        <f t="shared" si="55"/>
        <v>7.0462765595266322E-3</v>
      </c>
      <c r="Q107" s="180">
        <f t="shared" si="55"/>
        <v>7.007744082231343E-3</v>
      </c>
      <c r="R107" s="180">
        <f t="shared" si="55"/>
        <v>6.9598085761623015E-3</v>
      </c>
      <c r="S107" s="180">
        <f t="shared" si="55"/>
        <v>6.908759116269968E-3</v>
      </c>
      <c r="T107" s="180">
        <f t="shared" si="55"/>
        <v>6.855128599528474E-3</v>
      </c>
      <c r="U107" s="180" t="str">
        <f t="shared" si="55"/>
        <v/>
      </c>
      <c r="V107" s="175"/>
      <c r="W107" s="130"/>
      <c r="X107" s="85"/>
    </row>
    <row r="108" spans="1:34" outlineLevel="1">
      <c r="A108" s="130"/>
      <c r="B108" s="130"/>
      <c r="C108" s="176" t="str">
        <v>LSE TLG</v>
      </c>
      <c r="D108" s="131" t="s">
        <v>98</v>
      </c>
      <c r="E108" s="131" t="s">
        <v>18</v>
      </c>
      <c r="F108" s="131" t="s">
        <v>36</v>
      </c>
      <c r="G108" s="131"/>
      <c r="H108" s="131"/>
      <c r="I108" s="131"/>
      <c r="J108" s="180" t="str">
        <f t="shared" ref="J108:U108" si="56">IF(J$104=J$4,SUMPRODUCT(J$77:J$82,$L$95:$L$100),"")</f>
        <v/>
      </c>
      <c r="K108" s="180" t="str">
        <f t="shared" si="56"/>
        <v/>
      </c>
      <c r="L108" s="180" t="str">
        <f t="shared" si="56"/>
        <v/>
      </c>
      <c r="M108" s="180" t="str">
        <f t="shared" si="56"/>
        <v/>
      </c>
      <c r="N108" s="180" t="str">
        <f t="shared" si="56"/>
        <v/>
      </c>
      <c r="O108" s="180" t="str">
        <f t="shared" si="56"/>
        <v/>
      </c>
      <c r="P108" s="180">
        <f t="shared" si="56"/>
        <v>7.0538537179924456E-3</v>
      </c>
      <c r="Q108" s="180">
        <f t="shared" si="56"/>
        <v>7.0099284430364187E-3</v>
      </c>
      <c r="R108" s="180">
        <f t="shared" si="56"/>
        <v>6.9592985325314192E-3</v>
      </c>
      <c r="S108" s="180">
        <f t="shared" si="56"/>
        <v>6.9066171963598193E-3</v>
      </c>
      <c r="T108" s="180">
        <f t="shared" si="56"/>
        <v>6.8522728193402254E-3</v>
      </c>
      <c r="U108" s="180" t="str">
        <f t="shared" si="56"/>
        <v/>
      </c>
      <c r="V108" s="175"/>
      <c r="W108" s="130"/>
      <c r="X108" s="85"/>
    </row>
    <row r="109" spans="1:34" outlineLevel="1">
      <c r="A109" s="130"/>
      <c r="B109" s="130"/>
      <c r="C109" s="176" t="str">
        <v>SFA TLG</v>
      </c>
      <c r="D109" s="131" t="s">
        <v>98</v>
      </c>
      <c r="E109" s="131" t="s">
        <v>18</v>
      </c>
      <c r="F109" s="131" t="s">
        <v>36</v>
      </c>
      <c r="G109" s="131"/>
      <c r="H109" s="131"/>
      <c r="I109" s="131"/>
      <c r="J109" s="180" t="str">
        <f t="shared" ref="J109:U109" si="57">IF(J$104=J$4,SUMPRODUCT(J$77:J$82,$M$95:$M$100),"")</f>
        <v/>
      </c>
      <c r="K109" s="180" t="str">
        <f t="shared" si="57"/>
        <v/>
      </c>
      <c r="L109" s="180" t="str">
        <f t="shared" si="57"/>
        <v/>
      </c>
      <c r="M109" s="180" t="str">
        <f t="shared" si="57"/>
        <v/>
      </c>
      <c r="N109" s="180" t="str">
        <f t="shared" si="57"/>
        <v/>
      </c>
      <c r="O109" s="180" t="str">
        <f t="shared" si="57"/>
        <v/>
      </c>
      <c r="P109" s="180">
        <f t="shared" si="57"/>
        <v>7.7044468536190749E-3</v>
      </c>
      <c r="Q109" s="180">
        <f t="shared" si="57"/>
        <v>7.6550138566007959E-3</v>
      </c>
      <c r="R109" s="180">
        <f t="shared" si="57"/>
        <v>7.5985598764342372E-3</v>
      </c>
      <c r="S109" s="180">
        <f t="shared" si="57"/>
        <v>7.5399941745113771E-3</v>
      </c>
      <c r="T109" s="180">
        <f t="shared" si="57"/>
        <v>7.4797252726484832E-3</v>
      </c>
      <c r="U109" s="180" t="str">
        <f t="shared" si="57"/>
        <v/>
      </c>
      <c r="V109" s="175"/>
      <c r="W109" s="130"/>
      <c r="X109" s="85"/>
    </row>
    <row r="110" spans="1:34" outlineLevel="1">
      <c r="A110" s="130"/>
      <c r="B110" s="130"/>
      <c r="C110" s="136"/>
      <c r="D110" s="131"/>
      <c r="E110" s="131"/>
      <c r="F110" s="131"/>
      <c r="G110" s="132"/>
      <c r="H110" s="132"/>
      <c r="I110" s="131"/>
      <c r="J110" s="131"/>
      <c r="K110" s="137"/>
      <c r="L110" s="137"/>
      <c r="M110" s="137"/>
      <c r="N110" s="137"/>
      <c r="O110" s="137"/>
      <c r="P110" s="130"/>
      <c r="Q110" s="130"/>
      <c r="R110" s="130"/>
      <c r="S110" s="130"/>
      <c r="T110" s="130"/>
      <c r="U110" s="130"/>
      <c r="V110" s="130"/>
      <c r="W110" s="130"/>
    </row>
    <row r="111" spans="1:34" customFormat="1" ht="12.75">
      <c r="A111" s="126"/>
      <c r="B111" s="40" t="s">
        <v>78</v>
      </c>
      <c r="C111" s="126"/>
      <c r="D111" s="126"/>
      <c r="E111" s="126"/>
      <c r="F111" s="127"/>
      <c r="G111" s="127"/>
      <c r="H111" s="127"/>
      <c r="I111" s="127"/>
      <c r="J111" s="127"/>
      <c r="K111" s="128"/>
      <c r="L111" s="129"/>
      <c r="M111" s="128"/>
      <c r="N111" s="129"/>
      <c r="O111" s="128"/>
      <c r="P111" s="128"/>
      <c r="Q111" s="128"/>
      <c r="R111" s="128"/>
      <c r="S111" s="128"/>
      <c r="T111" s="128"/>
      <c r="U111" s="128"/>
      <c r="V111" s="128"/>
      <c r="W111" s="128"/>
      <c r="X111" s="37"/>
      <c r="Y111" s="38"/>
      <c r="Z111" s="38"/>
      <c r="AA111" s="38"/>
      <c r="AB111" s="38"/>
      <c r="AC111" s="38"/>
      <c r="AD111" s="38"/>
      <c r="AE111" s="38"/>
      <c r="AF111" s="38"/>
      <c r="AG111" s="39"/>
      <c r="AH111" s="39"/>
    </row>
    <row r="112" spans="1:34" outlineLevel="1">
      <c r="A112" s="130"/>
      <c r="B112" s="130"/>
      <c r="C112" s="130"/>
      <c r="D112" s="131"/>
      <c r="E112" s="131"/>
      <c r="F112" s="131"/>
      <c r="G112" s="132"/>
      <c r="H112" s="132"/>
      <c r="I112" s="131"/>
      <c r="J112" s="131"/>
      <c r="K112" s="130"/>
      <c r="L112" s="130"/>
      <c r="M112" s="130"/>
      <c r="N112" s="130"/>
      <c r="O112" s="130"/>
      <c r="P112" s="130"/>
      <c r="Q112" s="130"/>
      <c r="R112" s="130"/>
      <c r="S112" s="130"/>
      <c r="T112" s="130"/>
      <c r="U112" s="130"/>
      <c r="V112" s="130"/>
      <c r="W112" s="130"/>
    </row>
    <row r="113" spans="1:34" outlineLevel="1">
      <c r="A113" s="130"/>
      <c r="B113" s="130"/>
      <c r="C113" s="133" t="s">
        <v>48</v>
      </c>
      <c r="D113" s="132" t="s">
        <v>7</v>
      </c>
      <c r="E113" s="132" t="s">
        <v>8</v>
      </c>
      <c r="F113" s="132" t="s">
        <v>22</v>
      </c>
      <c r="G113" s="132"/>
      <c r="H113" s="132"/>
      <c r="I113" s="131"/>
      <c r="J113" s="149" t="str">
        <f t="shared" ref="J113:U113" si="58">IF(YEAR(J$4)&gt;=FPFirstYear,IF(YEAR(J$4)&lt;=FPLastYear,J$4,""),"")</f>
        <v/>
      </c>
      <c r="K113" s="149" t="str">
        <f t="shared" si="58"/>
        <v/>
      </c>
      <c r="L113" s="149" t="str">
        <f t="shared" si="58"/>
        <v/>
      </c>
      <c r="M113" s="149" t="str">
        <f t="shared" si="58"/>
        <v/>
      </c>
      <c r="N113" s="149" t="str">
        <f t="shared" si="58"/>
        <v/>
      </c>
      <c r="O113" s="149" t="str">
        <f t="shared" si="58"/>
        <v/>
      </c>
      <c r="P113" s="149">
        <f t="shared" si="58"/>
        <v>45809</v>
      </c>
      <c r="Q113" s="149">
        <f t="shared" si="58"/>
        <v>46174</v>
      </c>
      <c r="R113" s="149">
        <f t="shared" si="58"/>
        <v>46539</v>
      </c>
      <c r="S113" s="149">
        <f t="shared" si="58"/>
        <v>46905</v>
      </c>
      <c r="T113" s="149">
        <f t="shared" si="58"/>
        <v>47270</v>
      </c>
      <c r="U113" s="149" t="str">
        <f t="shared" si="58"/>
        <v/>
      </c>
      <c r="V113" s="130"/>
      <c r="W113" s="130"/>
    </row>
    <row r="114" spans="1:34" outlineLevel="1">
      <c r="A114" s="130"/>
      <c r="B114" s="130"/>
      <c r="C114" s="136"/>
      <c r="D114" s="131"/>
      <c r="E114" s="131"/>
      <c r="F114" s="131"/>
      <c r="G114" s="132"/>
      <c r="H114" s="132"/>
      <c r="I114" s="131"/>
      <c r="J114" s="131"/>
      <c r="K114" s="137"/>
      <c r="L114" s="137"/>
      <c r="M114" s="137"/>
      <c r="N114" s="137"/>
      <c r="O114" s="137"/>
      <c r="P114" s="130"/>
      <c r="Q114" s="130"/>
      <c r="R114" s="130"/>
      <c r="S114" s="130"/>
      <c r="T114" s="130"/>
      <c r="U114" s="130"/>
      <c r="V114" s="130"/>
      <c r="W114" s="130"/>
    </row>
    <row r="115" spans="1:34" outlineLevel="1">
      <c r="A115" s="130"/>
      <c r="B115" s="130"/>
      <c r="C115" s="136" t="s">
        <v>48</v>
      </c>
      <c r="D115" s="131" t="s">
        <v>101</v>
      </c>
      <c r="E115" s="131" t="str">
        <f>percent</f>
        <v>Per cent</v>
      </c>
      <c r="F115" s="131" t="s">
        <v>36</v>
      </c>
      <c r="G115" s="132"/>
      <c r="H115" s="132"/>
      <c r="I115" s="131"/>
      <c r="J115" s="168"/>
      <c r="K115" s="189"/>
      <c r="L115" s="189"/>
      <c r="M115" s="189"/>
      <c r="N115" s="189"/>
      <c r="O115" s="177"/>
      <c r="P115" s="177">
        <v>5.0000000000000001E-3</v>
      </c>
      <c r="Q115" s="177">
        <v>5.0000000000000001E-3</v>
      </c>
      <c r="R115" s="177">
        <v>5.0000000000000001E-3</v>
      </c>
      <c r="S115" s="177">
        <v>5.0000000000000001E-3</v>
      </c>
      <c r="T115" s="177">
        <v>5.0000000000000001E-3</v>
      </c>
      <c r="U115" s="177"/>
      <c r="V115" s="130"/>
      <c r="W115" s="130"/>
    </row>
    <row r="116" spans="1:34" outlineLevel="1">
      <c r="A116" s="130"/>
      <c r="B116" s="130"/>
      <c r="C116" s="136"/>
      <c r="D116" s="131"/>
      <c r="E116" s="131"/>
      <c r="F116" s="131"/>
      <c r="G116" s="132"/>
      <c r="H116" s="132"/>
      <c r="I116" s="131"/>
      <c r="J116" s="131"/>
      <c r="K116" s="137"/>
      <c r="L116" s="137"/>
      <c r="M116" s="137"/>
      <c r="N116" s="137"/>
      <c r="O116" s="137"/>
      <c r="P116" s="190"/>
      <c r="Q116" s="190"/>
      <c r="R116" s="190"/>
      <c r="S116" s="190"/>
      <c r="T116" s="190"/>
      <c r="U116" s="190"/>
      <c r="V116" s="130"/>
      <c r="W116" s="130"/>
    </row>
    <row r="117" spans="1:34" outlineLevel="1">
      <c r="A117" s="130"/>
      <c r="B117" s="130"/>
      <c r="C117" s="130" t="s">
        <v>40</v>
      </c>
      <c r="D117" s="131" t="s">
        <v>98</v>
      </c>
      <c r="E117" s="131" t="s">
        <v>28</v>
      </c>
      <c r="F117" s="131" t="s">
        <v>36</v>
      </c>
      <c r="G117" s="131"/>
      <c r="H117" s="131"/>
      <c r="I117" s="131"/>
      <c r="J117" s="174" t="str">
        <f t="shared" ref="J117:S117" si="59">IF(J113=J$4,IF(ISBLANK(J115),"Check","Ok"),"")</f>
        <v/>
      </c>
      <c r="K117" s="174" t="str">
        <f t="shared" si="59"/>
        <v/>
      </c>
      <c r="L117" s="174" t="str">
        <f t="shared" si="59"/>
        <v/>
      </c>
      <c r="M117" s="174" t="str">
        <f t="shared" si="59"/>
        <v/>
      </c>
      <c r="N117" s="174" t="str">
        <f t="shared" si="59"/>
        <v/>
      </c>
      <c r="O117" s="174" t="str">
        <f t="shared" si="59"/>
        <v/>
      </c>
      <c r="P117" s="174" t="str">
        <f t="shared" si="59"/>
        <v>Ok</v>
      </c>
      <c r="Q117" s="174" t="str">
        <f t="shared" si="59"/>
        <v>Ok</v>
      </c>
      <c r="R117" s="174" t="str">
        <f t="shared" si="59"/>
        <v>Ok</v>
      </c>
      <c r="S117" s="174" t="str">
        <f t="shared" si="59"/>
        <v>Ok</v>
      </c>
      <c r="T117" s="174" t="str">
        <f>IF(T113=T$4,IF(ISBLANK(T115),"Check","Ok"),"")</f>
        <v>Ok</v>
      </c>
      <c r="U117" s="174" t="str">
        <f>IF(U113=U$4,IF(ISBLANK(U115),"Check","Ok"),"")</f>
        <v/>
      </c>
      <c r="V117" s="175"/>
      <c r="W117" s="130"/>
      <c r="X117" s="84" t="str">
        <f>IF(COUNTIF(J117:T117,"Check")=0,"Ok","Check")</f>
        <v>Ok</v>
      </c>
    </row>
    <row r="118" spans="1:34" outlineLevel="1">
      <c r="A118" s="130"/>
      <c r="B118" s="130"/>
      <c r="C118" s="136"/>
      <c r="D118" s="131"/>
      <c r="E118" s="131"/>
      <c r="F118" s="131"/>
      <c r="G118" s="132"/>
      <c r="H118" s="132"/>
      <c r="I118" s="131"/>
      <c r="J118" s="131"/>
      <c r="K118" s="137"/>
      <c r="L118" s="137"/>
      <c r="M118" s="137"/>
      <c r="N118" s="137"/>
      <c r="O118" s="137"/>
      <c r="P118" s="130"/>
      <c r="Q118" s="130"/>
      <c r="R118" s="130"/>
      <c r="S118" s="130"/>
      <c r="T118" s="130"/>
      <c r="U118" s="130"/>
      <c r="V118" s="130"/>
      <c r="W118" s="130"/>
    </row>
    <row r="119" spans="1:34" customFormat="1" ht="12.75">
      <c r="A119" s="126"/>
      <c r="B119" s="40" t="s">
        <v>21</v>
      </c>
      <c r="C119" s="126"/>
      <c r="D119" s="126"/>
      <c r="E119" s="126"/>
      <c r="F119" s="127"/>
      <c r="G119" s="127"/>
      <c r="H119" s="127"/>
      <c r="I119" s="127"/>
      <c r="J119" s="127"/>
      <c r="K119" s="128"/>
      <c r="L119" s="129"/>
      <c r="M119" s="128"/>
      <c r="N119" s="129"/>
      <c r="O119" s="128"/>
      <c r="P119" s="128"/>
      <c r="Q119" s="128"/>
      <c r="R119" s="128"/>
      <c r="S119" s="128"/>
      <c r="T119" s="128"/>
      <c r="U119" s="128"/>
      <c r="V119" s="128"/>
      <c r="W119" s="128"/>
      <c r="X119" s="37"/>
      <c r="Y119" s="38"/>
      <c r="Z119" s="38"/>
      <c r="AA119" s="38"/>
      <c r="AB119" s="38"/>
      <c r="AC119" s="38"/>
      <c r="AD119" s="38"/>
      <c r="AE119" s="38"/>
      <c r="AF119" s="38"/>
      <c r="AG119" s="39"/>
      <c r="AH119" s="39"/>
    </row>
  </sheetData>
  <mergeCells count="2">
    <mergeCell ref="K3:M3"/>
    <mergeCell ref="O3:T3"/>
  </mergeCells>
  <conditionalFormatting sqref="X1">
    <cfRule type="cellIs" dxfId="153" priority="117" operator="equal">
      <formula>"Check"</formula>
    </cfRule>
    <cfRule type="cellIs" dxfId="152" priority="118" operator="equal">
      <formula>"Ok"</formula>
    </cfRule>
  </conditionalFormatting>
  <conditionalFormatting sqref="T1:U1">
    <cfRule type="cellIs" dxfId="151" priority="81" operator="equal">
      <formula>"Check"</formula>
    </cfRule>
    <cfRule type="cellIs" dxfId="150" priority="82" operator="equal">
      <formula>"Ok"</formula>
    </cfRule>
  </conditionalFormatting>
  <conditionalFormatting sqref="X60">
    <cfRule type="cellIs" dxfId="149" priority="69" operator="equal">
      <formula>"Check"</formula>
    </cfRule>
    <cfRule type="cellIs" dxfId="148" priority="70" operator="equal">
      <formula>"Ok"</formula>
    </cfRule>
  </conditionalFormatting>
  <conditionalFormatting sqref="J60:U60">
    <cfRule type="cellIs" dxfId="147" priority="61" operator="equal">
      <formula>"Check"</formula>
    </cfRule>
    <cfRule type="cellIs" dxfId="146" priority="62" operator="equal">
      <formula>"Ok"</formula>
    </cfRule>
  </conditionalFormatting>
  <conditionalFormatting sqref="J36:U36">
    <cfRule type="expression" dxfId="145" priority="52">
      <formula>J$36=J$4</formula>
    </cfRule>
  </conditionalFormatting>
  <conditionalFormatting sqref="J43:U45 J38:O42 U41:U42">
    <cfRule type="expression" dxfId="144" priority="50">
      <formula>J$36=J$4</formula>
    </cfRule>
  </conditionalFormatting>
  <conditionalFormatting sqref="J51:T54 J55:O55 J56:T58">
    <cfRule type="expression" dxfId="143" priority="49">
      <formula>J$49=J$4</formula>
    </cfRule>
  </conditionalFormatting>
  <conditionalFormatting sqref="X117">
    <cfRule type="cellIs" dxfId="142" priority="43" operator="equal">
      <formula>"Check"</formula>
    </cfRule>
    <cfRule type="cellIs" dxfId="141" priority="44" operator="equal">
      <formula>"Ok"</formula>
    </cfRule>
  </conditionalFormatting>
  <conditionalFormatting sqref="J117:U117">
    <cfRule type="cellIs" dxfId="140" priority="41" operator="equal">
      <formula>"Check"</formula>
    </cfRule>
    <cfRule type="cellIs" dxfId="139" priority="42" operator="equal">
      <formula>"Ok"</formula>
    </cfRule>
  </conditionalFormatting>
  <conditionalFormatting sqref="X47">
    <cfRule type="cellIs" dxfId="138" priority="39" operator="equal">
      <formula>"Check"</formula>
    </cfRule>
    <cfRule type="cellIs" dxfId="137" priority="40" operator="equal">
      <formula>"Ok"</formula>
    </cfRule>
  </conditionalFormatting>
  <conditionalFormatting sqref="J47:U47">
    <cfRule type="cellIs" dxfId="136" priority="37" operator="equal">
      <formula>"Check"</formula>
    </cfRule>
    <cfRule type="cellIs" dxfId="135" priority="38" operator="equal">
      <formula>"Ok"</formula>
    </cfRule>
  </conditionalFormatting>
  <conditionalFormatting sqref="X73">
    <cfRule type="cellIs" dxfId="134" priority="35" operator="equal">
      <formula>"Check"</formula>
    </cfRule>
    <cfRule type="cellIs" dxfId="133" priority="36" operator="equal">
      <formula>"Ok"</formula>
    </cfRule>
  </conditionalFormatting>
  <conditionalFormatting sqref="J73:U73">
    <cfRule type="cellIs" dxfId="132" priority="33" operator="equal">
      <formula>"Check"</formula>
    </cfRule>
    <cfRule type="cellIs" dxfId="131" priority="34" operator="equal">
      <formula>"Ok"</formula>
    </cfRule>
  </conditionalFormatting>
  <conditionalFormatting sqref="J64:U64">
    <cfRule type="expression" dxfId="130" priority="27">
      <formula>J$64=J$4</formula>
    </cfRule>
  </conditionalFormatting>
  <conditionalFormatting sqref="J66:U71">
    <cfRule type="expression" dxfId="129" priority="25">
      <formula>J$64=J$4</formula>
    </cfRule>
  </conditionalFormatting>
  <conditionalFormatting sqref="J49:U49">
    <cfRule type="expression" dxfId="128" priority="22">
      <formula>J$36=J$4</formula>
    </cfRule>
  </conditionalFormatting>
  <conditionalFormatting sqref="J75:U75">
    <cfRule type="expression" dxfId="127" priority="21">
      <formula>J$36=J$4</formula>
    </cfRule>
  </conditionalFormatting>
  <conditionalFormatting sqref="J113:U113">
    <cfRule type="expression" dxfId="126" priority="20">
      <formula>J$36=J$4</formula>
    </cfRule>
  </conditionalFormatting>
  <conditionalFormatting sqref="J26:U32">
    <cfRule type="cellIs" dxfId="125" priority="18" operator="equal">
      <formula>0</formula>
    </cfRule>
  </conditionalFormatting>
  <conditionalFormatting sqref="J16:U22">
    <cfRule type="cellIs" dxfId="124" priority="17" operator="equal">
      <formula>0</formula>
    </cfRule>
  </conditionalFormatting>
  <conditionalFormatting sqref="X102:X109">
    <cfRule type="cellIs" dxfId="123" priority="13" operator="equal">
      <formula>"Check"</formula>
    </cfRule>
    <cfRule type="cellIs" dxfId="122" priority="14" operator="equal">
      <formula>"Ok"</formula>
    </cfRule>
  </conditionalFormatting>
  <conditionalFormatting sqref="J105:U105 J102:U103">
    <cfRule type="cellIs" dxfId="121" priority="10" operator="equal">
      <formula>"Check"</formula>
    </cfRule>
    <cfRule type="cellIs" dxfId="120" priority="11" operator="equal">
      <formula>"Ok"</formula>
    </cfRule>
  </conditionalFormatting>
  <conditionalFormatting sqref="U51:U58">
    <cfRule type="expression" dxfId="119" priority="6">
      <formula>U$49=U$4</formula>
    </cfRule>
  </conditionalFormatting>
  <conditionalFormatting sqref="P38:T42">
    <cfRule type="expression" dxfId="118" priority="5">
      <formula>P$36=P$4</formula>
    </cfRule>
  </conditionalFormatting>
  <conditionalFormatting sqref="P55:T55">
    <cfRule type="expression" dxfId="117" priority="4">
      <formula>P$49=P$4</formula>
    </cfRule>
  </conditionalFormatting>
  <conditionalFormatting sqref="J104:U104">
    <cfRule type="expression" dxfId="116" priority="167">
      <formula>J$104=J$4</formula>
    </cfRule>
  </conditionalFormatting>
  <conditionalFormatting sqref="J115:U115">
    <cfRule type="expression" dxfId="115" priority="168">
      <formula>J$113=J$4</formula>
    </cfRule>
  </conditionalFormatting>
  <conditionalFormatting sqref="K89:M91">
    <cfRule type="expression" dxfId="114" priority="169">
      <formula>K$93=K$4</formula>
    </cfRule>
  </conditionalFormatting>
  <dataValidations disablePrompts="1" count="2">
    <dataValidation type="list" allowBlank="1" showInputMessage="1" showErrorMessage="1" sqref="F118 F74 F110" xr:uid="{00000000-0002-0000-0500-000000000000}">
      <formula1>#REF!</formula1>
    </dataValidation>
    <dataValidation type="list" allowBlank="1" showInputMessage="1" showErrorMessage="1" sqref="F94 F83 F85 F92" xr:uid="{00000000-0002-0000-0500-000001000000}">
      <formula1>#REF!</formula1>
    </dataValidation>
  </dataValidations>
  <hyperlinks>
    <hyperlink ref="K1" location="Index!A1" display="Back to Index" xr:uid="{00000000-0004-0000-0500-000000000000}"/>
    <hyperlink ref="W1" location="'Check|List'!A1" display="Overall Check:" xr:uid="{00000000-0004-0000-0500-000001000000}"/>
  </hyperlinks>
  <pageMargins left="0.7" right="0.7" top="0.75" bottom="0.75" header="0.3" footer="0.3"/>
  <pageSetup paperSize="9" orientation="portrait" verticalDpi="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tabColor rgb="FFFFFF99"/>
  </sheetPr>
  <dimension ref="A1:AU54"/>
  <sheetViews>
    <sheetView showGridLines="0" zoomScaleNormal="100" workbookViewId="0"/>
  </sheetViews>
  <sheetFormatPr defaultColWidth="0" defaultRowHeight="11.25" zeroHeight="1" outlineLevelRow="1"/>
  <cols>
    <col min="1" max="2" width="1.5" style="8" customWidth="1"/>
    <col min="3" max="3" width="48" style="8" bestFit="1" customWidth="1"/>
    <col min="4" max="4" width="27.6640625" style="16" customWidth="1"/>
    <col min="5" max="5" width="15.83203125" style="16" customWidth="1"/>
    <col min="6" max="6" width="10.6640625" style="16" customWidth="1"/>
    <col min="7" max="9" width="3.33203125" style="16" customWidth="1"/>
    <col min="10" max="23" width="10.83203125" style="8" customWidth="1"/>
    <col min="24" max="47" width="10.5" style="8" hidden="1" customWidth="1"/>
    <col min="48" max="16384" width="0" style="8" hidden="1"/>
  </cols>
  <sheetData>
    <row r="1" spans="1:30" s="29" customFormat="1" ht="15.75">
      <c r="B1" s="26" t="str">
        <f>Index!$B$1</f>
        <v>AER opex model v2.1</v>
      </c>
      <c r="C1" s="26"/>
      <c r="D1" s="26"/>
      <c r="E1" s="26"/>
      <c r="F1" s="27"/>
      <c r="G1" s="27"/>
      <c r="H1" s="27"/>
      <c r="I1" s="27"/>
      <c r="J1" s="28" t="s">
        <v>2</v>
      </c>
      <c r="L1" s="30" t="s">
        <v>3</v>
      </c>
      <c r="M1" s="48" t="s">
        <v>4</v>
      </c>
      <c r="N1" s="11" t="s">
        <v>5</v>
      </c>
      <c r="O1" s="12" t="s">
        <v>6</v>
      </c>
      <c r="R1" s="30" t="s">
        <v>82</v>
      </c>
      <c r="S1" s="31" t="str">
        <f>IF(COUNTA($W$8:$W$237)=COUNTIF($W$8:$W$237,"OK"),"OK","Check")</f>
        <v>OK</v>
      </c>
      <c r="U1" s="113" t="s">
        <v>24</v>
      </c>
      <c r="V1" s="31" t="str">
        <f>'Check|List'!$S$1</f>
        <v>Ok</v>
      </c>
    </row>
    <row r="2" spans="1:30" s="33" customFormat="1" ht="13.5" thickBot="1">
      <c r="B2" s="32" t="str">
        <f>Index!$C$11</f>
        <v>Input | Step changes</v>
      </c>
      <c r="C2" s="32"/>
      <c r="D2" s="32"/>
      <c r="E2" s="32"/>
      <c r="F2" s="55"/>
      <c r="G2" s="55"/>
      <c r="H2" s="55"/>
      <c r="I2" s="55"/>
    </row>
    <row r="3" spans="1:30" s="56" customFormat="1">
      <c r="D3" s="110"/>
      <c r="E3" s="110"/>
      <c r="F3" s="110"/>
      <c r="G3" s="110"/>
      <c r="H3" s="110"/>
      <c r="I3" s="110"/>
      <c r="J3" s="99" t="s">
        <v>118</v>
      </c>
      <c r="K3" s="104"/>
      <c r="L3" s="104"/>
      <c r="M3" s="110"/>
      <c r="N3" s="213"/>
      <c r="O3" s="213"/>
      <c r="P3" s="213"/>
      <c r="Q3" s="213"/>
      <c r="R3" s="213"/>
      <c r="S3" s="213"/>
      <c r="T3" s="57"/>
      <c r="U3" s="57"/>
      <c r="V3" s="57"/>
      <c r="W3" s="57"/>
      <c r="X3" s="57"/>
      <c r="Y3" s="57"/>
      <c r="Z3" s="57"/>
    </row>
    <row r="4" spans="1:30" customFormat="1">
      <c r="A4" s="58"/>
      <c r="B4" s="58"/>
      <c r="C4" s="58"/>
      <c r="D4" s="59" t="s">
        <v>7</v>
      </c>
      <c r="E4" s="59" t="s">
        <v>8</v>
      </c>
      <c r="F4" s="155" t="s">
        <v>22</v>
      </c>
      <c r="G4" s="156"/>
      <c r="H4" s="156"/>
      <c r="I4" s="156"/>
      <c r="J4" s="97">
        <f>DATE(PPFirstYear,MONTH('Input|General'!$G$9),1)</f>
        <v>43983</v>
      </c>
      <c r="K4" s="97">
        <f>DATE(PPFirstYear+1,MONTH('Input|General'!$G$9),1)</f>
        <v>44348</v>
      </c>
      <c r="L4" s="97">
        <f>DATE(PPFirstYear+2,MONTH('Input|General'!$G$9),1)</f>
        <v>44713</v>
      </c>
      <c r="M4" s="97">
        <f>DATE(PPFirstYear+3,MONTH('Input|General'!$G$9),1)</f>
        <v>45078</v>
      </c>
      <c r="N4" s="97">
        <f>DATE(PPFirstYear+4,MONTH('Input|General'!$G$9),1)</f>
        <v>45444</v>
      </c>
      <c r="O4" s="97">
        <f>DATE(PPFirstYear+5,MONTH('Input|General'!$G$9),1)</f>
        <v>45809</v>
      </c>
      <c r="P4" s="97">
        <f>DATE(PPFirstYear+6,MONTH('Input|General'!$G$9),1)</f>
        <v>46174</v>
      </c>
      <c r="Q4" s="97">
        <f>DATE(PPFirstYear+7,MONTH('Input|General'!$G$9),1)</f>
        <v>46539</v>
      </c>
      <c r="R4" s="97">
        <f>DATE(PPFirstYear+8,MONTH('Input|General'!$G$9),1)</f>
        <v>46905</v>
      </c>
      <c r="S4" s="97">
        <f>DATE(PPFirstYear+9,MONTH('Input|General'!$G$9),1)</f>
        <v>47270</v>
      </c>
      <c r="T4" s="97">
        <f>DATE(PPFirstYear+10,MONTH('Input|General'!$G$9),1)</f>
        <v>47635</v>
      </c>
      <c r="U4" s="62"/>
      <c r="V4" s="191"/>
      <c r="W4" s="63"/>
    </row>
    <row r="5" spans="1:30" s="6" customFormat="1" ht="3" customHeight="1">
      <c r="A5" s="157"/>
      <c r="B5" s="157"/>
      <c r="C5" s="157"/>
      <c r="D5" s="158"/>
      <c r="E5" s="158"/>
      <c r="F5" s="158"/>
      <c r="G5" s="158"/>
      <c r="H5" s="158"/>
      <c r="I5" s="158"/>
      <c r="J5" s="157"/>
      <c r="K5" s="157"/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</row>
    <row r="6" spans="1:30" s="6" customFormat="1" ht="9" customHeight="1">
      <c r="A6" s="157"/>
      <c r="B6" s="157"/>
      <c r="C6" s="157"/>
      <c r="D6" s="158"/>
      <c r="E6" s="158"/>
      <c r="F6" s="158"/>
      <c r="G6" s="158"/>
      <c r="H6" s="158"/>
      <c r="I6" s="158"/>
      <c r="J6" s="157"/>
      <c r="K6" s="157"/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7"/>
    </row>
    <row r="7" spans="1:30" s="6" customFormat="1" ht="3" customHeight="1">
      <c r="A7" s="157"/>
      <c r="B7" s="157"/>
      <c r="C7" s="157"/>
      <c r="D7" s="158"/>
      <c r="E7" s="158"/>
      <c r="F7" s="158"/>
      <c r="G7" s="158"/>
      <c r="H7" s="158"/>
      <c r="I7" s="158"/>
      <c r="J7" s="157"/>
      <c r="K7" s="157"/>
      <c r="L7" s="157"/>
      <c r="M7" s="157"/>
      <c r="N7" s="157"/>
      <c r="O7" s="157"/>
      <c r="P7" s="157"/>
      <c r="Q7" s="157"/>
      <c r="R7" s="157"/>
      <c r="S7" s="157"/>
      <c r="T7" s="157"/>
      <c r="U7" s="157"/>
      <c r="V7" s="157"/>
    </row>
    <row r="8" spans="1:30" customFormat="1" ht="12.75">
      <c r="A8" s="126"/>
      <c r="B8" s="40" t="s">
        <v>50</v>
      </c>
      <c r="C8" s="126"/>
      <c r="D8" s="126"/>
      <c r="E8" s="126"/>
      <c r="F8" s="127"/>
      <c r="G8" s="127"/>
      <c r="H8" s="127"/>
      <c r="I8" s="127"/>
      <c r="J8" s="128"/>
      <c r="K8" s="129"/>
      <c r="L8" s="128"/>
      <c r="M8" s="129"/>
      <c r="N8" s="128"/>
      <c r="O8" s="128"/>
      <c r="P8" s="128"/>
      <c r="Q8" s="128"/>
      <c r="R8" s="128"/>
      <c r="S8" s="128"/>
      <c r="T8" s="128"/>
      <c r="U8" s="128"/>
      <c r="V8" s="129"/>
      <c r="W8" s="37"/>
      <c r="X8" s="38"/>
      <c r="Y8" s="38"/>
      <c r="Z8" s="38"/>
      <c r="AA8" s="38"/>
      <c r="AB8" s="38"/>
      <c r="AC8" s="39"/>
      <c r="AD8" s="39"/>
    </row>
    <row r="9" spans="1:30" outlineLevel="1">
      <c r="A9" s="130"/>
      <c r="B9" s="130"/>
      <c r="C9" s="130"/>
      <c r="D9" s="131"/>
      <c r="E9" s="131"/>
      <c r="F9" s="131"/>
      <c r="G9" s="132"/>
      <c r="H9" s="132"/>
      <c r="I9" s="131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</row>
    <row r="10" spans="1:30" outlineLevel="1">
      <c r="A10" s="130"/>
      <c r="B10" s="130"/>
      <c r="C10" s="133" t="s">
        <v>79</v>
      </c>
      <c r="D10" s="132" t="s">
        <v>7</v>
      </c>
      <c r="E10" s="132" t="s">
        <v>8</v>
      </c>
      <c r="F10" s="132" t="s">
        <v>22</v>
      </c>
      <c r="G10" s="132"/>
      <c r="H10" s="132"/>
      <c r="I10" s="149"/>
      <c r="J10" s="149" t="str">
        <f t="shared" ref="J10:T10" si="0">IF(YEAR(J$4)&gt;=FPFirstYear,IF(YEAR(J$4)&lt;=FPLastYear,J$4,""),"")</f>
        <v/>
      </c>
      <c r="K10" s="149" t="str">
        <f t="shared" si="0"/>
        <v/>
      </c>
      <c r="L10" s="149" t="str">
        <f t="shared" si="0"/>
        <v/>
      </c>
      <c r="M10" s="149" t="str">
        <f t="shared" si="0"/>
        <v/>
      </c>
      <c r="N10" s="149" t="str">
        <f t="shared" si="0"/>
        <v/>
      </c>
      <c r="O10" s="149">
        <f t="shared" si="0"/>
        <v>45809</v>
      </c>
      <c r="P10" s="149">
        <f t="shared" si="0"/>
        <v>46174</v>
      </c>
      <c r="Q10" s="149">
        <f t="shared" si="0"/>
        <v>46539</v>
      </c>
      <c r="R10" s="149">
        <f t="shared" si="0"/>
        <v>46905</v>
      </c>
      <c r="S10" s="149">
        <f t="shared" si="0"/>
        <v>47270</v>
      </c>
      <c r="T10" s="149" t="str">
        <f t="shared" si="0"/>
        <v/>
      </c>
      <c r="U10" s="130"/>
      <c r="V10" s="130"/>
    </row>
    <row r="11" spans="1:30" outlineLevel="1">
      <c r="A11" s="130"/>
      <c r="B11" s="130"/>
      <c r="C11" s="130"/>
      <c r="D11" s="131"/>
      <c r="E11" s="131"/>
      <c r="F11" s="131"/>
      <c r="G11" s="132"/>
      <c r="H11" s="132"/>
      <c r="I11" s="131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</row>
    <row r="12" spans="1:30" outlineLevel="1">
      <c r="A12" s="130"/>
      <c r="B12" s="130"/>
      <c r="C12" s="138" t="s">
        <v>218</v>
      </c>
      <c r="D12" s="131" t="s">
        <v>69</v>
      </c>
      <c r="E12" s="131" t="str">
        <f t="shared" ref="E12:E20" si="1">units</f>
        <v>$millions</v>
      </c>
      <c r="F12" s="150">
        <f t="shared" ref="F12:F20" si="2">DATE(PPLastYear,MONTH(month),1)</f>
        <v>45444</v>
      </c>
      <c r="G12" s="132"/>
      <c r="H12" s="132"/>
      <c r="I12" s="131"/>
      <c r="J12" s="169"/>
      <c r="K12" s="169"/>
      <c r="L12" s="169"/>
      <c r="M12" s="169"/>
      <c r="N12" s="169"/>
      <c r="O12" s="206">
        <v>0</v>
      </c>
      <c r="P12" s="206">
        <v>0</v>
      </c>
      <c r="Q12" s="206">
        <v>0</v>
      </c>
      <c r="R12" s="206">
        <v>0</v>
      </c>
      <c r="S12" s="206">
        <v>0</v>
      </c>
      <c r="T12" s="192"/>
      <c r="U12" s="130"/>
      <c r="V12" s="130"/>
    </row>
    <row r="13" spans="1:30" outlineLevel="1">
      <c r="A13" s="130"/>
      <c r="B13" s="130"/>
      <c r="C13" s="138" t="s">
        <v>219</v>
      </c>
      <c r="D13" s="131" t="s">
        <v>69</v>
      </c>
      <c r="E13" s="131" t="str">
        <f t="shared" si="1"/>
        <v>$millions</v>
      </c>
      <c r="F13" s="150">
        <f t="shared" si="2"/>
        <v>45444</v>
      </c>
      <c r="G13" s="132"/>
      <c r="H13" s="132"/>
      <c r="I13" s="131"/>
      <c r="J13" s="169"/>
      <c r="K13" s="169"/>
      <c r="L13" s="169"/>
      <c r="M13" s="169"/>
      <c r="N13" s="169"/>
      <c r="O13" s="206">
        <v>0</v>
      </c>
      <c r="P13" s="206">
        <v>0</v>
      </c>
      <c r="Q13" s="206">
        <v>0</v>
      </c>
      <c r="R13" s="206">
        <v>0</v>
      </c>
      <c r="S13" s="206">
        <v>0</v>
      </c>
      <c r="T13" s="192"/>
      <c r="U13" s="130"/>
      <c r="V13" s="130"/>
    </row>
    <row r="14" spans="1:30" outlineLevel="1">
      <c r="A14" s="130"/>
      <c r="B14" s="130"/>
      <c r="C14" s="138" t="s">
        <v>220</v>
      </c>
      <c r="D14" s="131" t="s">
        <v>69</v>
      </c>
      <c r="E14" s="131" t="str">
        <f t="shared" si="1"/>
        <v>$millions</v>
      </c>
      <c r="F14" s="150">
        <f t="shared" si="2"/>
        <v>45444</v>
      </c>
      <c r="G14" s="132"/>
      <c r="H14" s="132"/>
      <c r="I14" s="131"/>
      <c r="J14" s="169"/>
      <c r="K14" s="169"/>
      <c r="L14" s="169"/>
      <c r="M14" s="169"/>
      <c r="N14" s="169"/>
      <c r="O14" s="206">
        <v>3.6147823332143867</v>
      </c>
      <c r="P14" s="206">
        <v>3.5776804532476758</v>
      </c>
      <c r="Q14" s="206">
        <v>3.5668354206304813</v>
      </c>
      <c r="R14" s="206">
        <v>4.7993914442687204</v>
      </c>
      <c r="S14" s="206">
        <v>4.4330948191283257</v>
      </c>
      <c r="T14" s="192"/>
      <c r="U14" s="130"/>
      <c r="V14" s="130"/>
    </row>
    <row r="15" spans="1:30" outlineLevel="1">
      <c r="A15" s="130"/>
      <c r="B15" s="130"/>
      <c r="C15" s="138" t="s">
        <v>221</v>
      </c>
      <c r="D15" s="131" t="s">
        <v>69</v>
      </c>
      <c r="E15" s="131" t="str">
        <f t="shared" si="1"/>
        <v>$millions</v>
      </c>
      <c r="F15" s="150">
        <f t="shared" si="2"/>
        <v>45444</v>
      </c>
      <c r="G15" s="132"/>
      <c r="H15" s="132"/>
      <c r="I15" s="131"/>
      <c r="J15" s="169"/>
      <c r="K15" s="169"/>
      <c r="L15" s="169"/>
      <c r="M15" s="169"/>
      <c r="N15" s="169"/>
      <c r="O15" s="206">
        <v>1.2999153217987804</v>
      </c>
      <c r="P15" s="206">
        <v>1.2999153217987804</v>
      </c>
      <c r="Q15" s="206">
        <v>1.2999153217987804</v>
      </c>
      <c r="R15" s="206">
        <v>1.2999153217987804</v>
      </c>
      <c r="S15" s="206">
        <v>1.2999153217987804</v>
      </c>
      <c r="T15" s="192"/>
      <c r="U15" s="130"/>
      <c r="V15" s="130"/>
    </row>
    <row r="16" spans="1:30" outlineLevel="1">
      <c r="A16" s="130"/>
      <c r="B16" s="130"/>
      <c r="C16" s="138" t="s">
        <v>222</v>
      </c>
      <c r="D16" s="131" t="s">
        <v>69</v>
      </c>
      <c r="E16" s="131" t="str">
        <f t="shared" si="1"/>
        <v>$millions</v>
      </c>
      <c r="F16" s="150">
        <f>DATE(PPLastYear-1,MONTH(month),1)</f>
        <v>45078</v>
      </c>
      <c r="G16" s="132"/>
      <c r="H16" s="132"/>
      <c r="I16" s="131"/>
      <c r="J16" s="169"/>
      <c r="K16" s="169"/>
      <c r="L16" s="169"/>
      <c r="M16" s="169"/>
      <c r="N16" s="169"/>
      <c r="O16" s="206">
        <v>-0.8829573168249093</v>
      </c>
      <c r="P16" s="206">
        <v>-1.278653285952182</v>
      </c>
      <c r="Q16" s="206">
        <v>-1.5839669690294838</v>
      </c>
      <c r="R16" s="206">
        <v>-1.8674623218383122</v>
      </c>
      <c r="S16" s="206">
        <v>-2.0733531385161412</v>
      </c>
      <c r="T16" s="192"/>
      <c r="U16" s="130"/>
      <c r="V16" s="130"/>
    </row>
    <row r="17" spans="1:30" outlineLevel="1">
      <c r="A17" s="130"/>
      <c r="B17" s="130"/>
      <c r="C17" s="138"/>
      <c r="D17" s="131" t="s">
        <v>69</v>
      </c>
      <c r="E17" s="131" t="str">
        <f t="shared" si="1"/>
        <v>$millions</v>
      </c>
      <c r="F17" s="150">
        <f t="shared" si="2"/>
        <v>45444</v>
      </c>
      <c r="G17" s="132"/>
      <c r="H17" s="132"/>
      <c r="I17" s="131"/>
      <c r="J17" s="169"/>
      <c r="K17" s="169"/>
      <c r="L17" s="169"/>
      <c r="M17" s="169"/>
      <c r="N17" s="169"/>
      <c r="O17" s="206"/>
      <c r="P17" s="206"/>
      <c r="Q17" s="206"/>
      <c r="R17" s="206"/>
      <c r="S17" s="206"/>
      <c r="T17" s="192"/>
      <c r="U17" s="130"/>
      <c r="V17" s="130"/>
    </row>
    <row r="18" spans="1:30" outlineLevel="1">
      <c r="A18" s="130"/>
      <c r="B18" s="130"/>
      <c r="C18" s="138"/>
      <c r="D18" s="131" t="s">
        <v>69</v>
      </c>
      <c r="E18" s="131" t="str">
        <f t="shared" si="1"/>
        <v>$millions</v>
      </c>
      <c r="F18" s="150">
        <f t="shared" si="2"/>
        <v>45444</v>
      </c>
      <c r="G18" s="132"/>
      <c r="H18" s="132"/>
      <c r="I18" s="131"/>
      <c r="J18" s="169"/>
      <c r="K18" s="169"/>
      <c r="L18" s="169"/>
      <c r="M18" s="169"/>
      <c r="N18" s="169"/>
      <c r="O18" s="206"/>
      <c r="P18" s="206"/>
      <c r="Q18" s="206"/>
      <c r="R18" s="206"/>
      <c r="S18" s="206"/>
      <c r="T18" s="192"/>
      <c r="U18" s="130"/>
      <c r="V18" s="130"/>
    </row>
    <row r="19" spans="1:30" outlineLevel="1">
      <c r="A19" s="130"/>
      <c r="B19" s="130"/>
      <c r="C19" s="138"/>
      <c r="D19" s="131" t="s">
        <v>69</v>
      </c>
      <c r="E19" s="131" t="str">
        <f t="shared" si="1"/>
        <v>$millions</v>
      </c>
      <c r="F19" s="150">
        <f t="shared" si="2"/>
        <v>45444</v>
      </c>
      <c r="G19" s="132"/>
      <c r="H19" s="132"/>
      <c r="I19" s="131"/>
      <c r="J19" s="169"/>
      <c r="K19" s="169"/>
      <c r="L19" s="169"/>
      <c r="M19" s="169"/>
      <c r="N19" s="169"/>
      <c r="O19" s="206"/>
      <c r="P19" s="206"/>
      <c r="Q19" s="206"/>
      <c r="R19" s="206"/>
      <c r="S19" s="206"/>
      <c r="T19" s="192"/>
      <c r="U19" s="130"/>
      <c r="V19" s="130"/>
    </row>
    <row r="20" spans="1:30" outlineLevel="1">
      <c r="A20" s="130"/>
      <c r="B20" s="130"/>
      <c r="C20" s="138"/>
      <c r="D20" s="131" t="s">
        <v>69</v>
      </c>
      <c r="E20" s="131" t="str">
        <f t="shared" si="1"/>
        <v>$millions</v>
      </c>
      <c r="F20" s="150">
        <f t="shared" si="2"/>
        <v>45444</v>
      </c>
      <c r="G20" s="132"/>
      <c r="H20" s="132"/>
      <c r="I20" s="131"/>
      <c r="J20" s="169"/>
      <c r="K20" s="169"/>
      <c r="L20" s="169"/>
      <c r="M20" s="169"/>
      <c r="N20" s="169"/>
      <c r="O20" s="206"/>
      <c r="P20" s="206"/>
      <c r="Q20" s="206"/>
      <c r="R20" s="206"/>
      <c r="S20" s="206"/>
      <c r="T20" s="192"/>
      <c r="U20" s="130"/>
      <c r="V20" s="130"/>
    </row>
    <row r="21" spans="1:30" outlineLevel="1">
      <c r="A21" s="130"/>
      <c r="B21" s="130"/>
      <c r="C21" s="130"/>
      <c r="D21" s="131"/>
      <c r="E21" s="131"/>
      <c r="F21" s="131"/>
      <c r="G21" s="132"/>
      <c r="H21" s="132"/>
      <c r="I21" s="131"/>
      <c r="J21" s="130"/>
      <c r="K21" s="130"/>
      <c r="L21" s="130"/>
      <c r="M21" s="130"/>
      <c r="N21" s="130"/>
      <c r="O21" s="207"/>
      <c r="P21" s="207"/>
      <c r="Q21" s="207"/>
      <c r="R21" s="207"/>
      <c r="S21" s="207"/>
      <c r="T21" s="130"/>
      <c r="U21" s="130"/>
      <c r="V21" s="130"/>
    </row>
    <row r="22" spans="1:30" outlineLevel="1">
      <c r="A22" s="130"/>
      <c r="B22" s="130"/>
      <c r="C22" s="130" t="s">
        <v>40</v>
      </c>
      <c r="D22" s="131" t="s">
        <v>98</v>
      </c>
      <c r="E22" s="131" t="s">
        <v>28</v>
      </c>
      <c r="F22" s="131" t="s">
        <v>36</v>
      </c>
      <c r="G22" s="131"/>
      <c r="H22" s="131"/>
      <c r="I22" s="131"/>
      <c r="J22" s="174" t="str">
        <f t="shared" ref="J22:S22" si="3">IF(J10=J4,IF(COUNTA($C12:$C20)=COUNT(J12:J20),"Ok","Check"),"")</f>
        <v/>
      </c>
      <c r="K22" s="174" t="str">
        <f t="shared" si="3"/>
        <v/>
      </c>
      <c r="L22" s="174" t="str">
        <f t="shared" si="3"/>
        <v/>
      </c>
      <c r="M22" s="174" t="str">
        <f t="shared" si="3"/>
        <v/>
      </c>
      <c r="N22" s="174" t="str">
        <f t="shared" si="3"/>
        <v/>
      </c>
      <c r="O22" s="85" t="str">
        <f t="shared" si="3"/>
        <v>Ok</v>
      </c>
      <c r="P22" s="85" t="str">
        <f t="shared" si="3"/>
        <v>Ok</v>
      </c>
      <c r="Q22" s="85" t="str">
        <f t="shared" si="3"/>
        <v>Ok</v>
      </c>
      <c r="R22" s="85" t="str">
        <f t="shared" si="3"/>
        <v>Ok</v>
      </c>
      <c r="S22" s="85" t="str">
        <f t="shared" si="3"/>
        <v>Ok</v>
      </c>
      <c r="T22" s="174" t="str">
        <f t="shared" ref="T22" si="4">IF(T10=T4,IF(COUNTA($C12:$C20)=COUNT(T12:T20),"Ok","Check"),"")</f>
        <v/>
      </c>
      <c r="U22" s="175"/>
      <c r="V22" s="130"/>
      <c r="W22" s="84" t="str">
        <f>IF(COUNTIF(J22:T22,"Check")=0,"Ok","Check")</f>
        <v>Ok</v>
      </c>
    </row>
    <row r="23" spans="1:30">
      <c r="A23" s="130"/>
      <c r="B23" s="130"/>
      <c r="C23" s="130"/>
      <c r="D23" s="131"/>
      <c r="E23" s="131"/>
      <c r="F23" s="131"/>
      <c r="G23" s="132"/>
      <c r="H23" s="132"/>
      <c r="I23" s="131"/>
      <c r="J23" s="130"/>
      <c r="K23" s="130"/>
      <c r="L23" s="130"/>
      <c r="M23" s="130"/>
      <c r="N23" s="130"/>
      <c r="O23" s="207"/>
      <c r="P23" s="207"/>
      <c r="Q23" s="207"/>
      <c r="R23" s="207"/>
      <c r="S23" s="207"/>
      <c r="T23" s="130"/>
      <c r="U23" s="130"/>
      <c r="V23" s="130"/>
    </row>
    <row r="24" spans="1:30" customFormat="1" ht="12.75">
      <c r="A24" s="126"/>
      <c r="B24" s="40" t="s">
        <v>115</v>
      </c>
      <c r="C24" s="126"/>
      <c r="D24" s="126"/>
      <c r="E24" s="126"/>
      <c r="F24" s="127"/>
      <c r="G24" s="127"/>
      <c r="H24" s="127"/>
      <c r="I24" s="127"/>
      <c r="J24" s="128"/>
      <c r="K24" s="129"/>
      <c r="L24" s="128"/>
      <c r="M24" s="129"/>
      <c r="N24" s="128"/>
      <c r="O24" s="208"/>
      <c r="P24" s="208"/>
      <c r="Q24" s="208"/>
      <c r="R24" s="208"/>
      <c r="S24" s="208"/>
      <c r="T24" s="128"/>
      <c r="U24" s="128"/>
      <c r="V24" s="129"/>
      <c r="W24" s="37"/>
      <c r="X24" s="38"/>
      <c r="Y24" s="38"/>
      <c r="Z24" s="38"/>
      <c r="AA24" s="38"/>
      <c r="AB24" s="38"/>
      <c r="AC24" s="39"/>
      <c r="AD24" s="39"/>
    </row>
    <row r="25" spans="1:30" outlineLevel="1">
      <c r="A25" s="130"/>
      <c r="B25" s="130"/>
      <c r="C25" s="130"/>
      <c r="D25" s="131"/>
      <c r="E25" s="131"/>
      <c r="F25" s="131"/>
      <c r="G25" s="132"/>
      <c r="H25" s="132"/>
      <c r="I25" s="131"/>
      <c r="J25" s="130"/>
      <c r="K25" s="130"/>
      <c r="L25" s="130"/>
      <c r="M25" s="130"/>
      <c r="N25" s="130"/>
      <c r="O25" s="207"/>
      <c r="P25" s="207"/>
      <c r="Q25" s="207"/>
      <c r="R25" s="207"/>
      <c r="S25" s="207"/>
      <c r="T25" s="130"/>
      <c r="U25" s="130"/>
      <c r="V25" s="130"/>
    </row>
    <row r="26" spans="1:30" outlineLevel="1">
      <c r="A26" s="130"/>
      <c r="B26" s="130"/>
      <c r="C26" s="133" t="s">
        <v>107</v>
      </c>
      <c r="D26" s="132" t="s">
        <v>7</v>
      </c>
      <c r="E26" s="132" t="s">
        <v>8</v>
      </c>
      <c r="F26" s="132" t="s">
        <v>22</v>
      </c>
      <c r="G26" s="132"/>
      <c r="H26" s="132"/>
      <c r="I26" s="131"/>
      <c r="J26" s="149" t="str">
        <f t="shared" ref="J26:T26" si="5">IF(YEAR(J$4)&gt;=FPFirstYear,IF(YEAR(J$4)&lt;=FPLastYear,J$4,""),"")</f>
        <v/>
      </c>
      <c r="K26" s="149" t="str">
        <f t="shared" si="5"/>
        <v/>
      </c>
      <c r="L26" s="149" t="str">
        <f t="shared" si="5"/>
        <v/>
      </c>
      <c r="M26" s="149" t="str">
        <f t="shared" si="5"/>
        <v/>
      </c>
      <c r="N26" s="149" t="str">
        <f t="shared" si="5"/>
        <v/>
      </c>
      <c r="O26" s="209">
        <f t="shared" si="5"/>
        <v>45809</v>
      </c>
      <c r="P26" s="209">
        <f t="shared" si="5"/>
        <v>46174</v>
      </c>
      <c r="Q26" s="209">
        <f t="shared" si="5"/>
        <v>46539</v>
      </c>
      <c r="R26" s="209">
        <f t="shared" si="5"/>
        <v>46905</v>
      </c>
      <c r="S26" s="209">
        <f t="shared" si="5"/>
        <v>47270</v>
      </c>
      <c r="T26" s="149" t="str">
        <f t="shared" si="5"/>
        <v/>
      </c>
      <c r="U26" s="130"/>
      <c r="V26" s="130"/>
    </row>
    <row r="27" spans="1:30" outlineLevel="1">
      <c r="A27" s="130"/>
      <c r="B27" s="130"/>
      <c r="C27" s="130"/>
      <c r="D27" s="131"/>
      <c r="E27" s="131"/>
      <c r="F27" s="131"/>
      <c r="G27" s="132"/>
      <c r="H27" s="132"/>
      <c r="I27" s="131"/>
      <c r="J27" s="130"/>
      <c r="K27" s="130"/>
      <c r="L27" s="130"/>
      <c r="M27" s="130"/>
      <c r="N27" s="130"/>
      <c r="O27" s="207"/>
      <c r="P27" s="207"/>
      <c r="Q27" s="207"/>
      <c r="R27" s="207"/>
      <c r="S27" s="207"/>
      <c r="T27" s="130"/>
      <c r="U27" s="130"/>
      <c r="V27" s="130"/>
    </row>
    <row r="28" spans="1:30" outlineLevel="1">
      <c r="A28" s="130"/>
      <c r="B28" s="130"/>
      <c r="C28" s="193"/>
      <c r="D28" s="131" t="s">
        <v>69</v>
      </c>
      <c r="E28" s="131" t="str">
        <f>units</f>
        <v>$millions</v>
      </c>
      <c r="F28" s="150">
        <f>DATE(PPLastYear,MONTH(month),1)</f>
        <v>45444</v>
      </c>
      <c r="G28" s="132"/>
      <c r="H28" s="132"/>
      <c r="I28" s="131"/>
      <c r="J28" s="169"/>
      <c r="K28" s="169"/>
      <c r="L28" s="169"/>
      <c r="M28" s="169"/>
      <c r="N28" s="192"/>
      <c r="O28" s="206"/>
      <c r="P28" s="206"/>
      <c r="Q28" s="206"/>
      <c r="R28" s="206"/>
      <c r="S28" s="206"/>
      <c r="T28" s="192"/>
      <c r="U28" s="130"/>
      <c r="V28" s="130"/>
    </row>
    <row r="29" spans="1:30" outlineLevel="1">
      <c r="A29" s="130"/>
      <c r="B29" s="130"/>
      <c r="C29" s="193"/>
      <c r="D29" s="131" t="s">
        <v>69</v>
      </c>
      <c r="E29" s="131" t="str">
        <f>units</f>
        <v>$millions</v>
      </c>
      <c r="F29" s="150">
        <f>DATE(PPLastYear,MONTH(month),1)</f>
        <v>45444</v>
      </c>
      <c r="G29" s="132"/>
      <c r="H29" s="132"/>
      <c r="I29" s="131"/>
      <c r="J29" s="169"/>
      <c r="K29" s="169"/>
      <c r="L29" s="169"/>
      <c r="M29" s="169"/>
      <c r="N29" s="192"/>
      <c r="O29" s="206"/>
      <c r="P29" s="206"/>
      <c r="Q29" s="206"/>
      <c r="R29" s="206"/>
      <c r="S29" s="206"/>
      <c r="T29" s="192"/>
      <c r="U29" s="130"/>
      <c r="V29" s="130"/>
    </row>
    <row r="30" spans="1:30" outlineLevel="1">
      <c r="A30" s="130"/>
      <c r="B30" s="130"/>
      <c r="C30" s="193"/>
      <c r="D30" s="131" t="s">
        <v>69</v>
      </c>
      <c r="E30" s="131" t="str">
        <f>units</f>
        <v>$millions</v>
      </c>
      <c r="F30" s="150">
        <f>DATE(PPLastYear,MONTH(month),1)</f>
        <v>45444</v>
      </c>
      <c r="G30" s="132"/>
      <c r="H30" s="132"/>
      <c r="I30" s="131"/>
      <c r="J30" s="169"/>
      <c r="K30" s="169"/>
      <c r="L30" s="169"/>
      <c r="M30" s="169"/>
      <c r="N30" s="192"/>
      <c r="O30" s="206"/>
      <c r="P30" s="206"/>
      <c r="Q30" s="206"/>
      <c r="R30" s="206"/>
      <c r="S30" s="206"/>
      <c r="T30" s="192"/>
      <c r="U30" s="130"/>
      <c r="V30" s="130"/>
    </row>
    <row r="31" spans="1:30" outlineLevel="1">
      <c r="A31" s="130"/>
      <c r="B31" s="130"/>
      <c r="C31" s="194"/>
      <c r="D31" s="131" t="s">
        <v>69</v>
      </c>
      <c r="E31" s="131" t="str">
        <f>units</f>
        <v>$millions</v>
      </c>
      <c r="F31" s="150">
        <f>DATE(PPLastYear,MONTH(month),1)</f>
        <v>45444</v>
      </c>
      <c r="G31" s="132"/>
      <c r="H31" s="132"/>
      <c r="I31" s="131"/>
      <c r="J31" s="169"/>
      <c r="K31" s="169"/>
      <c r="L31" s="169"/>
      <c r="M31" s="169"/>
      <c r="N31" s="192"/>
      <c r="O31" s="206"/>
      <c r="P31" s="206"/>
      <c r="Q31" s="206"/>
      <c r="R31" s="206"/>
      <c r="S31" s="206"/>
      <c r="T31" s="192"/>
      <c r="U31" s="130"/>
      <c r="V31" s="130"/>
    </row>
    <row r="32" spans="1:30" outlineLevel="1">
      <c r="A32" s="130"/>
      <c r="B32" s="130"/>
      <c r="C32" s="138"/>
      <c r="D32" s="131" t="s">
        <v>69</v>
      </c>
      <c r="E32" s="131" t="str">
        <f>units</f>
        <v>$millions</v>
      </c>
      <c r="F32" s="150">
        <f>DATE(PPLastYear,MONTH(month),1)</f>
        <v>45444</v>
      </c>
      <c r="G32" s="132"/>
      <c r="H32" s="132"/>
      <c r="I32" s="131"/>
      <c r="J32" s="169"/>
      <c r="K32" s="169"/>
      <c r="L32" s="169"/>
      <c r="M32" s="169"/>
      <c r="N32" s="192"/>
      <c r="O32" s="206"/>
      <c r="P32" s="206"/>
      <c r="Q32" s="206"/>
      <c r="R32" s="206"/>
      <c r="S32" s="206"/>
      <c r="T32" s="192"/>
      <c r="U32" s="130"/>
      <c r="V32" s="130"/>
    </row>
    <row r="33" spans="1:30" outlineLevel="1">
      <c r="A33" s="130"/>
      <c r="B33" s="130"/>
      <c r="C33" s="130"/>
      <c r="D33" s="131"/>
      <c r="E33" s="131"/>
      <c r="F33" s="131"/>
      <c r="G33" s="132"/>
      <c r="H33" s="132"/>
      <c r="I33" s="131"/>
      <c r="J33" s="130"/>
      <c r="K33" s="130"/>
      <c r="L33" s="130"/>
      <c r="M33" s="130"/>
      <c r="N33" s="130"/>
      <c r="O33" s="207"/>
      <c r="P33" s="207"/>
      <c r="Q33" s="207"/>
      <c r="R33" s="207"/>
      <c r="S33" s="207"/>
      <c r="T33" s="130"/>
      <c r="U33" s="130"/>
      <c r="V33" s="130"/>
    </row>
    <row r="34" spans="1:30" outlineLevel="1">
      <c r="A34" s="130"/>
      <c r="B34" s="130"/>
      <c r="C34" s="130" t="s">
        <v>40</v>
      </c>
      <c r="D34" s="131" t="s">
        <v>98</v>
      </c>
      <c r="E34" s="131" t="s">
        <v>28</v>
      </c>
      <c r="F34" s="131" t="s">
        <v>36</v>
      </c>
      <c r="G34" s="131"/>
      <c r="H34" s="131"/>
      <c r="I34" s="131"/>
      <c r="J34" s="174" t="str">
        <f t="shared" ref="J34:R34" si="6">IF(J26=J4,IF(COUNTA($C28:$C32)=COUNT(J28:J32),"Ok","Check"),"")</f>
        <v/>
      </c>
      <c r="K34" s="174" t="str">
        <f t="shared" si="6"/>
        <v/>
      </c>
      <c r="L34" s="174" t="str">
        <f t="shared" si="6"/>
        <v/>
      </c>
      <c r="M34" s="174" t="str">
        <f t="shared" si="6"/>
        <v/>
      </c>
      <c r="N34" s="174" t="str">
        <f t="shared" si="6"/>
        <v/>
      </c>
      <c r="O34" s="85" t="str">
        <f t="shared" si="6"/>
        <v>Ok</v>
      </c>
      <c r="P34" s="85" t="str">
        <f t="shared" si="6"/>
        <v>Ok</v>
      </c>
      <c r="Q34" s="85" t="str">
        <f t="shared" si="6"/>
        <v>Ok</v>
      </c>
      <c r="R34" s="85" t="str">
        <f t="shared" si="6"/>
        <v>Ok</v>
      </c>
      <c r="S34" s="85" t="str">
        <f>IF(S26=S4,IF(COUNTA($C28:$C32)=COUNT(S28:S32),"Ok","Check"),"")</f>
        <v>Ok</v>
      </c>
      <c r="T34" s="174" t="str">
        <f>IF(T26=T4,IF(COUNTA($C28:$C32)=COUNT(T28:T32),"Ok","Check"),"")</f>
        <v/>
      </c>
      <c r="U34" s="175"/>
      <c r="V34" s="130"/>
      <c r="W34" s="84" t="str">
        <f>IF(COUNTIF(J34:T34,"Check")=0,"Ok","Check")</f>
        <v>Ok</v>
      </c>
    </row>
    <row r="35" spans="1:30">
      <c r="A35" s="130"/>
      <c r="B35" s="130"/>
      <c r="C35" s="130"/>
      <c r="D35" s="131"/>
      <c r="E35" s="131"/>
      <c r="F35" s="131"/>
      <c r="G35" s="132"/>
      <c r="H35" s="132"/>
      <c r="I35" s="131"/>
      <c r="J35" s="130"/>
      <c r="K35" s="130"/>
      <c r="L35" s="130"/>
      <c r="M35" s="130"/>
      <c r="N35" s="130"/>
      <c r="O35" s="207"/>
      <c r="P35" s="207"/>
      <c r="Q35" s="207"/>
      <c r="R35" s="207"/>
      <c r="S35" s="207"/>
      <c r="T35" s="130"/>
      <c r="U35" s="130"/>
      <c r="V35" s="130"/>
    </row>
    <row r="36" spans="1:30" customFormat="1" ht="12.75">
      <c r="A36" s="126"/>
      <c r="B36" s="40" t="s">
        <v>44</v>
      </c>
      <c r="C36" s="126"/>
      <c r="D36" s="126"/>
      <c r="E36" s="126"/>
      <c r="F36" s="127"/>
      <c r="G36" s="127"/>
      <c r="H36" s="127"/>
      <c r="I36" s="127"/>
      <c r="J36" s="128"/>
      <c r="K36" s="129"/>
      <c r="L36" s="128"/>
      <c r="M36" s="129"/>
      <c r="N36" s="128"/>
      <c r="O36" s="208"/>
      <c r="P36" s="208"/>
      <c r="Q36" s="208"/>
      <c r="R36" s="208"/>
      <c r="S36" s="208"/>
      <c r="T36" s="128"/>
      <c r="U36" s="128"/>
      <c r="V36" s="129"/>
      <c r="W36" s="37"/>
      <c r="X36" s="38"/>
      <c r="Y36" s="38"/>
      <c r="Z36" s="38"/>
      <c r="AA36" s="38"/>
      <c r="AB36" s="38"/>
      <c r="AC36" s="39"/>
      <c r="AD36" s="39"/>
    </row>
    <row r="37" spans="1:30" outlineLevel="1">
      <c r="A37" s="130"/>
      <c r="B37" s="130"/>
      <c r="C37" s="130"/>
      <c r="D37" s="131"/>
      <c r="E37" s="131"/>
      <c r="F37" s="131"/>
      <c r="G37" s="132"/>
      <c r="H37" s="132"/>
      <c r="I37" s="131"/>
      <c r="J37" s="130"/>
      <c r="K37" s="130"/>
      <c r="L37" s="130"/>
      <c r="M37" s="130"/>
      <c r="N37" s="130"/>
      <c r="O37" s="207"/>
      <c r="P37" s="207"/>
      <c r="Q37" s="207"/>
      <c r="R37" s="207"/>
      <c r="S37" s="207"/>
      <c r="T37" s="130"/>
      <c r="U37" s="130"/>
      <c r="V37" s="130"/>
    </row>
    <row r="38" spans="1:30" outlineLevel="1">
      <c r="A38" s="130"/>
      <c r="B38" s="130"/>
      <c r="C38" s="133" t="s">
        <v>32</v>
      </c>
      <c r="D38" s="132" t="s">
        <v>7</v>
      </c>
      <c r="E38" s="132" t="s">
        <v>8</v>
      </c>
      <c r="F38" s="132" t="s">
        <v>22</v>
      </c>
      <c r="G38" s="132"/>
      <c r="H38" s="132"/>
      <c r="I38" s="131"/>
      <c r="J38" s="149" t="str">
        <f t="shared" ref="J38:T38" si="7">IF(YEAR(J$4)&gt;=FPFirstYear,IF(YEAR(J$4)&lt;=FPLastYear,J$4,""),"")</f>
        <v/>
      </c>
      <c r="K38" s="149" t="str">
        <f t="shared" si="7"/>
        <v/>
      </c>
      <c r="L38" s="149" t="str">
        <f t="shared" si="7"/>
        <v/>
      </c>
      <c r="M38" s="149" t="str">
        <f t="shared" si="7"/>
        <v/>
      </c>
      <c r="N38" s="149" t="str">
        <f t="shared" si="7"/>
        <v/>
      </c>
      <c r="O38" s="209">
        <f t="shared" si="7"/>
        <v>45809</v>
      </c>
      <c r="P38" s="209">
        <f t="shared" si="7"/>
        <v>46174</v>
      </c>
      <c r="Q38" s="209">
        <f t="shared" si="7"/>
        <v>46539</v>
      </c>
      <c r="R38" s="209">
        <f t="shared" si="7"/>
        <v>46905</v>
      </c>
      <c r="S38" s="209">
        <f t="shared" si="7"/>
        <v>47270</v>
      </c>
      <c r="T38" s="149" t="str">
        <f t="shared" si="7"/>
        <v/>
      </c>
      <c r="U38" s="130"/>
      <c r="V38" s="130"/>
    </row>
    <row r="39" spans="1:30" outlineLevel="1">
      <c r="A39" s="130"/>
      <c r="B39" s="130"/>
      <c r="C39" s="130"/>
      <c r="D39" s="131"/>
      <c r="E39" s="131"/>
      <c r="F39" s="131"/>
      <c r="G39" s="132"/>
      <c r="H39" s="132"/>
      <c r="I39" s="131"/>
      <c r="J39" s="130"/>
      <c r="K39" s="130"/>
      <c r="L39" s="130"/>
      <c r="M39" s="130"/>
      <c r="N39" s="130"/>
      <c r="O39" s="207"/>
      <c r="P39" s="207"/>
      <c r="Q39" s="207"/>
      <c r="R39" s="207"/>
      <c r="S39" s="207"/>
      <c r="T39" s="130"/>
      <c r="U39" s="130"/>
      <c r="V39" s="130"/>
    </row>
    <row r="40" spans="1:30" outlineLevel="1">
      <c r="A40" s="130"/>
      <c r="B40" s="130"/>
      <c r="C40" s="136" t="s">
        <v>39</v>
      </c>
      <c r="D40" s="131" t="s">
        <v>72</v>
      </c>
      <c r="E40" s="131" t="s">
        <v>15</v>
      </c>
      <c r="F40" s="150">
        <f>DATE(PPLastYear,MONTH(month),1)</f>
        <v>45444</v>
      </c>
      <c r="G40" s="132"/>
      <c r="H40" s="132"/>
      <c r="I40" s="132"/>
      <c r="J40" s="192"/>
      <c r="K40" s="192"/>
      <c r="L40" s="192"/>
      <c r="M40" s="192"/>
      <c r="N40" s="192"/>
      <c r="O40" s="206">
        <v>5.1071272172416045</v>
      </c>
      <c r="P40" s="206">
        <v>5.194783071338172</v>
      </c>
      <c r="Q40" s="206">
        <v>5.2680695098590542</v>
      </c>
      <c r="R40" s="206">
        <v>5.3373354273327447</v>
      </c>
      <c r="S40" s="206">
        <v>5.3994306769091143</v>
      </c>
      <c r="T40" s="192"/>
      <c r="U40" s="130"/>
      <c r="V40" s="130"/>
    </row>
    <row r="41" spans="1:30" outlineLevel="1">
      <c r="A41" s="130"/>
      <c r="B41" s="130"/>
      <c r="C41" s="130"/>
      <c r="D41" s="131"/>
      <c r="E41" s="131"/>
      <c r="F41" s="131"/>
      <c r="G41" s="132"/>
      <c r="H41" s="132"/>
      <c r="I41" s="131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</row>
    <row r="42" spans="1:30" outlineLevel="1">
      <c r="A42" s="130"/>
      <c r="B42" s="130"/>
      <c r="C42" s="130" t="s">
        <v>40</v>
      </c>
      <c r="D42" s="131" t="s">
        <v>98</v>
      </c>
      <c r="E42" s="131" t="s">
        <v>28</v>
      </c>
      <c r="F42" s="131" t="s">
        <v>36</v>
      </c>
      <c r="G42" s="131"/>
      <c r="H42" s="131"/>
      <c r="I42" s="131"/>
      <c r="J42" s="174" t="str">
        <f t="shared" ref="J42:R42" si="8">IF(J38=J4,IF(ISBLANK(J40),"Check","Ok"),"")</f>
        <v/>
      </c>
      <c r="K42" s="174" t="str">
        <f t="shared" si="8"/>
        <v/>
      </c>
      <c r="L42" s="174" t="str">
        <f t="shared" si="8"/>
        <v/>
      </c>
      <c r="M42" s="174" t="str">
        <f t="shared" si="8"/>
        <v/>
      </c>
      <c r="N42" s="174" t="str">
        <f t="shared" si="8"/>
        <v/>
      </c>
      <c r="O42" s="174" t="str">
        <f t="shared" si="8"/>
        <v>Ok</v>
      </c>
      <c r="P42" s="174" t="str">
        <f t="shared" si="8"/>
        <v>Ok</v>
      </c>
      <c r="Q42" s="174" t="str">
        <f t="shared" si="8"/>
        <v>Ok</v>
      </c>
      <c r="R42" s="174" t="str">
        <f t="shared" si="8"/>
        <v>Ok</v>
      </c>
      <c r="S42" s="174" t="str">
        <f>IF(S38=S4,IF(ISBLANK(S40),"Check","Ok"),"")</f>
        <v>Ok</v>
      </c>
      <c r="T42" s="174" t="str">
        <f>IF(T38=T4,IF(ISBLANK(T40),"Check","Ok"),"")</f>
        <v/>
      </c>
      <c r="U42" s="175"/>
      <c r="V42" s="130"/>
      <c r="W42" s="84" t="str">
        <f>IF(COUNTIF(J42:T42,"Check")=0,"Ok","Check")</f>
        <v>Ok</v>
      </c>
    </row>
    <row r="43" spans="1:30">
      <c r="A43" s="130"/>
      <c r="B43" s="130"/>
      <c r="C43" s="130"/>
      <c r="D43" s="131"/>
      <c r="E43" s="131"/>
      <c r="F43" s="131"/>
      <c r="G43" s="132"/>
      <c r="H43" s="132"/>
      <c r="I43" s="131"/>
      <c r="J43" s="130"/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</row>
    <row r="44" spans="1:30" customFormat="1" ht="12.75">
      <c r="A44" s="126"/>
      <c r="B44" s="40" t="s">
        <v>21</v>
      </c>
      <c r="C44" s="126"/>
      <c r="D44" s="126"/>
      <c r="E44" s="126"/>
      <c r="F44" s="127"/>
      <c r="G44" s="127"/>
      <c r="H44" s="127"/>
      <c r="I44" s="127"/>
      <c r="J44" s="128"/>
      <c r="K44" s="129"/>
      <c r="L44" s="128"/>
      <c r="M44" s="129"/>
      <c r="N44" s="128"/>
      <c r="O44" s="128"/>
      <c r="P44" s="128"/>
      <c r="Q44" s="128"/>
      <c r="R44" s="128"/>
      <c r="S44" s="128"/>
      <c r="T44" s="128"/>
      <c r="U44" s="128"/>
      <c r="V44" s="129"/>
      <c r="W44" s="37"/>
      <c r="X44" s="38"/>
      <c r="Y44" s="38"/>
      <c r="Z44" s="38"/>
      <c r="AA44" s="38"/>
      <c r="AB44" s="38"/>
      <c r="AC44" s="39"/>
      <c r="AD44" s="39"/>
    </row>
    <row r="45" spans="1:30" hidden="1">
      <c r="G45" s="21"/>
      <c r="H45" s="21"/>
    </row>
    <row r="46" spans="1:30" hidden="1">
      <c r="G46" s="21"/>
      <c r="H46" s="21"/>
    </row>
    <row r="47" spans="1:30" hidden="1">
      <c r="G47" s="21"/>
      <c r="H47" s="21"/>
    </row>
    <row r="48" spans="1:30" hidden="1">
      <c r="G48" s="21"/>
      <c r="H48" s="21"/>
    </row>
    <row r="49" spans="7:8" hidden="1">
      <c r="G49" s="21"/>
      <c r="H49" s="21"/>
    </row>
    <row r="50" spans="7:8" hidden="1">
      <c r="G50" s="21"/>
      <c r="H50" s="21"/>
    </row>
    <row r="51" spans="7:8" hidden="1">
      <c r="G51" s="21"/>
      <c r="H51" s="21"/>
    </row>
    <row r="52" spans="7:8" hidden="1">
      <c r="G52" s="21"/>
      <c r="H52" s="21"/>
    </row>
    <row r="53" spans="7:8" hidden="1">
      <c r="G53" s="21"/>
      <c r="H53" s="21"/>
    </row>
    <row r="54" spans="7:8" hidden="1">
      <c r="G54" s="21"/>
      <c r="H54" s="21"/>
    </row>
  </sheetData>
  <mergeCells count="1">
    <mergeCell ref="N3:S3"/>
  </mergeCells>
  <conditionalFormatting sqref="S1">
    <cfRule type="cellIs" dxfId="113" priority="27" operator="equal">
      <formula>"Check"</formula>
    </cfRule>
    <cfRule type="cellIs" dxfId="112" priority="28" operator="equal">
      <formula>"Ok"</formula>
    </cfRule>
  </conditionalFormatting>
  <conditionalFormatting sqref="V1">
    <cfRule type="cellIs" dxfId="111" priority="29" operator="equal">
      <formula>"Check"</formula>
    </cfRule>
    <cfRule type="cellIs" dxfId="110" priority="30" operator="equal">
      <formula>"Ok"</formula>
    </cfRule>
  </conditionalFormatting>
  <conditionalFormatting sqref="J10:T10">
    <cfRule type="expression" dxfId="109" priority="25">
      <formula>J$10=J$4</formula>
    </cfRule>
  </conditionalFormatting>
  <conditionalFormatting sqref="J17:T20 J12:N16 T12:T16">
    <cfRule type="expression" dxfId="108" priority="24">
      <formula>J$10=J$4</formula>
    </cfRule>
  </conditionalFormatting>
  <conditionalFormatting sqref="W22">
    <cfRule type="cellIs" dxfId="107" priority="20" operator="equal">
      <formula>"Check"</formula>
    </cfRule>
    <cfRule type="cellIs" dxfId="106" priority="21" operator="equal">
      <formula>"Ok"</formula>
    </cfRule>
  </conditionalFormatting>
  <conditionalFormatting sqref="J22:T22">
    <cfRule type="cellIs" dxfId="105" priority="18" operator="equal">
      <formula>"Check"</formula>
    </cfRule>
    <cfRule type="cellIs" dxfId="104" priority="19" operator="equal">
      <formula>"Ok"</formula>
    </cfRule>
  </conditionalFormatting>
  <conditionalFormatting sqref="W34">
    <cfRule type="cellIs" dxfId="103" priority="16" operator="equal">
      <formula>"Check"</formula>
    </cfRule>
    <cfRule type="cellIs" dxfId="102" priority="17" operator="equal">
      <formula>"Ok"</formula>
    </cfRule>
  </conditionalFormatting>
  <conditionalFormatting sqref="J34:T34">
    <cfRule type="cellIs" dxfId="101" priority="14" operator="equal">
      <formula>"Check"</formula>
    </cfRule>
    <cfRule type="cellIs" dxfId="100" priority="15" operator="equal">
      <formula>"Ok"</formula>
    </cfRule>
  </conditionalFormatting>
  <conditionalFormatting sqref="J28:M32 O31:O32">
    <cfRule type="expression" dxfId="99" priority="13">
      <formula>J$26=J$4</formula>
    </cfRule>
  </conditionalFormatting>
  <conditionalFormatting sqref="W42">
    <cfRule type="cellIs" dxfId="98" priority="11" operator="equal">
      <formula>"Check"</formula>
    </cfRule>
    <cfRule type="cellIs" dxfId="97" priority="12" operator="equal">
      <formula>"Ok"</formula>
    </cfRule>
  </conditionalFormatting>
  <conditionalFormatting sqref="J42:T42">
    <cfRule type="cellIs" dxfId="96" priority="9" operator="equal">
      <formula>"Check"</formula>
    </cfRule>
    <cfRule type="cellIs" dxfId="95" priority="10" operator="equal">
      <formula>"Ok"</formula>
    </cfRule>
  </conditionalFormatting>
  <conditionalFormatting sqref="P31:T32 O28:T30">
    <cfRule type="expression" dxfId="94" priority="8">
      <formula>O$10=O$4</formula>
    </cfRule>
  </conditionalFormatting>
  <conditionalFormatting sqref="N28:N32">
    <cfRule type="expression" dxfId="93" priority="7">
      <formula>N$10=N$4</formula>
    </cfRule>
  </conditionalFormatting>
  <conditionalFormatting sqref="J40:T40">
    <cfRule type="expression" dxfId="92" priority="4">
      <formula>J$38=J$4</formula>
    </cfRule>
  </conditionalFormatting>
  <conditionalFormatting sqref="J26:T26">
    <cfRule type="expression" dxfId="91" priority="3">
      <formula>J$10=J$4</formula>
    </cfRule>
  </conditionalFormatting>
  <conditionalFormatting sqref="J38:T38">
    <cfRule type="expression" dxfId="90" priority="2">
      <formula>J$10=J$4</formula>
    </cfRule>
  </conditionalFormatting>
  <conditionalFormatting sqref="O12:S16">
    <cfRule type="expression" dxfId="89" priority="1">
      <formula>O$10=O$4</formula>
    </cfRule>
  </conditionalFormatting>
  <dataValidations count="2">
    <dataValidation type="list" allowBlank="1" showInputMessage="1" showErrorMessage="1" sqref="F23 F33 F35 F43" xr:uid="{00000000-0002-0000-0600-000000000000}">
      <formula1>"Real 2010,Real 2011,Real 2012,Real 2013,Real 2014,Real 2015,Nominal"</formula1>
    </dataValidation>
    <dataValidation type="list" allowBlank="1" showInputMessage="1" showErrorMessage="1" sqref="U28:U33 I43 U23 I23 U12:U21 I28:I33 U35 I35 U43" xr:uid="{00000000-0002-0000-0600-000001000000}">
      <formula1>#REF!</formula1>
    </dataValidation>
  </dataValidations>
  <hyperlinks>
    <hyperlink ref="J1" location="Index!A1" display="Back to Index" xr:uid="{00000000-0004-0000-0600-000000000000}"/>
    <hyperlink ref="U1" location="'Check|List'!A1" display="Overall Check:" xr:uid="{00000000-0004-0000-0600-000001000000}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600-000002000000}">
          <x14:formula1>
            <xm:f>'Lookup|Tables'!$G$17:$G$19</xm:f>
          </x14:formula1>
          <xm:sqref>E40 E21</xm:sqref>
        </x14:dataValidation>
        <x14:dataValidation type="list" allowBlank="1" showInputMessage="1" showErrorMessage="1" xr:uid="{00000000-0002-0000-0600-000003000000}">
          <x14:formula1>
            <xm:f>'Lookup|Tables'!$C$74:$C$83</xm:f>
          </x14:formula1>
          <xm:sqref>F21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6">
    <tabColor rgb="FFCCFFCC"/>
  </sheetPr>
  <dimension ref="A1:AM194"/>
  <sheetViews>
    <sheetView showGridLines="0" topLeftCell="C10" zoomScaleNormal="100" workbookViewId="0">
      <selection activeCell="S35" sqref="S35"/>
    </sheetView>
  </sheetViews>
  <sheetFormatPr defaultColWidth="0" defaultRowHeight="11.25" zeroHeight="1" outlineLevelRow="1"/>
  <cols>
    <col min="1" max="2" width="1.5" style="8" customWidth="1"/>
    <col min="3" max="3" width="76.5" style="8" bestFit="1" customWidth="1"/>
    <col min="4" max="4" width="27.6640625" style="16" customWidth="1"/>
    <col min="5" max="5" width="15.83203125" style="16" customWidth="1"/>
    <col min="6" max="6" width="10.6640625" style="16" customWidth="1"/>
    <col min="7" max="9" width="3.5" style="16" customWidth="1"/>
    <col min="10" max="24" width="10.83203125" style="8" customWidth="1"/>
    <col min="25" max="39" width="10.5" style="8" hidden="1" customWidth="1"/>
    <col min="40" max="16384" width="10.5" style="8" hidden="1"/>
  </cols>
  <sheetData>
    <row r="1" spans="1:31" s="29" customFormat="1" ht="15.75">
      <c r="B1" s="26" t="str">
        <f>Index!$B$1</f>
        <v>AER opex model v2.1</v>
      </c>
      <c r="C1" s="26"/>
      <c r="D1" s="26"/>
      <c r="E1" s="26"/>
      <c r="F1" s="27"/>
      <c r="G1" s="27"/>
      <c r="H1" s="27"/>
      <c r="I1" s="27"/>
      <c r="J1" s="28" t="s">
        <v>2</v>
      </c>
      <c r="L1" s="30" t="s">
        <v>3</v>
      </c>
      <c r="M1" s="48" t="s">
        <v>4</v>
      </c>
      <c r="N1" s="11" t="s">
        <v>5</v>
      </c>
      <c r="O1" s="12" t="s">
        <v>6</v>
      </c>
      <c r="R1" s="30" t="s">
        <v>82</v>
      </c>
      <c r="S1" s="31" t="s">
        <v>36</v>
      </c>
      <c r="T1" s="31"/>
      <c r="V1" s="113" t="s">
        <v>24</v>
      </c>
      <c r="W1" s="31" t="str">
        <f>'Check|List'!$S$1</f>
        <v>Ok</v>
      </c>
    </row>
    <row r="2" spans="1:31" s="33" customFormat="1" ht="13.5" thickBot="1">
      <c r="B2" s="32" t="str">
        <f>Index!$C$12</f>
        <v>Calc | Opex Forecast</v>
      </c>
      <c r="C2" s="32"/>
      <c r="D2" s="32"/>
      <c r="E2" s="32"/>
      <c r="F2" s="55"/>
      <c r="G2" s="55"/>
      <c r="H2" s="55"/>
      <c r="I2" s="55"/>
    </row>
    <row r="3" spans="1:31" s="56" customFormat="1">
      <c r="D3" s="110"/>
      <c r="E3" s="110"/>
      <c r="F3" s="110"/>
      <c r="G3" s="110"/>
      <c r="H3" s="110"/>
      <c r="I3" s="110"/>
      <c r="J3" s="104" t="s">
        <v>118</v>
      </c>
      <c r="K3" s="104"/>
      <c r="L3" s="104"/>
      <c r="M3" s="110"/>
      <c r="N3" s="213"/>
      <c r="O3" s="213"/>
      <c r="P3" s="213"/>
      <c r="Q3" s="213"/>
      <c r="R3" s="213"/>
      <c r="S3" s="213"/>
      <c r="T3" s="110"/>
      <c r="U3" s="57"/>
      <c r="V3" s="57"/>
      <c r="W3" s="57"/>
      <c r="X3" s="57"/>
      <c r="Y3" s="57"/>
      <c r="Z3" s="57"/>
      <c r="AA3" s="57"/>
    </row>
    <row r="4" spans="1:31" customFormat="1">
      <c r="A4" s="58"/>
      <c r="B4" s="58"/>
      <c r="C4" s="58"/>
      <c r="D4" s="59" t="s">
        <v>7</v>
      </c>
      <c r="E4" s="59" t="s">
        <v>8</v>
      </c>
      <c r="F4" s="60" t="s">
        <v>22</v>
      </c>
      <c r="G4" s="61"/>
      <c r="H4" s="61"/>
      <c r="I4" s="61"/>
      <c r="J4" s="97">
        <f>DATE(PPFirstYear,MONTH('Input|General'!$G$9),1)</f>
        <v>43983</v>
      </c>
      <c r="K4" s="97">
        <f>DATE(PPFirstYear+1,MONTH('Input|General'!$G$9),1)</f>
        <v>44348</v>
      </c>
      <c r="L4" s="97">
        <f>DATE(PPFirstYear+2,MONTH('Input|General'!$G$9),1)</f>
        <v>44713</v>
      </c>
      <c r="M4" s="97">
        <f>DATE(PPFirstYear+3,MONTH('Input|General'!$G$9),1)</f>
        <v>45078</v>
      </c>
      <c r="N4" s="97">
        <f>DATE(PPFirstYear+4,MONTH('Input|General'!$G$9),1)</f>
        <v>45444</v>
      </c>
      <c r="O4" s="97">
        <f>DATE(PPFirstYear+5,MONTH('Input|General'!$G$9),1)</f>
        <v>45809</v>
      </c>
      <c r="P4" s="97">
        <f>DATE(PPFirstYear+6,MONTH('Input|General'!$G$9),1)</f>
        <v>46174</v>
      </c>
      <c r="Q4" s="97">
        <f>DATE(PPFirstYear+7,MONTH('Input|General'!$G$9),1)</f>
        <v>46539</v>
      </c>
      <c r="R4" s="97">
        <f>DATE(PPFirstYear+8,MONTH('Input|General'!$G$9),1)</f>
        <v>46905</v>
      </c>
      <c r="S4" s="97">
        <f>DATE(PPFirstYear+9,MONTH('Input|General'!$G$9),1)</f>
        <v>47270</v>
      </c>
      <c r="T4" s="97">
        <f>DATE(PPFirstYear+10,MONTH('Input|General'!$G$9),1)</f>
        <v>47635</v>
      </c>
      <c r="U4" s="62"/>
      <c r="V4" s="62"/>
      <c r="W4" s="63"/>
      <c r="X4" s="63"/>
    </row>
    <row r="5" spans="1:31" s="6" customFormat="1" ht="3" customHeight="1">
      <c r="D5" s="22"/>
      <c r="E5" s="22"/>
      <c r="F5" s="22"/>
      <c r="G5" s="22"/>
      <c r="H5" s="22"/>
      <c r="I5" s="22"/>
    </row>
    <row r="6" spans="1:31" s="6" customFormat="1" ht="9" customHeight="1">
      <c r="D6" s="22"/>
      <c r="E6" s="22"/>
      <c r="F6" s="22"/>
      <c r="G6" s="22"/>
      <c r="H6" s="22"/>
      <c r="I6" s="22"/>
    </row>
    <row r="7" spans="1:31" s="6" customFormat="1" ht="3" customHeight="1">
      <c r="D7" s="22"/>
      <c r="E7" s="22"/>
      <c r="F7" s="22"/>
      <c r="G7" s="22"/>
      <c r="H7" s="22"/>
      <c r="I7" s="22"/>
    </row>
    <row r="8" spans="1:31" customFormat="1" ht="12.75">
      <c r="A8" s="34"/>
      <c r="B8" s="40" t="s">
        <v>86</v>
      </c>
      <c r="C8" s="34"/>
      <c r="D8" s="34"/>
      <c r="E8" s="54" t="s">
        <v>15</v>
      </c>
      <c r="F8" s="117">
        <f>DATE(PPLastYear,MONTH('Input|General'!$G$9),1)</f>
        <v>45444</v>
      </c>
      <c r="G8" s="35"/>
      <c r="H8" s="35"/>
      <c r="I8" s="35"/>
      <c r="J8" s="36"/>
      <c r="K8" s="37"/>
      <c r="L8" s="36"/>
      <c r="M8" s="37"/>
      <c r="N8" s="36"/>
      <c r="O8" s="36"/>
      <c r="P8" s="36"/>
      <c r="Q8" s="36"/>
      <c r="R8" s="36"/>
      <c r="S8" s="36"/>
      <c r="T8" s="36"/>
      <c r="U8" s="36"/>
      <c r="V8" s="36"/>
      <c r="W8" s="37"/>
      <c r="X8" s="37"/>
      <c r="Y8" s="38"/>
      <c r="Z8" s="38"/>
      <c r="AA8" s="38"/>
      <c r="AB8" s="38"/>
      <c r="AC8" s="38"/>
      <c r="AD8" s="39"/>
      <c r="AE8" s="39"/>
    </row>
    <row r="9" spans="1:31" outlineLevel="1"/>
    <row r="10" spans="1:31" outlineLevel="1">
      <c r="C10" s="9"/>
      <c r="D10" s="21" t="s">
        <v>7</v>
      </c>
      <c r="E10" s="21" t="s">
        <v>8</v>
      </c>
      <c r="F10" s="21" t="s">
        <v>22</v>
      </c>
      <c r="J10" s="102">
        <f t="shared" ref="J10:S10" si="0">IF(YEAR(J$4)&lt;=PPLastYear,J$4,"")</f>
        <v>43983</v>
      </c>
      <c r="K10" s="102">
        <f t="shared" si="0"/>
        <v>44348</v>
      </c>
      <c r="L10" s="102">
        <f t="shared" si="0"/>
        <v>44713</v>
      </c>
      <c r="M10" s="102">
        <f t="shared" si="0"/>
        <v>45078</v>
      </c>
      <c r="N10" s="102">
        <f t="shared" si="0"/>
        <v>45444</v>
      </c>
      <c r="O10" s="102" t="str">
        <f t="shared" si="0"/>
        <v/>
      </c>
      <c r="P10" s="102" t="str">
        <f t="shared" si="0"/>
        <v/>
      </c>
      <c r="Q10" s="102" t="str">
        <f t="shared" si="0"/>
        <v/>
      </c>
      <c r="R10" s="102" t="str">
        <f t="shared" si="0"/>
        <v/>
      </c>
      <c r="S10" s="102" t="str">
        <f t="shared" si="0"/>
        <v/>
      </c>
      <c r="T10" s="102"/>
    </row>
    <row r="11" spans="1:31" outlineLevel="1">
      <c r="C11" s="15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</row>
    <row r="12" spans="1:31" outlineLevel="1">
      <c r="C12" s="15" t="s">
        <v>159</v>
      </c>
      <c r="D12" s="68" t="s">
        <v>92</v>
      </c>
      <c r="E12" s="16" t="str">
        <f>'Input|Reported opex'!E57</f>
        <v>$millions</v>
      </c>
      <c r="F12" s="101" t="str">
        <f>'Input|Reported opex'!F57</f>
        <v>nominal</v>
      </c>
      <c r="J12" s="69">
        <f>IF(YEAR(J$4)=BaseYear,'Input|Reported opex'!J47,0)</f>
        <v>0</v>
      </c>
      <c r="K12" s="69">
        <f>IF(YEAR(K$4)=BaseYear,'Input|Reported opex'!K47,0)</f>
        <v>0</v>
      </c>
      <c r="L12" s="69">
        <f>IF(YEAR(L$4)=BaseYear,'Input|Reported opex'!L47,0)</f>
        <v>0</v>
      </c>
      <c r="M12" s="69">
        <f>IF(YEAR(M$4)=BaseYear,'Input|Reported opex'!M47,0)</f>
        <v>408.14601712400491</v>
      </c>
      <c r="N12" s="69">
        <f>IF(YEAR(N$4)=BaseYear,'Input|Reported opex'!N47,0)</f>
        <v>0</v>
      </c>
      <c r="O12" s="69">
        <f>IF(YEAR(O$4)=BaseYear,'Input|Reported opex'!O47,0)</f>
        <v>0</v>
      </c>
      <c r="P12" s="69">
        <f>IF(YEAR(P$4)=BaseYear,'Input|Reported opex'!P47,0)</f>
        <v>0</v>
      </c>
      <c r="Q12" s="69">
        <f>IF(YEAR(Q$4)=BaseYear,'Input|Reported opex'!Q47,0)</f>
        <v>0</v>
      </c>
      <c r="R12" s="69">
        <f>IF(YEAR(R$4)=BaseYear,'Input|Reported opex'!R47,0)</f>
        <v>0</v>
      </c>
      <c r="S12" s="69">
        <f>IF(YEAR(S$4)=BaseYear,'Input|Reported opex'!S47,0)</f>
        <v>0</v>
      </c>
      <c r="T12" s="69">
        <f>IF(YEAR(T$4)=BaseYear,'Input|Reported opex'!T47,0)</f>
        <v>0</v>
      </c>
    </row>
    <row r="13" spans="1:31" outlineLevel="1">
      <c r="C13" s="15" t="s">
        <v>159</v>
      </c>
      <c r="D13" s="16" t="s">
        <v>30</v>
      </c>
      <c r="E13" s="16" t="str">
        <f>$E$8</f>
        <v>$millions</v>
      </c>
      <c r="F13" s="101">
        <f>$F$8</f>
        <v>45444</v>
      </c>
      <c r="J13" s="69">
        <f ca="1">J12*IF($F12="nominal",LOOKUP($F13,Nominal_to_Real,'Input|Rate of change'!K$26:K$31),INDEX('Input|Rate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K13" s="69">
        <f ca="1">K12*IF($F12="nominal",LOOKUP($F13,Nominal_to_Real,'Input|Rate of change'!L$26:L$31),INDEX('Input|Rate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L13" s="69">
        <f ca="1">L12*IF($F12="nominal",LOOKUP($F13,Nominal_to_Real,'Input|Rate of change'!M$26:M$31),INDEX('Input|Rate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M13" s="69">
        <f ca="1">M12*IF($F12="nominal",LOOKUP($F13,Nominal_to_Real,'Input|Rate of change'!N$26:N$31),INDEX('Input|Rate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435.39504129759518</v>
      </c>
      <c r="N13" s="69">
        <f ca="1">N12*IF($F12="nominal",LOOKUP($F13,Nominal_to_Real,'Input|Rate of change'!O$26:O$31),INDEX('Input|Rate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O13" s="69">
        <f ca="1">O12*IF($F12="nominal",LOOKUP($F13,Nominal_to_Real,'Input|Rate of change'!P$26:P$31),INDEX('Input|Rate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P13" s="69">
        <f ca="1">P12*IF($F12="nominal",LOOKUP($F13,Nominal_to_Real,'Input|Rate of change'!Q$26:Q$31),INDEX('Input|Rate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Q13" s="69">
        <f ca="1">Q12*IF($F12="nominal",LOOKUP($F13,Nominal_to_Real,'Input|Rate of change'!R$26:R$31),INDEX('Input|Rate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R13" s="69">
        <f ca="1">R12*IF($F12="nominal",LOOKUP($F13,Nominal_to_Real,'Input|Rate of change'!S$26:S$31),INDEX('Input|Rate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S13" s="69">
        <f ca="1">S12*IF($F12="nominal",LOOKUP($F13,Nominal_to_Real,'Input|Rate of change'!T$26:T$31),INDEX('Input|Rate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T13" s="69">
        <f ca="1">T12*IF($F12="nominal",LOOKUP($F13,Nominal_to_Real,'Input|Rate of change'!U$26:U$31),INDEX('Input|Rate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</row>
    <row r="14" spans="1:31" outlineLevel="1">
      <c r="C14" s="15" t="s">
        <v>160</v>
      </c>
      <c r="D14" s="68" t="s">
        <v>92</v>
      </c>
      <c r="E14" s="16" t="str">
        <f>'Input|Reported opex'!E15</f>
        <v>$millions</v>
      </c>
      <c r="F14" s="101">
        <f>'Input|Reported opex'!F15</f>
        <v>43617</v>
      </c>
      <c r="J14" s="69">
        <f>IF(YEAR(J$4)=BaseYear,'Input|Reported opex'!J15,0)</f>
        <v>0</v>
      </c>
      <c r="K14" s="69">
        <f>IF(YEAR(K$4)=BaseYear,'Input|Reported opex'!K15,0)</f>
        <v>0</v>
      </c>
      <c r="L14" s="69">
        <f>IF(YEAR(L$4)=BaseYear,'Input|Reported opex'!L15,0)</f>
        <v>0</v>
      </c>
      <c r="M14" s="69">
        <f>IF(YEAR(M$4)=BaseYear,'Input|Reported opex'!M15,0)</f>
        <v>338.94776268037208</v>
      </c>
      <c r="N14" s="69">
        <f>IF(YEAR(N$4)=BaseYear,'Input|Reported opex'!N15,0)</f>
        <v>0</v>
      </c>
      <c r="O14" s="69">
        <f>IF(YEAR(O$4)=BaseYear,'Input|Reported opex'!O15,0)</f>
        <v>0</v>
      </c>
      <c r="P14" s="69">
        <f>IF(YEAR(P$4)=BaseYear,'Input|Reported opex'!P15,0)</f>
        <v>0</v>
      </c>
      <c r="Q14" s="69">
        <f>IF(YEAR(Q$4)=BaseYear,'Input|Reported opex'!Q15,0)</f>
        <v>0</v>
      </c>
      <c r="R14" s="69">
        <f>IF(YEAR(R$4)=BaseYear,'Input|Reported opex'!R15,0)</f>
        <v>0</v>
      </c>
      <c r="S14" s="69">
        <f>IF(YEAR(S$4)=BaseYear,'Input|Reported opex'!S15,0)</f>
        <v>0</v>
      </c>
      <c r="T14" s="69"/>
    </row>
    <row r="15" spans="1:31" outlineLevel="1">
      <c r="C15" s="15" t="s">
        <v>160</v>
      </c>
      <c r="D15" s="16" t="s">
        <v>30</v>
      </c>
      <c r="E15" s="16" t="str">
        <f>$E$8</f>
        <v>$millions</v>
      </c>
      <c r="F15" s="101">
        <f>$F$8</f>
        <v>45444</v>
      </c>
      <c r="J15" s="69">
        <f>J14*IF($F14="nominal",LOOKUP($F15,Nominal_to_Real,'Input|Rate of change'!K$26:K$32),INDEX('Input|Rate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K15" s="69">
        <f>K14*IF($F14="nominal",LOOKUP($F15,Nominal_to_Real,'Input|Rate of change'!L$26:L$32),INDEX('Input|Rate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L15" s="69">
        <f>L14*IF($F14="nominal",LOOKUP($F15,Nominal_to_Real,'Input|Rate of change'!M$26:M$32),INDEX('Input|Rate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M15" s="69">
        <f>M14*IF($F14="nominal",LOOKUP($F15,Nominal_to_Real,'Input|Rate of change'!N$26:N$32),INDEX('Input|Rate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408.96114322037369</v>
      </c>
      <c r="N15" s="69">
        <f>N14*IF($F14="nominal",LOOKUP($F15,Nominal_to_Real,'Input|Rate of change'!O$26:O$32),INDEX('Input|Rate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O15" s="69">
        <f>O14*IF($F14="nominal",LOOKUP($F15,Nominal_to_Real,'Input|Rate of change'!P$26:P$32),INDEX('Input|Rate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P15" s="69">
        <f>P14*IF($F14="nominal",LOOKUP($F15,Nominal_to_Real,'Input|Rate of change'!Q$26:Q$32),INDEX('Input|Rate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Q15" s="69">
        <f>Q14*IF($F14="nominal",LOOKUP($F15,Nominal_to_Real,'Input|Rate of change'!R$26:R$32),INDEX('Input|Rate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R15" s="69">
        <f>R14*IF($F14="nominal",LOOKUP($F15,Nominal_to_Real,'Input|Rate of change'!S$26:S$32),INDEX('Input|Rate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S15" s="69">
        <f>S14*IF($F14="nominal",LOOKUP($F15,Nominal_to_Real,'Input|Rate of change'!T$26:T$32),INDEX('Input|Rate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T15" s="69">
        <f>T14*IF($F14="nominal",LOOKUP($F15,Nominal_to_Real,'Input|Rate of change'!U$26:U$32),INDEX('Input|Rate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</row>
    <row r="16" spans="1:31" outlineLevel="1">
      <c r="C16" s="15" t="s">
        <v>161</v>
      </c>
      <c r="D16" s="68" t="s">
        <v>92</v>
      </c>
      <c r="E16" s="16" t="str">
        <f>'Input|Reported opex'!E15</f>
        <v>$millions</v>
      </c>
      <c r="F16" s="101">
        <f>'Input|Reported opex'!F15</f>
        <v>43617</v>
      </c>
      <c r="J16" s="69">
        <f>IF(YEAR(J$4)=PPLastYear,'Input|Reported opex'!J15,0)</f>
        <v>0</v>
      </c>
      <c r="K16" s="69">
        <f>IF(YEAR(K$4)=PPLastYear,'Input|Reported opex'!K15,0)</f>
        <v>0</v>
      </c>
      <c r="L16" s="69">
        <f>IF(YEAR(L$4)=PPLastYear,'Input|Reported opex'!L15,0)</f>
        <v>0</v>
      </c>
      <c r="M16" s="69">
        <f>IF(YEAR(M$4)=PPLastYear,'Input|Reported opex'!M15,0)</f>
        <v>0</v>
      </c>
      <c r="N16" s="69">
        <f>IF(YEAR(N$4)=PPLastYear,'Input|Reported opex'!N15,0)</f>
        <v>307.07656864482209</v>
      </c>
      <c r="O16" s="69">
        <f>IF(YEAR(O$4)=PPLastYear,'Input|Reported opex'!O15,0)</f>
        <v>0</v>
      </c>
      <c r="P16" s="69">
        <f>IF(YEAR(P$4)=PPLastYear,'Input|Reported opex'!P15,0)</f>
        <v>0</v>
      </c>
      <c r="Q16" s="69">
        <f>IF(YEAR(Q$4)=PPLastYear,'Input|Reported opex'!Q15,0)</f>
        <v>0</v>
      </c>
      <c r="R16" s="69">
        <f>IF(YEAR(R$4)=PPLastYear,'Input|Reported opex'!R15,0)</f>
        <v>0</v>
      </c>
      <c r="S16" s="69">
        <f>IF(YEAR(S$4)=PPLastYear,'Input|Reported opex'!S15,0)</f>
        <v>0</v>
      </c>
      <c r="T16" s="69"/>
    </row>
    <row r="17" spans="3:20" outlineLevel="1">
      <c r="C17" s="15" t="s">
        <v>161</v>
      </c>
      <c r="D17" s="16" t="s">
        <v>30</v>
      </c>
      <c r="E17" s="16" t="str">
        <f>$E$8</f>
        <v>$millions</v>
      </c>
      <c r="F17" s="101">
        <f>$F$8</f>
        <v>45444</v>
      </c>
      <c r="J17" s="69">
        <f>J16*IF($F16="nominal",LOOKUP($F17,Nominal_to_Real,'Input|Rate of change'!K$26:K$32),INDEX('Input|Rate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K17" s="69">
        <f>K16*IF($F16="nominal",LOOKUP($F17,Nominal_to_Real,'Input|Rate of change'!L$26:L$32),INDEX('Input|Rate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L17" s="69">
        <f>L16*IF($F16="nominal",LOOKUP($F17,Nominal_to_Real,'Input|Rate of change'!M$26:M$32),INDEX('Input|Rate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M17" s="69">
        <f>M16*IF($F16="nominal",LOOKUP($F17,Nominal_to_Real,'Input|Rate of change'!N$26:N$32),INDEX('Input|Rate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N17" s="69">
        <f>N16*IF($F16="nominal",LOOKUP($F17,Nominal_to_Real,'Input|Rate of change'!O$26:O$32),INDEX('Input|Rate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370.50660425099267</v>
      </c>
      <c r="O17" s="69">
        <f>O16*IF($F16="nominal",LOOKUP($F17,Nominal_to_Real,'Input|Rate of change'!P$26:P$32),INDEX('Input|Rate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P17" s="69">
        <f>P16*IF($F16="nominal",LOOKUP($F17,Nominal_to_Real,'Input|Rate of change'!Q$26:Q$32),INDEX('Input|Rate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Q17" s="69">
        <f>Q16*IF($F16="nominal",LOOKUP($F17,Nominal_to_Real,'Input|Rate of change'!R$26:R$32),INDEX('Input|Rate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R17" s="69">
        <f>R16*IF($F16="nominal",LOOKUP($F17,Nominal_to_Real,'Input|Rate of change'!S$26:S$32),INDEX('Input|Rate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S17" s="69">
        <f>S16*IF($F16="nominal",LOOKUP($F17,Nominal_to_Real,'Input|Rate of change'!T$26:T$32),INDEX('Input|Rate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T17" s="69">
        <f>T16*IF($F16="nominal",LOOKUP($F17,Nominal_to_Real,'Input|Rate of change'!U$26:U$32),INDEX('Input|Rate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</row>
    <row r="18" spans="3:20" outlineLevel="1">
      <c r="C18" s="15"/>
      <c r="F18" s="101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</row>
    <row r="19" spans="3:20" outlineLevel="1">
      <c r="C19" s="15" t="s">
        <v>162</v>
      </c>
      <c r="D19" s="68" t="s">
        <v>92</v>
      </c>
      <c r="E19" s="16" t="str">
        <f>'Input|Reported opex'!E64</f>
        <v>$millions</v>
      </c>
      <c r="F19" s="101" t="str">
        <f>'Input|Reported opex'!F57</f>
        <v>nominal</v>
      </c>
      <c r="J19" s="69">
        <f>IF(YEAR(J$4)=BaseYear,'Input|Reported opex'!J57,0)</f>
        <v>0</v>
      </c>
      <c r="K19" s="69">
        <f>IF(YEAR(K$4)=BaseYear,'Input|Reported opex'!K57,0)</f>
        <v>0</v>
      </c>
      <c r="L19" s="69">
        <f>IF(YEAR(L$4)=BaseYear,'Input|Reported opex'!L57,0)</f>
        <v>0</v>
      </c>
      <c r="M19" s="69">
        <f>IF(YEAR(M$4)=BaseYear,'Input|Reported opex'!M57,0)</f>
        <v>0</v>
      </c>
      <c r="N19" s="69">
        <f>IF(YEAR(N$4)=BaseYear,'Input|Reported opex'!N57,0)</f>
        <v>0</v>
      </c>
      <c r="O19" s="69">
        <f>IF(YEAR(O$4)=BaseYear,'Input|Reported opex'!O57,0)</f>
        <v>0</v>
      </c>
      <c r="P19" s="69">
        <f>IF(YEAR(P$4)=BaseYear,'Input|Reported opex'!P57,0)</f>
        <v>0</v>
      </c>
      <c r="Q19" s="69">
        <f>IF(YEAR(Q$4)=BaseYear,'Input|Reported opex'!Q57,0)</f>
        <v>0</v>
      </c>
      <c r="R19" s="69">
        <f>IF(YEAR(R$4)=BaseYear,'Input|Reported opex'!R57,0)</f>
        <v>0</v>
      </c>
      <c r="S19" s="69">
        <f>IF(YEAR(S$4)=BaseYear,'Input|Reported opex'!S57,0)</f>
        <v>0</v>
      </c>
      <c r="T19" s="69"/>
    </row>
    <row r="20" spans="3:20" outlineLevel="1">
      <c r="C20" s="15" t="s">
        <v>162</v>
      </c>
      <c r="D20" s="16" t="s">
        <v>30</v>
      </c>
      <c r="E20" s="16" t="str">
        <f>$E$8</f>
        <v>$millions</v>
      </c>
      <c r="F20" s="101">
        <f>$F$8</f>
        <v>45444</v>
      </c>
      <c r="J20" s="69">
        <f>J19*IF($F19="nominal",LOOKUP($F20,Nominal_to_Real,'Input|Rate of change'!K$26:K$32),INDEX('Input|Rate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K20" s="69">
        <f>K19*IF($F19="nominal",LOOKUP($F20,Nominal_to_Real,'Input|Rate of change'!L$26:L$32),INDEX('Input|Rate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L20" s="69">
        <f>L19*IF($F19="nominal",LOOKUP($F20,Nominal_to_Real,'Input|Rate of change'!M$26:M$32),INDEX('Input|Rate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M20" s="69">
        <f>M19*IF($F19="nominal",LOOKUP($F20,Nominal_to_Real,'Input|Rate of change'!N$26:N$32),INDEX('Input|Rate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N20" s="69">
        <f>N19*IF($F19="nominal",LOOKUP($F20,Nominal_to_Real,'Input|Rate of change'!O$26:O$32),INDEX('Input|Rate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O20" s="69">
        <f>O19*IF($F19="nominal",LOOKUP($F20,Nominal_to_Real,'Input|Rate of change'!P$26:P$32),INDEX('Input|Rate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P20" s="69">
        <f>P19*IF($F19="nominal",LOOKUP($F20,Nominal_to_Real,'Input|Rate of change'!Q$26:Q$32),INDEX('Input|Rate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Q20" s="69">
        <f>Q19*IF($F19="nominal",LOOKUP($F20,Nominal_to_Real,'Input|Rate of change'!R$26:R$32),INDEX('Input|Rate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R20" s="69">
        <f>R19*IF($F19="nominal",LOOKUP($F20,Nominal_to_Real,'Input|Rate of change'!S$26:S$32),INDEX('Input|Rate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S20" s="69">
        <f>S19*IF($F19="nominal",LOOKUP($F20,Nominal_to_Real,'Input|Rate of change'!T$26:T$32),INDEX('Input|Rate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T20" s="69">
        <f>T19*IF($F19="nominal",LOOKUP($F20,Nominal_to_Real,'Input|Rate of change'!U$26:U$32),INDEX('Input|Rate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</row>
    <row r="21" spans="3:20" outlineLevel="1">
      <c r="C21" s="15" t="s">
        <v>163</v>
      </c>
      <c r="D21" s="68" t="s">
        <v>92</v>
      </c>
      <c r="E21" s="16" t="str">
        <f>'Input|Reported opex'!E22</f>
        <v>$millions</v>
      </c>
      <c r="F21" s="101">
        <f>'Input|Reported opex'!F29</f>
        <v>43617</v>
      </c>
      <c r="J21" s="69">
        <f>IF(YEAR(J$4)=BaseYear,'Input|Reported opex'!J29,0)</f>
        <v>0</v>
      </c>
      <c r="K21" s="69">
        <f>IF(YEAR(K$4)=BaseYear,'Input|Reported opex'!K29,0)</f>
        <v>0</v>
      </c>
      <c r="L21" s="69">
        <f>IF(YEAR(L$4)=BaseYear,'Input|Reported opex'!L29,0)</f>
        <v>0</v>
      </c>
      <c r="M21" s="69">
        <f>IF(YEAR(M$4)=BaseYear,'Input|Reported opex'!M29,0)</f>
        <v>4.1860621292065741</v>
      </c>
      <c r="N21" s="69">
        <f>IF(YEAR(N$4)=BaseYear,'Input|Reported opex'!N29,0)</f>
        <v>0</v>
      </c>
      <c r="O21" s="69">
        <f>IF(YEAR(O$4)=BaseYear,'Input|Reported opex'!O29,0)</f>
        <v>0</v>
      </c>
      <c r="P21" s="69">
        <f>IF(YEAR(P$4)=BaseYear,'Input|Reported opex'!P29,0)</f>
        <v>0</v>
      </c>
      <c r="Q21" s="69">
        <f>IF(YEAR(Q$4)=BaseYear,'Input|Reported opex'!Q29,0)</f>
        <v>0</v>
      </c>
      <c r="R21" s="69">
        <f>IF(YEAR(R$4)=BaseYear,'Input|Reported opex'!R29,0)</f>
        <v>0</v>
      </c>
      <c r="S21" s="69">
        <f>IF(YEAR(S$4)=BaseYear,'Input|Reported opex'!S29,0)</f>
        <v>0</v>
      </c>
      <c r="T21" s="69"/>
    </row>
    <row r="22" spans="3:20" outlineLevel="1">
      <c r="C22" s="15" t="s">
        <v>163</v>
      </c>
      <c r="D22" s="16" t="s">
        <v>30</v>
      </c>
      <c r="E22" s="16" t="str">
        <f>$E$8</f>
        <v>$millions</v>
      </c>
      <c r="F22" s="101">
        <f>$F$8</f>
        <v>45444</v>
      </c>
      <c r="J22" s="69">
        <f>J21*IF($F21="nominal",LOOKUP($F22,Nominal_to_Real,'Input|Rate of change'!K$26:K$32),INDEX('Input|Rate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K22" s="69">
        <f>K21*IF($F21="nominal",LOOKUP($F22,Nominal_to_Real,'Input|Rate of change'!L$26:L$32),INDEX('Input|Rate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L22" s="69">
        <f>L21*IF($F21="nominal",LOOKUP($F22,Nominal_to_Real,'Input|Rate of change'!M$26:M$32),INDEX('Input|Rate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M22" s="69">
        <f>M21*IF($F21="nominal",LOOKUP($F22,Nominal_to_Real,'Input|Rate of change'!N$26:N$32),INDEX('Input|Rate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5.0507392065785357</v>
      </c>
      <c r="N22" s="69">
        <f>N21*IF($F21="nominal",LOOKUP($F22,Nominal_to_Real,'Input|Rate of change'!O$26:O$32),INDEX('Input|Rate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O22" s="69">
        <f>O21*IF($F21="nominal",LOOKUP($F22,Nominal_to_Real,'Input|Rate of change'!P$26:P$32),INDEX('Input|Rate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P22" s="69">
        <f>P21*IF($F21="nominal",LOOKUP($F22,Nominal_to_Real,'Input|Rate of change'!Q$26:Q$32),INDEX('Input|Rate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Q22" s="69">
        <f>Q21*IF($F21="nominal",LOOKUP($F22,Nominal_to_Real,'Input|Rate of change'!R$26:R$32),INDEX('Input|Rate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R22" s="69">
        <f>R21*IF($F21="nominal",LOOKUP($F22,Nominal_to_Real,'Input|Rate of change'!S$26:S$32),INDEX('Input|Rate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S22" s="69">
        <f>S21*IF($F21="nominal",LOOKUP($F22,Nominal_to_Real,'Input|Rate of change'!T$26:T$32),INDEX('Input|Rate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T22" s="69">
        <f>T21*IF($F21="nominal",LOOKUP($F22,Nominal_to_Real,'Input|Rate of change'!U$26:U$32),INDEX('Input|Rate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</row>
    <row r="23" spans="3:20" outlineLevel="1">
      <c r="C23" s="15" t="s">
        <v>164</v>
      </c>
      <c r="D23" s="68" t="s">
        <v>92</v>
      </c>
      <c r="E23" s="16" t="str">
        <f>'Input|Reported opex'!E22</f>
        <v>$millions</v>
      </c>
      <c r="F23" s="101">
        <f>'Input|Reported opex'!F29</f>
        <v>43617</v>
      </c>
      <c r="J23" s="69">
        <f>IF(YEAR(J$4)=PPLastYear,'Input|Reported opex'!J29,0)</f>
        <v>0</v>
      </c>
      <c r="K23" s="69">
        <f>IF(YEAR(K$4)=PPLastYear,'Input|Reported opex'!K29,0)</f>
        <v>0</v>
      </c>
      <c r="L23" s="69">
        <f>IF(YEAR(L$4)=PPLastYear,'Input|Reported opex'!L29,0)</f>
        <v>0</v>
      </c>
      <c r="M23" s="69">
        <f>IF(YEAR(M$4)=PPLastYear,'Input|Reported opex'!M29,0)</f>
        <v>0</v>
      </c>
      <c r="N23" s="69">
        <f>IF(YEAR(N$4)=PPLastYear,'Input|Reported opex'!N29,0)</f>
        <v>4.20513373891011</v>
      </c>
      <c r="O23" s="69">
        <f>IF(YEAR(O$4)=PPLastYear,'Input|Reported opex'!O29,0)</f>
        <v>0</v>
      </c>
      <c r="P23" s="69">
        <f>IF(YEAR(P$4)=PPLastYear,'Input|Reported opex'!P29,0)</f>
        <v>0</v>
      </c>
      <c r="Q23" s="69">
        <f>IF(YEAR(Q$4)=PPLastYear,'Input|Reported opex'!Q29,0)</f>
        <v>0</v>
      </c>
      <c r="R23" s="69">
        <f>IF(YEAR(R$4)=PPLastYear,'Input|Reported opex'!R29,0)</f>
        <v>0</v>
      </c>
      <c r="S23" s="69">
        <f>IF(YEAR(S$4)=PPLastYear,'Input|Reported opex'!S29,0)</f>
        <v>0</v>
      </c>
      <c r="T23" s="69"/>
    </row>
    <row r="24" spans="3:20" outlineLevel="1">
      <c r="C24" s="15" t="s">
        <v>164</v>
      </c>
      <c r="D24" s="16" t="s">
        <v>30</v>
      </c>
      <c r="E24" s="16" t="str">
        <f>$E$8</f>
        <v>$millions</v>
      </c>
      <c r="F24" s="101">
        <f>$F$8</f>
        <v>45444</v>
      </c>
      <c r="J24" s="69">
        <f>J23*IF($F23="nominal",LOOKUP($F24,Nominal_to_Real,'Input|Rate of change'!K$26:K$32),INDEX('Input|Rate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K24" s="69">
        <f>K23*IF($F23="nominal",LOOKUP($F24,Nominal_to_Real,'Input|Rate of change'!L$26:L$32),INDEX('Input|Rate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L24" s="69">
        <f>L23*IF($F23="nominal",LOOKUP($F24,Nominal_to_Real,'Input|Rate of change'!M$26:M$32),INDEX('Input|Rate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M24" s="69">
        <f>M23*IF($F23="nominal",LOOKUP($F24,Nominal_to_Real,'Input|Rate of change'!N$26:N$32),INDEX('Input|Rate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N24" s="69">
        <f>N23*IF($F23="nominal",LOOKUP($F24,Nominal_to_Real,'Input|Rate of change'!O$26:O$32),INDEX('Input|Rate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5.0737502665888812</v>
      </c>
      <c r="O24" s="69">
        <f>O23*IF($F23="nominal",LOOKUP($F24,Nominal_to_Real,'Input|Rate of change'!P$26:P$32),INDEX('Input|Rate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P24" s="69">
        <f>P23*IF($F23="nominal",LOOKUP($F24,Nominal_to_Real,'Input|Rate of change'!Q$26:Q$32),INDEX('Input|Rate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Q24" s="69">
        <f>Q23*IF($F23="nominal",LOOKUP($F24,Nominal_to_Real,'Input|Rate of change'!R$26:R$32),INDEX('Input|Rate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R24" s="69">
        <f>R23*IF($F23="nominal",LOOKUP($F24,Nominal_to_Real,'Input|Rate of change'!S$26:S$32),INDEX('Input|Rate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S24" s="69">
        <f>S23*IF($F23="nominal",LOOKUP($F24,Nominal_to_Real,'Input|Rate of change'!T$26:T$32),INDEX('Input|Rate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T24" s="69">
        <f>T23*IF($F23="nominal",LOOKUP($F24,Nominal_to_Real,'Input|Rate of change'!U$26:U$32),INDEX('Input|Rate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</row>
    <row r="25" spans="3:20" outlineLevel="1">
      <c r="C25" s="15"/>
      <c r="F25" s="70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</row>
    <row r="26" spans="3:20" ht="12" outlineLevel="1" thickBot="1">
      <c r="C26" s="71" t="s">
        <v>135</v>
      </c>
      <c r="D26" s="72" t="s">
        <v>30</v>
      </c>
      <c r="E26" s="72" t="str">
        <f>$E$8</f>
        <v>$millions</v>
      </c>
      <c r="F26" s="101">
        <f>$F$8</f>
        <v>45444</v>
      </c>
      <c r="J26" s="73">
        <f ca="1">J13</f>
        <v>0</v>
      </c>
      <c r="K26" s="73">
        <f t="shared" ref="K26:S26" ca="1" si="1">K13</f>
        <v>0</v>
      </c>
      <c r="L26" s="73">
        <f t="shared" ca="1" si="1"/>
        <v>0</v>
      </c>
      <c r="M26" s="73">
        <f t="shared" ca="1" si="1"/>
        <v>435.39504129759518</v>
      </c>
      <c r="N26" s="73">
        <f t="shared" ca="1" si="1"/>
        <v>0</v>
      </c>
      <c r="O26" s="73">
        <f t="shared" ca="1" si="1"/>
        <v>0</v>
      </c>
      <c r="P26" s="73">
        <f t="shared" ca="1" si="1"/>
        <v>0</v>
      </c>
      <c r="Q26" s="73">
        <f t="shared" ca="1" si="1"/>
        <v>0</v>
      </c>
      <c r="R26" s="73">
        <f t="shared" ca="1" si="1"/>
        <v>0</v>
      </c>
      <c r="S26" s="73">
        <f t="shared" ca="1" si="1"/>
        <v>0</v>
      </c>
      <c r="T26" s="73"/>
    </row>
    <row r="27" spans="3:20" ht="12" outlineLevel="1" thickBot="1">
      <c r="C27" s="80"/>
      <c r="F27" s="101"/>
      <c r="J27" s="73"/>
      <c r="K27" s="73"/>
      <c r="L27" s="73"/>
      <c r="M27" s="73"/>
      <c r="N27" s="73"/>
      <c r="O27" s="73"/>
      <c r="P27" s="73"/>
      <c r="Q27" s="73"/>
      <c r="R27" s="73"/>
      <c r="S27" s="196">
        <v>39.337445444947399</v>
      </c>
      <c r="T27" s="197" t="s">
        <v>227</v>
      </c>
    </row>
    <row r="28" spans="3:20" outlineLevel="1">
      <c r="C28" s="80" t="s">
        <v>157</v>
      </c>
      <c r="D28" s="68" t="s">
        <v>92</v>
      </c>
      <c r="E28" s="16" t="str">
        <f>'Input|Reported opex'!E69</f>
        <v>$millions</v>
      </c>
      <c r="F28" s="101">
        <f>'Input|Reported opex'!F69</f>
        <v>45444</v>
      </c>
      <c r="J28" s="73">
        <f>IF('Input|Reported opex'!J$61='Input|Reported opex'!J$10,'Input|Reported opex'!J69,0)</f>
        <v>0</v>
      </c>
      <c r="K28" s="73">
        <f>IF('Input|Reported opex'!K$61='Input|Reported opex'!K$10,'Input|Reported opex'!K69,0)</f>
        <v>0</v>
      </c>
      <c r="L28" s="73">
        <f>IF('Input|Reported opex'!L$61='Input|Reported opex'!L$10,'Input|Reported opex'!L69,0)</f>
        <v>0</v>
      </c>
      <c r="M28" s="73">
        <f>IF('Input|Reported opex'!M$61='Input|Reported opex'!M$10,'Input|Reported opex'!M69,0)</f>
        <v>0</v>
      </c>
      <c r="N28" s="73">
        <f>IF('Input|Reported opex'!N$61='Input|Reported opex'!N$10,'Input|Reported opex'!N69,0)</f>
        <v>39.337445444947399</v>
      </c>
      <c r="O28" s="73">
        <f>IF('Input|Reported opex'!O$61='Input|Reported opex'!O$10,'Input|Reported opex'!O69,0)</f>
        <v>0</v>
      </c>
      <c r="P28" s="73">
        <f>IF('Input|Reported opex'!P$61='Input|Reported opex'!P$10,'Input|Reported opex'!P69,0)</f>
        <v>0</v>
      </c>
      <c r="Q28" s="73">
        <f>IF('Input|Reported opex'!Q$61='Input|Reported opex'!Q$10,'Input|Reported opex'!Q69,0)</f>
        <v>0</v>
      </c>
      <c r="R28" s="73">
        <f>IF('Input|Reported opex'!R$61='Input|Reported opex'!R$10,'Input|Reported opex'!R69,0)</f>
        <v>0</v>
      </c>
      <c r="S28" s="73">
        <f>IF('Input|Reported opex'!S$61='Input|Reported opex'!S$10,'Input|Reported opex'!S69,0)</f>
        <v>0</v>
      </c>
      <c r="T28" s="73"/>
    </row>
    <row r="29" spans="3:20" ht="12" outlineLevel="1" thickBot="1">
      <c r="C29" s="80" t="str">
        <f>C28</f>
        <v>Add back non-recurrent efficiency gains in the base year</v>
      </c>
      <c r="D29" s="16" t="s">
        <v>30</v>
      </c>
      <c r="E29" s="16" t="str">
        <f>$E$8</f>
        <v>$millions</v>
      </c>
      <c r="F29" s="101">
        <f>$F$8</f>
        <v>45444</v>
      </c>
      <c r="J29" s="73">
        <f>J28*IF($F28="nominal",LOOKUP($F29,Nominal_to_Real,'Input|Rate of change'!K$26:K$32),INDEX('Input|Rate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K29" s="73">
        <f>K28*IF($F28="nominal",LOOKUP($F29,Nominal_to_Real,'Input|Rate of change'!L$26:L$32),INDEX('Input|Rate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L29" s="73">
        <f>L28*IF($F28="nominal",LOOKUP($F29,Nominal_to_Real,'Input|Rate of change'!M$26:M$32),INDEX('Input|Rate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M29" s="73">
        <f>M28*IF($F28="nominal",LOOKUP($F29,Nominal_to_Real,'Input|Rate of change'!N$26:N$32),INDEX('Input|Rate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N29" s="73">
        <f>N28*IF($F28="nominal",LOOKUP($F29,Nominal_to_Real,'Input|Rate of change'!O$26:O$32),INDEX('Input|Rate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39.337445444947399</v>
      </c>
      <c r="O29" s="73">
        <f>O28*IF($F28="nominal",LOOKUP($F29,Nominal_to_Real,'Input|Rate of change'!P$26:P$32),INDEX('Input|Rate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P29" s="73">
        <f>P28*IF($F28="nominal",LOOKUP($F29,Nominal_to_Real,'Input|Rate of change'!Q$26:Q$32),INDEX('Input|Rate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Q29" s="73">
        <f>Q28*IF($F28="nominal",LOOKUP($F29,Nominal_to_Real,'Input|Rate of change'!R$26:R$32),INDEX('Input|Rate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R29" s="73">
        <f>R28*IF($F28="nominal",LOOKUP($F29,Nominal_to_Real,'Input|Rate of change'!S$26:S$32),INDEX('Input|Rate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S29" s="73">
        <f>S28*IF($F28="nominal",LOOKUP($F29,Nominal_to_Real,'Input|Rate of change'!T$26:T$32),INDEX('Input|Rate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T29" s="73">
        <f>T28*IF($F28="nominal",LOOKUP($F29,Nominal_to_Real,'Input|Rate of change'!U$26:U$32),INDEX('Input|Rate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</row>
    <row r="30" spans="3:20" ht="12" outlineLevel="1" thickBot="1">
      <c r="C30" s="80"/>
      <c r="F30" s="101"/>
      <c r="J30" s="73"/>
      <c r="K30" s="73"/>
      <c r="L30" s="73"/>
      <c r="M30" s="73"/>
      <c r="N30" s="73"/>
      <c r="O30" s="73"/>
      <c r="P30" s="73"/>
      <c r="Q30" s="73"/>
      <c r="R30" s="73"/>
      <c r="S30" s="196">
        <f ca="1">N33-S32</f>
        <v>0</v>
      </c>
      <c r="T30" s="197" t="s">
        <v>225</v>
      </c>
    </row>
    <row r="31" spans="3:20" ht="12" outlineLevel="1" thickBot="1">
      <c r="C31" s="80" t="s">
        <v>155</v>
      </c>
      <c r="D31" s="16" t="s">
        <v>30</v>
      </c>
      <c r="E31" s="16" t="str">
        <f>$E$8</f>
        <v>$millions</v>
      </c>
      <c r="F31" s="101">
        <f>$F$8</f>
        <v>45444</v>
      </c>
      <c r="J31" s="73">
        <f t="shared" ref="J31:S31" si="2">IF(YEAR(J$4)=PPLastYear,-SUM($J15:$S15)+SUM($J17:$S17),0)</f>
        <v>0</v>
      </c>
      <c r="K31" s="73">
        <f t="shared" si="2"/>
        <v>0</v>
      </c>
      <c r="L31" s="73">
        <f t="shared" si="2"/>
        <v>0</v>
      </c>
      <c r="M31" s="73">
        <f t="shared" si="2"/>
        <v>0</v>
      </c>
      <c r="N31" s="201">
        <f t="shared" si="2"/>
        <v>-38.454538969381019</v>
      </c>
      <c r="O31" s="73">
        <f t="shared" si="2"/>
        <v>0</v>
      </c>
      <c r="P31" s="73">
        <f t="shared" si="2"/>
        <v>0</v>
      </c>
      <c r="Q31" s="73">
        <f t="shared" si="2"/>
        <v>0</v>
      </c>
      <c r="R31" s="73">
        <f t="shared" si="2"/>
        <v>0</v>
      </c>
      <c r="S31" s="73">
        <f t="shared" si="2"/>
        <v>0</v>
      </c>
      <c r="T31" s="73"/>
    </row>
    <row r="32" spans="3:20" ht="12" outlineLevel="1" thickBot="1">
      <c r="C32" s="80"/>
      <c r="F32" s="101"/>
      <c r="J32" s="73"/>
      <c r="K32" s="73"/>
      <c r="L32" s="73"/>
      <c r="M32" s="73"/>
      <c r="N32" s="73"/>
      <c r="O32" s="73"/>
      <c r="P32" s="73"/>
      <c r="Q32" s="73"/>
      <c r="R32" s="73"/>
      <c r="S32" s="198">
        <v>436.2779477731616</v>
      </c>
      <c r="T32" s="197" t="s">
        <v>224</v>
      </c>
    </row>
    <row r="33" spans="3:20" outlineLevel="1">
      <c r="C33" s="80" t="s">
        <v>104</v>
      </c>
      <c r="D33" s="16" t="s">
        <v>30</v>
      </c>
      <c r="E33" s="16" t="str">
        <f>$E$8</f>
        <v>$millions</v>
      </c>
      <c r="F33" s="101">
        <f>$F$8</f>
        <v>45444</v>
      </c>
      <c r="J33" s="73">
        <f t="shared" ref="J33:S33" si="3">IF(YEAR(J$4)=PPLastYear,SUM($J26:$S26,$J29:$S29,$J31:$S31),0)</f>
        <v>0</v>
      </c>
      <c r="K33" s="73">
        <f t="shared" si="3"/>
        <v>0</v>
      </c>
      <c r="L33" s="73">
        <f t="shared" si="3"/>
        <v>0</v>
      </c>
      <c r="M33" s="73">
        <f t="shared" si="3"/>
        <v>0</v>
      </c>
      <c r="N33" s="199">
        <f t="shared" ca="1" si="3"/>
        <v>436.27794777316154</v>
      </c>
      <c r="O33" s="73">
        <f t="shared" si="3"/>
        <v>0</v>
      </c>
      <c r="P33" s="73">
        <f t="shared" si="3"/>
        <v>0</v>
      </c>
      <c r="Q33" s="73">
        <f t="shared" si="3"/>
        <v>0</v>
      </c>
      <c r="R33" s="73">
        <f t="shared" si="3"/>
        <v>0</v>
      </c>
      <c r="S33" s="73">
        <f t="shared" si="3"/>
        <v>0</v>
      </c>
      <c r="T33" s="73"/>
    </row>
    <row r="34" spans="3:20" outlineLevel="1">
      <c r="C34" s="80"/>
      <c r="F34" s="101"/>
      <c r="J34" s="73"/>
      <c r="K34" s="73"/>
      <c r="L34" s="73"/>
      <c r="M34" s="73"/>
      <c r="N34" s="73"/>
      <c r="O34" s="73"/>
      <c r="P34" s="73"/>
      <c r="Q34" s="73"/>
      <c r="R34" s="73"/>
      <c r="S34" s="73">
        <v>396.94050232821417</v>
      </c>
      <c r="T34" s="200" t="s">
        <v>226</v>
      </c>
    </row>
    <row r="35" spans="3:20" outlineLevel="1">
      <c r="C35" s="80" t="s">
        <v>165</v>
      </c>
      <c r="D35" s="16" t="s">
        <v>30</v>
      </c>
      <c r="E35" s="16" t="str">
        <f>$E$8</f>
        <v>$millions</v>
      </c>
      <c r="F35" s="101">
        <f>$F$8</f>
        <v>45444</v>
      </c>
      <c r="J35" s="73">
        <f t="shared" ref="J35:S35" si="4">IF(YEAR(J$4)=PPLastYear,-(SUM($J20:$S20)-SUM($J22:$S22)+SUM($J24:$S24)),0)</f>
        <v>0</v>
      </c>
      <c r="K35" s="73">
        <f t="shared" si="4"/>
        <v>0</v>
      </c>
      <c r="L35" s="73">
        <f t="shared" si="4"/>
        <v>0</v>
      </c>
      <c r="M35" s="73">
        <f t="shared" si="4"/>
        <v>0</v>
      </c>
      <c r="N35" s="73">
        <f t="shared" si="4"/>
        <v>-2.3011060010345474E-2</v>
      </c>
      <c r="O35" s="73">
        <f t="shared" si="4"/>
        <v>0</v>
      </c>
      <c r="P35" s="73">
        <f t="shared" si="4"/>
        <v>0</v>
      </c>
      <c r="Q35" s="73">
        <f t="shared" si="4"/>
        <v>0</v>
      </c>
      <c r="R35" s="73">
        <f t="shared" si="4"/>
        <v>0</v>
      </c>
      <c r="S35" s="73">
        <f t="shared" si="4"/>
        <v>0</v>
      </c>
      <c r="T35" s="73"/>
    </row>
    <row r="36" spans="3:20" outlineLevel="1">
      <c r="C36" s="80"/>
      <c r="F36" s="101"/>
      <c r="J36" s="73"/>
      <c r="K36" s="73"/>
      <c r="L36" s="73"/>
      <c r="M36" s="73"/>
      <c r="N36" s="73"/>
      <c r="O36" s="73"/>
      <c r="P36" s="73"/>
      <c r="Q36" s="73"/>
      <c r="R36" s="73"/>
      <c r="S36" s="73"/>
      <c r="T36" s="73"/>
    </row>
    <row r="37" spans="3:20" outlineLevel="1">
      <c r="C37" s="80" t="str">
        <f>'Input|Reported opex'!$C$63</f>
        <v>Adjustment 1</v>
      </c>
      <c r="D37" s="68" t="s">
        <v>92</v>
      </c>
      <c r="E37" s="16" t="str">
        <f>'Input|Reported opex'!E63</f>
        <v>$millions</v>
      </c>
      <c r="F37" s="101">
        <f>'Input|Reported opex'!F63</f>
        <v>45444</v>
      </c>
      <c r="J37" s="69">
        <f>IF(YEAR(J$4)=PPLastYear,'Input|Reported opex'!J63,0)</f>
        <v>0</v>
      </c>
      <c r="K37" s="69">
        <f>IF(YEAR(K$4)=PPLastYear,'Input|Reported opex'!K63,0)</f>
        <v>0</v>
      </c>
      <c r="L37" s="69">
        <f>IF(YEAR(L$4)=PPLastYear,'Input|Reported opex'!L63,0)</f>
        <v>0</v>
      </c>
      <c r="M37" s="69">
        <f>IF(YEAR(M$4)=PPLastYear,'Input|Reported opex'!M63,0)</f>
        <v>0</v>
      </c>
      <c r="N37" s="69">
        <f>IF(YEAR(N$4)=PPLastYear,'Input|Reported opex'!N63,0)</f>
        <v>0</v>
      </c>
      <c r="O37" s="69">
        <f>IF(YEAR(O$4)=PPLastYear,'Input|Reported opex'!O63,0)</f>
        <v>0</v>
      </c>
      <c r="P37" s="69">
        <f>IF(YEAR(P$4)=PPLastYear,'Input|Reported opex'!P63,0)</f>
        <v>0</v>
      </c>
      <c r="Q37" s="69"/>
      <c r="R37" s="69">
        <f>IF(YEAR(R$4)=PPLastYear,'Input|Reported opex'!R63,0)</f>
        <v>0</v>
      </c>
      <c r="S37" s="69">
        <f>IF(YEAR(S$4)=PPLastYear,'Input|Reported opex'!S63,0)</f>
        <v>0</v>
      </c>
      <c r="T37" s="69"/>
    </row>
    <row r="38" spans="3:20" outlineLevel="1">
      <c r="C38" s="80" t="str">
        <f>C37</f>
        <v>Adjustment 1</v>
      </c>
      <c r="D38" s="16" t="s">
        <v>30</v>
      </c>
      <c r="E38" s="16" t="str">
        <f>$E$8</f>
        <v>$millions</v>
      </c>
      <c r="F38" s="101">
        <f>$F$8</f>
        <v>45444</v>
      </c>
      <c r="J38" s="73">
        <f>J37*IF($F37="nominal",LOOKUP($F38,Nominal_to_Real,'Input|Rate of change'!K$26:K$32),INDEX('Input|Rate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K38" s="73">
        <f>K37*IF($F37="nominal",LOOKUP($F38,Nominal_to_Real,'Input|Rate of change'!L$26:L$32),INDEX('Input|Rate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L38" s="73">
        <f>L37*IF($F37="nominal",LOOKUP($F38,Nominal_to_Real,'Input|Rate of change'!M$26:M$32),INDEX('Input|Rate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M38" s="73">
        <f>M37*IF($F37="nominal",LOOKUP($F38,Nominal_to_Real,'Input|Rate of change'!N$26:N$32),INDEX('Input|Rate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N38" s="73">
        <f>N37*IF($F37="nominal",LOOKUP($F38,Nominal_to_Real,'Input|Rate of change'!O$26:O$32),INDEX('Input|Rate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O38" s="73">
        <f>O37*IF($F37="nominal",LOOKUP($F38,Nominal_to_Real,'Input|Rate of change'!P$26:P$32),INDEX('Input|Rate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P38" s="73">
        <f>P37*IF($F37="nominal",LOOKUP($F38,Nominal_to_Real,'Input|Rate of change'!Q$26:Q$32),INDEX('Input|Rate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Q38" s="73">
        <f>Q37*IF($F37="nominal",LOOKUP($F38,Nominal_to_Real,'Input|Rate of change'!R$26:R$32),INDEX('Input|Rate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R38" s="73">
        <f>R37*IF($F37="nominal",LOOKUP($F38,Nominal_to_Real,'Input|Rate of change'!S$26:S$32),INDEX('Input|Rate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S38" s="73">
        <f>S37*IF($F37="nominal",LOOKUP($F38,Nominal_to_Real,'Input|Rate of change'!T$26:T$32),INDEX('Input|Rate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T38" s="73">
        <f>T37*IF($F37="nominal",LOOKUP($F38,Nominal_to_Real,'Input|Rate of change'!U$26:U$32),INDEX('Input|Rate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</row>
    <row r="39" spans="3:20" outlineLevel="1">
      <c r="C39" s="80"/>
      <c r="F39" s="101"/>
      <c r="J39" s="73"/>
      <c r="K39" s="73"/>
      <c r="L39" s="73"/>
      <c r="M39" s="73"/>
      <c r="N39" s="73"/>
      <c r="O39" s="73"/>
      <c r="P39" s="73"/>
      <c r="Q39" s="73"/>
      <c r="R39" s="69"/>
      <c r="S39" s="69"/>
      <c r="T39" s="69"/>
    </row>
    <row r="40" spans="3:20" outlineLevel="1">
      <c r="C40" s="80" t="str">
        <f>'Input|Reported opex'!$C$64</f>
        <v>Adjustment 2</v>
      </c>
      <c r="D40" s="68" t="s">
        <v>92</v>
      </c>
      <c r="E40" s="16" t="str">
        <f>'Input|Reported opex'!$E$64</f>
        <v>$millions</v>
      </c>
      <c r="F40" s="101">
        <f>'Input|Reported opex'!$F$64</f>
        <v>45444</v>
      </c>
      <c r="J40" s="69">
        <f>IF(YEAR(J$4)=PPLastYear,'Input|Reported opex'!J64,0)</f>
        <v>0</v>
      </c>
      <c r="K40" s="69">
        <f>IF(YEAR(K$4)=PPLastYear,'Input|Reported opex'!K64,0)</f>
        <v>0</v>
      </c>
      <c r="L40" s="69">
        <f>IF(YEAR(L$4)=PPLastYear,'Input|Reported opex'!L64,0)</f>
        <v>0</v>
      </c>
      <c r="M40" s="69">
        <f>IF(YEAR(M$4)=PPLastYear,'Input|Reported opex'!M64,0)</f>
        <v>0</v>
      </c>
      <c r="N40" s="69">
        <f>IF(YEAR(N$4)=PPLastYear,'Input|Reported opex'!N64,0)</f>
        <v>0</v>
      </c>
      <c r="O40" s="69">
        <f>IF(YEAR(O$4)=PPLastYear,'Input|Reported opex'!O64,0)</f>
        <v>0</v>
      </c>
      <c r="P40" s="69">
        <f>IF(YEAR(P$4)=PPLastYear,'Input|Reported opex'!P64,0)</f>
        <v>0</v>
      </c>
      <c r="Q40" s="69">
        <f>IF(YEAR(Q$4)=PPLastYear,'Input|Reported opex'!Q64,0)</f>
        <v>0</v>
      </c>
      <c r="R40" s="69">
        <f>IF(YEAR(R$4)=PPLastYear,'Input|Reported opex'!R64,0)</f>
        <v>0</v>
      </c>
      <c r="S40" s="69">
        <f>IF(YEAR(S$4)=PPLastYear,'Input|Reported opex'!S64,0)</f>
        <v>0</v>
      </c>
      <c r="T40" s="69"/>
    </row>
    <row r="41" spans="3:20" outlineLevel="1">
      <c r="C41" s="80" t="str">
        <f>C40</f>
        <v>Adjustment 2</v>
      </c>
      <c r="D41" s="16" t="s">
        <v>30</v>
      </c>
      <c r="E41" s="16" t="str">
        <f>$E$8</f>
        <v>$millions</v>
      </c>
      <c r="F41" s="101">
        <f>$F$8</f>
        <v>45444</v>
      </c>
      <c r="J41" s="73">
        <f>J40*IF($F40="nominal",LOOKUP($F41,Nominal_to_Real,'Input|Rate of change'!K$26:K$32),INDEX('Input|Rate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K41" s="73">
        <f>K40*IF($F40="nominal",LOOKUP($F41,Nominal_to_Real,'Input|Rate of change'!L$26:L$32),INDEX('Input|Rate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L41" s="73">
        <f>L40*IF($F40="nominal",LOOKUP($F41,Nominal_to_Real,'Input|Rate of change'!M$26:M$32),INDEX('Input|Rate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M41" s="73">
        <f>M40*IF($F40="nominal",LOOKUP($F41,Nominal_to_Real,'Input|Rate of change'!N$26:N$32),INDEX('Input|Rate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N41" s="73">
        <f>N40*IF($F40="nominal",LOOKUP($F41,Nominal_to_Real,'Input|Rate of change'!O$26:O$32),INDEX('Input|Rate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O41" s="73">
        <f>O40*IF($F40="nominal",LOOKUP($F41,Nominal_to_Real,'Input|Rate of change'!P$26:P$32),INDEX('Input|Rate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P41" s="73">
        <f>P40*IF($F40="nominal",LOOKUP($F41,Nominal_to_Real,'Input|Rate of change'!Q$26:Q$32),INDEX('Input|Rate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Q41" s="73">
        <f>Q40*IF($F40="nominal",LOOKUP($F41,Nominal_to_Real,'Input|Rate of change'!R$26:R$32),INDEX('Input|Rate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R41" s="73">
        <f>R40*IF($F40="nominal",LOOKUP($F41,Nominal_to_Real,'Input|Rate of change'!S$26:S$32),INDEX('Input|Rate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S41" s="73">
        <f>S40*IF($F40="nominal",LOOKUP($F41,Nominal_to_Real,'Input|Rate of change'!T$26:T$32),INDEX('Input|Rate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T41" s="73">
        <f>T40*IF($F40="nominal",LOOKUP($F41,Nominal_to_Real,'Input|Rate of change'!U$26:U$32),INDEX('Input|Rate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</row>
    <row r="42" spans="3:20" outlineLevel="1">
      <c r="C42" s="80"/>
      <c r="F42" s="101"/>
      <c r="J42" s="73"/>
      <c r="K42" s="73"/>
      <c r="L42" s="73"/>
      <c r="M42" s="73"/>
      <c r="N42" s="73"/>
      <c r="O42" s="73"/>
      <c r="P42" s="73"/>
      <c r="Q42" s="73"/>
      <c r="R42" s="69"/>
      <c r="S42" s="69"/>
      <c r="T42" s="69"/>
    </row>
    <row r="43" spans="3:20" outlineLevel="1">
      <c r="C43" s="80" t="str">
        <f>'Input|Reported opex'!$C$65</f>
        <v>Adjustment 3</v>
      </c>
      <c r="D43" s="68" t="s">
        <v>92</v>
      </c>
      <c r="E43" s="16" t="str">
        <f>'Input|Reported opex'!$E$65</f>
        <v>$millions</v>
      </c>
      <c r="F43" s="101">
        <f>'Input|Reported opex'!$F$65</f>
        <v>45444</v>
      </c>
      <c r="J43" s="69">
        <f>IF(YEAR(J$4)=PPLastYear,'Input|Reported opex'!J65,0)</f>
        <v>0</v>
      </c>
      <c r="K43" s="69">
        <f>IF(YEAR(K$4)=PPLastYear,'Input|Reported opex'!K65,0)</f>
        <v>0</v>
      </c>
      <c r="L43" s="69">
        <f>IF(YEAR(L$4)=PPLastYear,'Input|Reported opex'!L65,0)</f>
        <v>0</v>
      </c>
      <c r="M43" s="69">
        <f>IF(YEAR(M$4)=PPLastYear,'Input|Reported opex'!M65,0)</f>
        <v>0</v>
      </c>
      <c r="N43" s="69">
        <f>IF(YEAR(N$4)=PPLastYear,'Input|Reported opex'!N65,0)</f>
        <v>0</v>
      </c>
      <c r="O43" s="69">
        <f>IF(YEAR(O$4)=PPLastYear,'Input|Reported opex'!O65,0)</f>
        <v>0</v>
      </c>
      <c r="P43" s="69">
        <f>IF(YEAR(P$4)=PPLastYear,'Input|Reported opex'!P65,0)</f>
        <v>0</v>
      </c>
      <c r="Q43" s="69">
        <f>IF(YEAR(Q$4)=PPLastYear,'Input|Reported opex'!Q65,0)</f>
        <v>0</v>
      </c>
      <c r="R43" s="69">
        <f>IF(YEAR(R$4)=PPLastYear,'Input|Reported opex'!R65,0)</f>
        <v>0</v>
      </c>
      <c r="S43" s="69">
        <f>IF(YEAR(S$4)=PPLastYear,'Input|Reported opex'!S65,0)</f>
        <v>0</v>
      </c>
      <c r="T43" s="69"/>
    </row>
    <row r="44" spans="3:20" outlineLevel="1">
      <c r="C44" s="80" t="str">
        <f>C43</f>
        <v>Adjustment 3</v>
      </c>
      <c r="D44" s="16" t="s">
        <v>30</v>
      </c>
      <c r="E44" s="16" t="str">
        <f>$E$8</f>
        <v>$millions</v>
      </c>
      <c r="F44" s="101">
        <f>$F$8</f>
        <v>45444</v>
      </c>
      <c r="J44" s="73">
        <f>J43*IF($F43="nominal",LOOKUP($F44,Nominal_to_Real,'Input|Rate of change'!K$26:K$32),INDEX('Input|Rate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K44" s="73">
        <f>K43*IF($F43="nominal",LOOKUP($F44,Nominal_to_Real,'Input|Rate of change'!L$26:L$32),INDEX('Input|Rate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L44" s="73">
        <f>L43*IF($F43="nominal",LOOKUP($F44,Nominal_to_Real,'Input|Rate of change'!M$26:M$32),INDEX('Input|Rate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M44" s="73">
        <f>M43*IF($F43="nominal",LOOKUP($F44,Nominal_to_Real,'Input|Rate of change'!N$26:N$32),INDEX('Input|Rate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N44" s="73">
        <f>N43*IF($F43="nominal",LOOKUP($F44,Nominal_to_Real,'Input|Rate of change'!O$26:O$32),INDEX('Input|Rate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O44" s="73">
        <f>O43*IF($F43="nominal",LOOKUP($F44,Nominal_to_Real,'Input|Rate of change'!P$26:P$32),INDEX('Input|Rate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P44" s="73">
        <f>P43*IF($F43="nominal",LOOKUP($F44,Nominal_to_Real,'Input|Rate of change'!Q$26:Q$32),INDEX('Input|Rate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Q44" s="73">
        <f>Q43*IF($F43="nominal",LOOKUP($F44,Nominal_to_Real,'Input|Rate of change'!R$26:R$32),INDEX('Input|Rate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R44" s="73">
        <f>R43*IF($F43="nominal",LOOKUP($F44,Nominal_to_Real,'Input|Rate of change'!S$26:S$32),INDEX('Input|Rate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S44" s="73">
        <f>S43*IF($F43="nominal",LOOKUP($F44,Nominal_to_Real,'Input|Rate of change'!T$26:T$32),INDEX('Input|Rate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T44" s="73">
        <f>T43*IF($F43="nominal",LOOKUP($F44,Nominal_to_Real,'Input|Rate of change'!U$26:U$32),INDEX('Input|Rate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</row>
    <row r="45" spans="3:20" outlineLevel="1">
      <c r="C45" s="80"/>
      <c r="F45" s="101"/>
      <c r="J45" s="73"/>
      <c r="K45" s="73"/>
      <c r="L45" s="73"/>
      <c r="M45" s="73"/>
      <c r="N45" s="73"/>
      <c r="O45" s="73"/>
      <c r="P45" s="73"/>
      <c r="Q45" s="73"/>
      <c r="R45" s="69"/>
      <c r="S45" s="69"/>
      <c r="T45" s="69"/>
    </row>
    <row r="46" spans="3:20" outlineLevel="1">
      <c r="C46" s="80" t="str">
        <f>'Input|Reported opex'!$C$66</f>
        <v>Adjustment 4</v>
      </c>
      <c r="D46" s="68" t="s">
        <v>92</v>
      </c>
      <c r="E46" s="16" t="str">
        <f>'Input|Reported opex'!$E$66</f>
        <v>$millions</v>
      </c>
      <c r="F46" s="101">
        <f>'Input|Reported opex'!$F$66</f>
        <v>45444</v>
      </c>
      <c r="J46" s="69">
        <f>IF(YEAR(J$4)=PPLastYear,'Input|Reported opex'!J66,0)</f>
        <v>0</v>
      </c>
      <c r="K46" s="69">
        <f>IF(YEAR(K$4)=PPLastYear,'Input|Reported opex'!K66,0)</f>
        <v>0</v>
      </c>
      <c r="L46" s="69">
        <f>IF(YEAR(L$4)=PPLastYear,'Input|Reported opex'!L66,0)</f>
        <v>0</v>
      </c>
      <c r="M46" s="69">
        <f>IF(YEAR(M$4)=PPLastYear,'Input|Reported opex'!M66,0)</f>
        <v>0</v>
      </c>
      <c r="N46" s="69">
        <f>IF(YEAR(N$4)=PPLastYear,'Input|Reported opex'!N66,0)</f>
        <v>0</v>
      </c>
      <c r="O46" s="69">
        <f>IF(YEAR(O$4)=PPLastYear,'Input|Reported opex'!O66,0)</f>
        <v>0</v>
      </c>
      <c r="P46" s="69">
        <f>IF(YEAR(P$4)=PPLastYear,'Input|Reported opex'!P66,0)</f>
        <v>0</v>
      </c>
      <c r="Q46" s="69">
        <f>IF(YEAR(Q$4)=PPLastYear,'Input|Reported opex'!Q66,0)</f>
        <v>0</v>
      </c>
      <c r="R46" s="69">
        <f>IF(YEAR(R$4)=PPLastYear,'Input|Reported opex'!R66,0)</f>
        <v>0</v>
      </c>
      <c r="S46" s="69">
        <f>IF(YEAR(S$4)=PPLastYear,'Input|Reported opex'!S66,0)</f>
        <v>0</v>
      </c>
      <c r="T46" s="69"/>
    </row>
    <row r="47" spans="3:20" outlineLevel="1">
      <c r="C47" s="80" t="str">
        <f>C46</f>
        <v>Adjustment 4</v>
      </c>
      <c r="D47" s="16" t="s">
        <v>30</v>
      </c>
      <c r="E47" s="16" t="str">
        <f>$E$8</f>
        <v>$millions</v>
      </c>
      <c r="F47" s="101">
        <f>$F$8</f>
        <v>45444</v>
      </c>
      <c r="J47" s="73">
        <f>J46*IF($F46="nominal",LOOKUP($F47,Nominal_to_Real,'Input|Rate of change'!K$26:K$32),INDEX('Input|Rate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K47" s="73">
        <f>K46*IF($F46="nominal",LOOKUP($F47,Nominal_to_Real,'Input|Rate of change'!L$26:L$32),INDEX('Input|Rate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L47" s="73">
        <f>L46*IF($F46="nominal",LOOKUP($F47,Nominal_to_Real,'Input|Rate of change'!M$26:M$32),INDEX('Input|Rate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M47" s="73">
        <f>M46*IF($F46="nominal",LOOKUP($F47,Nominal_to_Real,'Input|Rate of change'!N$26:N$32),INDEX('Input|Rate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N47" s="73">
        <f>N46*IF($F46="nominal",LOOKUP($F47,Nominal_to_Real,'Input|Rate of change'!O$26:O$32),INDEX('Input|Rate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O47" s="73">
        <f>O46*IF($F46="nominal",LOOKUP($F47,Nominal_to_Real,'Input|Rate of change'!P$26:P$32),INDEX('Input|Rate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P47" s="73">
        <f>P46*IF($F46="nominal",LOOKUP($F47,Nominal_to_Real,'Input|Rate of change'!Q$26:Q$32),INDEX('Input|Rate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Q47" s="73">
        <f>Q46*IF($F46="nominal",LOOKUP($F47,Nominal_to_Real,'Input|Rate of change'!R$26:R$32),INDEX('Input|Rate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R47" s="73">
        <f>R46*IF($F46="nominal",LOOKUP($F47,Nominal_to_Real,'Input|Rate of change'!S$26:S$32),INDEX('Input|Rate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S47" s="73">
        <f>S46*IF($F46="nominal",LOOKUP($F47,Nominal_to_Real,'Input|Rate of change'!T$26:T$32),INDEX('Input|Rate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T47" s="73">
        <f>T46*IF($F46="nominal",LOOKUP($F47,Nominal_to_Real,'Input|Rate of change'!U$26:U$32),INDEX('Input|Rate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</row>
    <row r="48" spans="3:20" outlineLevel="1">
      <c r="C48" s="80"/>
      <c r="F48" s="101"/>
      <c r="J48" s="73"/>
      <c r="K48" s="73"/>
      <c r="L48" s="73"/>
      <c r="M48" s="73"/>
      <c r="N48" s="73"/>
      <c r="O48" s="73"/>
      <c r="P48" s="73"/>
      <c r="Q48" s="73"/>
      <c r="R48" s="69"/>
      <c r="S48" s="69"/>
      <c r="T48" s="69"/>
    </row>
    <row r="49" spans="1:31" outlineLevel="1">
      <c r="C49" s="80" t="str">
        <f>'Input|Reported opex'!$C$67</f>
        <v>Adjustment 5</v>
      </c>
      <c r="D49" s="68" t="s">
        <v>92</v>
      </c>
      <c r="E49" s="16" t="str">
        <f>'Input|Reported opex'!$E$67</f>
        <v>$millions</v>
      </c>
      <c r="F49" s="101">
        <f>'Input|Reported opex'!$F$67</f>
        <v>45444</v>
      </c>
      <c r="J49" s="69">
        <f>IF(YEAR(J$4)=PPLastYear,'Input|Reported opex'!J67,0)</f>
        <v>0</v>
      </c>
      <c r="K49" s="69">
        <f>IF(YEAR(K$4)=PPLastYear,'Input|Reported opex'!K67,0)</f>
        <v>0</v>
      </c>
      <c r="L49" s="69">
        <f>IF(YEAR(L$4)=PPLastYear,'Input|Reported opex'!L67,0)</f>
        <v>0</v>
      </c>
      <c r="M49" s="69">
        <f>IF(YEAR(M$4)=PPLastYear,'Input|Reported opex'!M67,0)</f>
        <v>0</v>
      </c>
      <c r="N49" s="69">
        <f>IF(YEAR(N$4)=PPLastYear,'Input|Reported opex'!N67,0)</f>
        <v>0</v>
      </c>
      <c r="O49" s="69">
        <f>IF(YEAR(O$4)=PPLastYear,'Input|Reported opex'!O67,0)</f>
        <v>0</v>
      </c>
      <c r="P49" s="69">
        <f>IF(YEAR(P$4)=PPLastYear,'Input|Reported opex'!P67,0)</f>
        <v>0</v>
      </c>
      <c r="Q49" s="69">
        <f>IF(YEAR(Q$4)=PPLastYear,'Input|Reported opex'!Q67,0)</f>
        <v>0</v>
      </c>
      <c r="R49" s="69">
        <f>IF(YEAR(R$4)=PPLastYear,'Input|Reported opex'!R67,0)</f>
        <v>0</v>
      </c>
      <c r="S49" s="69">
        <f>IF(YEAR(S$4)=PPLastYear,'Input|Reported opex'!S67,0)</f>
        <v>0</v>
      </c>
      <c r="T49" s="69"/>
    </row>
    <row r="50" spans="1:31" outlineLevel="1">
      <c r="C50" s="80" t="str">
        <f>C49</f>
        <v>Adjustment 5</v>
      </c>
      <c r="D50" s="16" t="s">
        <v>30</v>
      </c>
      <c r="E50" s="16" t="str">
        <f>$E$8</f>
        <v>$millions</v>
      </c>
      <c r="F50" s="101">
        <f>$F$8</f>
        <v>45444</v>
      </c>
      <c r="J50" s="73">
        <f>J49*IF($F49="nominal",LOOKUP($F50,Nominal_to_Real,'Input|Rate of change'!K$26:K$32),INDEX('Input|Rate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K50" s="73">
        <f>K49*IF($F49="nominal",LOOKUP($F50,Nominal_to_Real,'Input|Rate of change'!L$26:L$32),INDEX('Input|Rate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L50" s="73">
        <f>L49*IF($F49="nominal",LOOKUP($F50,Nominal_to_Real,'Input|Rate of change'!M$26:M$32),INDEX('Input|Rate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M50" s="73">
        <f>M49*IF($F49="nominal",LOOKUP($F50,Nominal_to_Real,'Input|Rate of change'!N$26:N$32),INDEX('Input|Rate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N50" s="73">
        <f>N49*IF($F49="nominal",LOOKUP($F50,Nominal_to_Real,'Input|Rate of change'!O$26:O$32),INDEX('Input|Rate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O50" s="73">
        <f>O49*IF($F49="nominal",LOOKUP($F50,Nominal_to_Real,'Input|Rate of change'!P$26:P$32),INDEX('Input|Rate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P50" s="73">
        <f>P49*IF($F49="nominal",LOOKUP($F50,Nominal_to_Real,'Input|Rate of change'!Q$26:Q$32),INDEX('Input|Rate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Q50" s="73">
        <f>Q49*IF($F49="nominal",LOOKUP($F50,Nominal_to_Real,'Input|Rate of change'!R$26:R$32),INDEX('Input|Rate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R50" s="73">
        <f>R49*IF($F49="nominal",LOOKUP($F50,Nominal_to_Real,'Input|Rate of change'!S$26:S$32),INDEX('Input|Rate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S50" s="73">
        <f>S49*IF($F49="nominal",LOOKUP($F50,Nominal_to_Real,'Input|Rate of change'!T$26:T$32),INDEX('Input|Rate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T50" s="73">
        <f>T49*IF($F49="nominal",LOOKUP($F50,Nominal_to_Real,'Input|Rate of change'!U$26:U$32),INDEX('Input|Rate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</row>
    <row r="51" spans="1:31" outlineLevel="1">
      <c r="C51" s="80"/>
      <c r="F51" s="101"/>
      <c r="J51" s="73"/>
      <c r="K51" s="73"/>
      <c r="L51" s="73"/>
      <c r="M51" s="73"/>
      <c r="N51" s="73"/>
      <c r="O51" s="73"/>
      <c r="P51" s="73"/>
      <c r="Q51" s="73"/>
      <c r="R51" s="73"/>
      <c r="S51" s="73"/>
      <c r="T51" s="73"/>
    </row>
    <row r="52" spans="1:31" outlineLevel="1">
      <c r="C52" s="80" t="s">
        <v>89</v>
      </c>
      <c r="D52" s="16" t="s">
        <v>98</v>
      </c>
      <c r="E52" s="16" t="str">
        <f>$E$8</f>
        <v>$millions</v>
      </c>
      <c r="F52" s="101">
        <f>$F$8</f>
        <v>45444</v>
      </c>
      <c r="J52" s="73">
        <f>SUM(J33,J38,J41,J44,J47,J50)*'Input|Reported opex'!J71</f>
        <v>0</v>
      </c>
      <c r="K52" s="73">
        <f>SUM(K33,K38,K41,K44,K47,K50)*'Input|Reported opex'!K71</f>
        <v>0</v>
      </c>
      <c r="L52" s="73">
        <f>SUM(L33,L38,L41,L44,L47,L50)*'Input|Reported opex'!L71</f>
        <v>0</v>
      </c>
      <c r="M52" s="73">
        <f>SUM(M33,M38,M41,M44,M47,M50)*'Input|Reported opex'!M71</f>
        <v>0</v>
      </c>
      <c r="N52" s="73">
        <f ca="1">SUM(N33,N38,N41,N44,N47,N50)*'Input|Reported opex'!N71</f>
        <v>0</v>
      </c>
      <c r="O52" s="73">
        <f>SUM(O33,O38,O41,O44,O47,O50)*'Input|Reported opex'!O71</f>
        <v>0</v>
      </c>
      <c r="P52" s="73">
        <f>SUM(P33,P38,P41,P44,P47,P50)*'Input|Reported opex'!P71</f>
        <v>0</v>
      </c>
      <c r="Q52" s="73">
        <f>SUM(Q33,Q38,Q41,Q44,Q47,Q50)*'Input|Reported opex'!Q71</f>
        <v>0</v>
      </c>
      <c r="R52" s="73">
        <f>SUM(R33,R38,R41,R44,R47,R50)*'Input|Reported opex'!R71</f>
        <v>0</v>
      </c>
      <c r="S52" s="73">
        <f>SUM(S33,S38,S41,S44,S47,S50)*'Input|Reported opex'!S71</f>
        <v>0</v>
      </c>
      <c r="T52" s="73"/>
    </row>
    <row r="53" spans="1:31" outlineLevel="1">
      <c r="C53" s="80"/>
      <c r="F53" s="101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</row>
    <row r="54" spans="1:31" outlineLevel="1">
      <c r="C54" s="106" t="s">
        <v>166</v>
      </c>
      <c r="D54" s="70" t="s">
        <v>98</v>
      </c>
      <c r="E54" s="70" t="str">
        <f>$E$8</f>
        <v>$millions</v>
      </c>
      <c r="F54" s="107">
        <f>$F$8</f>
        <v>45444</v>
      </c>
      <c r="J54" s="73">
        <f>SUM(J33,J35,J38,J41,J44,J47,J50,J52)</f>
        <v>0</v>
      </c>
      <c r="K54" s="73">
        <f t="shared" ref="K54:S54" si="5">SUM(K33,K35,K38,K41,K44,K47,K50,K52)</f>
        <v>0</v>
      </c>
      <c r="L54" s="73">
        <f t="shared" si="5"/>
        <v>0</v>
      </c>
      <c r="M54" s="73">
        <f t="shared" si="5"/>
        <v>0</v>
      </c>
      <c r="N54" s="73">
        <f t="shared" ca="1" si="5"/>
        <v>436.25493671315121</v>
      </c>
      <c r="O54" s="73">
        <f t="shared" si="5"/>
        <v>0</v>
      </c>
      <c r="P54" s="73">
        <f t="shared" si="5"/>
        <v>0</v>
      </c>
      <c r="Q54" s="73">
        <f t="shared" si="5"/>
        <v>0</v>
      </c>
      <c r="R54" s="73">
        <f t="shared" si="5"/>
        <v>0</v>
      </c>
      <c r="S54" s="73">
        <f t="shared" si="5"/>
        <v>0</v>
      </c>
      <c r="T54" s="73"/>
    </row>
    <row r="55" spans="1:31">
      <c r="J55" s="67"/>
      <c r="K55" s="67"/>
      <c r="L55" s="67"/>
    </row>
    <row r="56" spans="1:31" customFormat="1" ht="12.75">
      <c r="A56" s="34"/>
      <c r="B56" s="40" t="s">
        <v>87</v>
      </c>
      <c r="C56" s="34"/>
      <c r="D56" s="34"/>
      <c r="E56" s="34"/>
      <c r="F56" s="35"/>
      <c r="G56" s="35"/>
      <c r="H56" s="35"/>
      <c r="I56" s="35"/>
      <c r="J56" s="36"/>
      <c r="K56" s="37"/>
      <c r="L56" s="36"/>
      <c r="M56" s="37"/>
      <c r="N56" s="36"/>
      <c r="O56" s="36"/>
      <c r="P56" s="36"/>
      <c r="Q56" s="36"/>
      <c r="R56" s="36"/>
      <c r="S56" s="36"/>
      <c r="T56" s="36"/>
      <c r="U56" s="36"/>
      <c r="V56" s="36"/>
      <c r="W56" s="37"/>
      <c r="X56" s="37"/>
      <c r="Y56" s="38"/>
      <c r="Z56" s="38"/>
      <c r="AA56" s="38"/>
      <c r="AB56" s="38"/>
      <c r="AC56" s="38"/>
      <c r="AD56" s="39"/>
      <c r="AE56" s="39"/>
    </row>
    <row r="57" spans="1:31" outlineLevel="1"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</row>
    <row r="58" spans="1:31" outlineLevel="1">
      <c r="C58" s="9" t="s">
        <v>42</v>
      </c>
      <c r="D58" s="21" t="s">
        <v>7</v>
      </c>
      <c r="E58" s="21" t="s">
        <v>8</v>
      </c>
      <c r="F58" s="21" t="s">
        <v>22</v>
      </c>
      <c r="J58" s="102" t="str">
        <f>IF(YEAR(J$4)&gt;='Input|General'!$G$13,IF(YEAR(J$4)&lt;='Input|General'!$G$14,J$4,""),"")</f>
        <v/>
      </c>
      <c r="K58" s="102" t="str">
        <f>IF(YEAR(K$4)&gt;='Input|General'!$G$13,IF(YEAR(K$4)&lt;='Input|General'!$G$14,K$4,""),"")</f>
        <v/>
      </c>
      <c r="L58" s="102" t="str">
        <f>IF(YEAR(L$4)&gt;='Input|General'!$G$13,IF(YEAR(L$4)&lt;='Input|General'!$G$14,L$4,""),"")</f>
        <v/>
      </c>
      <c r="M58" s="102" t="str">
        <f>IF(YEAR(M$4)&gt;='Input|General'!$G$13,IF(YEAR(M$4)&lt;='Input|General'!$G$14,M$4,""),"")</f>
        <v/>
      </c>
      <c r="N58" s="102" t="str">
        <f>IF(YEAR(N$4)&gt;='Input|General'!$G$13,IF(YEAR(N$4)&lt;='Input|General'!$G$14,N$4,""),"")</f>
        <v/>
      </c>
      <c r="O58" s="102">
        <f>IF(YEAR(O$4)&gt;='Input|General'!$G$13,IF(YEAR(O$4)&lt;='Input|General'!$G$14,O$4,""),"")</f>
        <v>45809</v>
      </c>
      <c r="P58" s="102">
        <f>IF(YEAR(P$4)&gt;='Input|General'!$G$13,IF(YEAR(P$4)&lt;='Input|General'!$G$14,P$4,""),"")</f>
        <v>46174</v>
      </c>
      <c r="Q58" s="102">
        <f>IF(YEAR(Q$4)&gt;='Input|General'!$G$13,IF(YEAR(Q$4)&lt;='Input|General'!$G$14,Q$4,""),"")</f>
        <v>46539</v>
      </c>
      <c r="R58" s="102">
        <f>IF(YEAR(R$4)&gt;='Input|General'!$G$13,IF(YEAR(R$4)&lt;='Input|General'!$G$14,R$4,""),"")</f>
        <v>46905</v>
      </c>
      <c r="S58" s="102">
        <f>IF(YEAR(S$4)&gt;='Input|General'!$G$13,IF(YEAR(S$4)&lt;='Input|General'!$G$14,S$4,""),"")</f>
        <v>47270</v>
      </c>
      <c r="T58" s="102" t="str">
        <f>IF(YEAR(T$4)&gt;='Input|General'!$G$13,IF(YEAR(T$4)&lt;='Input|General'!$G$14,T$4,""),"")</f>
        <v/>
      </c>
    </row>
    <row r="59" spans="1:31" outlineLevel="1">
      <c r="C59" s="9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</row>
    <row r="60" spans="1:31" outlineLevel="1">
      <c r="B60" s="9"/>
      <c r="C60" s="74"/>
      <c r="J60" s="67"/>
      <c r="K60" s="67"/>
      <c r="L60" s="67"/>
      <c r="M60" s="67"/>
      <c r="N60" s="67"/>
      <c r="O60" s="211"/>
      <c r="P60" s="211"/>
      <c r="Q60" s="211"/>
      <c r="R60" s="211"/>
      <c r="S60" s="211"/>
      <c r="T60" s="67"/>
    </row>
    <row r="61" spans="1:31" outlineLevel="1">
      <c r="C61" s="15" t="s">
        <v>182</v>
      </c>
      <c r="D61" s="16" t="s">
        <v>30</v>
      </c>
      <c r="E61" s="16" t="s">
        <v>31</v>
      </c>
      <c r="F61" s="16" t="s">
        <v>36</v>
      </c>
      <c r="J61" s="75">
        <f ca="1">IF(J58=J4,AVERAGE(OFFSET('Input|Rate of change'!K106,0,0,COUNTA('Input|Rate of change'!$J$93:$M$93),1)),0)</f>
        <v>0</v>
      </c>
      <c r="K61" s="75">
        <f ca="1">IF(K58=K4,AVERAGE(OFFSET('Input|Rate of change'!L106,0,0,COUNTA('Input|Rate of change'!$J$93:$M$93),1)),0)</f>
        <v>0</v>
      </c>
      <c r="L61" s="75">
        <f ca="1">IF(L58=L4,AVERAGE(OFFSET('Input|Rate of change'!M106,0,0,COUNTA('Input|Rate of change'!$J$93:$M$93),1)),0)</f>
        <v>0</v>
      </c>
      <c r="M61" s="75">
        <f ca="1">IF(M58=M4,AVERAGE(OFFSET('Input|Rate of change'!N106,0,0,COUNTA('Input|Rate of change'!$J$93:$M$93),1)),0)</f>
        <v>0</v>
      </c>
      <c r="N61" s="75">
        <f ca="1">IF(N58=N4,AVERAGE(OFFSET('Input|Rate of change'!O106,0,0,COUNTA('Input|Rate of change'!$J$93:$M$93),1)),0)</f>
        <v>0</v>
      </c>
      <c r="O61" s="75">
        <f ca="1">IF(O58=O4,AVERAGE(OFFSET('Input|Rate of change'!P106,0,0,COUNTA('Input|Rate of change'!$J$93:$M$93),1)),0)</f>
        <v>7.3413612316201252E-3</v>
      </c>
      <c r="P61" s="75">
        <f ca="1">IF(P58=P4,AVERAGE(OFFSET('Input|Rate of change'!Q106,0,0,COUNTA('Input|Rate of change'!$J$93:$M$93),1)),0)</f>
        <v>7.2959999910482574E-3</v>
      </c>
      <c r="Q61" s="75">
        <f ca="1">IF(Q58=Q4,AVERAGE(OFFSET('Input|Rate of change'!R106,0,0,COUNTA('Input|Rate of change'!$J$93:$M$93),1)),0)</f>
        <v>7.2432882530439734E-3</v>
      </c>
      <c r="R61" s="75">
        <f ca="1">IF(R58=R4,AVERAGE(OFFSET('Input|Rate of change'!S106,0,0,COUNTA('Input|Rate of change'!$J$93:$M$93),1)),0)</f>
        <v>7.188299314801248E-3</v>
      </c>
      <c r="S61" s="75">
        <f ca="1">IF(S58=S4,AVERAGE(OFFSET('Input|Rate of change'!T106,0,0,COUNTA('Input|Rate of change'!$J$93:$M$93),1)),0)</f>
        <v>7.1314575691084087E-3</v>
      </c>
      <c r="T61" s="75">
        <f ca="1">IF(T58=T4,AVERAGE(OFFSET('Input|Rate of change'!U106,0,0,COUNTA('Input|Rate of change'!$J$93:$M$93),1)),0)</f>
        <v>0</v>
      </c>
    </row>
    <row r="62" spans="1:31" outlineLevel="1">
      <c r="C62" s="15" t="s">
        <v>185</v>
      </c>
      <c r="D62" s="16" t="s">
        <v>30</v>
      </c>
      <c r="E62" s="16" t="s">
        <v>31</v>
      </c>
      <c r="F62" s="16" t="s">
        <v>36</v>
      </c>
      <c r="J62" s="75">
        <f t="array" ref="J62">IF(J$58=J$4,PRODUCT(1+$J61:J61)-1,0)</f>
        <v>0</v>
      </c>
      <c r="K62" s="75">
        <f t="array" ref="K62">IF(K$58=K$4,PRODUCT(1+$J61:K61)-1,0)</f>
        <v>0</v>
      </c>
      <c r="L62" s="75">
        <f t="array" ref="L62">IF(L$58=L$4,PRODUCT(1+$J61:L61)-1,0)</f>
        <v>0</v>
      </c>
      <c r="M62" s="75">
        <f t="array" ref="M62">IF(M$58=M$4,PRODUCT(1+$J61:M61)-1,0)</f>
        <v>0</v>
      </c>
      <c r="N62" s="75">
        <f t="array" ref="N62">IF(N$58=N$4,PRODUCT(1+$J61:N61)-1,0)</f>
        <v>0</v>
      </c>
      <c r="O62" s="75">
        <f t="array" aca="1" ref="O62" ca="1">IF(O$58=O$4,PRODUCT(1+$J61:O61)-1,0)</f>
        <v>7.3413612316202137E-3</v>
      </c>
      <c r="P62" s="75">
        <f t="array" aca="1" ref="P62" ca="1">IF(P$58=P$4,PRODUCT(1+$J61:P61)-1,0)</f>
        <v>1.4690923794148603E-2</v>
      </c>
      <c r="Q62" s="75">
        <f t="array" aca="1" ref="Q62" ca="1">IF(Q$58=Q$4,PRODUCT(1+$J61:Q61)-1,0)</f>
        <v>2.2040622642937047E-2</v>
      </c>
      <c r="R62" s="75">
        <f t="array" aca="1" ref="R62" ca="1">IF(R$58=R$4,PRODUCT(1+$J61:R61)-1,0)</f>
        <v>2.9387356550380161E-2</v>
      </c>
      <c r="S62" s="75">
        <f t="array" aca="1" ref="S62" ca="1">IF(S$58=S$4,PRODUCT(1+$J61:S61)-1,0)</f>
        <v>3.6728388805795875E-2</v>
      </c>
      <c r="T62" s="75">
        <f t="array" ref="T62">IF(T$58=T$4,PRODUCT(1+$J61:T61)-1,0)</f>
        <v>0</v>
      </c>
    </row>
    <row r="63" spans="1:31" outlineLevel="1"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</row>
    <row r="64" spans="1:31" outlineLevel="1">
      <c r="C64" s="15" t="s">
        <v>183</v>
      </c>
      <c r="D64" s="16" t="s">
        <v>30</v>
      </c>
      <c r="E64" s="16" t="s">
        <v>31</v>
      </c>
      <c r="F64" s="16" t="s">
        <v>36</v>
      </c>
      <c r="J64" s="75">
        <f>SUMPRODUCT('Input|Rate of change'!K38:K45,'Input|Rate of change'!K51:K58)</f>
        <v>0</v>
      </c>
      <c r="K64" s="75">
        <f>SUMPRODUCT('Input|Rate of change'!L38:L45,'Input|Rate of change'!L51:L58)</f>
        <v>0</v>
      </c>
      <c r="L64" s="75">
        <f>SUMPRODUCT('Input|Rate of change'!M38:M45,'Input|Rate of change'!M51:M58)</f>
        <v>0</v>
      </c>
      <c r="M64" s="75">
        <f>SUMPRODUCT('Input|Rate of change'!N38:N45,'Input|Rate of change'!N51:N58)</f>
        <v>0</v>
      </c>
      <c r="N64" s="75">
        <f>SUMPRODUCT('Input|Rate of change'!O38:O45,'Input|Rate of change'!O51:O58)</f>
        <v>0</v>
      </c>
      <c r="O64" s="75">
        <f>SUMPRODUCT('Input|Rate of change'!P38:P45,'Input|Rate of change'!P51:P58)</f>
        <v>7.3995837611775502E-3</v>
      </c>
      <c r="P64" s="75">
        <f>SUMPRODUCT('Input|Rate of change'!Q38:Q45,'Input|Rate of change'!Q51:Q58)</f>
        <v>8.2636729610960861E-3</v>
      </c>
      <c r="Q64" s="75">
        <f>SUMPRODUCT('Input|Rate of change'!R38:R45,'Input|Rate of change'!R51:R58)</f>
        <v>5.0460499889223125E-3</v>
      </c>
      <c r="R64" s="75">
        <f>SUMPRODUCT('Input|Rate of change'!S38:S45,'Input|Rate of change'!S51:S58)</f>
        <v>4.2812973960390669E-3</v>
      </c>
      <c r="S64" s="75">
        <f>SUMPRODUCT('Input|Rate of change'!T38:T45,'Input|Rate of change'!T51:T58)</f>
        <v>5.5538413028924831E-3</v>
      </c>
      <c r="T64" s="75">
        <f>SUMPRODUCT('Input|Rate of change'!U38:U45,'Input|Rate of change'!U51:U58)</f>
        <v>0</v>
      </c>
    </row>
    <row r="65" spans="1:31" outlineLevel="1">
      <c r="C65" s="15" t="s">
        <v>186</v>
      </c>
      <c r="D65" s="16" t="s">
        <v>30</v>
      </c>
      <c r="E65" s="16" t="s">
        <v>31</v>
      </c>
      <c r="F65" s="16" t="s">
        <v>36</v>
      </c>
      <c r="J65" s="75">
        <f t="array" ref="J65">IF(J$58=J$4,PRODUCT(1+$J64:J64)-1,0)</f>
        <v>0</v>
      </c>
      <c r="K65" s="75">
        <f t="array" ref="K65">IF(K$58=K$4,PRODUCT(1+$J64:K64)-1,0)</f>
        <v>0</v>
      </c>
      <c r="L65" s="75">
        <f t="array" ref="L65">IF(L$58=L$4,PRODUCT(1+$J64:L64)-1,0)</f>
        <v>0</v>
      </c>
      <c r="M65" s="75">
        <f t="array" ref="M65">IF(M$58=M$4,PRODUCT(1+$J64:M64)-1,0)</f>
        <v>0</v>
      </c>
      <c r="N65" s="75">
        <f t="array" ref="N65">IF(N$58=N$4,PRODUCT(1+$J64:N64)-1,0)</f>
        <v>0</v>
      </c>
      <c r="O65" s="75">
        <f t="array" ref="O65">IF(O$58=O$4,PRODUCT(1+$J64:O64)-1,0)</f>
        <v>7.3995837611775528E-3</v>
      </c>
      <c r="P65" s="75">
        <f t="array" ref="P65">IF(P$58=P$4,PRODUCT(1+$J64:P64)-1,0)</f>
        <v>1.5724404462524211E-2</v>
      </c>
      <c r="Q65" s="75">
        <f t="array" ref="Q65">IF(Q$58=Q$4,PRODUCT(1+$J64:Q64)-1,0)</f>
        <v>2.0849800582410261E-2</v>
      </c>
      <c r="R65" s="75">
        <f t="array" ref="R65">IF(R$58=R$4,PRODUCT(1+$J64:R64)-1,0)</f>
        <v>2.5220362175390809E-2</v>
      </c>
      <c r="S65" s="75">
        <f t="array" ref="S65">IF(S$58=S$4,PRODUCT(1+$J64:S64)-1,0)</f>
        <v>3.0914273367406819E-2</v>
      </c>
      <c r="T65" s="75">
        <f t="array" ref="T65">IF(T$58=T$4,PRODUCT(1+$J64:T64)-1,0)</f>
        <v>0</v>
      </c>
    </row>
    <row r="66" spans="1:31" outlineLevel="1">
      <c r="C66" s="15"/>
      <c r="J66" s="75"/>
      <c r="K66" s="75"/>
      <c r="L66" s="75"/>
      <c r="M66" s="75"/>
      <c r="N66" s="75"/>
      <c r="O66" s="212"/>
      <c r="P66" s="212"/>
      <c r="Q66" s="212"/>
      <c r="R66" s="212"/>
      <c r="S66" s="212"/>
      <c r="T66" s="75"/>
    </row>
    <row r="67" spans="1:31" outlineLevel="1">
      <c r="C67" s="15" t="s">
        <v>184</v>
      </c>
      <c r="D67" s="16" t="s">
        <v>30</v>
      </c>
      <c r="E67" s="16" t="s">
        <v>31</v>
      </c>
      <c r="F67" s="16" t="s">
        <v>36</v>
      </c>
      <c r="J67" s="75">
        <f>'Input|Rate of change'!K115</f>
        <v>0</v>
      </c>
      <c r="K67" s="75">
        <f>'Input|Rate of change'!L115</f>
        <v>0</v>
      </c>
      <c r="L67" s="75">
        <f>'Input|Rate of change'!M115</f>
        <v>0</v>
      </c>
      <c r="M67" s="75">
        <f>'Input|Rate of change'!N115</f>
        <v>0</v>
      </c>
      <c r="N67" s="75">
        <f>'Input|Rate of change'!O115</f>
        <v>0</v>
      </c>
      <c r="O67" s="75">
        <f>'Input|Rate of change'!P115</f>
        <v>5.0000000000000001E-3</v>
      </c>
      <c r="P67" s="75">
        <f>'Input|Rate of change'!Q115</f>
        <v>5.0000000000000001E-3</v>
      </c>
      <c r="Q67" s="75">
        <f>'Input|Rate of change'!R115</f>
        <v>5.0000000000000001E-3</v>
      </c>
      <c r="R67" s="75">
        <f>'Input|Rate of change'!S115</f>
        <v>5.0000000000000001E-3</v>
      </c>
      <c r="S67" s="75">
        <f>'Input|Rate of change'!T115</f>
        <v>5.0000000000000001E-3</v>
      </c>
      <c r="T67" s="75">
        <f>'Input|Rate of change'!U115</f>
        <v>0</v>
      </c>
    </row>
    <row r="68" spans="1:31" outlineLevel="1">
      <c r="C68" s="15" t="s">
        <v>187</v>
      </c>
      <c r="D68" s="16" t="s">
        <v>30</v>
      </c>
      <c r="E68" s="16" t="s">
        <v>31</v>
      </c>
      <c r="F68" s="16" t="s">
        <v>36</v>
      </c>
      <c r="J68" s="75">
        <f t="array" ref="J68">IF(J$58=J$4,PRODUCT(1+$J67:J67)-1,0)</f>
        <v>0</v>
      </c>
      <c r="K68" s="75">
        <f t="array" ref="K68">IF(K$58=K$4,PRODUCT(1+$J67:K67)-1,0)</f>
        <v>0</v>
      </c>
      <c r="L68" s="75">
        <f t="array" ref="L68">IF(L$58=L$4,PRODUCT(1+$J67:L67)-1,0)</f>
        <v>0</v>
      </c>
      <c r="M68" s="75">
        <f t="array" ref="M68">IF(M$58=M$4,PRODUCT(1+$J67:M67)-1,0)</f>
        <v>0</v>
      </c>
      <c r="N68" s="75">
        <f t="array" ref="N68">IF(N$58=N$4,PRODUCT(1+$J67:N67)-1,0)</f>
        <v>0</v>
      </c>
      <c r="O68" s="75">
        <f t="array" ref="O68">IF(O$58=O$4,PRODUCT(1+$J67:O67)-1,0)</f>
        <v>4.9999999999998934E-3</v>
      </c>
      <c r="P68" s="75">
        <f t="array" ref="P68">IF(P$58=P$4,PRODUCT(1+$J67:P67)-1,0)</f>
        <v>1.0024999999999729E-2</v>
      </c>
      <c r="Q68" s="75">
        <f t="array" ref="Q68">IF(Q$58=Q$4,PRODUCT(1+$J67:Q67)-1,0)</f>
        <v>1.5075124999999634E-2</v>
      </c>
      <c r="R68" s="75">
        <f t="array" ref="R68">IF(R$58=R$4,PRODUCT(1+$J67:R67)-1,0)</f>
        <v>2.0150500624999568E-2</v>
      </c>
      <c r="S68" s="75">
        <f t="array" ref="S68">IF(S$58=S$4,PRODUCT(1+$J67:S67)-1,0)</f>
        <v>2.5251253128124374E-2</v>
      </c>
      <c r="T68" s="75">
        <f t="array" ref="T68">IF(T$58=T$4,PRODUCT(1+$J67:T67)-1,0)</f>
        <v>0</v>
      </c>
    </row>
    <row r="69" spans="1:31" outlineLevel="1">
      <c r="C69" s="15"/>
      <c r="J69" s="67"/>
      <c r="K69" s="67"/>
      <c r="L69" s="67"/>
      <c r="M69" s="67"/>
      <c r="N69" s="67"/>
      <c r="O69" s="67"/>
      <c r="P69" s="67"/>
      <c r="Q69" s="67"/>
      <c r="R69" s="67"/>
      <c r="S69" s="67"/>
      <c r="T69" s="67"/>
    </row>
    <row r="70" spans="1:31" outlineLevel="1">
      <c r="C70" s="76" t="s">
        <v>136</v>
      </c>
      <c r="D70" s="72" t="s">
        <v>30</v>
      </c>
      <c r="E70" s="72" t="s">
        <v>31</v>
      </c>
      <c r="F70" s="72" t="s">
        <v>36</v>
      </c>
      <c r="J70" s="91">
        <f ca="1">(1+J61)*(1+J64)*(1-J67)-1</f>
        <v>0</v>
      </c>
      <c r="K70" s="91">
        <f t="shared" ref="K70:S70" ca="1" si="6">(1+K61)*(1+K64)*(1-K67)-1</f>
        <v>0</v>
      </c>
      <c r="L70" s="91">
        <f t="shared" ca="1" si="6"/>
        <v>0</v>
      </c>
      <c r="M70" s="91">
        <f t="shared" ca="1" si="6"/>
        <v>0</v>
      </c>
      <c r="N70" s="91">
        <f t="shared" ca="1" si="6"/>
        <v>0</v>
      </c>
      <c r="O70" s="91">
        <f t="shared" ca="1" si="6"/>
        <v>9.7212916701014951E-3</v>
      </c>
      <c r="P70" s="91">
        <f t="shared" ca="1" si="6"/>
        <v>1.0541864886444596E-2</v>
      </c>
      <c r="Q70" s="91">
        <f t="shared" ca="1" si="6"/>
        <v>7.2642587953923865E-3</v>
      </c>
      <c r="R70" s="91">
        <f t="shared" ca="1" si="6"/>
        <v>6.4428700981888909E-3</v>
      </c>
      <c r="S70" s="91">
        <f t="shared" ca="1" si="6"/>
        <v>7.6612813263199353E-3</v>
      </c>
      <c r="T70" s="91">
        <f t="shared" ref="T70" ca="1" si="7">(1+T61)*(1+T64)*(1-T67)-1</f>
        <v>0</v>
      </c>
    </row>
    <row r="71" spans="1:31" outlineLevel="1">
      <c r="C71" s="9" t="s">
        <v>137</v>
      </c>
      <c r="D71" s="16" t="s">
        <v>30</v>
      </c>
      <c r="E71" s="16" t="s">
        <v>31</v>
      </c>
      <c r="F71" s="16" t="s">
        <v>36</v>
      </c>
      <c r="J71" s="75" t="str">
        <f t="array" ref="J71">IF(J$58=J$4,PRODUCT(1+$J70:J70)-1,"")</f>
        <v/>
      </c>
      <c r="K71" s="75" t="str">
        <f t="array" ref="K71">IF(K$58=K$4,PRODUCT(1+$J70:K70)-1,"")</f>
        <v/>
      </c>
      <c r="L71" s="75" t="str">
        <f t="array" ref="L71">IF(L$58=L$4,PRODUCT(1+$J70:L70)-1,"")</f>
        <v/>
      </c>
      <c r="M71" s="75" t="str">
        <f t="array" ref="M71">IF(M$58=M$4,PRODUCT(1+$J70:M70)-1,"")</f>
        <v/>
      </c>
      <c r="N71" s="75" t="str">
        <f t="array" ref="N71">IF(N$58=N$4,PRODUCT(1+$J70:N70)-1,"")</f>
        <v/>
      </c>
      <c r="O71" s="75">
        <f t="array" aca="1" ref="O71" ca="1">IF(O$58=O$4,PRODUCT(1+$J70:O70)-1,"")</f>
        <v>9.7212916701014951E-3</v>
      </c>
      <c r="P71" s="75">
        <f t="array" aca="1" ref="P71" ca="1">IF(P$58=P$4,PRODUCT(1+$J70:P70)-1,"")</f>
        <v>2.036563709985395E-2</v>
      </c>
      <c r="Q71" s="75">
        <f t="array" aca="1" ref="Q71" ca="1">IF(Q$58=Q$4,PRODUCT(1+$J70:Q70)-1,"")</f>
        <v>2.7777837153672769E-2</v>
      </c>
      <c r="R71" s="75">
        <f t="array" aca="1" ref="R71" ca="1">IF(R$58=R$4,PRODUCT(1+$J70:R70)-1,"")</f>
        <v>3.4399676248251465E-2</v>
      </c>
      <c r="S71" s="75">
        <f t="array" aca="1" ref="S71" ca="1">IF(S$58=S$4,PRODUCT(1+$J70:S70)-1,"")</f>
        <v>4.2324503171843553E-2</v>
      </c>
      <c r="T71" s="75" t="str">
        <f t="array" ref="T71">IF(T$58=T$4,PRODUCT(1+$J70:T70)-1,"")</f>
        <v/>
      </c>
    </row>
    <row r="72" spans="1:31">
      <c r="J72" s="67"/>
      <c r="K72" s="67"/>
      <c r="L72" s="67"/>
      <c r="M72" s="67"/>
      <c r="N72" s="67"/>
      <c r="O72" s="211"/>
      <c r="P72" s="211"/>
      <c r="Q72" s="211"/>
      <c r="R72" s="211"/>
      <c r="S72" s="211"/>
      <c r="T72" s="77"/>
    </row>
    <row r="73" spans="1:31" customFormat="1" ht="12.75">
      <c r="A73" s="34"/>
      <c r="B73" s="40" t="s">
        <v>90</v>
      </c>
      <c r="C73" s="34"/>
      <c r="D73" s="34"/>
      <c r="E73" s="34"/>
      <c r="F73" s="35"/>
      <c r="G73" s="35"/>
      <c r="H73" s="35"/>
      <c r="I73" s="35"/>
      <c r="J73" s="36"/>
      <c r="K73" s="37"/>
      <c r="L73" s="36"/>
      <c r="M73" s="37"/>
      <c r="N73" s="36"/>
      <c r="O73" s="36"/>
      <c r="P73" s="36"/>
      <c r="Q73" s="36"/>
      <c r="R73" s="36"/>
      <c r="S73" s="36"/>
      <c r="T73" s="36"/>
      <c r="U73" s="36"/>
      <c r="V73" s="36"/>
      <c r="W73" s="37"/>
      <c r="X73" s="37"/>
      <c r="Y73" s="38"/>
      <c r="Z73" s="38"/>
      <c r="AA73" s="38"/>
      <c r="AB73" s="38"/>
      <c r="AC73" s="38"/>
      <c r="AD73" s="39"/>
      <c r="AE73" s="39"/>
    </row>
    <row r="74" spans="1:31" outlineLevel="1">
      <c r="C74" s="15"/>
      <c r="J74" s="67"/>
      <c r="K74" s="67"/>
      <c r="L74" s="67"/>
    </row>
    <row r="75" spans="1:31" outlineLevel="1">
      <c r="C75" s="9" t="s">
        <v>102</v>
      </c>
      <c r="D75" s="21" t="s">
        <v>7</v>
      </c>
      <c r="E75" s="21" t="s">
        <v>8</v>
      </c>
      <c r="F75" s="21" t="s">
        <v>22</v>
      </c>
      <c r="J75" s="102" t="str">
        <f>IF(YEAR(J$4)&gt;='Input|General'!$G$13,IF(YEAR(J$4)&lt;='Input|General'!$G$14,J$4,""),"")</f>
        <v/>
      </c>
      <c r="K75" s="102" t="str">
        <f>IF(YEAR(K$4)&gt;='Input|General'!$G$13,IF(YEAR(K$4)&lt;='Input|General'!$G$14,K$4,""),"")</f>
        <v/>
      </c>
      <c r="L75" s="102" t="str">
        <f>IF(YEAR(L$4)&gt;='Input|General'!$G$13,IF(YEAR(L$4)&lt;='Input|General'!$G$14,L$4,""),"")</f>
        <v/>
      </c>
      <c r="M75" s="102" t="str">
        <f>IF(YEAR(M$4)&gt;='Input|General'!$G$13,IF(YEAR(M$4)&lt;='Input|General'!$G$14,M$4,""),"")</f>
        <v/>
      </c>
      <c r="N75" s="102" t="str">
        <f>IF(YEAR(N$4)&gt;='Input|General'!$G$13,IF(YEAR(N$4)&lt;='Input|General'!$G$14,N$4,""),"")</f>
        <v/>
      </c>
      <c r="O75" s="102">
        <f>IF(YEAR(O$4)&gt;='Input|General'!$G$13,IF(YEAR(O$4)&lt;='Input|General'!$G$14,O$4,""),"")</f>
        <v>45809</v>
      </c>
      <c r="P75" s="102">
        <f>IF(YEAR(P$4)&gt;='Input|General'!$G$13,IF(YEAR(P$4)&lt;='Input|General'!$G$14,P$4,""),"")</f>
        <v>46174</v>
      </c>
      <c r="Q75" s="102">
        <f>IF(YEAR(Q$4)&gt;='Input|General'!$G$13,IF(YEAR(Q$4)&lt;='Input|General'!$G$14,Q$4,""),"")</f>
        <v>46539</v>
      </c>
      <c r="R75" s="102">
        <f>IF(YEAR(R$4)&gt;='Input|General'!$G$13,IF(YEAR(R$4)&lt;='Input|General'!$G$14,R$4,""),"")</f>
        <v>46905</v>
      </c>
      <c r="S75" s="102">
        <f>IF(YEAR(S$4)&gt;='Input|General'!$G$13,IF(YEAR(S$4)&lt;='Input|General'!$G$14,S$4,""),"")</f>
        <v>47270</v>
      </c>
      <c r="T75" s="102" t="str">
        <f>IF(YEAR(T$4)&gt;='Input|General'!$G$13,IF(YEAR(T$4)&lt;='Input|General'!$G$14,T$4,""),"")</f>
        <v/>
      </c>
    </row>
    <row r="76" spans="1:31" outlineLevel="1">
      <c r="C76" s="9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</row>
    <row r="77" spans="1:31" outlineLevel="1">
      <c r="C77" s="78" t="str">
        <f>'Input|Step changes'!C12</f>
        <v>Cloud computing</v>
      </c>
      <c r="D77" s="16" t="s">
        <v>30</v>
      </c>
      <c r="E77" s="16" t="str">
        <f t="shared" ref="E77:E97" si="8">$E$8</f>
        <v>$millions</v>
      </c>
      <c r="F77" s="101">
        <f t="shared" ref="F77:F87" si="9">$F$8</f>
        <v>45444</v>
      </c>
      <c r="J77" s="82">
        <f>'Input|Step changes'!J12*INDEX('Input|Rate of change'!$C$14:$P$22,MATCH('Input|Step changes'!$F12,'Input|Rate of change'!$C$14:$C$22,0),MATCH('Calc|Opex forecast'!$F77,'Input|Rate of change'!$C$14:$P$14,0))*IF('Input|Step changes'!$E12="$millions",1000000,IF('Input|Step changes'!$E12="$000",1000,1))/IF($E77="$millions",1000000,IF($E77="$000",1000,1))</f>
        <v>0</v>
      </c>
      <c r="K77" s="82">
        <f>'Input|Step changes'!K12*INDEX('Input|Rate of change'!$C$14:$P$22,MATCH('Input|Step changes'!$F12,'Input|Rate of change'!$C$14:$C$22,0),MATCH('Calc|Opex forecast'!$F77,'Input|Rate of change'!$C$14:$P$14,0))*IF('Input|Step changes'!$E12="$millions",1000000,IF('Input|Step changes'!$E12="$000",1000,1))/IF($E77="$millions",1000000,IF($E77="$000",1000,1))</f>
        <v>0</v>
      </c>
      <c r="L77" s="82">
        <f>'Input|Step changes'!L12*INDEX('Input|Rate of change'!$C$14:$P$22,MATCH('Input|Step changes'!$F12,'Input|Rate of change'!$C$14:$C$22,0),MATCH('Calc|Opex forecast'!$F77,'Input|Rate of change'!$C$14:$P$14,0))*IF('Input|Step changes'!$E12="$millions",1000000,IF('Input|Step changes'!$E12="$000",1000,1))/IF($E77="$millions",1000000,IF($E77="$000",1000,1))</f>
        <v>0</v>
      </c>
      <c r="M77" s="82">
        <f>'Input|Step changes'!M12*INDEX('Input|Rate of change'!$C$14:$P$22,MATCH('Input|Step changes'!$F12,'Input|Rate of change'!$C$14:$C$22,0),MATCH('Calc|Opex forecast'!$F77,'Input|Rate of change'!$C$14:$P$14,0))*IF('Input|Step changes'!$E12="$millions",1000000,IF('Input|Step changes'!$E12="$000",1000,1))/IF($E77="$millions",1000000,IF($E77="$000",1000,1))</f>
        <v>0</v>
      </c>
      <c r="N77" s="82">
        <f>'Input|Step changes'!N12*INDEX('Input|Rate of change'!$C$14:$P$22,MATCH('Input|Step changes'!$F12,'Input|Rate of change'!$C$14:$C$22,0),MATCH('Calc|Opex forecast'!$F77,'Input|Rate of change'!$C$14:$P$14,0))*IF('Input|Step changes'!$E12="$millions",1000000,IF('Input|Step changes'!$E12="$000",1000,1))/IF($E77="$millions",1000000,IF($E77="$000",1000,1))</f>
        <v>0</v>
      </c>
      <c r="O77" s="82">
        <f>'Input|Step changes'!O12*INDEX('Input|Rate of change'!$C$14:$P$22,MATCH('Input|Step changes'!$F12,'Input|Rate of change'!$C$14:$C$22,0),MATCH('Calc|Opex forecast'!$F77,'Input|Rate of change'!$C$14:$P$14,0))*IF('Input|Step changes'!$E12="$millions",1000000,IF('Input|Step changes'!$E12="$000",1000,1))/IF($E77="$millions",1000000,IF($E77="$000",1000,1))</f>
        <v>0</v>
      </c>
      <c r="P77" s="82">
        <f>'Input|Step changes'!P12*INDEX('Input|Rate of change'!$C$14:$P$22,MATCH('Input|Step changes'!$F12,'Input|Rate of change'!$C$14:$C$22,0),MATCH('Calc|Opex forecast'!$F77,'Input|Rate of change'!$C$14:$P$14,0))*IF('Input|Step changes'!$E12="$millions",1000000,IF('Input|Step changes'!$E12="$000",1000,1))/IF($E77="$millions",1000000,IF($E77="$000",1000,1))</f>
        <v>0</v>
      </c>
      <c r="Q77" s="82">
        <f>'Input|Step changes'!Q12*INDEX('Input|Rate of change'!$C$14:$P$22,MATCH('Input|Step changes'!$F12,'Input|Rate of change'!$C$14:$C$22,0),MATCH('Calc|Opex forecast'!$F77,'Input|Rate of change'!$C$14:$P$14,0))*IF('Input|Step changes'!$E12="$millions",1000000,IF('Input|Step changes'!$E12="$000",1000,1))/IF($E77="$millions",1000000,IF($E77="$000",1000,1))</f>
        <v>0</v>
      </c>
      <c r="R77" s="82">
        <f>'Input|Step changes'!R12*INDEX('Input|Rate of change'!$C$14:$P$22,MATCH('Input|Step changes'!$F12,'Input|Rate of change'!$C$14:$C$22,0),MATCH('Calc|Opex forecast'!$F77,'Input|Rate of change'!$C$14:$P$14,0))*IF('Input|Step changes'!$E12="$millions",1000000,IF('Input|Step changes'!$E12="$000",1000,1))/IF($E77="$millions",1000000,IF($E77="$000",1000,1))</f>
        <v>0</v>
      </c>
      <c r="S77" s="82">
        <f>'Input|Step changes'!S12*INDEX('Input|Rate of change'!$C$14:$P$22,MATCH('Input|Step changes'!$F12,'Input|Rate of change'!$C$14:$C$22,0),MATCH('Calc|Opex forecast'!$F77,'Input|Rate of change'!$C$14:$P$14,0))*IF('Input|Step changes'!$E12="$millions",1000000,IF('Input|Step changes'!$E12="$000",1000,1))/IF($E77="$millions",1000000,IF($E77="$000",1000,1))</f>
        <v>0</v>
      </c>
      <c r="T77" s="82">
        <f>'Input|Step changes'!T12*INDEX('Input|Rate of change'!$C$14:$P$22,MATCH('Input|Step changes'!$F12,'Input|Rate of change'!$C$14:$C$22,0),MATCH('Calc|Opex forecast'!$F77,'Input|Rate of change'!$C$14:$P$14,0))*IF('Input|Step changes'!$E12="$millions",1000000,IF('Input|Step changes'!$E12="$000",1000,1))/IF($E77="$millions",1000000,IF($E77="$000",1000,1))</f>
        <v>0</v>
      </c>
    </row>
    <row r="78" spans="1:31" outlineLevel="1">
      <c r="C78" s="78" t="str">
        <f>'Input|Step changes'!C13</f>
        <v>Insurance</v>
      </c>
      <c r="D78" s="16" t="s">
        <v>30</v>
      </c>
      <c r="E78" s="16" t="str">
        <f t="shared" si="8"/>
        <v>$millions</v>
      </c>
      <c r="F78" s="101">
        <f t="shared" si="9"/>
        <v>45444</v>
      </c>
      <c r="J78" s="82">
        <f>'Input|Step changes'!J13*INDEX('Input|Rate of change'!$C$14:$P$22,MATCH('Input|Step changes'!$F13,'Input|Rate of change'!$C$14:$C$22,0),MATCH('Calc|Opex forecast'!$F78,'Input|Rate of change'!$C$14:$P$14,0))*IF('Input|Step changes'!$E13="$millions",1000000,IF('Input|Step changes'!$E13="$000",1000,1))/IF($E78="$millions",1000000,IF($E78="$000",1000,1))</f>
        <v>0</v>
      </c>
      <c r="K78" s="82">
        <f>'Input|Step changes'!K13*INDEX('Input|Rate of change'!$C$14:$P$22,MATCH('Input|Step changes'!$F13,'Input|Rate of change'!$C$14:$C$22,0),MATCH('Calc|Opex forecast'!$F78,'Input|Rate of change'!$C$14:$P$14,0))*IF('Input|Step changes'!$E13="$millions",1000000,IF('Input|Step changes'!$E13="$000",1000,1))/IF($E78="$millions",1000000,IF($E78="$000",1000,1))</f>
        <v>0</v>
      </c>
      <c r="L78" s="82">
        <f>'Input|Step changes'!L13*INDEX('Input|Rate of change'!$C$14:$P$22,MATCH('Input|Step changes'!$F13,'Input|Rate of change'!$C$14:$C$22,0),MATCH('Calc|Opex forecast'!$F78,'Input|Rate of change'!$C$14:$P$14,0))*IF('Input|Step changes'!$E13="$millions",1000000,IF('Input|Step changes'!$E13="$000",1000,1))/IF($E78="$millions",1000000,IF($E78="$000",1000,1))</f>
        <v>0</v>
      </c>
      <c r="M78" s="82">
        <f>'Input|Step changes'!M13*INDEX('Input|Rate of change'!$C$14:$P$22,MATCH('Input|Step changes'!$F13,'Input|Rate of change'!$C$14:$C$22,0),MATCH('Calc|Opex forecast'!$F78,'Input|Rate of change'!$C$14:$P$14,0))*IF('Input|Step changes'!$E13="$millions",1000000,IF('Input|Step changes'!$E13="$000",1000,1))/IF($E78="$millions",1000000,IF($E78="$000",1000,1))</f>
        <v>0</v>
      </c>
      <c r="N78" s="82">
        <f>'Input|Step changes'!N13*INDEX('Input|Rate of change'!$C$14:$P$22,MATCH('Input|Step changes'!$F13,'Input|Rate of change'!$C$14:$C$22,0),MATCH('Calc|Opex forecast'!$F78,'Input|Rate of change'!$C$14:$P$14,0))*IF('Input|Step changes'!$E13="$millions",1000000,IF('Input|Step changes'!$E13="$000",1000,1))/IF($E78="$millions",1000000,IF($E78="$000",1000,1))</f>
        <v>0</v>
      </c>
      <c r="O78" s="82">
        <f>'Input|Step changes'!O13*INDEX('Input|Rate of change'!$C$14:$P$22,MATCH('Input|Step changes'!$F13,'Input|Rate of change'!$C$14:$C$22,0),MATCH('Calc|Opex forecast'!$F78,'Input|Rate of change'!$C$14:$P$14,0))*IF('Input|Step changes'!$E13="$millions",1000000,IF('Input|Step changes'!$E13="$000",1000,1))/IF($E78="$millions",1000000,IF($E78="$000",1000,1))</f>
        <v>0</v>
      </c>
      <c r="P78" s="82">
        <f>'Input|Step changes'!P13*INDEX('Input|Rate of change'!$C$14:$P$22,MATCH('Input|Step changes'!$F13,'Input|Rate of change'!$C$14:$C$22,0),MATCH('Calc|Opex forecast'!$F78,'Input|Rate of change'!$C$14:$P$14,0))*IF('Input|Step changes'!$E13="$millions",1000000,IF('Input|Step changes'!$E13="$000",1000,1))/IF($E78="$millions",1000000,IF($E78="$000",1000,1))</f>
        <v>0</v>
      </c>
      <c r="Q78" s="82">
        <f>'Input|Step changes'!Q13*INDEX('Input|Rate of change'!$C$14:$P$22,MATCH('Input|Step changes'!$F13,'Input|Rate of change'!$C$14:$C$22,0),MATCH('Calc|Opex forecast'!$F78,'Input|Rate of change'!$C$14:$P$14,0))*IF('Input|Step changes'!$E13="$millions",1000000,IF('Input|Step changes'!$E13="$000",1000,1))/IF($E78="$millions",1000000,IF($E78="$000",1000,1))</f>
        <v>0</v>
      </c>
      <c r="R78" s="82">
        <f>'Input|Step changes'!R13*INDEX('Input|Rate of change'!$C$14:$P$22,MATCH('Input|Step changes'!$F13,'Input|Rate of change'!$C$14:$C$22,0),MATCH('Calc|Opex forecast'!$F78,'Input|Rate of change'!$C$14:$P$14,0))*IF('Input|Step changes'!$E13="$millions",1000000,IF('Input|Step changes'!$E13="$000",1000,1))/IF($E78="$millions",1000000,IF($E78="$000",1000,1))</f>
        <v>0</v>
      </c>
      <c r="S78" s="82">
        <f>'Input|Step changes'!S13*INDEX('Input|Rate of change'!$C$14:$P$22,MATCH('Input|Step changes'!$F13,'Input|Rate of change'!$C$14:$C$22,0),MATCH('Calc|Opex forecast'!$F78,'Input|Rate of change'!$C$14:$P$14,0))*IF('Input|Step changes'!$E13="$millions",1000000,IF('Input|Step changes'!$E13="$000",1000,1))/IF($E78="$millions",1000000,IF($E78="$000",1000,1))</f>
        <v>0</v>
      </c>
      <c r="T78" s="82">
        <f>'Input|Step changes'!T13*INDEX('Input|Rate of change'!$C$14:$P$22,MATCH('Input|Step changes'!$F13,'Input|Rate of change'!$C$14:$C$22,0),MATCH('Calc|Opex forecast'!$F78,'Input|Rate of change'!$C$14:$P$14,0))*IF('Input|Step changes'!$E13="$millions",1000000,IF('Input|Step changes'!$E13="$000",1000,1))/IF($E78="$millions",1000000,IF($E78="$000",1000,1))</f>
        <v>0</v>
      </c>
    </row>
    <row r="79" spans="1:31" outlineLevel="1">
      <c r="C79" s="78" t="str">
        <f>'Input|Step changes'!C14</f>
        <v>DER/Data Enablement</v>
      </c>
      <c r="D79" s="16" t="s">
        <v>30</v>
      </c>
      <c r="E79" s="16" t="str">
        <f t="shared" si="8"/>
        <v>$millions</v>
      </c>
      <c r="F79" s="101">
        <f t="shared" si="9"/>
        <v>45444</v>
      </c>
      <c r="J79" s="82">
        <f>'Input|Step changes'!J14*INDEX('Input|Rate of change'!$C$14:$P$22,MATCH('Input|Step changes'!$F14,'Input|Rate of change'!$C$14:$C$22,0),MATCH('Calc|Opex forecast'!$F79,'Input|Rate of change'!$C$14:$P$14,0))*IF('Input|Step changes'!$E14="$millions",1000000,IF('Input|Step changes'!$E14="$000",1000,1))/IF($E79="$millions",1000000,IF($E79="$000",1000,1))</f>
        <v>0</v>
      </c>
      <c r="K79" s="82">
        <f>'Input|Step changes'!K14*INDEX('Input|Rate of change'!$C$14:$P$22,MATCH('Input|Step changes'!$F14,'Input|Rate of change'!$C$14:$C$22,0),MATCH('Calc|Opex forecast'!$F79,'Input|Rate of change'!$C$14:$P$14,0))*IF('Input|Step changes'!$E14="$millions",1000000,IF('Input|Step changes'!$E14="$000",1000,1))/IF($E79="$millions",1000000,IF($E79="$000",1000,1))</f>
        <v>0</v>
      </c>
      <c r="L79" s="82">
        <f>'Input|Step changes'!L14*INDEX('Input|Rate of change'!$C$14:$P$22,MATCH('Input|Step changes'!$F14,'Input|Rate of change'!$C$14:$C$22,0),MATCH('Calc|Opex forecast'!$F79,'Input|Rate of change'!$C$14:$P$14,0))*IF('Input|Step changes'!$E14="$millions",1000000,IF('Input|Step changes'!$E14="$000",1000,1))/IF($E79="$millions",1000000,IF($E79="$000",1000,1))</f>
        <v>0</v>
      </c>
      <c r="M79" s="82">
        <f>'Input|Step changes'!M14*INDEX('Input|Rate of change'!$C$14:$P$22,MATCH('Input|Step changes'!$F14,'Input|Rate of change'!$C$14:$C$22,0),MATCH('Calc|Opex forecast'!$F79,'Input|Rate of change'!$C$14:$P$14,0))*IF('Input|Step changes'!$E14="$millions",1000000,IF('Input|Step changes'!$E14="$000",1000,1))/IF($E79="$millions",1000000,IF($E79="$000",1000,1))</f>
        <v>0</v>
      </c>
      <c r="N79" s="82">
        <f>'Input|Step changes'!N14*INDEX('Input|Rate of change'!$C$14:$P$22,MATCH('Input|Step changes'!$F14,'Input|Rate of change'!$C$14:$C$22,0),MATCH('Calc|Opex forecast'!$F79,'Input|Rate of change'!$C$14:$P$14,0))*IF('Input|Step changes'!$E14="$millions",1000000,IF('Input|Step changes'!$E14="$000",1000,1))/IF($E79="$millions",1000000,IF($E79="$000",1000,1))</f>
        <v>0</v>
      </c>
      <c r="O79" s="82">
        <f>'Input|Step changes'!O14*INDEX('Input|Rate of change'!$C$14:$P$22,MATCH('Input|Step changes'!$F14,'Input|Rate of change'!$C$14:$C$22,0),MATCH('Calc|Opex forecast'!$F79,'Input|Rate of change'!$C$14:$P$14,0))*IF('Input|Step changes'!$E14="$millions",1000000,IF('Input|Step changes'!$E14="$000",1000,1))/IF($E79="$millions",1000000,IF($E79="$000",1000,1))</f>
        <v>3.6147823332143867</v>
      </c>
      <c r="P79" s="82">
        <f>'Input|Step changes'!P14*INDEX('Input|Rate of change'!$C$14:$P$22,MATCH('Input|Step changes'!$F14,'Input|Rate of change'!$C$14:$C$22,0),MATCH('Calc|Opex forecast'!$F79,'Input|Rate of change'!$C$14:$P$14,0))*IF('Input|Step changes'!$E14="$millions",1000000,IF('Input|Step changes'!$E14="$000",1000,1))/IF($E79="$millions",1000000,IF($E79="$000",1000,1))</f>
        <v>3.5776804532476758</v>
      </c>
      <c r="Q79" s="82">
        <f>'Input|Step changes'!Q14*INDEX('Input|Rate of change'!$C$14:$P$22,MATCH('Input|Step changes'!$F14,'Input|Rate of change'!$C$14:$C$22,0),MATCH('Calc|Opex forecast'!$F79,'Input|Rate of change'!$C$14:$P$14,0))*IF('Input|Step changes'!$E14="$millions",1000000,IF('Input|Step changes'!$E14="$000",1000,1))/IF($E79="$millions",1000000,IF($E79="$000",1000,1))</f>
        <v>3.5668354206304813</v>
      </c>
      <c r="R79" s="82">
        <f>'Input|Step changes'!R14*INDEX('Input|Rate of change'!$C$14:$P$22,MATCH('Input|Step changes'!$F14,'Input|Rate of change'!$C$14:$C$22,0),MATCH('Calc|Opex forecast'!$F79,'Input|Rate of change'!$C$14:$P$14,0))*IF('Input|Step changes'!$E14="$millions",1000000,IF('Input|Step changes'!$E14="$000",1000,1))/IF($E79="$millions",1000000,IF($E79="$000",1000,1))</f>
        <v>4.7993914442687204</v>
      </c>
      <c r="S79" s="82">
        <f>'Input|Step changes'!S14*INDEX('Input|Rate of change'!$C$14:$P$22,MATCH('Input|Step changes'!$F14,'Input|Rate of change'!$C$14:$C$22,0),MATCH('Calc|Opex forecast'!$F79,'Input|Rate of change'!$C$14:$P$14,0))*IF('Input|Step changes'!$E14="$millions",1000000,IF('Input|Step changes'!$E14="$000",1000,1))/IF($E79="$millions",1000000,IF($E79="$000",1000,1))</f>
        <v>4.4330948191283257</v>
      </c>
      <c r="T79" s="82">
        <f>'Input|Step changes'!T14*INDEX('Input|Rate of change'!$C$14:$P$22,MATCH('Input|Step changes'!$F14,'Input|Rate of change'!$C$14:$C$22,0),MATCH('Calc|Opex forecast'!$F79,'Input|Rate of change'!$C$14:$P$14,0))*IF('Input|Step changes'!$E14="$millions",1000000,IF('Input|Step changes'!$E14="$000",1000,1))/IF($E79="$millions",1000000,IF($E79="$000",1000,1))</f>
        <v>0</v>
      </c>
    </row>
    <row r="80" spans="1:31" outlineLevel="1">
      <c r="C80" s="78" t="str">
        <f>'Input|Step changes'!C15</f>
        <v>GSL</v>
      </c>
      <c r="D80" s="16" t="s">
        <v>30</v>
      </c>
      <c r="E80" s="16" t="str">
        <f t="shared" si="8"/>
        <v>$millions</v>
      </c>
      <c r="F80" s="101">
        <f t="shared" si="9"/>
        <v>45444</v>
      </c>
      <c r="J80" s="82">
        <f>'Input|Step changes'!J15*INDEX('Input|Rate of change'!$C$14:$P$22,MATCH('Input|Step changes'!$F15,'Input|Rate of change'!$C$14:$C$22,0),MATCH('Calc|Opex forecast'!$F80,'Input|Rate of change'!$C$14:$P$14,0))*IF('Input|Step changes'!$E15="$millions",1000000,IF('Input|Step changes'!$E15="$000",1000,1))/IF($E80="$millions",1000000,IF($E80="$000",1000,1))</f>
        <v>0</v>
      </c>
      <c r="K80" s="82">
        <f>'Input|Step changes'!K15*INDEX('Input|Rate of change'!$C$14:$P$22,MATCH('Input|Step changes'!$F15,'Input|Rate of change'!$C$14:$C$22,0),MATCH('Calc|Opex forecast'!$F80,'Input|Rate of change'!$C$14:$P$14,0))*IF('Input|Step changes'!$E15="$millions",1000000,IF('Input|Step changes'!$E15="$000",1000,1))/IF($E80="$millions",1000000,IF($E80="$000",1000,1))</f>
        <v>0</v>
      </c>
      <c r="L80" s="82">
        <f>'Input|Step changes'!L15*INDEX('Input|Rate of change'!$C$14:$P$22,MATCH('Input|Step changes'!$F15,'Input|Rate of change'!$C$14:$C$22,0),MATCH('Calc|Opex forecast'!$F80,'Input|Rate of change'!$C$14:$P$14,0))*IF('Input|Step changes'!$E15="$millions",1000000,IF('Input|Step changes'!$E15="$000",1000,1))/IF($E80="$millions",1000000,IF($E80="$000",1000,1))</f>
        <v>0</v>
      </c>
      <c r="M80" s="82">
        <f>'Input|Step changes'!M15*INDEX('Input|Rate of change'!$C$14:$P$22,MATCH('Input|Step changes'!$F15,'Input|Rate of change'!$C$14:$C$22,0),MATCH('Calc|Opex forecast'!$F80,'Input|Rate of change'!$C$14:$P$14,0))*IF('Input|Step changes'!$E15="$millions",1000000,IF('Input|Step changes'!$E15="$000",1000,1))/IF($E80="$millions",1000000,IF($E80="$000",1000,1))</f>
        <v>0</v>
      </c>
      <c r="N80" s="82">
        <f>'Input|Step changes'!N15*INDEX('Input|Rate of change'!$C$14:$P$22,MATCH('Input|Step changes'!$F15,'Input|Rate of change'!$C$14:$C$22,0),MATCH('Calc|Opex forecast'!$F80,'Input|Rate of change'!$C$14:$P$14,0))*IF('Input|Step changes'!$E15="$millions",1000000,IF('Input|Step changes'!$E15="$000",1000,1))/IF($E80="$millions",1000000,IF($E80="$000",1000,1))</f>
        <v>0</v>
      </c>
      <c r="O80" s="82">
        <f>'Input|Step changes'!O15*INDEX('Input|Rate of change'!$C$14:$P$22,MATCH('Input|Step changes'!$F15,'Input|Rate of change'!$C$14:$C$22,0),MATCH('Calc|Opex forecast'!$F80,'Input|Rate of change'!$C$14:$P$14,0))*IF('Input|Step changes'!$E15="$millions",1000000,IF('Input|Step changes'!$E15="$000",1000,1))/IF($E80="$millions",1000000,IF($E80="$000",1000,1))</f>
        <v>1.2999153217987804</v>
      </c>
      <c r="P80" s="82">
        <f>'Input|Step changes'!P15*INDEX('Input|Rate of change'!$C$14:$P$22,MATCH('Input|Step changes'!$F15,'Input|Rate of change'!$C$14:$C$22,0),MATCH('Calc|Opex forecast'!$F80,'Input|Rate of change'!$C$14:$P$14,0))*IF('Input|Step changes'!$E15="$millions",1000000,IF('Input|Step changes'!$E15="$000",1000,1))/IF($E80="$millions",1000000,IF($E80="$000",1000,1))</f>
        <v>1.2999153217987804</v>
      </c>
      <c r="Q80" s="82">
        <f>'Input|Step changes'!Q15*INDEX('Input|Rate of change'!$C$14:$P$22,MATCH('Input|Step changes'!$F15,'Input|Rate of change'!$C$14:$C$22,0),MATCH('Calc|Opex forecast'!$F80,'Input|Rate of change'!$C$14:$P$14,0))*IF('Input|Step changes'!$E15="$millions",1000000,IF('Input|Step changes'!$E15="$000",1000,1))/IF($E80="$millions",1000000,IF($E80="$000",1000,1))</f>
        <v>1.2999153217987804</v>
      </c>
      <c r="R80" s="82">
        <f>'Input|Step changes'!R15*INDEX('Input|Rate of change'!$C$14:$P$22,MATCH('Input|Step changes'!$F15,'Input|Rate of change'!$C$14:$C$22,0),MATCH('Calc|Opex forecast'!$F80,'Input|Rate of change'!$C$14:$P$14,0))*IF('Input|Step changes'!$E15="$millions",1000000,IF('Input|Step changes'!$E15="$000",1000,1))/IF($E80="$millions",1000000,IF($E80="$000",1000,1))</f>
        <v>1.2999153217987804</v>
      </c>
      <c r="S80" s="82">
        <f>'Input|Step changes'!S15*INDEX('Input|Rate of change'!$C$14:$P$22,MATCH('Input|Step changes'!$F15,'Input|Rate of change'!$C$14:$C$22,0),MATCH('Calc|Opex forecast'!$F80,'Input|Rate of change'!$C$14:$P$14,0))*IF('Input|Step changes'!$E15="$millions",1000000,IF('Input|Step changes'!$E15="$000",1000,1))/IF($E80="$millions",1000000,IF($E80="$000",1000,1))</f>
        <v>1.2999153217987804</v>
      </c>
      <c r="T80" s="82">
        <f>'Input|Step changes'!T15*INDEX('Input|Rate of change'!$C$14:$P$22,MATCH('Input|Step changes'!$F15,'Input|Rate of change'!$C$14:$C$22,0),MATCH('Calc|Opex forecast'!$F80,'Input|Rate of change'!$C$14:$P$14,0))*IF('Input|Step changes'!$E15="$millions",1000000,IF('Input|Step changes'!$E15="$000",1000,1))/IF($E80="$millions",1000000,IF($E80="$000",1000,1))</f>
        <v>0</v>
      </c>
    </row>
    <row r="81" spans="1:31" outlineLevel="1">
      <c r="C81" s="78" t="str">
        <f>'Input|Step changes'!C16</f>
        <v>Property and fleet</v>
      </c>
      <c r="D81" s="16" t="s">
        <v>30</v>
      </c>
      <c r="E81" s="16" t="str">
        <f t="shared" si="8"/>
        <v>$millions</v>
      </c>
      <c r="F81" s="101">
        <f t="shared" si="9"/>
        <v>45444</v>
      </c>
      <c r="J81" s="82">
        <f>'Input|Step changes'!J16*INDEX('Input|Rate of change'!$C$14:$P$22,MATCH('Input|Step changes'!$F16,'Input|Rate of change'!$C$14:$C$22,0),MATCH('Calc|Opex forecast'!$F81,'Input|Rate of change'!$C$14:$P$14,0))*IF('Input|Step changes'!$E16="$millions",1000000,IF('Input|Step changes'!$E16="$000",1000,1))/IF($E81="$millions",1000000,IF($E81="$000",1000,1))</f>
        <v>0</v>
      </c>
      <c r="K81" s="82">
        <f>'Input|Step changes'!K16*INDEX('Input|Rate of change'!$C$14:$P$22,MATCH('Input|Step changes'!$F16,'Input|Rate of change'!$C$14:$C$22,0),MATCH('Calc|Opex forecast'!$F81,'Input|Rate of change'!$C$14:$P$14,0))*IF('Input|Step changes'!$E16="$millions",1000000,IF('Input|Step changes'!$E16="$000",1000,1))/IF($E81="$millions",1000000,IF($E81="$000",1000,1))</f>
        <v>0</v>
      </c>
      <c r="L81" s="82">
        <f>'Input|Step changes'!L16*INDEX('Input|Rate of change'!$C$14:$P$22,MATCH('Input|Step changes'!$F16,'Input|Rate of change'!$C$14:$C$22,0),MATCH('Calc|Opex forecast'!$F81,'Input|Rate of change'!$C$14:$P$14,0))*IF('Input|Step changes'!$E16="$millions",1000000,IF('Input|Step changes'!$E16="$000",1000,1))/IF($E81="$millions",1000000,IF($E81="$000",1000,1))</f>
        <v>0</v>
      </c>
      <c r="M81" s="82">
        <f>'Input|Step changes'!M16*INDEX('Input|Rate of change'!$C$14:$P$22,MATCH('Input|Step changes'!$F16,'Input|Rate of change'!$C$14:$C$22,0),MATCH('Calc|Opex forecast'!$F81,'Input|Rate of change'!$C$14:$P$14,0))*IF('Input|Step changes'!$E16="$millions",1000000,IF('Input|Step changes'!$E16="$000",1000,1))/IF($E81="$millions",1000000,IF($E81="$000",1000,1))</f>
        <v>0</v>
      </c>
      <c r="N81" s="82">
        <f>'Input|Step changes'!N16*INDEX('Input|Rate of change'!$C$14:$P$22,MATCH('Input|Step changes'!$F16,'Input|Rate of change'!$C$14:$C$22,0),MATCH('Calc|Opex forecast'!$F81,'Input|Rate of change'!$C$14:$P$14,0))*IF('Input|Step changes'!$E16="$millions",1000000,IF('Input|Step changes'!$E16="$000",1000,1))/IF($E81="$millions",1000000,IF($E81="$000",1000,1))</f>
        <v>0</v>
      </c>
      <c r="O81" s="82">
        <f>'Input|Step changes'!O16*INDEX('Input|Rate of change'!$C$14:$P$22,MATCH('Input|Step changes'!$F16,'Input|Rate of change'!$C$14:$C$22,0),MATCH('Calc|Opex forecast'!$F81,'Input|Rate of change'!$C$14:$P$14,0))*IF('Input|Step changes'!$E16="$millions",1000000,IF('Input|Step changes'!$E16="$000",1000,1))/IF($E81="$millions",1000000,IF($E81="$000",1000,1))</f>
        <v>-0.9147437802306061</v>
      </c>
      <c r="P81" s="82">
        <f>'Input|Step changes'!P16*INDEX('Input|Rate of change'!$C$14:$P$22,MATCH('Input|Step changes'!$F16,'Input|Rate of change'!$C$14:$C$22,0),MATCH('Calc|Opex forecast'!$F81,'Input|Rate of change'!$C$14:$P$14,0))*IF('Input|Step changes'!$E16="$millions",1000000,IF('Input|Step changes'!$E16="$000",1000,1))/IF($E81="$millions",1000000,IF($E81="$000",1000,1))</f>
        <v>-1.3246848042464605</v>
      </c>
      <c r="Q81" s="82">
        <f>'Input|Step changes'!Q16*INDEX('Input|Rate of change'!$C$14:$P$22,MATCH('Input|Step changes'!$F16,'Input|Rate of change'!$C$14:$C$22,0),MATCH('Calc|Opex forecast'!$F81,'Input|Rate of change'!$C$14:$P$14,0))*IF('Input|Step changes'!$E16="$millions",1000000,IF('Input|Step changes'!$E16="$000",1000,1))/IF($E81="$millions",1000000,IF($E81="$000",1000,1))</f>
        <v>-1.6409897799145452</v>
      </c>
      <c r="R81" s="82">
        <f>'Input|Step changes'!R16*INDEX('Input|Rate of change'!$C$14:$P$22,MATCH('Input|Step changes'!$F16,'Input|Rate of change'!$C$14:$C$22,0),MATCH('Calc|Opex forecast'!$F81,'Input|Rate of change'!$C$14:$P$14,0))*IF('Input|Step changes'!$E16="$millions",1000000,IF('Input|Step changes'!$E16="$000",1000,1))/IF($E81="$millions",1000000,IF($E81="$000",1000,1))</f>
        <v>-1.9346909654244915</v>
      </c>
      <c r="S81" s="82">
        <f>'Input|Step changes'!S16*INDEX('Input|Rate of change'!$C$14:$P$22,MATCH('Input|Step changes'!$F16,'Input|Rate of change'!$C$14:$C$22,0),MATCH('Calc|Opex forecast'!$F81,'Input|Rate of change'!$C$14:$P$14,0))*IF('Input|Step changes'!$E16="$millions",1000000,IF('Input|Step changes'!$E16="$000",1000,1))/IF($E81="$millions",1000000,IF($E81="$000",1000,1))</f>
        <v>-2.1479938515027226</v>
      </c>
      <c r="T81" s="82">
        <f>'Input|Step changes'!T16*INDEX('Input|Rate of change'!$C$14:$P$22,MATCH('Input|Step changes'!$F16,'Input|Rate of change'!$C$14:$C$22,0),MATCH('Calc|Opex forecast'!$F81,'Input|Rate of change'!$C$14:$P$14,0))*IF('Input|Step changes'!$E16="$millions",1000000,IF('Input|Step changes'!$E16="$000",1000,1))/IF($E81="$millions",1000000,IF($E81="$000",1000,1))</f>
        <v>0</v>
      </c>
    </row>
    <row r="82" spans="1:31" outlineLevel="1">
      <c r="C82" s="78">
        <f>'Input|Step changes'!C17</f>
        <v>0</v>
      </c>
      <c r="D82" s="16" t="s">
        <v>30</v>
      </c>
      <c r="E82" s="16" t="str">
        <f t="shared" si="8"/>
        <v>$millions</v>
      </c>
      <c r="F82" s="101">
        <f t="shared" si="9"/>
        <v>45444</v>
      </c>
      <c r="J82" s="82">
        <f>'Input|Step changes'!J17*INDEX('Input|Rate of change'!$C$14:$P$22,MATCH('Input|Step changes'!$F17,'Input|Rate of change'!$C$14:$C$22,0),MATCH('Calc|Opex forecast'!$F82,'Input|Rate of change'!$C$14:$P$14,0))*IF('Input|Step changes'!$E17="$millions",1000000,IF('Input|Step changes'!$E17="$000",1000,1))/IF($E82="$millions",1000000,IF($E82="$000",1000,1))</f>
        <v>0</v>
      </c>
      <c r="K82" s="82">
        <f>'Input|Step changes'!K17*INDEX('Input|Rate of change'!$C$14:$P$22,MATCH('Input|Step changes'!$F17,'Input|Rate of change'!$C$14:$C$22,0),MATCH('Calc|Opex forecast'!$F82,'Input|Rate of change'!$C$14:$P$14,0))*IF('Input|Step changes'!$E17="$millions",1000000,IF('Input|Step changes'!$E17="$000",1000,1))/IF($E82="$millions",1000000,IF($E82="$000",1000,1))</f>
        <v>0</v>
      </c>
      <c r="L82" s="82">
        <f>'Input|Step changes'!L17*INDEX('Input|Rate of change'!$C$14:$P$22,MATCH('Input|Step changes'!$F17,'Input|Rate of change'!$C$14:$C$22,0),MATCH('Calc|Opex forecast'!$F82,'Input|Rate of change'!$C$14:$P$14,0))*IF('Input|Step changes'!$E17="$millions",1000000,IF('Input|Step changes'!$E17="$000",1000,1))/IF($E82="$millions",1000000,IF($E82="$000",1000,1))</f>
        <v>0</v>
      </c>
      <c r="M82" s="82">
        <f>'Input|Step changes'!M17*INDEX('Input|Rate of change'!$C$14:$P$22,MATCH('Input|Step changes'!$F17,'Input|Rate of change'!$C$14:$C$22,0),MATCH('Calc|Opex forecast'!$F82,'Input|Rate of change'!$C$14:$P$14,0))*IF('Input|Step changes'!$E17="$millions",1000000,IF('Input|Step changes'!$E17="$000",1000,1))/IF($E82="$millions",1000000,IF($E82="$000",1000,1))</f>
        <v>0</v>
      </c>
      <c r="N82" s="82">
        <f>'Input|Step changes'!N17*INDEX('Input|Rate of change'!$C$14:$P$22,MATCH('Input|Step changes'!$F17,'Input|Rate of change'!$C$14:$C$22,0),MATCH('Calc|Opex forecast'!$F82,'Input|Rate of change'!$C$14:$P$14,0))*IF('Input|Step changes'!$E17="$millions",1000000,IF('Input|Step changes'!$E17="$000",1000,1))/IF($E82="$millions",1000000,IF($E82="$000",1000,1))</f>
        <v>0</v>
      </c>
      <c r="O82" s="82">
        <f>'Input|Step changes'!O17*INDEX('Input|Rate of change'!$C$14:$P$22,MATCH('Input|Step changes'!$F17,'Input|Rate of change'!$C$14:$C$22,0),MATCH('Calc|Opex forecast'!$F82,'Input|Rate of change'!$C$14:$P$14,0))*IF('Input|Step changes'!$E17="$millions",1000000,IF('Input|Step changes'!$E17="$000",1000,1))/IF($E82="$millions",1000000,IF($E82="$000",1000,1))</f>
        <v>0</v>
      </c>
      <c r="P82" s="82">
        <f>'Input|Step changes'!P17*INDEX('Input|Rate of change'!$C$14:$P$22,MATCH('Input|Step changes'!$F17,'Input|Rate of change'!$C$14:$C$22,0),MATCH('Calc|Opex forecast'!$F82,'Input|Rate of change'!$C$14:$P$14,0))*IF('Input|Step changes'!$E17="$millions",1000000,IF('Input|Step changes'!$E17="$000",1000,1))/IF($E82="$millions",1000000,IF($E82="$000",1000,1))</f>
        <v>0</v>
      </c>
      <c r="Q82" s="82">
        <f>'Input|Step changes'!Q17*INDEX('Input|Rate of change'!$C$14:$P$22,MATCH('Input|Step changes'!$F17,'Input|Rate of change'!$C$14:$C$22,0),MATCH('Calc|Opex forecast'!$F82,'Input|Rate of change'!$C$14:$P$14,0))*IF('Input|Step changes'!$E17="$millions",1000000,IF('Input|Step changes'!$E17="$000",1000,1))/IF($E82="$millions",1000000,IF($E82="$000",1000,1))</f>
        <v>0</v>
      </c>
      <c r="R82" s="82">
        <f>'Input|Step changes'!R17*INDEX('Input|Rate of change'!$C$14:$P$22,MATCH('Input|Step changes'!$F17,'Input|Rate of change'!$C$14:$C$22,0),MATCH('Calc|Opex forecast'!$F82,'Input|Rate of change'!$C$14:$P$14,0))*IF('Input|Step changes'!$E17="$millions",1000000,IF('Input|Step changes'!$E17="$000",1000,1))/IF($E82="$millions",1000000,IF($E82="$000",1000,1))</f>
        <v>0</v>
      </c>
      <c r="S82" s="82">
        <f>'Input|Step changes'!S17*INDEX('Input|Rate of change'!$C$14:$P$22,MATCH('Input|Step changes'!$F17,'Input|Rate of change'!$C$14:$C$22,0),MATCH('Calc|Opex forecast'!$F82,'Input|Rate of change'!$C$14:$P$14,0))*IF('Input|Step changes'!$E17="$millions",1000000,IF('Input|Step changes'!$E17="$000",1000,1))/IF($E82="$millions",1000000,IF($E82="$000",1000,1))</f>
        <v>0</v>
      </c>
      <c r="T82" s="82">
        <f>'Input|Step changes'!T17*INDEX('Input|Rate of change'!$C$14:$P$22,MATCH('Input|Step changes'!$F17,'Input|Rate of change'!$C$14:$C$22,0),MATCH('Calc|Opex forecast'!$F82,'Input|Rate of change'!$C$14:$P$14,0))*IF('Input|Step changes'!$E17="$millions",1000000,IF('Input|Step changes'!$E17="$000",1000,1))/IF($E82="$millions",1000000,IF($E82="$000",1000,1))</f>
        <v>0</v>
      </c>
    </row>
    <row r="83" spans="1:31" outlineLevel="1">
      <c r="C83" s="78">
        <f>'Input|Step changes'!C18</f>
        <v>0</v>
      </c>
      <c r="D83" s="16" t="s">
        <v>30</v>
      </c>
      <c r="E83" s="16" t="str">
        <f t="shared" si="8"/>
        <v>$millions</v>
      </c>
      <c r="F83" s="101">
        <f t="shared" si="9"/>
        <v>45444</v>
      </c>
      <c r="J83" s="82">
        <f>'Input|Step changes'!J18*INDEX('Input|Rate of change'!$C$14:$P$22,MATCH('Input|Step changes'!$F18,'Input|Rate of change'!$C$14:$C$22,0),MATCH('Calc|Opex forecast'!$F83,'Input|Rate of change'!$C$14:$P$14,0))*IF('Input|Step changes'!$E18="$millions",1000000,IF('Input|Step changes'!$E18="$000",1000,1))/IF($E83="$millions",1000000,IF($E83="$000",1000,1))</f>
        <v>0</v>
      </c>
      <c r="K83" s="82">
        <f>'Input|Step changes'!K18*INDEX('Input|Rate of change'!$C$14:$P$22,MATCH('Input|Step changes'!$F18,'Input|Rate of change'!$C$14:$C$22,0),MATCH('Calc|Opex forecast'!$F83,'Input|Rate of change'!$C$14:$P$14,0))*IF('Input|Step changes'!$E18="$millions",1000000,IF('Input|Step changes'!$E18="$000",1000,1))/IF($E83="$millions",1000000,IF($E83="$000",1000,1))</f>
        <v>0</v>
      </c>
      <c r="L83" s="82">
        <f>'Input|Step changes'!L18*INDEX('Input|Rate of change'!$C$14:$P$22,MATCH('Input|Step changes'!$F18,'Input|Rate of change'!$C$14:$C$22,0),MATCH('Calc|Opex forecast'!$F83,'Input|Rate of change'!$C$14:$P$14,0))*IF('Input|Step changes'!$E18="$millions",1000000,IF('Input|Step changes'!$E18="$000",1000,1))/IF($E83="$millions",1000000,IF($E83="$000",1000,1))</f>
        <v>0</v>
      </c>
      <c r="M83" s="82">
        <f>'Input|Step changes'!M18*INDEX('Input|Rate of change'!$C$14:$P$22,MATCH('Input|Step changes'!$F18,'Input|Rate of change'!$C$14:$C$22,0),MATCH('Calc|Opex forecast'!$F83,'Input|Rate of change'!$C$14:$P$14,0))*IF('Input|Step changes'!$E18="$millions",1000000,IF('Input|Step changes'!$E18="$000",1000,1))/IF($E83="$millions",1000000,IF($E83="$000",1000,1))</f>
        <v>0</v>
      </c>
      <c r="N83" s="82">
        <f>'Input|Step changes'!N18*INDEX('Input|Rate of change'!$C$14:$P$22,MATCH('Input|Step changes'!$F18,'Input|Rate of change'!$C$14:$C$22,0),MATCH('Calc|Opex forecast'!$F83,'Input|Rate of change'!$C$14:$P$14,0))*IF('Input|Step changes'!$E18="$millions",1000000,IF('Input|Step changes'!$E18="$000",1000,1))/IF($E83="$millions",1000000,IF($E83="$000",1000,1))</f>
        <v>0</v>
      </c>
      <c r="O83" s="82">
        <f>'Input|Step changes'!O18*INDEX('Input|Rate of change'!$C$14:$P$22,MATCH('Input|Step changes'!$F18,'Input|Rate of change'!$C$14:$C$22,0),MATCH('Calc|Opex forecast'!$F83,'Input|Rate of change'!$C$14:$P$14,0))*IF('Input|Step changes'!$E18="$millions",1000000,IF('Input|Step changes'!$E18="$000",1000,1))/IF($E83="$millions",1000000,IF($E83="$000",1000,1))</f>
        <v>0</v>
      </c>
      <c r="P83" s="82">
        <f>'Input|Step changes'!P18*INDEX('Input|Rate of change'!$C$14:$P$22,MATCH('Input|Step changes'!$F18,'Input|Rate of change'!$C$14:$C$22,0),MATCH('Calc|Opex forecast'!$F83,'Input|Rate of change'!$C$14:$P$14,0))*IF('Input|Step changes'!$E18="$millions",1000000,IF('Input|Step changes'!$E18="$000",1000,1))/IF($E83="$millions",1000000,IF($E83="$000",1000,1))</f>
        <v>0</v>
      </c>
      <c r="Q83" s="82">
        <f>'Input|Step changes'!Q18*INDEX('Input|Rate of change'!$C$14:$P$22,MATCH('Input|Step changes'!$F18,'Input|Rate of change'!$C$14:$C$22,0),MATCH('Calc|Opex forecast'!$F83,'Input|Rate of change'!$C$14:$P$14,0))*IF('Input|Step changes'!$E18="$millions",1000000,IF('Input|Step changes'!$E18="$000",1000,1))/IF($E83="$millions",1000000,IF($E83="$000",1000,1))</f>
        <v>0</v>
      </c>
      <c r="R83" s="82">
        <f>'Input|Step changes'!R18*INDEX('Input|Rate of change'!$C$14:$P$22,MATCH('Input|Step changes'!$F18,'Input|Rate of change'!$C$14:$C$22,0),MATCH('Calc|Opex forecast'!$F83,'Input|Rate of change'!$C$14:$P$14,0))*IF('Input|Step changes'!$E18="$millions",1000000,IF('Input|Step changes'!$E18="$000",1000,1))/IF($E83="$millions",1000000,IF($E83="$000",1000,1))</f>
        <v>0</v>
      </c>
      <c r="S83" s="82">
        <f>'Input|Step changes'!S18*INDEX('Input|Rate of change'!$C$14:$P$22,MATCH('Input|Step changes'!$F18,'Input|Rate of change'!$C$14:$C$22,0),MATCH('Calc|Opex forecast'!$F83,'Input|Rate of change'!$C$14:$P$14,0))*IF('Input|Step changes'!$E18="$millions",1000000,IF('Input|Step changes'!$E18="$000",1000,1))/IF($E83="$millions",1000000,IF($E83="$000",1000,1))</f>
        <v>0</v>
      </c>
      <c r="T83" s="82">
        <f>'Input|Step changes'!T18*INDEX('Input|Rate of change'!$C$14:$P$22,MATCH('Input|Step changes'!$F18,'Input|Rate of change'!$C$14:$C$22,0),MATCH('Calc|Opex forecast'!$F83,'Input|Rate of change'!$C$14:$P$14,0))*IF('Input|Step changes'!$E18="$millions",1000000,IF('Input|Step changes'!$E18="$000",1000,1))/IF($E83="$millions",1000000,IF($E83="$000",1000,1))</f>
        <v>0</v>
      </c>
    </row>
    <row r="84" spans="1:31" outlineLevel="1">
      <c r="C84" s="78">
        <f>'Input|Step changes'!C19</f>
        <v>0</v>
      </c>
      <c r="D84" s="16" t="s">
        <v>30</v>
      </c>
      <c r="E84" s="16" t="str">
        <f t="shared" si="8"/>
        <v>$millions</v>
      </c>
      <c r="F84" s="101">
        <f t="shared" si="9"/>
        <v>45444</v>
      </c>
      <c r="J84" s="82">
        <f>'Input|Step changes'!J19*INDEX('Input|Rate of change'!$C$14:$P$22,MATCH('Input|Step changes'!$F19,'Input|Rate of change'!$C$14:$C$22,0),MATCH('Calc|Opex forecast'!$F84,'Input|Rate of change'!$C$14:$P$14,0))*IF('Input|Step changes'!$E19="$millions",1000000,IF('Input|Step changes'!$E19="$000",1000,1))/IF($E84="$millions",1000000,IF($E84="$000",1000,1))</f>
        <v>0</v>
      </c>
      <c r="K84" s="82">
        <f>'Input|Step changes'!K19*INDEX('Input|Rate of change'!$C$14:$P$22,MATCH('Input|Step changes'!$F19,'Input|Rate of change'!$C$14:$C$22,0),MATCH('Calc|Opex forecast'!$F84,'Input|Rate of change'!$C$14:$P$14,0))*IF('Input|Step changes'!$E19="$millions",1000000,IF('Input|Step changes'!$E19="$000",1000,1))/IF($E84="$millions",1000000,IF($E84="$000",1000,1))</f>
        <v>0</v>
      </c>
      <c r="L84" s="82">
        <f>'Input|Step changes'!L19*INDEX('Input|Rate of change'!$C$14:$P$22,MATCH('Input|Step changes'!$F19,'Input|Rate of change'!$C$14:$C$22,0),MATCH('Calc|Opex forecast'!$F84,'Input|Rate of change'!$C$14:$P$14,0))*IF('Input|Step changes'!$E19="$millions",1000000,IF('Input|Step changes'!$E19="$000",1000,1))/IF($E84="$millions",1000000,IF($E84="$000",1000,1))</f>
        <v>0</v>
      </c>
      <c r="M84" s="82">
        <f>'Input|Step changes'!M19*INDEX('Input|Rate of change'!$C$14:$P$22,MATCH('Input|Step changes'!$F19,'Input|Rate of change'!$C$14:$C$22,0),MATCH('Calc|Opex forecast'!$F84,'Input|Rate of change'!$C$14:$P$14,0))*IF('Input|Step changes'!$E19="$millions",1000000,IF('Input|Step changes'!$E19="$000",1000,1))/IF($E84="$millions",1000000,IF($E84="$000",1000,1))</f>
        <v>0</v>
      </c>
      <c r="N84" s="82">
        <f>'Input|Step changes'!N19*INDEX('Input|Rate of change'!$C$14:$P$22,MATCH('Input|Step changes'!$F19,'Input|Rate of change'!$C$14:$C$22,0),MATCH('Calc|Opex forecast'!$F84,'Input|Rate of change'!$C$14:$P$14,0))*IF('Input|Step changes'!$E19="$millions",1000000,IF('Input|Step changes'!$E19="$000",1000,1))/IF($E84="$millions",1000000,IF($E84="$000",1000,1))</f>
        <v>0</v>
      </c>
      <c r="O84" s="82">
        <f>'Input|Step changes'!O19*INDEX('Input|Rate of change'!$C$14:$P$22,MATCH('Input|Step changes'!$F19,'Input|Rate of change'!$C$14:$C$22,0),MATCH('Calc|Opex forecast'!$F84,'Input|Rate of change'!$C$14:$P$14,0))*IF('Input|Step changes'!$E19="$millions",1000000,IF('Input|Step changes'!$E19="$000",1000,1))/IF($E84="$millions",1000000,IF($E84="$000",1000,1))</f>
        <v>0</v>
      </c>
      <c r="P84" s="82">
        <f>'Input|Step changes'!P19*INDEX('Input|Rate of change'!$C$14:$P$22,MATCH('Input|Step changes'!$F19,'Input|Rate of change'!$C$14:$C$22,0),MATCH('Calc|Opex forecast'!$F84,'Input|Rate of change'!$C$14:$P$14,0))*IF('Input|Step changes'!$E19="$millions",1000000,IF('Input|Step changes'!$E19="$000",1000,1))/IF($E84="$millions",1000000,IF($E84="$000",1000,1))</f>
        <v>0</v>
      </c>
      <c r="Q84" s="82">
        <f>'Input|Step changes'!Q19*INDEX('Input|Rate of change'!$C$14:$P$22,MATCH('Input|Step changes'!$F19,'Input|Rate of change'!$C$14:$C$22,0),MATCH('Calc|Opex forecast'!$F84,'Input|Rate of change'!$C$14:$P$14,0))*IF('Input|Step changes'!$E19="$millions",1000000,IF('Input|Step changes'!$E19="$000",1000,1))/IF($E84="$millions",1000000,IF($E84="$000",1000,1))</f>
        <v>0</v>
      </c>
      <c r="R84" s="82">
        <f>'Input|Step changes'!R19*INDEX('Input|Rate of change'!$C$14:$P$22,MATCH('Input|Step changes'!$F19,'Input|Rate of change'!$C$14:$C$22,0),MATCH('Calc|Opex forecast'!$F84,'Input|Rate of change'!$C$14:$P$14,0))*IF('Input|Step changes'!$E19="$millions",1000000,IF('Input|Step changes'!$E19="$000",1000,1))/IF($E84="$millions",1000000,IF($E84="$000",1000,1))</f>
        <v>0</v>
      </c>
      <c r="S84" s="82">
        <f>'Input|Step changes'!S19*INDEX('Input|Rate of change'!$C$14:$P$22,MATCH('Input|Step changes'!$F19,'Input|Rate of change'!$C$14:$C$22,0),MATCH('Calc|Opex forecast'!$F84,'Input|Rate of change'!$C$14:$P$14,0))*IF('Input|Step changes'!$E19="$millions",1000000,IF('Input|Step changes'!$E19="$000",1000,1))/IF($E84="$millions",1000000,IF($E84="$000",1000,1))</f>
        <v>0</v>
      </c>
      <c r="T84" s="82">
        <f>'Input|Step changes'!T19*INDEX('Input|Rate of change'!$C$14:$P$22,MATCH('Input|Step changes'!$F19,'Input|Rate of change'!$C$14:$C$22,0),MATCH('Calc|Opex forecast'!$F84,'Input|Rate of change'!$C$14:$P$14,0))*IF('Input|Step changes'!$E19="$millions",1000000,IF('Input|Step changes'!$E19="$000",1000,1))/IF($E84="$millions",1000000,IF($E84="$000",1000,1))</f>
        <v>0</v>
      </c>
    </row>
    <row r="85" spans="1:31" outlineLevel="1">
      <c r="C85" s="78">
        <f>'Input|Step changes'!C20</f>
        <v>0</v>
      </c>
      <c r="D85" s="16" t="s">
        <v>30</v>
      </c>
      <c r="E85" s="16" t="str">
        <f t="shared" si="8"/>
        <v>$millions</v>
      </c>
      <c r="F85" s="101">
        <f t="shared" si="9"/>
        <v>45444</v>
      </c>
      <c r="J85" s="82">
        <f>'Input|Step changes'!J20*INDEX('Input|Rate of change'!$C$14:$P$22,MATCH('Input|Step changes'!$F20,'Input|Rate of change'!$C$14:$C$22,0),MATCH('Calc|Opex forecast'!$F85,'Input|Rate of change'!$C$14:$P$14,0))*IF('Input|Step changes'!$E20="$millions",1000000,IF('Input|Step changes'!$E20="$000",1000,1))/IF($E85="$millions",1000000,IF($E85="$000",1000,1))</f>
        <v>0</v>
      </c>
      <c r="K85" s="82">
        <f>'Input|Step changes'!K20*INDEX('Input|Rate of change'!$C$14:$P$22,MATCH('Input|Step changes'!$F20,'Input|Rate of change'!$C$14:$C$22,0),MATCH('Calc|Opex forecast'!$F85,'Input|Rate of change'!$C$14:$P$14,0))*IF('Input|Step changes'!$E20="$millions",1000000,IF('Input|Step changes'!$E20="$000",1000,1))/IF($E85="$millions",1000000,IF($E85="$000",1000,1))</f>
        <v>0</v>
      </c>
      <c r="L85" s="82">
        <f>'Input|Step changes'!L20*INDEX('Input|Rate of change'!$C$14:$P$22,MATCH('Input|Step changes'!$F20,'Input|Rate of change'!$C$14:$C$22,0),MATCH('Calc|Opex forecast'!$F85,'Input|Rate of change'!$C$14:$P$14,0))*IF('Input|Step changes'!$E20="$millions",1000000,IF('Input|Step changes'!$E20="$000",1000,1))/IF($E85="$millions",1000000,IF($E85="$000",1000,1))</f>
        <v>0</v>
      </c>
      <c r="M85" s="82">
        <f>'Input|Step changes'!M20*INDEX('Input|Rate of change'!$C$14:$P$22,MATCH('Input|Step changes'!$F20,'Input|Rate of change'!$C$14:$C$22,0),MATCH('Calc|Opex forecast'!$F85,'Input|Rate of change'!$C$14:$P$14,0))*IF('Input|Step changes'!$E20="$millions",1000000,IF('Input|Step changes'!$E20="$000",1000,1))/IF($E85="$millions",1000000,IF($E85="$000",1000,1))</f>
        <v>0</v>
      </c>
      <c r="N85" s="82">
        <f>'Input|Step changes'!N20*INDEX('Input|Rate of change'!$C$14:$P$22,MATCH('Input|Step changes'!$F20,'Input|Rate of change'!$C$14:$C$22,0),MATCH('Calc|Opex forecast'!$F85,'Input|Rate of change'!$C$14:$P$14,0))*IF('Input|Step changes'!$E20="$millions",1000000,IF('Input|Step changes'!$E20="$000",1000,1))/IF($E85="$millions",1000000,IF($E85="$000",1000,1))</f>
        <v>0</v>
      </c>
      <c r="O85" s="82">
        <f>'Input|Step changes'!O20*INDEX('Input|Rate of change'!$C$14:$P$22,MATCH('Input|Step changes'!$F20,'Input|Rate of change'!$C$14:$C$22,0),MATCH('Calc|Opex forecast'!$F85,'Input|Rate of change'!$C$14:$P$14,0))*IF('Input|Step changes'!$E20="$millions",1000000,IF('Input|Step changes'!$E20="$000",1000,1))/IF($E85="$millions",1000000,IF($E85="$000",1000,1))</f>
        <v>0</v>
      </c>
      <c r="P85" s="82">
        <f>'Input|Step changes'!P20*INDEX('Input|Rate of change'!$C$14:$P$22,MATCH('Input|Step changes'!$F20,'Input|Rate of change'!$C$14:$C$22,0),MATCH('Calc|Opex forecast'!$F85,'Input|Rate of change'!$C$14:$P$14,0))*IF('Input|Step changes'!$E20="$millions",1000000,IF('Input|Step changes'!$E20="$000",1000,1))/IF($E85="$millions",1000000,IF($E85="$000",1000,1))</f>
        <v>0</v>
      </c>
      <c r="Q85" s="82">
        <f>'Input|Step changes'!Q20*INDEX('Input|Rate of change'!$C$14:$P$22,MATCH('Input|Step changes'!$F20,'Input|Rate of change'!$C$14:$C$22,0),MATCH('Calc|Opex forecast'!$F85,'Input|Rate of change'!$C$14:$P$14,0))*IF('Input|Step changes'!$E20="$millions",1000000,IF('Input|Step changes'!$E20="$000",1000,1))/IF($E85="$millions",1000000,IF($E85="$000",1000,1))</f>
        <v>0</v>
      </c>
      <c r="R85" s="82">
        <f>'Input|Step changes'!R20*INDEX('Input|Rate of change'!$C$14:$P$22,MATCH('Input|Step changes'!$F20,'Input|Rate of change'!$C$14:$C$22,0),MATCH('Calc|Opex forecast'!$F85,'Input|Rate of change'!$C$14:$P$14,0))*IF('Input|Step changes'!$E20="$millions",1000000,IF('Input|Step changes'!$E20="$000",1000,1))/IF($E85="$millions",1000000,IF($E85="$000",1000,1))</f>
        <v>0</v>
      </c>
      <c r="S85" s="82">
        <f>'Input|Step changes'!S20*INDEX('Input|Rate of change'!$C$14:$P$22,MATCH('Input|Step changes'!$F20,'Input|Rate of change'!$C$14:$C$22,0),MATCH('Calc|Opex forecast'!$F85,'Input|Rate of change'!$C$14:$P$14,0))*IF('Input|Step changes'!$E20="$millions",1000000,IF('Input|Step changes'!$E20="$000",1000,1))/IF($E85="$millions",1000000,IF($E85="$000",1000,1))</f>
        <v>0</v>
      </c>
      <c r="T85" s="82">
        <f>'Input|Step changes'!T20*INDEX('Input|Rate of change'!$C$14:$P$22,MATCH('Input|Step changes'!$F20,'Input|Rate of change'!$C$14:$C$22,0),MATCH('Calc|Opex forecast'!$F85,'Input|Rate of change'!$C$14:$P$14,0))*IF('Input|Step changes'!$E20="$millions",1000000,IF('Input|Step changes'!$E20="$000",1000,1))/IF($E85="$millions",1000000,IF($E85="$000",1000,1))</f>
        <v>0</v>
      </c>
    </row>
    <row r="86" spans="1:31" outlineLevel="1">
      <c r="C86" s="78"/>
      <c r="F86" s="70"/>
      <c r="J86" s="82"/>
      <c r="K86" s="82"/>
      <c r="L86" s="82"/>
      <c r="M86" s="82"/>
      <c r="N86" s="82"/>
      <c r="O86" s="82"/>
      <c r="P86" s="82"/>
      <c r="Q86" s="82"/>
      <c r="R86" s="82"/>
      <c r="S86" s="82"/>
      <c r="T86" s="82"/>
    </row>
    <row r="87" spans="1:31" outlineLevel="1">
      <c r="C87" s="71" t="s">
        <v>49</v>
      </c>
      <c r="D87" s="79" t="s">
        <v>30</v>
      </c>
      <c r="E87" s="79" t="str">
        <f>$E$8</f>
        <v>$millions</v>
      </c>
      <c r="F87" s="105">
        <f t="shared" si="9"/>
        <v>45444</v>
      </c>
      <c r="G87" s="21"/>
      <c r="H87" s="21"/>
      <c r="I87" s="21"/>
      <c r="J87" s="83">
        <f>SUM(J76:J86)</f>
        <v>0</v>
      </c>
      <c r="K87" s="83">
        <f t="shared" ref="K87:S87" si="10">SUM(K76:K86)</f>
        <v>0</v>
      </c>
      <c r="L87" s="83">
        <f t="shared" si="10"/>
        <v>0</v>
      </c>
      <c r="M87" s="83">
        <f t="shared" si="10"/>
        <v>0</v>
      </c>
      <c r="N87" s="83">
        <f t="shared" si="10"/>
        <v>0</v>
      </c>
      <c r="O87" s="83">
        <f t="shared" si="10"/>
        <v>3.9999538747825616</v>
      </c>
      <c r="P87" s="83">
        <f t="shared" si="10"/>
        <v>3.5529109707999962</v>
      </c>
      <c r="Q87" s="83">
        <f t="shared" si="10"/>
        <v>3.2257609625147166</v>
      </c>
      <c r="R87" s="83">
        <f t="shared" si="10"/>
        <v>4.1646158006430101</v>
      </c>
      <c r="S87" s="83">
        <f t="shared" si="10"/>
        <v>3.585016289424384</v>
      </c>
      <c r="T87" s="83">
        <f t="shared" ref="T87" si="11">SUM(T76:T86)</f>
        <v>0</v>
      </c>
    </row>
    <row r="88" spans="1:31">
      <c r="C88" s="80"/>
      <c r="J88" s="67"/>
      <c r="K88" s="67"/>
      <c r="L88" s="67"/>
      <c r="M88" s="67"/>
      <c r="N88" s="23"/>
      <c r="O88" s="23"/>
      <c r="P88" s="23"/>
      <c r="Q88" s="23"/>
      <c r="R88" s="23"/>
      <c r="S88" s="23"/>
      <c r="T88" s="23"/>
    </row>
    <row r="89" spans="1:31" customFormat="1" ht="12.75">
      <c r="A89" s="34"/>
      <c r="B89" s="40" t="s">
        <v>116</v>
      </c>
      <c r="C89" s="34"/>
      <c r="D89" s="34"/>
      <c r="E89" s="34"/>
      <c r="F89" s="35"/>
      <c r="G89" s="35"/>
      <c r="H89" s="35"/>
      <c r="I89" s="35"/>
      <c r="J89" s="36"/>
      <c r="K89" s="37"/>
      <c r="L89" s="36"/>
      <c r="M89" s="37"/>
      <c r="N89" s="36"/>
      <c r="O89" s="36"/>
      <c r="P89" s="36"/>
      <c r="Q89" s="36"/>
      <c r="R89" s="36"/>
      <c r="S89" s="36"/>
      <c r="T89" s="36"/>
      <c r="U89" s="36"/>
      <c r="V89" s="36"/>
      <c r="W89" s="37"/>
      <c r="X89" s="37"/>
      <c r="Y89" s="38"/>
      <c r="Z89" s="38"/>
      <c r="AA89" s="38"/>
      <c r="AB89" s="38"/>
      <c r="AC89" s="38"/>
      <c r="AD89" s="39"/>
      <c r="AE89" s="39"/>
    </row>
    <row r="90" spans="1:31" outlineLevel="1">
      <c r="C90" s="15"/>
      <c r="J90" s="67"/>
      <c r="K90" s="67"/>
      <c r="L90" s="67"/>
    </row>
    <row r="91" spans="1:31" outlineLevel="1">
      <c r="C91" s="9" t="s">
        <v>107</v>
      </c>
      <c r="D91" s="21" t="s">
        <v>7</v>
      </c>
      <c r="E91" s="21" t="s">
        <v>8</v>
      </c>
      <c r="F91" s="21" t="s">
        <v>22</v>
      </c>
      <c r="J91" s="102" t="str">
        <f>IF(YEAR(J$4)&gt;='Input|General'!$G$13,IF(YEAR(J$4)&lt;='Input|General'!$G$14,J$4,""),"")</f>
        <v/>
      </c>
      <c r="K91" s="102" t="str">
        <f>IF(YEAR(K$4)&gt;='Input|General'!$G$13,IF(YEAR(K$4)&lt;='Input|General'!$G$14,K$4,""),"")</f>
        <v/>
      </c>
      <c r="L91" s="102" t="str">
        <f>IF(YEAR(L$4)&gt;='Input|General'!$G$13,IF(YEAR(L$4)&lt;='Input|General'!$G$14,L$4,""),"")</f>
        <v/>
      </c>
      <c r="M91" s="102" t="str">
        <f>IF(YEAR(M$4)&gt;='Input|General'!$G$13,IF(YEAR(M$4)&lt;='Input|General'!$G$14,M$4,""),"")</f>
        <v/>
      </c>
      <c r="N91" s="102" t="str">
        <f>IF(YEAR(N$4)&gt;='Input|General'!$G$13,IF(YEAR(N$4)&lt;='Input|General'!$G$14,N$4,""),"")</f>
        <v/>
      </c>
      <c r="O91" s="102">
        <f>IF(YEAR(O$4)&gt;='Input|General'!$G$13,IF(YEAR(O$4)&lt;='Input|General'!$G$14,O$4,""),"")</f>
        <v>45809</v>
      </c>
      <c r="P91" s="102">
        <f>IF(YEAR(P$4)&gt;='Input|General'!$G$13,IF(YEAR(P$4)&lt;='Input|General'!$G$14,P$4,""),"")</f>
        <v>46174</v>
      </c>
      <c r="Q91" s="102">
        <f>IF(YEAR(Q$4)&gt;='Input|General'!$G$13,IF(YEAR(Q$4)&lt;='Input|General'!$G$14,Q$4,""),"")</f>
        <v>46539</v>
      </c>
      <c r="R91" s="102">
        <f>IF(YEAR(R$4)&gt;='Input|General'!$G$13,IF(YEAR(R$4)&lt;='Input|General'!$G$14,R$4,""),"")</f>
        <v>46905</v>
      </c>
      <c r="S91" s="102">
        <f>IF(YEAR(S$4)&gt;='Input|General'!$G$13,IF(YEAR(S$4)&lt;='Input|General'!$G$14,S$4,""),"")</f>
        <v>47270</v>
      </c>
      <c r="T91" s="102" t="str">
        <f>IF(YEAR(T$4)&gt;='Input|General'!$G$13,IF(YEAR(T$4)&lt;='Input|General'!$G$14,T$4,""),"")</f>
        <v/>
      </c>
    </row>
    <row r="92" spans="1:31" outlineLevel="1">
      <c r="C92" s="9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</row>
    <row r="93" spans="1:31" outlineLevel="1">
      <c r="C93" s="78">
        <f>'Input|Step changes'!C28</f>
        <v>0</v>
      </c>
      <c r="D93" s="16" t="s">
        <v>30</v>
      </c>
      <c r="E93" s="16" t="str">
        <f t="shared" si="8"/>
        <v>$millions</v>
      </c>
      <c r="F93" s="101">
        <f t="shared" ref="F93:F97" si="12">$F$8</f>
        <v>45444</v>
      </c>
      <c r="J93" s="82">
        <f>'Input|Step changes'!J28*INDEX('Input|Rate of change'!$C$14:$P$22,MATCH('Input|Step changes'!$F28,'Input|Rate of change'!$C$14:$C$22,0),MATCH('Calc|Opex forecast'!$F93,'Input|Rate of change'!$C$14:$P$14,0))*IF('Input|Step changes'!$E28="$millions",1000000,IF('Input|Step changes'!$E28="$000",1000,1))/IF($E93="$millions",1000000,IF($E93="$000",1000,1))</f>
        <v>0</v>
      </c>
      <c r="K93" s="82">
        <f>'Input|Step changes'!K28*INDEX('Input|Rate of change'!$C$14:$P$22,MATCH('Input|Step changes'!$F28,'Input|Rate of change'!$C$14:$C$22,0),MATCH('Calc|Opex forecast'!$F93,'Input|Rate of change'!$C$14:$P$14,0))*IF('Input|Step changes'!$E28="$millions",1000000,IF('Input|Step changes'!$E28="$000",1000,1))/IF($E93="$millions",1000000,IF($E93="$000",1000,1))</f>
        <v>0</v>
      </c>
      <c r="L93" s="82">
        <f>'Input|Step changes'!L28*INDEX('Input|Rate of change'!$C$14:$P$22,MATCH('Input|Step changes'!$F28,'Input|Rate of change'!$C$14:$C$22,0),MATCH('Calc|Opex forecast'!$F93,'Input|Rate of change'!$C$14:$P$14,0))*IF('Input|Step changes'!$E28="$millions",1000000,IF('Input|Step changes'!$E28="$000",1000,1))/IF($E93="$millions",1000000,IF($E93="$000",1000,1))</f>
        <v>0</v>
      </c>
      <c r="M93" s="82">
        <f>'Input|Step changes'!M28*INDEX('Input|Rate of change'!$C$14:$P$22,MATCH('Input|Step changes'!$F28,'Input|Rate of change'!$C$14:$C$22,0),MATCH('Calc|Opex forecast'!$F93,'Input|Rate of change'!$C$14:$P$14,0))*IF('Input|Step changes'!$E28="$millions",1000000,IF('Input|Step changes'!$E28="$000",1000,1))/IF($E93="$millions",1000000,IF($E93="$000",1000,1))</f>
        <v>0</v>
      </c>
      <c r="N93" s="82">
        <f>'Input|Step changes'!N28*INDEX('Input|Rate of change'!$C$14:$P$22,MATCH('Input|Step changes'!$F28,'Input|Rate of change'!$C$14:$C$22,0),MATCH('Calc|Opex forecast'!$F93,'Input|Rate of change'!$C$14:$P$14,0))*IF('Input|Step changes'!$E28="$millions",1000000,IF('Input|Step changes'!$E28="$000",1000,1))/IF($E93="$millions",1000000,IF($E93="$000",1000,1))</f>
        <v>0</v>
      </c>
      <c r="O93" s="82">
        <f>'Input|Step changes'!O28*INDEX('Input|Rate of change'!$C$14:$P$22,MATCH('Input|Step changes'!$F28,'Input|Rate of change'!$C$14:$C$22,0),MATCH('Calc|Opex forecast'!$F93,'Input|Rate of change'!$C$14:$P$14,0))*IF('Input|Step changes'!$E28="$millions",1000000,IF('Input|Step changes'!$E28="$000",1000,1))/IF($E93="$millions",1000000,IF($E93="$000",1000,1))</f>
        <v>0</v>
      </c>
      <c r="P93" s="82">
        <f>'Input|Step changes'!P28*INDEX('Input|Rate of change'!$C$14:$P$22,MATCH('Input|Step changes'!$F28,'Input|Rate of change'!$C$14:$C$22,0),MATCH('Calc|Opex forecast'!$F93,'Input|Rate of change'!$C$14:$P$14,0))*IF('Input|Step changes'!$E28="$millions",1000000,IF('Input|Step changes'!$E28="$000",1000,1))/IF($E93="$millions",1000000,IF($E93="$000",1000,1))</f>
        <v>0</v>
      </c>
      <c r="Q93" s="82">
        <f>'Input|Step changes'!Q28*INDEX('Input|Rate of change'!$C$14:$P$22,MATCH('Input|Step changes'!$F28,'Input|Rate of change'!$C$14:$C$22,0),MATCH('Calc|Opex forecast'!$F93,'Input|Rate of change'!$C$14:$P$14,0))*IF('Input|Step changes'!$E28="$millions",1000000,IF('Input|Step changes'!$E28="$000",1000,1))/IF($E93="$millions",1000000,IF($E93="$000",1000,1))</f>
        <v>0</v>
      </c>
      <c r="R93" s="82">
        <f>'Input|Step changes'!R28*INDEX('Input|Rate of change'!$C$14:$P$22,MATCH('Input|Step changes'!$F28,'Input|Rate of change'!$C$14:$C$22,0),MATCH('Calc|Opex forecast'!$F93,'Input|Rate of change'!$C$14:$P$14,0))*IF('Input|Step changes'!$E28="$millions",1000000,IF('Input|Step changes'!$E28="$000",1000,1))/IF($E93="$millions",1000000,IF($E93="$000",1000,1))</f>
        <v>0</v>
      </c>
      <c r="S93" s="82">
        <f>'Input|Step changes'!S28*INDEX('Input|Rate of change'!$C$14:$P$22,MATCH('Input|Step changes'!$F28,'Input|Rate of change'!$C$14:$C$22,0),MATCH('Calc|Opex forecast'!$F93,'Input|Rate of change'!$C$14:$P$14,0))*IF('Input|Step changes'!$E28="$millions",1000000,IF('Input|Step changes'!$E28="$000",1000,1))/IF($E93="$millions",1000000,IF($E93="$000",1000,1))</f>
        <v>0</v>
      </c>
      <c r="T93" s="82">
        <f>'Input|Step changes'!T28*INDEX('Input|Rate of change'!$C$14:$P$22,MATCH('Input|Step changes'!$F28,'Input|Rate of change'!$C$14:$C$22,0),MATCH('Calc|Opex forecast'!$F93,'Input|Rate of change'!$C$14:$P$14,0))*IF('Input|Step changes'!$E28="$millions",1000000,IF('Input|Step changes'!$E28="$000",1000,1))/IF($E93="$millions",1000000,IF($E93="$000",1000,1))</f>
        <v>0</v>
      </c>
    </row>
    <row r="94" spans="1:31" outlineLevel="1">
      <c r="C94" s="78">
        <f>'Input|Step changes'!C29</f>
        <v>0</v>
      </c>
      <c r="D94" s="16" t="s">
        <v>30</v>
      </c>
      <c r="E94" s="16" t="str">
        <f t="shared" si="8"/>
        <v>$millions</v>
      </c>
      <c r="F94" s="101">
        <f t="shared" si="12"/>
        <v>45444</v>
      </c>
      <c r="J94" s="82">
        <f>'Input|Step changes'!J29*INDEX('Input|Rate of change'!$C$14:$P$22,MATCH('Input|Step changes'!$F29,'Input|Rate of change'!$C$14:$C$22,0),MATCH('Calc|Opex forecast'!$F94,'Input|Rate of change'!$C$14:$P$14,0))*IF('Input|Step changes'!$E29="$millions",1000000,IF('Input|Step changes'!$E29="$000",1000,1))/IF($E94="$millions",1000000,IF($E94="$000",1000,1))</f>
        <v>0</v>
      </c>
      <c r="K94" s="82">
        <f>'Input|Step changes'!K29*INDEX('Input|Rate of change'!$C$14:$P$22,MATCH('Input|Step changes'!$F29,'Input|Rate of change'!$C$14:$C$22,0),MATCH('Calc|Opex forecast'!$F94,'Input|Rate of change'!$C$14:$P$14,0))*IF('Input|Step changes'!$E29="$millions",1000000,IF('Input|Step changes'!$E29="$000",1000,1))/IF($E94="$millions",1000000,IF($E94="$000",1000,1))</f>
        <v>0</v>
      </c>
      <c r="L94" s="82">
        <f>'Input|Step changes'!L29*INDEX('Input|Rate of change'!$C$14:$P$22,MATCH('Input|Step changes'!$F29,'Input|Rate of change'!$C$14:$C$22,0),MATCH('Calc|Opex forecast'!$F94,'Input|Rate of change'!$C$14:$P$14,0))*IF('Input|Step changes'!$E29="$millions",1000000,IF('Input|Step changes'!$E29="$000",1000,1))/IF($E94="$millions",1000000,IF($E94="$000",1000,1))</f>
        <v>0</v>
      </c>
      <c r="M94" s="82">
        <f>'Input|Step changes'!M29*INDEX('Input|Rate of change'!$C$14:$P$22,MATCH('Input|Step changes'!$F29,'Input|Rate of change'!$C$14:$C$22,0),MATCH('Calc|Opex forecast'!$F94,'Input|Rate of change'!$C$14:$P$14,0))*IF('Input|Step changes'!$E29="$millions",1000000,IF('Input|Step changes'!$E29="$000",1000,1))/IF($E94="$millions",1000000,IF($E94="$000",1000,1))</f>
        <v>0</v>
      </c>
      <c r="N94" s="82">
        <f>'Input|Step changes'!N29*INDEX('Input|Rate of change'!$C$14:$P$22,MATCH('Input|Step changes'!$F29,'Input|Rate of change'!$C$14:$C$22,0),MATCH('Calc|Opex forecast'!$F94,'Input|Rate of change'!$C$14:$P$14,0))*IF('Input|Step changes'!$E29="$millions",1000000,IF('Input|Step changes'!$E29="$000",1000,1))/IF($E94="$millions",1000000,IF($E94="$000",1000,1))</f>
        <v>0</v>
      </c>
      <c r="O94" s="82">
        <f>'Input|Step changes'!O29*INDEX('Input|Rate of change'!$C$14:$P$22,MATCH('Input|Step changes'!$F29,'Input|Rate of change'!$C$14:$C$22,0),MATCH('Calc|Opex forecast'!$F94,'Input|Rate of change'!$C$14:$P$14,0))*IF('Input|Step changes'!$E29="$millions",1000000,IF('Input|Step changes'!$E29="$000",1000,1))/IF($E94="$millions",1000000,IF($E94="$000",1000,1))</f>
        <v>0</v>
      </c>
      <c r="P94" s="82">
        <f>'Input|Step changes'!P29*INDEX('Input|Rate of change'!$C$14:$P$22,MATCH('Input|Step changes'!$F29,'Input|Rate of change'!$C$14:$C$22,0),MATCH('Calc|Opex forecast'!$F94,'Input|Rate of change'!$C$14:$P$14,0))*IF('Input|Step changes'!$E29="$millions",1000000,IF('Input|Step changes'!$E29="$000",1000,1))/IF($E94="$millions",1000000,IF($E94="$000",1000,1))</f>
        <v>0</v>
      </c>
      <c r="Q94" s="82">
        <f>'Input|Step changes'!Q29*INDEX('Input|Rate of change'!$C$14:$P$22,MATCH('Input|Step changes'!$F29,'Input|Rate of change'!$C$14:$C$22,0),MATCH('Calc|Opex forecast'!$F94,'Input|Rate of change'!$C$14:$P$14,0))*IF('Input|Step changes'!$E29="$millions",1000000,IF('Input|Step changes'!$E29="$000",1000,1))/IF($E94="$millions",1000000,IF($E94="$000",1000,1))</f>
        <v>0</v>
      </c>
      <c r="R94" s="82">
        <f>'Input|Step changes'!R29*INDEX('Input|Rate of change'!$C$14:$P$22,MATCH('Input|Step changes'!$F29,'Input|Rate of change'!$C$14:$C$22,0),MATCH('Calc|Opex forecast'!$F94,'Input|Rate of change'!$C$14:$P$14,0))*IF('Input|Step changes'!$E29="$millions",1000000,IF('Input|Step changes'!$E29="$000",1000,1))/IF($E94="$millions",1000000,IF($E94="$000",1000,1))</f>
        <v>0</v>
      </c>
      <c r="S94" s="82">
        <f>'Input|Step changes'!S29*INDEX('Input|Rate of change'!$C$14:$P$22,MATCH('Input|Step changes'!$F29,'Input|Rate of change'!$C$14:$C$22,0),MATCH('Calc|Opex forecast'!$F94,'Input|Rate of change'!$C$14:$P$14,0))*IF('Input|Step changes'!$E29="$millions",1000000,IF('Input|Step changes'!$E29="$000",1000,1))/IF($E94="$millions",1000000,IF($E94="$000",1000,1))</f>
        <v>0</v>
      </c>
      <c r="T94" s="82">
        <f>'Input|Step changes'!T29*INDEX('Input|Rate of change'!$C$14:$P$22,MATCH('Input|Step changes'!$F29,'Input|Rate of change'!$C$14:$C$22,0),MATCH('Calc|Opex forecast'!$F94,'Input|Rate of change'!$C$14:$P$14,0))*IF('Input|Step changes'!$E29="$millions",1000000,IF('Input|Step changes'!$E29="$000",1000,1))/IF($E94="$millions",1000000,IF($E94="$000",1000,1))</f>
        <v>0</v>
      </c>
    </row>
    <row r="95" spans="1:31" outlineLevel="1">
      <c r="C95" s="78">
        <f>'Input|Step changes'!C30</f>
        <v>0</v>
      </c>
      <c r="D95" s="16" t="s">
        <v>30</v>
      </c>
      <c r="E95" s="16" t="str">
        <f t="shared" si="8"/>
        <v>$millions</v>
      </c>
      <c r="F95" s="101">
        <f t="shared" si="12"/>
        <v>45444</v>
      </c>
      <c r="J95" s="82">
        <f>'Input|Step changes'!J30*INDEX('Input|Rate of change'!$C$14:$P$22,MATCH('Input|Step changes'!$F30,'Input|Rate of change'!$C$14:$C$22,0),MATCH('Calc|Opex forecast'!$F95,'Input|Rate of change'!$C$14:$P$14,0))*IF('Input|Step changes'!$E30="$millions",1000000,IF('Input|Step changes'!$E30="$000",1000,1))/IF($E95="$millions",1000000,IF($E95="$000",1000,1))</f>
        <v>0</v>
      </c>
      <c r="K95" s="82">
        <f>'Input|Step changes'!K30*INDEX('Input|Rate of change'!$C$14:$P$22,MATCH('Input|Step changes'!$F30,'Input|Rate of change'!$C$14:$C$22,0),MATCH('Calc|Opex forecast'!$F95,'Input|Rate of change'!$C$14:$P$14,0))*IF('Input|Step changes'!$E30="$millions",1000000,IF('Input|Step changes'!$E30="$000",1000,1))/IF($E95="$millions",1000000,IF($E95="$000",1000,1))</f>
        <v>0</v>
      </c>
      <c r="L95" s="82">
        <f>'Input|Step changes'!L30*INDEX('Input|Rate of change'!$C$14:$P$22,MATCH('Input|Step changes'!$F30,'Input|Rate of change'!$C$14:$C$22,0),MATCH('Calc|Opex forecast'!$F95,'Input|Rate of change'!$C$14:$P$14,0))*IF('Input|Step changes'!$E30="$millions",1000000,IF('Input|Step changes'!$E30="$000",1000,1))/IF($E95="$millions",1000000,IF($E95="$000",1000,1))</f>
        <v>0</v>
      </c>
      <c r="M95" s="82">
        <f>'Input|Step changes'!M30*INDEX('Input|Rate of change'!$C$14:$P$22,MATCH('Input|Step changes'!$F30,'Input|Rate of change'!$C$14:$C$22,0),MATCH('Calc|Opex forecast'!$F95,'Input|Rate of change'!$C$14:$P$14,0))*IF('Input|Step changes'!$E30="$millions",1000000,IF('Input|Step changes'!$E30="$000",1000,1))/IF($E95="$millions",1000000,IF($E95="$000",1000,1))</f>
        <v>0</v>
      </c>
      <c r="N95" s="82">
        <f>'Input|Step changes'!N30*INDEX('Input|Rate of change'!$C$14:$P$22,MATCH('Input|Step changes'!$F30,'Input|Rate of change'!$C$14:$C$22,0),MATCH('Calc|Opex forecast'!$F95,'Input|Rate of change'!$C$14:$P$14,0))*IF('Input|Step changes'!$E30="$millions",1000000,IF('Input|Step changes'!$E30="$000",1000,1))/IF($E95="$millions",1000000,IF($E95="$000",1000,1))</f>
        <v>0</v>
      </c>
      <c r="O95" s="82">
        <f>'Input|Step changes'!O30*INDEX('Input|Rate of change'!$C$14:$P$22,MATCH('Input|Step changes'!$F30,'Input|Rate of change'!$C$14:$C$22,0),MATCH('Calc|Opex forecast'!$F95,'Input|Rate of change'!$C$14:$P$14,0))*IF('Input|Step changes'!$E30="$millions",1000000,IF('Input|Step changes'!$E30="$000",1000,1))/IF($E95="$millions",1000000,IF($E95="$000",1000,1))</f>
        <v>0</v>
      </c>
      <c r="P95" s="82">
        <f>'Input|Step changes'!P30*INDEX('Input|Rate of change'!$C$14:$P$22,MATCH('Input|Step changes'!$F30,'Input|Rate of change'!$C$14:$C$22,0),MATCH('Calc|Opex forecast'!$F95,'Input|Rate of change'!$C$14:$P$14,0))*IF('Input|Step changes'!$E30="$millions",1000000,IF('Input|Step changes'!$E30="$000",1000,1))/IF($E95="$millions",1000000,IF($E95="$000",1000,1))</f>
        <v>0</v>
      </c>
      <c r="Q95" s="82">
        <f>'Input|Step changes'!Q30*INDEX('Input|Rate of change'!$C$14:$P$22,MATCH('Input|Step changes'!$F30,'Input|Rate of change'!$C$14:$C$22,0),MATCH('Calc|Opex forecast'!$F95,'Input|Rate of change'!$C$14:$P$14,0))*IF('Input|Step changes'!$E30="$millions",1000000,IF('Input|Step changes'!$E30="$000",1000,1))/IF($E95="$millions",1000000,IF($E95="$000",1000,1))</f>
        <v>0</v>
      </c>
      <c r="R95" s="82">
        <f>'Input|Step changes'!R30*INDEX('Input|Rate of change'!$C$14:$P$22,MATCH('Input|Step changes'!$F30,'Input|Rate of change'!$C$14:$C$22,0),MATCH('Calc|Opex forecast'!$F95,'Input|Rate of change'!$C$14:$P$14,0))*IF('Input|Step changes'!$E30="$millions",1000000,IF('Input|Step changes'!$E30="$000",1000,1))/IF($E95="$millions",1000000,IF($E95="$000",1000,1))</f>
        <v>0</v>
      </c>
      <c r="S95" s="82">
        <f>'Input|Step changes'!S30*INDEX('Input|Rate of change'!$C$14:$P$22,MATCH('Input|Step changes'!$F30,'Input|Rate of change'!$C$14:$C$22,0),MATCH('Calc|Opex forecast'!$F95,'Input|Rate of change'!$C$14:$P$14,0))*IF('Input|Step changes'!$E30="$millions",1000000,IF('Input|Step changes'!$E30="$000",1000,1))/IF($E95="$millions",1000000,IF($E95="$000",1000,1))</f>
        <v>0</v>
      </c>
      <c r="T95" s="82">
        <f>'Input|Step changes'!T30*INDEX('Input|Rate of change'!$C$14:$P$22,MATCH('Input|Step changes'!$F30,'Input|Rate of change'!$C$14:$C$22,0),MATCH('Calc|Opex forecast'!$F95,'Input|Rate of change'!$C$14:$P$14,0))*IF('Input|Step changes'!$E30="$millions",1000000,IF('Input|Step changes'!$E30="$000",1000,1))/IF($E95="$millions",1000000,IF($E95="$000",1000,1))</f>
        <v>0</v>
      </c>
    </row>
    <row r="96" spans="1:31" outlineLevel="1">
      <c r="C96" s="78">
        <f>'Input|Step changes'!C31</f>
        <v>0</v>
      </c>
      <c r="D96" s="16" t="s">
        <v>30</v>
      </c>
      <c r="E96" s="16" t="str">
        <f t="shared" si="8"/>
        <v>$millions</v>
      </c>
      <c r="F96" s="101">
        <f t="shared" si="12"/>
        <v>45444</v>
      </c>
      <c r="J96" s="82">
        <f>'Input|Step changes'!J31*INDEX('Input|Rate of change'!$C$14:$P$22,MATCH('Input|Step changes'!$F31,'Input|Rate of change'!$C$14:$C$22,0),MATCH('Calc|Opex forecast'!$F96,'Input|Rate of change'!$C$14:$P$14,0))*IF('Input|Step changes'!$E31="$millions",1000000,IF('Input|Step changes'!$E31="$000",1000,1))/IF($E96="$millions",1000000,IF($E96="$000",1000,1))</f>
        <v>0</v>
      </c>
      <c r="K96" s="82">
        <f>'Input|Step changes'!K31*INDEX('Input|Rate of change'!$C$14:$P$22,MATCH('Input|Step changes'!$F31,'Input|Rate of change'!$C$14:$C$22,0),MATCH('Calc|Opex forecast'!$F96,'Input|Rate of change'!$C$14:$P$14,0))*IF('Input|Step changes'!$E31="$millions",1000000,IF('Input|Step changes'!$E31="$000",1000,1))/IF($E96="$millions",1000000,IF($E96="$000",1000,1))</f>
        <v>0</v>
      </c>
      <c r="L96" s="82">
        <f>'Input|Step changes'!L31*INDEX('Input|Rate of change'!$C$14:$P$22,MATCH('Input|Step changes'!$F31,'Input|Rate of change'!$C$14:$C$22,0),MATCH('Calc|Opex forecast'!$F96,'Input|Rate of change'!$C$14:$P$14,0))*IF('Input|Step changes'!$E31="$millions",1000000,IF('Input|Step changes'!$E31="$000",1000,1))/IF($E96="$millions",1000000,IF($E96="$000",1000,1))</f>
        <v>0</v>
      </c>
      <c r="M96" s="82">
        <f>'Input|Step changes'!M31*INDEX('Input|Rate of change'!$C$14:$P$22,MATCH('Input|Step changes'!$F31,'Input|Rate of change'!$C$14:$C$22,0),MATCH('Calc|Opex forecast'!$F96,'Input|Rate of change'!$C$14:$P$14,0))*IF('Input|Step changes'!$E31="$millions",1000000,IF('Input|Step changes'!$E31="$000",1000,1))/IF($E96="$millions",1000000,IF($E96="$000",1000,1))</f>
        <v>0</v>
      </c>
      <c r="N96" s="82">
        <f>'Input|Step changes'!N31*INDEX('Input|Rate of change'!$C$14:$P$22,MATCH('Input|Step changes'!$F31,'Input|Rate of change'!$C$14:$C$22,0),MATCH('Calc|Opex forecast'!$F96,'Input|Rate of change'!$C$14:$P$14,0))*IF('Input|Step changes'!$E31="$millions",1000000,IF('Input|Step changes'!$E31="$000",1000,1))/IF($E96="$millions",1000000,IF($E96="$000",1000,1))</f>
        <v>0</v>
      </c>
      <c r="O96" s="82">
        <f>'Input|Step changes'!O31*INDEX('Input|Rate of change'!$C$14:$P$22,MATCH('Input|Step changes'!$F31,'Input|Rate of change'!$C$14:$C$22,0),MATCH('Calc|Opex forecast'!$F96,'Input|Rate of change'!$C$14:$P$14,0))*IF('Input|Step changes'!$E31="$millions",1000000,IF('Input|Step changes'!$E31="$000",1000,1))/IF($E96="$millions",1000000,IF($E96="$000",1000,1))</f>
        <v>0</v>
      </c>
      <c r="P96" s="82">
        <f>'Input|Step changes'!P31*INDEX('Input|Rate of change'!$C$14:$P$22,MATCH('Input|Step changes'!$F31,'Input|Rate of change'!$C$14:$C$22,0),MATCH('Calc|Opex forecast'!$F96,'Input|Rate of change'!$C$14:$P$14,0))*IF('Input|Step changes'!$E31="$millions",1000000,IF('Input|Step changes'!$E31="$000",1000,1))/IF($E96="$millions",1000000,IF($E96="$000",1000,1))</f>
        <v>0</v>
      </c>
      <c r="Q96" s="82">
        <f>'Input|Step changes'!Q31*INDEX('Input|Rate of change'!$C$14:$P$22,MATCH('Input|Step changes'!$F31,'Input|Rate of change'!$C$14:$C$22,0),MATCH('Calc|Opex forecast'!$F96,'Input|Rate of change'!$C$14:$P$14,0))*IF('Input|Step changes'!$E31="$millions",1000000,IF('Input|Step changes'!$E31="$000",1000,1))/IF($E96="$millions",1000000,IF($E96="$000",1000,1))</f>
        <v>0</v>
      </c>
      <c r="R96" s="82">
        <f>'Input|Step changes'!R31*INDEX('Input|Rate of change'!$C$14:$P$22,MATCH('Input|Step changes'!$F31,'Input|Rate of change'!$C$14:$C$22,0),MATCH('Calc|Opex forecast'!$F96,'Input|Rate of change'!$C$14:$P$14,0))*IF('Input|Step changes'!$E31="$millions",1000000,IF('Input|Step changes'!$E31="$000",1000,1))/IF($E96="$millions",1000000,IF($E96="$000",1000,1))</f>
        <v>0</v>
      </c>
      <c r="S96" s="82">
        <f>'Input|Step changes'!S31*INDEX('Input|Rate of change'!$C$14:$P$22,MATCH('Input|Step changes'!$F31,'Input|Rate of change'!$C$14:$C$22,0),MATCH('Calc|Opex forecast'!$F96,'Input|Rate of change'!$C$14:$P$14,0))*IF('Input|Step changes'!$E31="$millions",1000000,IF('Input|Step changes'!$E31="$000",1000,1))/IF($E96="$millions",1000000,IF($E96="$000",1000,1))</f>
        <v>0</v>
      </c>
      <c r="T96" s="82">
        <f>'Input|Step changes'!T31*INDEX('Input|Rate of change'!$C$14:$P$22,MATCH('Input|Step changes'!$F31,'Input|Rate of change'!$C$14:$C$22,0),MATCH('Calc|Opex forecast'!$F96,'Input|Rate of change'!$C$14:$P$14,0))*IF('Input|Step changes'!$E31="$millions",1000000,IF('Input|Step changes'!$E31="$000",1000,1))/IF($E96="$millions",1000000,IF($E96="$000",1000,1))</f>
        <v>0</v>
      </c>
    </row>
    <row r="97" spans="1:39" outlineLevel="1">
      <c r="C97" s="78">
        <f>'Input|Step changes'!C32</f>
        <v>0</v>
      </c>
      <c r="D97" s="16" t="s">
        <v>30</v>
      </c>
      <c r="E97" s="16" t="str">
        <f t="shared" si="8"/>
        <v>$millions</v>
      </c>
      <c r="F97" s="101">
        <f t="shared" si="12"/>
        <v>45444</v>
      </c>
      <c r="J97" s="82">
        <f>'Input|Step changes'!J32*INDEX('Input|Rate of change'!$C$14:$P$22,MATCH('Input|Step changes'!$F32,'Input|Rate of change'!$C$14:$C$22,0),MATCH('Calc|Opex forecast'!$F97,'Input|Rate of change'!$C$14:$P$14,0))*IF('Input|Step changes'!$E32="$millions",1000000,IF('Input|Step changes'!$E32="$000",1000,1))/IF($E97="$millions",1000000,IF($E97="$000",1000,1))</f>
        <v>0</v>
      </c>
      <c r="K97" s="82">
        <f>'Input|Step changes'!K32*INDEX('Input|Rate of change'!$C$14:$P$22,MATCH('Input|Step changes'!$F32,'Input|Rate of change'!$C$14:$C$22,0),MATCH('Calc|Opex forecast'!$F97,'Input|Rate of change'!$C$14:$P$14,0))*IF('Input|Step changes'!$E32="$millions",1000000,IF('Input|Step changes'!$E32="$000",1000,1))/IF($E97="$millions",1000000,IF($E97="$000",1000,1))</f>
        <v>0</v>
      </c>
      <c r="L97" s="82">
        <f>'Input|Step changes'!L32*INDEX('Input|Rate of change'!$C$14:$P$22,MATCH('Input|Step changes'!$F32,'Input|Rate of change'!$C$14:$C$22,0),MATCH('Calc|Opex forecast'!$F97,'Input|Rate of change'!$C$14:$P$14,0))*IF('Input|Step changes'!$E32="$millions",1000000,IF('Input|Step changes'!$E32="$000",1000,1))/IF($E97="$millions",1000000,IF($E97="$000",1000,1))</f>
        <v>0</v>
      </c>
      <c r="M97" s="82">
        <f>'Input|Step changes'!M32*INDEX('Input|Rate of change'!$C$14:$P$22,MATCH('Input|Step changes'!$F32,'Input|Rate of change'!$C$14:$C$22,0),MATCH('Calc|Opex forecast'!$F97,'Input|Rate of change'!$C$14:$P$14,0))*IF('Input|Step changes'!$E32="$millions",1000000,IF('Input|Step changes'!$E32="$000",1000,1))/IF($E97="$millions",1000000,IF($E97="$000",1000,1))</f>
        <v>0</v>
      </c>
      <c r="N97" s="82">
        <f>'Input|Step changes'!N32*INDEX('Input|Rate of change'!$C$14:$P$22,MATCH('Input|Step changes'!$F32,'Input|Rate of change'!$C$14:$C$22,0),MATCH('Calc|Opex forecast'!$F97,'Input|Rate of change'!$C$14:$P$14,0))*IF('Input|Step changes'!$E32="$millions",1000000,IF('Input|Step changes'!$E32="$000",1000,1))/IF($E97="$millions",1000000,IF($E97="$000",1000,1))</f>
        <v>0</v>
      </c>
      <c r="O97" s="82">
        <f>'Input|Step changes'!O32*INDEX('Input|Rate of change'!$C$14:$P$22,MATCH('Input|Step changes'!$F32,'Input|Rate of change'!$C$14:$C$22,0),MATCH('Calc|Opex forecast'!$F97,'Input|Rate of change'!$C$14:$P$14,0))*IF('Input|Step changes'!$E32="$millions",1000000,IF('Input|Step changes'!$E32="$000",1000,1))/IF($E97="$millions",1000000,IF($E97="$000",1000,1))</f>
        <v>0</v>
      </c>
      <c r="P97" s="82">
        <f>'Input|Step changes'!P32*INDEX('Input|Rate of change'!$C$14:$P$22,MATCH('Input|Step changes'!$F32,'Input|Rate of change'!$C$14:$C$22,0),MATCH('Calc|Opex forecast'!$F97,'Input|Rate of change'!$C$14:$P$14,0))*IF('Input|Step changes'!$E32="$millions",1000000,IF('Input|Step changes'!$E32="$000",1000,1))/IF($E97="$millions",1000000,IF($E97="$000",1000,1))</f>
        <v>0</v>
      </c>
      <c r="Q97" s="82">
        <f>'Input|Step changes'!Q32*INDEX('Input|Rate of change'!$C$14:$P$22,MATCH('Input|Step changes'!$F32,'Input|Rate of change'!$C$14:$C$22,0),MATCH('Calc|Opex forecast'!$F97,'Input|Rate of change'!$C$14:$P$14,0))*IF('Input|Step changes'!$E32="$millions",1000000,IF('Input|Step changes'!$E32="$000",1000,1))/IF($E97="$millions",1000000,IF($E97="$000",1000,1))</f>
        <v>0</v>
      </c>
      <c r="R97" s="82">
        <f>'Input|Step changes'!R32*INDEX('Input|Rate of change'!$C$14:$P$22,MATCH('Input|Step changes'!$F32,'Input|Rate of change'!$C$14:$C$22,0),MATCH('Calc|Opex forecast'!$F97,'Input|Rate of change'!$C$14:$P$14,0))*IF('Input|Step changes'!$E32="$millions",1000000,IF('Input|Step changes'!$E32="$000",1000,1))/IF($E97="$millions",1000000,IF($E97="$000",1000,1))</f>
        <v>0</v>
      </c>
      <c r="S97" s="82">
        <f>'Input|Step changes'!S32*INDEX('Input|Rate of change'!$C$14:$P$22,MATCH('Input|Step changes'!$F32,'Input|Rate of change'!$C$14:$C$22,0),MATCH('Calc|Opex forecast'!$F97,'Input|Rate of change'!$C$14:$P$14,0))*IF('Input|Step changes'!$E32="$millions",1000000,IF('Input|Step changes'!$E32="$000",1000,1))/IF($E97="$millions",1000000,IF($E97="$000",1000,1))</f>
        <v>0</v>
      </c>
      <c r="T97" s="82">
        <f>'Input|Step changes'!T32*INDEX('Input|Rate of change'!$C$14:$P$22,MATCH('Input|Step changes'!$F32,'Input|Rate of change'!$C$14:$C$22,0),MATCH('Calc|Opex forecast'!$F97,'Input|Rate of change'!$C$14:$P$14,0))*IF('Input|Step changes'!$E32="$millions",1000000,IF('Input|Step changes'!$E32="$000",1000,1))/IF($E97="$millions",1000000,IF($E97="$000",1000,1))</f>
        <v>0</v>
      </c>
      <c r="U97" s="67"/>
      <c r="V97" s="67"/>
      <c r="W97" s="67"/>
      <c r="X97" s="67"/>
      <c r="Y97" s="67"/>
      <c r="Z97" s="67"/>
      <c r="AA97" s="67"/>
      <c r="AB97" s="67"/>
      <c r="AC97" s="67"/>
      <c r="AD97" s="67"/>
      <c r="AE97" s="67"/>
      <c r="AF97" s="67"/>
      <c r="AG97" s="67"/>
      <c r="AH97" s="67"/>
      <c r="AI97" s="67"/>
      <c r="AJ97" s="67"/>
      <c r="AK97" s="67"/>
      <c r="AL97" s="67"/>
      <c r="AM97" s="67"/>
    </row>
    <row r="98" spans="1:39" outlineLevel="1">
      <c r="C98" s="78"/>
      <c r="F98" s="70"/>
      <c r="J98" s="82"/>
      <c r="K98" s="82"/>
      <c r="L98" s="82"/>
      <c r="M98" s="82"/>
      <c r="N98" s="82"/>
      <c r="O98" s="82"/>
      <c r="P98" s="82"/>
      <c r="Q98" s="82"/>
      <c r="R98" s="82"/>
      <c r="S98" s="82"/>
      <c r="T98" s="82"/>
      <c r="U98" s="67"/>
      <c r="V98" s="67"/>
      <c r="W98" s="67"/>
      <c r="X98" s="67"/>
      <c r="Y98" s="67"/>
      <c r="Z98" s="67"/>
      <c r="AA98" s="67"/>
      <c r="AB98" s="67"/>
      <c r="AC98" s="67"/>
      <c r="AD98" s="67"/>
      <c r="AE98" s="67"/>
      <c r="AF98" s="67"/>
      <c r="AG98" s="67"/>
      <c r="AH98" s="67"/>
      <c r="AI98" s="67"/>
      <c r="AJ98" s="67"/>
      <c r="AK98" s="67"/>
      <c r="AL98" s="67"/>
      <c r="AM98" s="67"/>
    </row>
    <row r="99" spans="1:39" outlineLevel="1">
      <c r="C99" s="71" t="s">
        <v>117</v>
      </c>
      <c r="D99" s="79" t="s">
        <v>30</v>
      </c>
      <c r="E99" s="79" t="str">
        <f>$E$8</f>
        <v>$millions</v>
      </c>
      <c r="F99" s="105">
        <f t="shared" ref="F99" si="13">$F$8</f>
        <v>45444</v>
      </c>
      <c r="G99" s="21"/>
      <c r="H99" s="21"/>
      <c r="I99" s="21"/>
      <c r="J99" s="83">
        <f t="shared" ref="J99:T99" si="14">SUM(J92:J97)</f>
        <v>0</v>
      </c>
      <c r="K99" s="83">
        <f t="shared" si="14"/>
        <v>0</v>
      </c>
      <c r="L99" s="83">
        <f t="shared" si="14"/>
        <v>0</v>
      </c>
      <c r="M99" s="83">
        <f t="shared" si="14"/>
        <v>0</v>
      </c>
      <c r="N99" s="83">
        <f t="shared" si="14"/>
        <v>0</v>
      </c>
      <c r="O99" s="83">
        <f t="shared" si="14"/>
        <v>0</v>
      </c>
      <c r="P99" s="83">
        <f t="shared" si="14"/>
        <v>0</v>
      </c>
      <c r="Q99" s="83">
        <f t="shared" si="14"/>
        <v>0</v>
      </c>
      <c r="R99" s="83">
        <f t="shared" si="14"/>
        <v>0</v>
      </c>
      <c r="S99" s="83">
        <f t="shared" si="14"/>
        <v>0</v>
      </c>
      <c r="T99" s="83">
        <f t="shared" si="14"/>
        <v>0</v>
      </c>
    </row>
    <row r="100" spans="1:39">
      <c r="C100" s="80"/>
      <c r="J100" s="67"/>
      <c r="K100" s="67"/>
      <c r="L100" s="67"/>
      <c r="M100" s="67"/>
      <c r="N100" s="23"/>
      <c r="O100" s="23"/>
      <c r="P100" s="23"/>
      <c r="Q100" s="23"/>
      <c r="R100" s="23"/>
      <c r="S100" s="23"/>
      <c r="T100" s="23"/>
    </row>
    <row r="101" spans="1:39" customFormat="1" ht="12.75">
      <c r="A101" s="34"/>
      <c r="B101" s="40" t="s">
        <v>91</v>
      </c>
      <c r="C101" s="34"/>
      <c r="D101" s="34"/>
      <c r="E101" s="34"/>
      <c r="F101" s="35"/>
      <c r="G101" s="35"/>
      <c r="H101" s="35"/>
      <c r="I101" s="35"/>
      <c r="J101" s="36"/>
      <c r="K101" s="37"/>
      <c r="L101" s="36"/>
      <c r="M101" s="37"/>
      <c r="N101" s="36"/>
      <c r="O101" s="36"/>
      <c r="P101" s="36"/>
      <c r="Q101" s="36"/>
      <c r="R101" s="36"/>
      <c r="S101" s="36"/>
      <c r="T101" s="36"/>
      <c r="U101" s="36"/>
      <c r="V101" s="36"/>
      <c r="W101" s="37"/>
      <c r="X101" s="37"/>
      <c r="Y101" s="38"/>
      <c r="Z101" s="38"/>
      <c r="AA101" s="38"/>
      <c r="AB101" s="38"/>
      <c r="AC101" s="38"/>
      <c r="AD101" s="39"/>
      <c r="AE101" s="39"/>
    </row>
    <row r="102" spans="1:39" outlineLevel="1">
      <c r="C102" s="15"/>
      <c r="J102" s="67"/>
      <c r="K102" s="67"/>
      <c r="L102" s="67"/>
    </row>
    <row r="103" spans="1:39" outlineLevel="1">
      <c r="C103" s="9"/>
      <c r="J103" s="102" t="str">
        <f>IF(YEAR(J$4)&gt;='Input|General'!$G$13,IF(YEAR(J$4)&lt;='Input|General'!$G$14,J$4,""),"")</f>
        <v/>
      </c>
      <c r="K103" s="102" t="str">
        <f>IF(YEAR(K$4)&gt;='Input|General'!$G$13,IF(YEAR(K$4)&lt;='Input|General'!$G$14,K$4,""),"")</f>
        <v/>
      </c>
      <c r="L103" s="102" t="str">
        <f>IF(YEAR(L$4)&gt;='Input|General'!$G$13,IF(YEAR(L$4)&lt;='Input|General'!$G$14,L$4,""),"")</f>
        <v/>
      </c>
      <c r="M103" s="102" t="str">
        <f>IF(YEAR(M$4)&gt;='Input|General'!$G$13,IF(YEAR(M$4)&lt;='Input|General'!$G$14,M$4,""),"")</f>
        <v/>
      </c>
      <c r="N103" s="102" t="str">
        <f>IF(YEAR(N$4)&gt;='Input|General'!$G$13,IF(YEAR(N$4)&lt;='Input|General'!$G$14,N$4,""),"")</f>
        <v/>
      </c>
      <c r="O103" s="102">
        <f>IF(YEAR(O$4)&gt;='Input|General'!$G$13,IF(YEAR(O$4)&lt;='Input|General'!$G$14,O$4,""),"")</f>
        <v>45809</v>
      </c>
      <c r="P103" s="102">
        <f>IF(YEAR(P$4)&gt;='Input|General'!$G$13,IF(YEAR(P$4)&lt;='Input|General'!$G$14,P$4,""),"")</f>
        <v>46174</v>
      </c>
      <c r="Q103" s="102">
        <f>IF(YEAR(Q$4)&gt;='Input|General'!$G$13,IF(YEAR(Q$4)&lt;='Input|General'!$G$14,Q$4,""),"")</f>
        <v>46539</v>
      </c>
      <c r="R103" s="102">
        <f>IF(YEAR(R$4)&gt;='Input|General'!$G$13,IF(YEAR(R$4)&lt;='Input|General'!$G$14,R$4,""),"")</f>
        <v>46905</v>
      </c>
      <c r="S103" s="102">
        <f>IF(YEAR(S$4)&gt;='Input|General'!$G$13,IF(YEAR(S$4)&lt;='Input|General'!$G$14,S$4,""),"")</f>
        <v>47270</v>
      </c>
      <c r="T103" s="102" t="str">
        <f>IF(YEAR(T$4)&gt;='Input|General'!$G$13,IF(YEAR(T$4)&lt;='Input|General'!$G$14,T$4,""),"")</f>
        <v/>
      </c>
    </row>
    <row r="104" spans="1:39" outlineLevel="1">
      <c r="C104" s="9"/>
      <c r="J104" s="81"/>
      <c r="K104" s="81"/>
      <c r="L104" s="81"/>
      <c r="M104" s="81"/>
      <c r="N104" s="81"/>
      <c r="O104" s="81"/>
      <c r="P104" s="81"/>
      <c r="Q104" s="81"/>
      <c r="R104" s="81"/>
      <c r="S104" s="81"/>
      <c r="T104" s="81"/>
    </row>
    <row r="105" spans="1:39" outlineLevel="1">
      <c r="C105" s="80" t="s">
        <v>133</v>
      </c>
      <c r="D105" s="21" t="s">
        <v>30</v>
      </c>
      <c r="E105" s="21" t="str">
        <f>$E$8</f>
        <v>$millions</v>
      </c>
      <c r="F105" s="105">
        <f t="shared" ref="F105:F107" si="15">$F$8</f>
        <v>45444</v>
      </c>
      <c r="J105" s="93" t="str">
        <f t="shared" ref="J105:T105" si="16">IF(YEAR(J$4)&gt;=FPFirstYear,IF(YEAR(J$4)&lt;=FPLastYear,IF(ISBLANK(J103),"",(1+J71)*SUM($J54:$S54)+J87),""),"")</f>
        <v/>
      </c>
      <c r="K105" s="93" t="str">
        <f t="shared" si="16"/>
        <v/>
      </c>
      <c r="L105" s="93" t="str">
        <f t="shared" si="16"/>
        <v/>
      </c>
      <c r="M105" s="93" t="str">
        <f t="shared" si="16"/>
        <v/>
      </c>
      <c r="N105" s="93" t="str">
        <f t="shared" si="16"/>
        <v/>
      </c>
      <c r="O105" s="93">
        <f t="shared" ca="1" si="16"/>
        <v>444.49585207024398</v>
      </c>
      <c r="P105" s="93">
        <f t="shared" ca="1" si="16"/>
        <v>448.69245740807099</v>
      </c>
      <c r="Q105" s="93">
        <f t="shared" ca="1" si="16"/>
        <v>451.59891626516963</v>
      </c>
      <c r="R105" s="93">
        <f t="shared" ca="1" si="16"/>
        <v>455.42658109842802</v>
      </c>
      <c r="S105" s="93">
        <f t="shared" ca="1" si="16"/>
        <v>458.30422645522378</v>
      </c>
      <c r="T105" s="93" t="str">
        <f t="shared" si="16"/>
        <v/>
      </c>
    </row>
    <row r="106" spans="1:39" outlineLevel="1">
      <c r="C106" s="80" t="s">
        <v>105</v>
      </c>
      <c r="D106" s="21" t="s">
        <v>30</v>
      </c>
      <c r="E106" s="21" t="str">
        <f>$E$8</f>
        <v>$millions</v>
      </c>
      <c r="F106" s="105">
        <f t="shared" si="15"/>
        <v>45444</v>
      </c>
      <c r="J106" s="93" t="str">
        <f t="shared" ref="J106:T106" si="17">IF(YEAR(J$4)&gt;=FPFirstYear,IF(YEAR(J$4)&lt;=FPLastYear,IF(ISBLANK(J103),"",(1+J71)*SUM($J54:$S54)+J87+J99),""),"")</f>
        <v/>
      </c>
      <c r="K106" s="93" t="str">
        <f t="shared" si="17"/>
        <v/>
      </c>
      <c r="L106" s="93" t="str">
        <f t="shared" si="17"/>
        <v/>
      </c>
      <c r="M106" s="93" t="str">
        <f t="shared" si="17"/>
        <v/>
      </c>
      <c r="N106" s="93" t="str">
        <f t="shared" si="17"/>
        <v/>
      </c>
      <c r="O106" s="93">
        <f t="shared" ca="1" si="17"/>
        <v>444.49585207024398</v>
      </c>
      <c r="P106" s="93">
        <f t="shared" ca="1" si="17"/>
        <v>448.69245740807099</v>
      </c>
      <c r="Q106" s="93">
        <f t="shared" ca="1" si="17"/>
        <v>451.59891626516963</v>
      </c>
      <c r="R106" s="93">
        <f t="shared" ca="1" si="17"/>
        <v>455.42658109842802</v>
      </c>
      <c r="S106" s="93">
        <f t="shared" ca="1" si="17"/>
        <v>458.30422645522378</v>
      </c>
      <c r="T106" s="93" t="str">
        <f t="shared" si="17"/>
        <v/>
      </c>
    </row>
    <row r="107" spans="1:39" outlineLevel="1">
      <c r="C107" s="80" t="s">
        <v>106</v>
      </c>
      <c r="D107" s="21" t="s">
        <v>30</v>
      </c>
      <c r="E107" s="21" t="str">
        <f>$E$8</f>
        <v>$millions</v>
      </c>
      <c r="F107" s="105">
        <f t="shared" si="15"/>
        <v>45444</v>
      </c>
      <c r="J107" s="93" t="str">
        <f>IF(YEAR(J$4)&gt;=FPFirstYear,IF(YEAR(J$4)&lt;=FPLastYear,J106+'Input|Step changes'!J40,""),"")</f>
        <v/>
      </c>
      <c r="K107" s="93" t="str">
        <f>IF(YEAR(K$4)&gt;=FPFirstYear,IF(YEAR(K$4)&lt;=FPLastYear,K106+'Input|Step changes'!K40,""),"")</f>
        <v/>
      </c>
      <c r="L107" s="93" t="str">
        <f>IF(YEAR(L$4)&gt;=FPFirstYear,IF(YEAR(L$4)&lt;=FPLastYear,L106+'Input|Step changes'!L40,""),"")</f>
        <v/>
      </c>
      <c r="M107" s="93" t="str">
        <f>IF(YEAR(M$4)&gt;=FPFirstYear,IF(YEAR(M$4)&lt;=FPLastYear,M106+'Input|Step changes'!M40,""),"")</f>
        <v/>
      </c>
      <c r="N107" s="93" t="str">
        <f>IF(YEAR(N$4)&gt;=FPFirstYear,IF(YEAR(N$4)&lt;=FPLastYear,N106+'Input|Step changes'!N40,""),"")</f>
        <v/>
      </c>
      <c r="O107" s="93">
        <f ca="1">IF(YEAR(O$4)&gt;=FPFirstYear,IF(YEAR(O$4)&lt;=FPLastYear,O106+'Input|Step changes'!O40,""),"")</f>
        <v>449.6029792874856</v>
      </c>
      <c r="P107" s="93">
        <f ca="1">IF(YEAR(P$4)&gt;=FPFirstYear,IF(YEAR(P$4)&lt;=FPLastYear,P106+'Input|Step changes'!P40,""),"")</f>
        <v>453.88724047940917</v>
      </c>
      <c r="Q107" s="93">
        <f ca="1">IF(YEAR(Q$4)&gt;=FPFirstYear,IF(YEAR(Q$4)&lt;=FPLastYear,Q106+'Input|Step changes'!Q40,""),"")</f>
        <v>456.8669857750287</v>
      </c>
      <c r="R107" s="93">
        <f ca="1">IF(YEAR(R$4)&gt;=FPFirstYear,IF(YEAR(R$4)&lt;=FPLastYear,R106+'Input|Step changes'!R40,""),"")</f>
        <v>460.76391652576075</v>
      </c>
      <c r="S107" s="93">
        <f ca="1">IF(YEAR(S$4)&gt;=FPFirstYear,IF(YEAR(S$4)&lt;=FPLastYear,S106+'Input|Step changes'!S40,""),"")</f>
        <v>463.70365713213289</v>
      </c>
      <c r="T107" s="93" t="str">
        <f>IF(YEAR(T$4)&gt;=FPFirstYear,IF(YEAR(T$4)&lt;=FPLastYear,T106+'Input|Step changes'!T40,""),"")</f>
        <v/>
      </c>
    </row>
    <row r="108" spans="1:39">
      <c r="C108" s="80"/>
      <c r="J108" s="67"/>
      <c r="K108" s="67"/>
      <c r="L108" s="67"/>
      <c r="M108" s="67"/>
      <c r="N108" s="23"/>
      <c r="O108" s="23"/>
      <c r="P108" s="23"/>
      <c r="Q108" s="23"/>
      <c r="R108" s="23"/>
      <c r="S108" s="23"/>
      <c r="T108" s="23"/>
    </row>
    <row r="109" spans="1:39" customFormat="1" ht="12.75">
      <c r="A109" s="34"/>
      <c r="B109" s="40" t="s">
        <v>21</v>
      </c>
      <c r="C109" s="34"/>
      <c r="D109" s="34"/>
      <c r="E109" s="34"/>
      <c r="F109" s="35"/>
      <c r="G109" s="35"/>
      <c r="H109" s="35"/>
      <c r="I109" s="35"/>
      <c r="J109" s="36"/>
      <c r="K109" s="37"/>
      <c r="L109" s="36"/>
      <c r="M109" s="37"/>
      <c r="N109" s="36"/>
      <c r="O109" s="36"/>
      <c r="P109" s="36"/>
      <c r="Q109" s="36"/>
      <c r="R109" s="36"/>
      <c r="S109" s="36"/>
      <c r="T109" s="36"/>
      <c r="U109" s="36"/>
      <c r="V109" s="36"/>
      <c r="W109" s="37"/>
      <c r="X109" s="37"/>
      <c r="Y109" s="38"/>
      <c r="Z109" s="38"/>
      <c r="AA109" s="38"/>
      <c r="AB109" s="38"/>
      <c r="AC109" s="38"/>
      <c r="AD109" s="39"/>
      <c r="AE109" s="39"/>
    </row>
    <row r="118" s="8" customFormat="1" hidden="1"/>
    <row r="119" s="8" customFormat="1" hidden="1"/>
    <row r="120" s="8" customFormat="1" hidden="1"/>
    <row r="121" s="8" customFormat="1" hidden="1"/>
    <row r="122" s="8" customFormat="1" hidden="1"/>
    <row r="123" s="8" customFormat="1" hidden="1"/>
    <row r="124" s="8" customFormat="1" hidden="1"/>
    <row r="125" s="8" customFormat="1" hidden="1"/>
    <row r="126" s="8" customFormat="1" hidden="1"/>
    <row r="127" s="8" customFormat="1" hidden="1"/>
    <row r="128" s="8" customFormat="1" hidden="1"/>
    <row r="129" s="8" customFormat="1" hidden="1"/>
    <row r="130" s="8" customFormat="1" hidden="1"/>
    <row r="131" s="8" customFormat="1" hidden="1"/>
    <row r="132" s="8" customFormat="1" hidden="1"/>
    <row r="133" s="8" customFormat="1" hidden="1"/>
    <row r="134" s="8" customFormat="1" hidden="1"/>
    <row r="135" s="8" customFormat="1" hidden="1"/>
    <row r="136" s="8" customFormat="1" hidden="1"/>
    <row r="137" s="8" customFormat="1" hidden="1"/>
    <row r="138" s="8" customFormat="1" hidden="1"/>
    <row r="139" s="8" customFormat="1" hidden="1"/>
    <row r="140" s="8" customFormat="1" hidden="1"/>
    <row r="141" s="8" customFormat="1" hidden="1"/>
    <row r="142" s="8" customFormat="1" hidden="1"/>
    <row r="143" s="8" customFormat="1" hidden="1"/>
    <row r="144" s="8" customFormat="1" hidden="1"/>
    <row r="145" s="8" customFormat="1" hidden="1"/>
    <row r="146" s="8" customFormat="1" hidden="1"/>
    <row r="147" s="8" customFormat="1" hidden="1"/>
    <row r="148" s="8" customFormat="1" hidden="1"/>
    <row r="149" s="8" customFormat="1" hidden="1"/>
    <row r="150" s="8" customFormat="1" hidden="1"/>
    <row r="151" s="8" customFormat="1" hidden="1"/>
    <row r="152" s="8" customFormat="1" hidden="1"/>
    <row r="153" s="8" customFormat="1" hidden="1"/>
    <row r="154" s="8" customFormat="1" hidden="1"/>
    <row r="155" s="8" customFormat="1" hidden="1"/>
    <row r="156" s="8" customFormat="1" hidden="1"/>
    <row r="157" s="8" customFormat="1" hidden="1"/>
    <row r="158" s="8" customFormat="1" hidden="1"/>
    <row r="159" s="8" customFormat="1" hidden="1"/>
    <row r="160" s="8" customFormat="1" hidden="1"/>
    <row r="161" s="8" customFormat="1" hidden="1"/>
    <row r="162" s="8" customFormat="1" hidden="1"/>
    <row r="163" s="8" customFormat="1" hidden="1"/>
    <row r="164" s="8" customFormat="1" hidden="1"/>
    <row r="165" s="8" customFormat="1" hidden="1"/>
    <row r="166" s="8" customFormat="1" hidden="1"/>
    <row r="167" s="8" customFormat="1" hidden="1"/>
    <row r="168" s="8" customFormat="1" hidden="1"/>
    <row r="169" s="8" customFormat="1" hidden="1"/>
    <row r="170" s="8" customFormat="1" hidden="1"/>
    <row r="171" s="8" customFormat="1" hidden="1"/>
    <row r="172" s="8" customFormat="1" hidden="1"/>
    <row r="173" s="8" customFormat="1" hidden="1"/>
    <row r="174" s="8" customFormat="1" hidden="1"/>
    <row r="175" s="8" customFormat="1" hidden="1"/>
    <row r="176" s="8" customFormat="1" hidden="1"/>
    <row r="177" s="8" customFormat="1" hidden="1"/>
    <row r="178" s="8" customFormat="1" hidden="1"/>
    <row r="179" s="8" customFormat="1" hidden="1"/>
    <row r="180" s="8" customFormat="1" hidden="1"/>
    <row r="181" s="8" customFormat="1" hidden="1"/>
    <row r="182" s="8" customFormat="1" hidden="1"/>
    <row r="183" s="8" customFormat="1" hidden="1"/>
    <row r="184" s="8" customFormat="1" hidden="1"/>
    <row r="185" s="8" customFormat="1" hidden="1"/>
    <row r="186" s="8" customFormat="1" hidden="1"/>
    <row r="187" s="8" customFormat="1" hidden="1"/>
    <row r="188" s="8" customFormat="1" hidden="1"/>
    <row r="189" s="8" customFormat="1" hidden="1"/>
    <row r="190" s="8" customFormat="1" hidden="1"/>
    <row r="191" s="8" customFormat="1" hidden="1"/>
    <row r="192" s="8" customFormat="1" hidden="1"/>
    <row r="193" s="8" customFormat="1" hidden="1"/>
    <row r="194" s="8" customFormat="1" hidden="1"/>
  </sheetData>
  <mergeCells count="1">
    <mergeCell ref="N3:S3"/>
  </mergeCells>
  <conditionalFormatting sqref="S1:T1">
    <cfRule type="cellIs" dxfId="88" priority="109" operator="equal">
      <formula>"Check"</formula>
    </cfRule>
    <cfRule type="cellIs" dxfId="87" priority="110" operator="equal">
      <formula>"Ok"</formula>
    </cfRule>
  </conditionalFormatting>
  <conditionalFormatting sqref="W1">
    <cfRule type="cellIs" dxfId="86" priority="111" operator="equal">
      <formula>"Check"</formula>
    </cfRule>
    <cfRule type="cellIs" dxfId="85" priority="112" operator="equal">
      <formula>"Ok"</formula>
    </cfRule>
  </conditionalFormatting>
  <conditionalFormatting sqref="R39:T39 R42:T42 R45:T45 R48:T48 J12:T18">
    <cfRule type="cellIs" dxfId="84" priority="108" operator="equal">
      <formula>0</formula>
    </cfRule>
  </conditionalFormatting>
  <conditionalFormatting sqref="J13:T13">
    <cfRule type="cellIs" dxfId="83" priority="107" operator="equal">
      <formula>0</formula>
    </cfRule>
  </conditionalFormatting>
  <conditionalFormatting sqref="J14:T14">
    <cfRule type="cellIs" dxfId="82" priority="106" operator="equal">
      <formula>0</formula>
    </cfRule>
  </conditionalFormatting>
  <conditionalFormatting sqref="J15:T15">
    <cfRule type="cellIs" dxfId="81" priority="105" operator="equal">
      <formula>0</formula>
    </cfRule>
  </conditionalFormatting>
  <conditionalFormatting sqref="J16:T16">
    <cfRule type="cellIs" dxfId="80" priority="104" operator="equal">
      <formula>0</formula>
    </cfRule>
  </conditionalFormatting>
  <conditionalFormatting sqref="J17:T18">
    <cfRule type="cellIs" dxfId="79" priority="103" operator="equal">
      <formula>0</formula>
    </cfRule>
  </conditionalFormatting>
  <conditionalFormatting sqref="J61:T68">
    <cfRule type="cellIs" dxfId="78" priority="102" operator="equal">
      <formula>0</formula>
    </cfRule>
  </conditionalFormatting>
  <conditionalFormatting sqref="J77:T85 J93:T98">
    <cfRule type="cellIs" dxfId="77" priority="100" operator="equal">
      <formula>0</formula>
    </cfRule>
  </conditionalFormatting>
  <conditionalFormatting sqref="J36:T36 J33:T34 J51:T54">
    <cfRule type="cellIs" dxfId="76" priority="97" operator="equal">
      <formula>0</formula>
    </cfRule>
  </conditionalFormatting>
  <conditionalFormatting sqref="J106:T107">
    <cfRule type="cellIs" dxfId="75" priority="96" operator="equal">
      <formula>0</formula>
    </cfRule>
  </conditionalFormatting>
  <conditionalFormatting sqref="J106:T107">
    <cfRule type="cellIs" dxfId="74" priority="95" operator="equal">
      <formula>0</formula>
    </cfRule>
  </conditionalFormatting>
  <conditionalFormatting sqref="J46:T46">
    <cfRule type="cellIs" dxfId="73" priority="58" operator="equal">
      <formula>0</formula>
    </cfRule>
  </conditionalFormatting>
  <conditionalFormatting sqref="J39:Q39 J42:Q42 J45:Q45">
    <cfRule type="cellIs" dxfId="72" priority="76" operator="equal">
      <formula>0</formula>
    </cfRule>
  </conditionalFormatting>
  <conditionalFormatting sqref="J39:Q39 J42:Q42 J45:Q45">
    <cfRule type="cellIs" dxfId="71" priority="75" operator="equal">
      <formula>0</formula>
    </cfRule>
  </conditionalFormatting>
  <conditionalFormatting sqref="J37:T37">
    <cfRule type="cellIs" dxfId="70" priority="71" operator="equal">
      <formula>0</formula>
    </cfRule>
  </conditionalFormatting>
  <conditionalFormatting sqref="J37:T37">
    <cfRule type="cellIs" dxfId="69" priority="70" operator="equal">
      <formula>0</formula>
    </cfRule>
  </conditionalFormatting>
  <conditionalFormatting sqref="J48:Q48">
    <cfRule type="cellIs" dxfId="68" priority="61" operator="equal">
      <formula>0</formula>
    </cfRule>
  </conditionalFormatting>
  <conditionalFormatting sqref="J48:Q48">
    <cfRule type="cellIs" dxfId="67" priority="60" operator="equal">
      <formula>0</formula>
    </cfRule>
  </conditionalFormatting>
  <conditionalFormatting sqref="J40:T40">
    <cfRule type="cellIs" dxfId="66" priority="67" operator="equal">
      <formula>0</formula>
    </cfRule>
  </conditionalFormatting>
  <conditionalFormatting sqref="J40:T40">
    <cfRule type="cellIs" dxfId="65" priority="66" operator="equal">
      <formula>0</formula>
    </cfRule>
  </conditionalFormatting>
  <conditionalFormatting sqref="J46:T46">
    <cfRule type="cellIs" dxfId="64" priority="59" operator="equal">
      <formula>0</formula>
    </cfRule>
  </conditionalFormatting>
  <conditionalFormatting sqref="J43:T43">
    <cfRule type="cellIs" dxfId="63" priority="63" operator="equal">
      <formula>0</formula>
    </cfRule>
  </conditionalFormatting>
  <conditionalFormatting sqref="J43:T43">
    <cfRule type="cellIs" dxfId="62" priority="62" operator="equal">
      <formula>0</formula>
    </cfRule>
  </conditionalFormatting>
  <conditionalFormatting sqref="J49:T49">
    <cfRule type="cellIs" dxfId="61" priority="53" operator="equal">
      <formula>0</formula>
    </cfRule>
  </conditionalFormatting>
  <conditionalFormatting sqref="J49:T49">
    <cfRule type="cellIs" dxfId="60" priority="54" operator="equal">
      <formula>0</formula>
    </cfRule>
  </conditionalFormatting>
  <conditionalFormatting sqref="J38:T38">
    <cfRule type="cellIs" dxfId="59" priority="52" operator="equal">
      <formula>0</formula>
    </cfRule>
  </conditionalFormatting>
  <conditionalFormatting sqref="J38:T38">
    <cfRule type="cellIs" dxfId="58" priority="51" operator="equal">
      <formula>0</formula>
    </cfRule>
  </conditionalFormatting>
  <conditionalFormatting sqref="J105:T105">
    <cfRule type="cellIs" dxfId="57" priority="32" operator="equal">
      <formula>0</formula>
    </cfRule>
  </conditionalFormatting>
  <conditionalFormatting sqref="J105:T105">
    <cfRule type="cellIs" dxfId="56" priority="31" operator="equal">
      <formula>0</formula>
    </cfRule>
  </conditionalFormatting>
  <conditionalFormatting sqref="J10:T10">
    <cfRule type="expression" dxfId="55" priority="30">
      <formula>J$10=J$4</formula>
    </cfRule>
  </conditionalFormatting>
  <conditionalFormatting sqref="J25:T25">
    <cfRule type="expression" dxfId="54" priority="29">
      <formula>J$10=J$4</formula>
    </cfRule>
  </conditionalFormatting>
  <conditionalFormatting sqref="J54:T54">
    <cfRule type="expression" dxfId="53" priority="28">
      <formula>J$10=J$4</formula>
    </cfRule>
  </conditionalFormatting>
  <conditionalFormatting sqref="J31:T32">
    <cfRule type="cellIs" dxfId="52" priority="24" operator="equal">
      <formula>0</formula>
    </cfRule>
  </conditionalFormatting>
  <conditionalFormatting sqref="J71:T71">
    <cfRule type="cellIs" dxfId="51" priority="21" operator="equal">
      <formula>0</formula>
    </cfRule>
  </conditionalFormatting>
  <conditionalFormatting sqref="J35:T35">
    <cfRule type="cellIs" dxfId="50" priority="20" operator="equal">
      <formula>0</formula>
    </cfRule>
  </conditionalFormatting>
  <conditionalFormatting sqref="J35:T35">
    <cfRule type="cellIs" dxfId="49" priority="19" operator="equal">
      <formula>0</formula>
    </cfRule>
  </conditionalFormatting>
  <conditionalFormatting sqref="J29:T29">
    <cfRule type="cellIs" dxfId="48" priority="18" operator="equal">
      <formula>0</formula>
    </cfRule>
  </conditionalFormatting>
  <conditionalFormatting sqref="J29:T29">
    <cfRule type="cellIs" dxfId="47" priority="17" operator="equal">
      <formula>0</formula>
    </cfRule>
  </conditionalFormatting>
  <conditionalFormatting sqref="J19:T24">
    <cfRule type="cellIs" dxfId="46" priority="16" operator="equal">
      <formula>0</formula>
    </cfRule>
  </conditionalFormatting>
  <conditionalFormatting sqref="J20:T20">
    <cfRule type="cellIs" dxfId="45" priority="15" operator="equal">
      <formula>0</formula>
    </cfRule>
  </conditionalFormatting>
  <conditionalFormatting sqref="J21:T21">
    <cfRule type="cellIs" dxfId="44" priority="14" operator="equal">
      <formula>0</formula>
    </cfRule>
  </conditionalFormatting>
  <conditionalFormatting sqref="J22:T22">
    <cfRule type="cellIs" dxfId="43" priority="13" operator="equal">
      <formula>0</formula>
    </cfRule>
  </conditionalFormatting>
  <conditionalFormatting sqref="J23:T23">
    <cfRule type="cellIs" dxfId="42" priority="12" operator="equal">
      <formula>0</formula>
    </cfRule>
  </conditionalFormatting>
  <conditionalFormatting sqref="J24:T24">
    <cfRule type="cellIs" dxfId="41" priority="11" operator="equal">
      <formula>0</formula>
    </cfRule>
  </conditionalFormatting>
  <conditionalFormatting sqref="J70:T70">
    <cfRule type="expression" dxfId="40" priority="114">
      <formula>J$58=J$4</formula>
    </cfRule>
    <cfRule type="cellIs" dxfId="39" priority="115" operator="equal">
      <formula>0</formula>
    </cfRule>
  </conditionalFormatting>
  <conditionalFormatting sqref="J99:T99">
    <cfRule type="expression" dxfId="38" priority="116">
      <formula>J$91=J$4</formula>
    </cfRule>
    <cfRule type="cellIs" dxfId="37" priority="117" operator="equal">
      <formula>0</formula>
    </cfRule>
  </conditionalFormatting>
  <conditionalFormatting sqref="J87:T87">
    <cfRule type="expression" dxfId="36" priority="118">
      <formula>J$75=J$4</formula>
    </cfRule>
    <cfRule type="cellIs" dxfId="35" priority="119" operator="equal">
      <formula>0</formula>
    </cfRule>
  </conditionalFormatting>
  <conditionalFormatting sqref="J58:T58 J75:T75 J91:T91">
    <cfRule type="expression" dxfId="34" priority="120">
      <formula>J$58=J$4</formula>
    </cfRule>
  </conditionalFormatting>
  <conditionalFormatting sqref="J103:T103">
    <cfRule type="expression" dxfId="33" priority="123">
      <formula>J$103=J$4</formula>
    </cfRule>
  </conditionalFormatting>
  <conditionalFormatting sqref="J41:T41">
    <cfRule type="cellIs" dxfId="32" priority="10" operator="equal">
      <formula>0</formula>
    </cfRule>
  </conditionalFormatting>
  <conditionalFormatting sqref="J41:T41">
    <cfRule type="cellIs" dxfId="31" priority="9" operator="equal">
      <formula>0</formula>
    </cfRule>
  </conditionalFormatting>
  <conditionalFormatting sqref="J44:T44">
    <cfRule type="cellIs" dxfId="30" priority="8" operator="equal">
      <formula>0</formula>
    </cfRule>
  </conditionalFormatting>
  <conditionalFormatting sqref="J44:T44">
    <cfRule type="cellIs" dxfId="29" priority="7" operator="equal">
      <formula>0</formula>
    </cfRule>
  </conditionalFormatting>
  <conditionalFormatting sqref="J47:T47">
    <cfRule type="cellIs" dxfId="28" priority="6" operator="equal">
      <formula>0</formula>
    </cfRule>
  </conditionalFormatting>
  <conditionalFormatting sqref="J47:T47">
    <cfRule type="cellIs" dxfId="27" priority="5" operator="equal">
      <formula>0</formula>
    </cfRule>
  </conditionalFormatting>
  <conditionalFormatting sqref="J50:T50">
    <cfRule type="cellIs" dxfId="26" priority="4" operator="equal">
      <formula>0</formula>
    </cfRule>
  </conditionalFormatting>
  <conditionalFormatting sqref="J50:T50">
    <cfRule type="cellIs" dxfId="25" priority="3" operator="equal">
      <formula>0</formula>
    </cfRule>
  </conditionalFormatting>
  <conditionalFormatting sqref="J28:S28">
    <cfRule type="cellIs" dxfId="2" priority="2" operator="equal">
      <formula>0</formula>
    </cfRule>
  </conditionalFormatting>
  <conditionalFormatting sqref="J26:S26">
    <cfRule type="cellIs" dxfId="1" priority="1" operator="equal">
      <formula>0</formula>
    </cfRule>
  </conditionalFormatting>
  <dataValidations disablePrompts="1" count="2">
    <dataValidation type="list" allowBlank="1" showInputMessage="1" showErrorMessage="1" sqref="F100 F88 F108" xr:uid="{00000000-0002-0000-0700-000000000000}">
      <formula1>"Real 2010,Real 2011,Real 2012,Real 2013,Real 2014,Real 2015,Nominal"</formula1>
    </dataValidation>
    <dataValidation type="list" allowBlank="1" showInputMessage="1" showErrorMessage="1" sqref="F86" xr:uid="{00000000-0002-0000-0700-000001000000}">
      <formula1>$G$60:$G$69</formula1>
    </dataValidation>
  </dataValidations>
  <hyperlinks>
    <hyperlink ref="J1" location="Index!A1" display="Back to Index" xr:uid="{00000000-0004-0000-0700-000000000000}"/>
    <hyperlink ref="V1" location="'Check|List'!A1" display="Overall Check:" xr:uid="{00000000-0004-0000-0700-000001000000}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 xr:uid="{00000000-0002-0000-0700-000002000000}">
          <x14:formula1>
            <xm:f>'Lookup|Tables'!$G$17:$G$19</xm:f>
          </x14:formula1>
          <xm:sqref>E8</xm:sqref>
        </x14:dataValidation>
        <x14:dataValidation type="list" allowBlank="1" showInputMessage="1" showErrorMessage="1" xr:uid="{00000000-0002-0000-0700-000003000000}">
          <x14:formula1>
            <xm:f>'Lookup|Tables'!$H$73:$H$77</xm:f>
          </x14:formula1>
          <xm:sqref>F8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tabColor theme="3" tint="0.59999389629810485"/>
  </sheetPr>
  <dimension ref="A1:AV26"/>
  <sheetViews>
    <sheetView showGridLines="0" workbookViewId="0"/>
  </sheetViews>
  <sheetFormatPr defaultColWidth="0" defaultRowHeight="11.25" zeroHeight="1"/>
  <cols>
    <col min="1" max="2" width="1.5" style="8" customWidth="1"/>
    <col min="3" max="3" width="59.6640625" style="8" bestFit="1" customWidth="1"/>
    <col min="4" max="4" width="27.6640625" style="16" customWidth="1"/>
    <col min="5" max="5" width="15.83203125" style="16" customWidth="1"/>
    <col min="6" max="6" width="10.6640625" style="16" customWidth="1"/>
    <col min="7" max="9" width="3.33203125" style="16" customWidth="1"/>
    <col min="10" max="24" width="10.83203125" style="8" customWidth="1"/>
    <col min="25" max="48" width="0" style="8" hidden="1" customWidth="1"/>
    <col min="49" max="16384" width="10.5" style="8" hidden="1"/>
  </cols>
  <sheetData>
    <row r="1" spans="1:27" s="29" customFormat="1" ht="15.75">
      <c r="B1" s="26" t="str">
        <f>Index!$B$1</f>
        <v>AER opex model v2.1</v>
      </c>
      <c r="C1" s="26"/>
      <c r="D1" s="26"/>
      <c r="E1" s="26"/>
      <c r="F1" s="27"/>
      <c r="G1" s="27"/>
      <c r="H1" s="27"/>
      <c r="I1" s="27"/>
      <c r="J1" s="28" t="s">
        <v>2</v>
      </c>
      <c r="L1" s="30" t="s">
        <v>3</v>
      </c>
      <c r="M1" s="48" t="s">
        <v>4</v>
      </c>
      <c r="N1" s="11" t="s">
        <v>5</v>
      </c>
      <c r="O1" s="12" t="s">
        <v>6</v>
      </c>
      <c r="R1" s="30" t="s">
        <v>82</v>
      </c>
      <c r="S1" s="31" t="s">
        <v>36</v>
      </c>
      <c r="T1" s="31"/>
      <c r="V1" s="113" t="s">
        <v>24</v>
      </c>
      <c r="W1" s="31" t="str">
        <f>'Check|List'!$S$1</f>
        <v>Ok</v>
      </c>
    </row>
    <row r="2" spans="1:27" s="33" customFormat="1" ht="13.5" thickBot="1">
      <c r="B2" s="32" t="str">
        <f>Index!$C$13</f>
        <v>Output | Models</v>
      </c>
      <c r="C2" s="32"/>
      <c r="D2" s="32"/>
      <c r="E2" s="32"/>
      <c r="F2" s="55"/>
      <c r="G2" s="55"/>
      <c r="H2" s="55"/>
      <c r="I2" s="55"/>
    </row>
    <row r="3" spans="1:27" s="56" customFormat="1">
      <c r="D3" s="110"/>
      <c r="E3" s="110"/>
      <c r="F3" s="110"/>
      <c r="G3" s="110"/>
      <c r="H3" s="110"/>
      <c r="I3" s="110"/>
      <c r="J3" s="104" t="s">
        <v>118</v>
      </c>
      <c r="K3" s="104"/>
      <c r="L3" s="104"/>
      <c r="M3" s="110"/>
      <c r="N3" s="213"/>
      <c r="O3" s="213"/>
      <c r="P3" s="213"/>
      <c r="Q3" s="213"/>
      <c r="R3" s="213"/>
      <c r="S3" s="213"/>
      <c r="T3" s="110"/>
      <c r="U3" s="57"/>
      <c r="V3" s="57"/>
      <c r="W3" s="57"/>
      <c r="X3" s="57"/>
      <c r="Y3" s="57"/>
      <c r="Z3" s="57"/>
      <c r="AA3" s="57"/>
    </row>
    <row r="4" spans="1:27" customFormat="1">
      <c r="A4" s="58"/>
      <c r="B4" s="58"/>
      <c r="C4" s="58"/>
      <c r="D4" s="59" t="s">
        <v>7</v>
      </c>
      <c r="E4" s="59" t="s">
        <v>8</v>
      </c>
      <c r="F4" s="60" t="s">
        <v>22</v>
      </c>
      <c r="G4" s="61"/>
      <c r="H4" s="61"/>
      <c r="I4" s="61"/>
      <c r="J4" s="97">
        <f>DATE(PPFirstYear,MONTH('Input|General'!$G$9),1)</f>
        <v>43983</v>
      </c>
      <c r="K4" s="97">
        <f>DATE(PPFirstYear+1,MONTH('Input|General'!$G$9),1)</f>
        <v>44348</v>
      </c>
      <c r="L4" s="97">
        <f>DATE(PPFirstYear+2,MONTH('Input|General'!$G$9),1)</f>
        <v>44713</v>
      </c>
      <c r="M4" s="97">
        <f>DATE(PPFirstYear+3,MONTH('Input|General'!$G$9),1)</f>
        <v>45078</v>
      </c>
      <c r="N4" s="97">
        <f>DATE(PPFirstYear+4,MONTH('Input|General'!$G$9),1)</f>
        <v>45444</v>
      </c>
      <c r="O4" s="97">
        <f>DATE(PPFirstYear+5,MONTH('Input|General'!$G$9),1)</f>
        <v>45809</v>
      </c>
      <c r="P4" s="97">
        <f>DATE(PPFirstYear+6,MONTH('Input|General'!$G$9),1)</f>
        <v>46174</v>
      </c>
      <c r="Q4" s="97">
        <f>DATE(PPFirstYear+7,MONTH('Input|General'!$G$9),1)</f>
        <v>46539</v>
      </c>
      <c r="R4" s="97">
        <f>DATE(PPFirstYear+8,MONTH('Input|General'!$G$9),1)</f>
        <v>46905</v>
      </c>
      <c r="S4" s="97">
        <f>DATE(PPFirstYear+9,MONTH('Input|General'!$G$9),1)</f>
        <v>47270</v>
      </c>
      <c r="T4" s="97">
        <f>DATE(PPFirstYear+10,MONTH('Input|General'!$G$9),1)</f>
        <v>47635</v>
      </c>
      <c r="U4" s="62"/>
      <c r="V4" s="62"/>
      <c r="W4" s="63"/>
      <c r="X4" s="63"/>
    </row>
    <row r="5" spans="1:27" s="6" customFormat="1" ht="3" customHeight="1">
      <c r="D5" s="22"/>
      <c r="E5" s="22"/>
      <c r="F5" s="22"/>
      <c r="G5" s="22"/>
      <c r="H5" s="22"/>
      <c r="I5" s="22"/>
    </row>
    <row r="6" spans="1:27" s="6" customFormat="1" ht="9" customHeight="1">
      <c r="D6" s="22"/>
      <c r="E6" s="22"/>
      <c r="F6" s="22"/>
      <c r="G6" s="22"/>
      <c r="H6" s="22"/>
      <c r="I6" s="22"/>
    </row>
    <row r="7" spans="1:27" s="6" customFormat="1" ht="3" customHeight="1">
      <c r="D7" s="22"/>
      <c r="E7" s="22"/>
      <c r="F7" s="22"/>
      <c r="G7" s="22"/>
      <c r="H7" s="22"/>
      <c r="I7" s="22"/>
    </row>
    <row r="8" spans="1:27" customFormat="1" ht="12.75">
      <c r="A8" s="34"/>
      <c r="B8" s="40" t="s">
        <v>55</v>
      </c>
      <c r="C8" s="34"/>
      <c r="D8" s="34"/>
      <c r="E8" s="54" t="s">
        <v>15</v>
      </c>
      <c r="F8" s="117">
        <f>DATE(PPLastYear,MONTH('Input|General'!$G$9),1)</f>
        <v>45444</v>
      </c>
      <c r="G8" s="35"/>
      <c r="H8" s="35"/>
      <c r="I8" s="35"/>
      <c r="J8" s="42" t="s">
        <v>56</v>
      </c>
      <c r="K8" s="37"/>
      <c r="L8" s="36"/>
      <c r="M8" s="37"/>
      <c r="N8" s="36"/>
      <c r="O8" s="36"/>
      <c r="P8" s="36"/>
      <c r="Q8" s="36"/>
      <c r="R8" s="36"/>
      <c r="S8" s="36"/>
      <c r="T8" s="36"/>
      <c r="U8" s="36"/>
      <c r="V8" s="36"/>
      <c r="W8" s="37"/>
      <c r="X8" s="37"/>
    </row>
    <row r="9" spans="1:27" ht="4.5" customHeight="1"/>
    <row r="10" spans="1:27">
      <c r="M10" s="67"/>
      <c r="N10" s="67"/>
      <c r="O10" s="67"/>
      <c r="P10" s="67"/>
      <c r="Q10" s="67"/>
      <c r="R10" s="67"/>
      <c r="S10" s="67"/>
      <c r="T10" s="67"/>
    </row>
    <row r="11" spans="1:27">
      <c r="C11" s="9" t="s">
        <v>46</v>
      </c>
      <c r="D11" s="21" t="s">
        <v>7</v>
      </c>
      <c r="E11" s="21" t="s">
        <v>8</v>
      </c>
      <c r="F11" s="21" t="s">
        <v>22</v>
      </c>
      <c r="H11" s="21"/>
      <c r="I11" s="21"/>
      <c r="J11" s="102" t="str">
        <f>IF(YEAR(J$4)&gt;='Input|General'!$G$13,IF(YEAR(J$4)&lt;='Input|General'!$G$14,J$4,""),"")</f>
        <v/>
      </c>
      <c r="K11" s="102" t="str">
        <f>IF(YEAR(K$4)&gt;='Input|General'!$G$13,IF(YEAR(K$4)&lt;='Input|General'!$G$14,K$4,""),"")</f>
        <v/>
      </c>
      <c r="L11" s="102" t="str">
        <f>IF(YEAR(L$4)&gt;='Input|General'!$G$13,IF(YEAR(L$4)&lt;='Input|General'!$G$14,L$4,""),"")</f>
        <v/>
      </c>
      <c r="M11" s="102" t="str">
        <f>IF(YEAR(M$4)&gt;='Input|General'!$G$13,IF(YEAR(M$4)&lt;='Input|General'!$G$14,M$4,""),"")</f>
        <v/>
      </c>
      <c r="N11" s="102" t="str">
        <f>IF(YEAR(N$4)&gt;='Input|General'!$G$13,IF(YEAR(N$4)&lt;='Input|General'!$G$14,N$4,""),"")</f>
        <v/>
      </c>
      <c r="O11" s="102">
        <f>IF(YEAR(O$4)&gt;='Input|General'!$G$13,IF(YEAR(O$4)&lt;='Input|General'!$G$14,O$4,""),"")</f>
        <v>45809</v>
      </c>
      <c r="P11" s="102">
        <f>IF(YEAR(P$4)&gt;='Input|General'!$G$13,IF(YEAR(P$4)&lt;='Input|General'!$G$14,P$4,""),"")</f>
        <v>46174</v>
      </c>
      <c r="Q11" s="102">
        <f>IF(YEAR(Q$4)&gt;='Input|General'!$G$13,IF(YEAR(Q$4)&lt;='Input|General'!$G$14,Q$4,""),"")</f>
        <v>46539</v>
      </c>
      <c r="R11" s="102">
        <f>IF(YEAR(R$4)&gt;='Input|General'!$G$13,IF(YEAR(R$4)&lt;='Input|General'!$G$14,R$4,""),"")</f>
        <v>46905</v>
      </c>
      <c r="S11" s="102">
        <f>IF(YEAR(S$4)&gt;='Input|General'!$G$13,IF(YEAR(S$4)&lt;='Input|General'!$G$14,S$4,""),"")</f>
        <v>47270</v>
      </c>
      <c r="T11" s="102" t="str">
        <f>IF(YEAR(T$4)&gt;='Input|General'!$G$13,IF(YEAR(T$4)&lt;='Input|General'!$G$14,T$4,""),"")</f>
        <v/>
      </c>
      <c r="V11" s="89" t="s">
        <v>54</v>
      </c>
      <c r="W11" s="90"/>
      <c r="X11" s="90"/>
    </row>
    <row r="12" spans="1:27">
      <c r="C12" s="9"/>
      <c r="D12" s="21"/>
      <c r="E12" s="21"/>
      <c r="F12" s="21"/>
      <c r="H12" s="21"/>
      <c r="I12" s="21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V12" s="9"/>
    </row>
    <row r="13" spans="1:27">
      <c r="C13" s="15" t="str">
        <f>'Calc|Opex forecast'!C105</f>
        <v>Total forecast opex, excluding category specific forecasts</v>
      </c>
      <c r="D13" s="25" t="s">
        <v>103</v>
      </c>
      <c r="E13" s="16" t="str">
        <f>$E$8</f>
        <v>$millions</v>
      </c>
      <c r="F13" s="101">
        <f>$F$8</f>
        <v>45444</v>
      </c>
      <c r="H13" s="21"/>
      <c r="I13" s="21"/>
      <c r="J13" s="108">
        <f>IF(J11="",0,'Calc|Opex forecast'!J105*INDEX('Input|Rate of change'!$C$14:$P$22,MATCH('Calc|Opex forecast'!$F$105,'Input|Rate of change'!$C$14:$C$22,0),MATCH('Output|Models'!$F13,'Input|Rate of change'!$C$14:$P$14,0))*IF('Calc|Opex forecast'!$E$105="$millions",1000000,IF('Calc|Opex forecast'!$E$105="$000",1000,1))/IF($E13="$millions",1000000,IF($E13="$000",1000,1)))</f>
        <v>0</v>
      </c>
      <c r="K13" s="108">
        <f>IF(K11="",0,'Calc|Opex forecast'!K105*INDEX('Input|Rate of change'!$C$14:$P$22,MATCH('Calc|Opex forecast'!$F$105,'Input|Rate of change'!$C$14:$C$22,0),MATCH('Output|Models'!$F13,'Input|Rate of change'!$C$14:$P$14,0))*IF('Calc|Opex forecast'!$E$105="$millions",1000000,IF('Calc|Opex forecast'!$E$105="$000",1000,1))/IF($E13="$millions",1000000,IF($E13="$000",1000,1)))</f>
        <v>0</v>
      </c>
      <c r="L13" s="108">
        <f>IF(L11="",0,'Calc|Opex forecast'!L105*INDEX('Input|Rate of change'!$C$14:$P$22,MATCH('Calc|Opex forecast'!$F$105,'Input|Rate of change'!$C$14:$C$22,0),MATCH('Output|Models'!$F13,'Input|Rate of change'!$C$14:$P$14,0))*IF('Calc|Opex forecast'!$E$105="$millions",1000000,IF('Calc|Opex forecast'!$E$105="$000",1000,1))/IF($E13="$millions",1000000,IF($E13="$000",1000,1)))</f>
        <v>0</v>
      </c>
      <c r="M13" s="108">
        <f>IF(M11="",0,'Calc|Opex forecast'!M105*INDEX('Input|Rate of change'!$C$14:$P$22,MATCH('Calc|Opex forecast'!$F$105,'Input|Rate of change'!$C$14:$C$22,0),MATCH('Output|Models'!$F13,'Input|Rate of change'!$C$14:$P$14,0))*IF('Calc|Opex forecast'!$E$105="$millions",1000000,IF('Calc|Opex forecast'!$E$105="$000",1000,1))/IF($E13="$millions",1000000,IF($E13="$000",1000,1)))</f>
        <v>0</v>
      </c>
      <c r="N13" s="108">
        <f>IF(N11="",0,'Calc|Opex forecast'!N105*INDEX('Input|Rate of change'!$C$14:$P$22,MATCH('Calc|Opex forecast'!$F$105,'Input|Rate of change'!$C$14:$C$22,0),MATCH('Output|Models'!$F13,'Input|Rate of change'!$C$14:$P$14,0))*IF('Calc|Opex forecast'!$E$105="$millions",1000000,IF('Calc|Opex forecast'!$E$105="$000",1000,1))/IF($E13="$millions",1000000,IF($E13="$000",1000,1)))</f>
        <v>0</v>
      </c>
      <c r="O13" s="108">
        <f ca="1">IF(O11="",0,'Calc|Opex forecast'!O105*INDEX('Input|Rate of change'!$C$14:$P$22,MATCH('Calc|Opex forecast'!$F$105,'Input|Rate of change'!$C$14:$C$22,0),MATCH('Output|Models'!$F13,'Input|Rate of change'!$C$14:$P$14,0))*IF('Calc|Opex forecast'!$E$105="$millions",1000000,IF('Calc|Opex forecast'!$E$105="$000",1000,1))/IF($E13="$millions",1000000,IF($E13="$000",1000,1)))</f>
        <v>444.49585207024393</v>
      </c>
      <c r="P13" s="108">
        <f ca="1">IF(P11="",0,'Calc|Opex forecast'!P105*INDEX('Input|Rate of change'!$C$14:$P$22,MATCH('Calc|Opex forecast'!$F$105,'Input|Rate of change'!$C$14:$C$22,0),MATCH('Output|Models'!$F13,'Input|Rate of change'!$C$14:$P$14,0))*IF('Calc|Opex forecast'!$E$105="$millions",1000000,IF('Calc|Opex forecast'!$E$105="$000",1000,1))/IF($E13="$millions",1000000,IF($E13="$000",1000,1)))</f>
        <v>448.69245740807099</v>
      </c>
      <c r="Q13" s="108">
        <f ca="1">IF(Q11="",0,'Calc|Opex forecast'!Q105*INDEX('Input|Rate of change'!$C$14:$P$22,MATCH('Calc|Opex forecast'!$F$105,'Input|Rate of change'!$C$14:$C$22,0),MATCH('Output|Models'!$F13,'Input|Rate of change'!$C$14:$P$14,0))*IF('Calc|Opex forecast'!$E$105="$millions",1000000,IF('Calc|Opex forecast'!$E$105="$000",1000,1))/IF($E13="$millions",1000000,IF($E13="$000",1000,1)))</f>
        <v>451.59891626516963</v>
      </c>
      <c r="R13" s="108">
        <f ca="1">IF(R11="",0,'Calc|Opex forecast'!R105*INDEX('Input|Rate of change'!$C$14:$P$22,MATCH('Calc|Opex forecast'!$F$105,'Input|Rate of change'!$C$14:$C$22,0),MATCH('Output|Models'!$F13,'Input|Rate of change'!$C$14:$P$14,0))*IF('Calc|Opex forecast'!$E$105="$millions",1000000,IF('Calc|Opex forecast'!$E$105="$000",1000,1))/IF($E13="$millions",1000000,IF($E13="$000",1000,1)))</f>
        <v>455.42658109842802</v>
      </c>
      <c r="S13" s="108">
        <f ca="1">IF(S11="",0,'Calc|Opex forecast'!S105*INDEX('Input|Rate of change'!$C$14:$P$22,MATCH('Calc|Opex forecast'!$F$105,'Input|Rate of change'!$C$14:$C$22,0),MATCH('Output|Models'!$F13,'Input|Rate of change'!$C$14:$P$14,0))*IF('Calc|Opex forecast'!$E$105="$millions",1000000,IF('Calc|Opex forecast'!$E$105="$000",1000,1))/IF($E13="$millions",1000000,IF($E13="$000",1000,1)))</f>
        <v>458.30422645522378</v>
      </c>
      <c r="T13" s="108">
        <f>IF(T11="",0,'Calc|Opex forecast'!T105*INDEX('Input|Rate of change'!$C$14:$P$22,MATCH('Calc|Opex forecast'!$F$105,'Input|Rate of change'!$C$14:$C$22,0),MATCH('Output|Models'!$F13,'Input|Rate of change'!$C$14:$P$14,0))*IF('Calc|Opex forecast'!$E$105="$millions",1000000,IF('Calc|Opex forecast'!$E$105="$000",1000,1))/IF($E13="$millions",1000000,IF($E13="$000",1000,1)))</f>
        <v>0</v>
      </c>
      <c r="U13" s="15"/>
      <c r="V13" s="94"/>
    </row>
    <row r="14" spans="1:27">
      <c r="C14" s="15">
        <f>'Input|Step changes'!C28</f>
        <v>0</v>
      </c>
      <c r="D14" s="25" t="s">
        <v>103</v>
      </c>
      <c r="E14" s="16" t="str">
        <f t="shared" ref="E14:E18" si="0">$E$8</f>
        <v>$millions</v>
      </c>
      <c r="F14" s="101">
        <f t="shared" ref="F14:F18" si="1">$F$8</f>
        <v>45444</v>
      </c>
      <c r="H14" s="21"/>
      <c r="I14" s="21"/>
      <c r="J14" s="108">
        <f>IF(J$11="",0,'Calc|Opex forecast'!J93*INDEX('Input|Rate of change'!$C$14:$P$22,MATCH('Calc|Opex forecast'!$F93,'Input|Rate of change'!$C$14:$C$22,0),MATCH('Output|Models'!$F14,'Input|Rate of change'!$C$14:$P$14,0))*IF('Calc|Opex forecast'!$E93="$millions",1000000,IF('Calc|Opex forecast'!$E93="$000",1000,1))/IF($E14="$millions",1000000,IF($E14="$000",1000,1)))</f>
        <v>0</v>
      </c>
      <c r="K14" s="108">
        <f>IF(K$11="",0,'Calc|Opex forecast'!K93*INDEX('Input|Rate of change'!$C$14:$P$22,MATCH('Calc|Opex forecast'!$F93,'Input|Rate of change'!$C$14:$C$22,0),MATCH('Output|Models'!$F14,'Input|Rate of change'!$C$14:$P$14,0))*IF('Calc|Opex forecast'!$E93="$millions",1000000,IF('Calc|Opex forecast'!$E93="$000",1000,1))/IF($E14="$millions",1000000,IF($E14="$000",1000,1)))</f>
        <v>0</v>
      </c>
      <c r="L14" s="108">
        <f>IF(L$11="",0,'Calc|Opex forecast'!L93*INDEX('Input|Rate of change'!$C$14:$P$22,MATCH('Calc|Opex forecast'!$F93,'Input|Rate of change'!$C$14:$C$22,0),MATCH('Output|Models'!$F14,'Input|Rate of change'!$C$14:$P$14,0))*IF('Calc|Opex forecast'!$E93="$millions",1000000,IF('Calc|Opex forecast'!$E93="$000",1000,1))/IF($E14="$millions",1000000,IF($E14="$000",1000,1)))</f>
        <v>0</v>
      </c>
      <c r="M14" s="108">
        <f>IF(M$11="",0,'Calc|Opex forecast'!M93*INDEX('Input|Rate of change'!$C$14:$P$22,MATCH('Calc|Opex forecast'!$F93,'Input|Rate of change'!$C$14:$C$22,0),MATCH('Output|Models'!$F14,'Input|Rate of change'!$C$14:$P$14,0))*IF('Calc|Opex forecast'!$E93="$millions",1000000,IF('Calc|Opex forecast'!$E93="$000",1000,1))/IF($E14="$millions",1000000,IF($E14="$000",1000,1)))</f>
        <v>0</v>
      </c>
      <c r="N14" s="108">
        <f>IF(N$11="",0,'Calc|Opex forecast'!N93*INDEX('Input|Rate of change'!$C$14:$P$22,MATCH('Calc|Opex forecast'!$F93,'Input|Rate of change'!$C$14:$C$22,0),MATCH('Output|Models'!$F14,'Input|Rate of change'!$C$14:$P$14,0))*IF('Calc|Opex forecast'!$E93="$millions",1000000,IF('Calc|Opex forecast'!$E93="$000",1000,1))/IF($E14="$millions",1000000,IF($E14="$000",1000,1)))</f>
        <v>0</v>
      </c>
      <c r="O14" s="108">
        <f>IF(O$11="",0,'Calc|Opex forecast'!O93*INDEX('Input|Rate of change'!$C$14:$P$22,MATCH('Calc|Opex forecast'!$F93,'Input|Rate of change'!$C$14:$C$22,0),MATCH('Output|Models'!$F14,'Input|Rate of change'!$C$14:$P$14,0))*IF('Calc|Opex forecast'!$E93="$millions",1000000,IF('Calc|Opex forecast'!$E93="$000",1000,1))/IF($E14="$millions",1000000,IF($E14="$000",1000,1)))</f>
        <v>0</v>
      </c>
      <c r="P14" s="108">
        <f>IF(P$11="",0,'Calc|Opex forecast'!P93*INDEX('Input|Rate of change'!$C$14:$P$22,MATCH('Calc|Opex forecast'!$F93,'Input|Rate of change'!$C$14:$C$22,0),MATCH('Output|Models'!$F14,'Input|Rate of change'!$C$14:$P$14,0))*IF('Calc|Opex forecast'!$E93="$millions",1000000,IF('Calc|Opex forecast'!$E93="$000",1000,1))/IF($E14="$millions",1000000,IF($E14="$000",1000,1)))</f>
        <v>0</v>
      </c>
      <c r="Q14" s="108">
        <f>IF(Q$11="",0,'Calc|Opex forecast'!Q93*INDEX('Input|Rate of change'!$C$14:$P$22,MATCH('Calc|Opex forecast'!$F93,'Input|Rate of change'!$C$14:$C$22,0),MATCH('Output|Models'!$F14,'Input|Rate of change'!$C$14:$P$14,0))*IF('Calc|Opex forecast'!$E93="$millions",1000000,IF('Calc|Opex forecast'!$E93="$000",1000,1))/IF($E14="$millions",1000000,IF($E14="$000",1000,1)))</f>
        <v>0</v>
      </c>
      <c r="R14" s="108">
        <f>IF(R$11="",0,'Calc|Opex forecast'!R93*INDEX('Input|Rate of change'!$C$14:$P$22,MATCH('Calc|Opex forecast'!$F93,'Input|Rate of change'!$C$14:$C$22,0),MATCH('Output|Models'!$F14,'Input|Rate of change'!$C$14:$P$14,0))*IF('Calc|Opex forecast'!$E93="$millions",1000000,IF('Calc|Opex forecast'!$E93="$000",1000,1))/IF($E14="$millions",1000000,IF($E14="$000",1000,1)))</f>
        <v>0</v>
      </c>
      <c r="S14" s="108">
        <f>IF(S$11="",0,'Calc|Opex forecast'!S93*INDEX('Input|Rate of change'!$C$14:$P$22,MATCH('Calc|Opex forecast'!$F93,'Input|Rate of change'!$C$14:$C$22,0),MATCH('Output|Models'!$F14,'Input|Rate of change'!$C$14:$P$14,0))*IF('Calc|Opex forecast'!$E93="$millions",1000000,IF('Calc|Opex forecast'!$E93="$000",1000,1))/IF($E14="$millions",1000000,IF($E14="$000",1000,1)))</f>
        <v>0</v>
      </c>
      <c r="T14" s="108">
        <f>IF(T$11="",0,'Calc|Opex forecast'!T93*INDEX('Input|Rate of change'!$C$14:$P$22,MATCH('Calc|Opex forecast'!$F93,'Input|Rate of change'!$C$14:$C$22,0),MATCH('Output|Models'!$F14,'Input|Rate of change'!$C$14:$P$14,0))*IF('Calc|Opex forecast'!$E93="$millions",1000000,IF('Calc|Opex forecast'!$E93="$000",1000,1))/IF($E14="$millions",1000000,IF($E14="$000",1000,1)))</f>
        <v>0</v>
      </c>
      <c r="U14" s="15"/>
      <c r="V14" s="94"/>
    </row>
    <row r="15" spans="1:27">
      <c r="C15" s="15">
        <f>'Input|Step changes'!C29</f>
        <v>0</v>
      </c>
      <c r="D15" s="25" t="s">
        <v>103</v>
      </c>
      <c r="E15" s="16" t="str">
        <f t="shared" si="0"/>
        <v>$millions</v>
      </c>
      <c r="F15" s="101">
        <f t="shared" si="1"/>
        <v>45444</v>
      </c>
      <c r="H15" s="21"/>
      <c r="I15" s="21"/>
      <c r="J15" s="108">
        <f>IF(J$11="",0,'Calc|Opex forecast'!J94*INDEX('Input|Rate of change'!$C$14:$P$22,MATCH('Calc|Opex forecast'!$F94,'Input|Rate of change'!$C$14:$C$22,0),MATCH('Output|Models'!$F15,'Input|Rate of change'!$C$14:$P$14,0))*IF('Calc|Opex forecast'!$E94="$millions",1000000,IF('Calc|Opex forecast'!$E94="$000",1000,1))/IF($E15="$millions",1000000,IF($E15="$000",1000,1)))</f>
        <v>0</v>
      </c>
      <c r="K15" s="108">
        <f>IF(K$11="",0,'Calc|Opex forecast'!K94*INDEX('Input|Rate of change'!$C$14:$P$22,MATCH('Calc|Opex forecast'!$F94,'Input|Rate of change'!$C$14:$C$22,0),MATCH('Output|Models'!$F15,'Input|Rate of change'!$C$14:$P$14,0))*IF('Calc|Opex forecast'!$E94="$millions",1000000,IF('Calc|Opex forecast'!$E94="$000",1000,1))/IF($E15="$millions",1000000,IF($E15="$000",1000,1)))</f>
        <v>0</v>
      </c>
      <c r="L15" s="108">
        <f>IF(L$11="",0,'Calc|Opex forecast'!L94*INDEX('Input|Rate of change'!$C$14:$P$22,MATCH('Calc|Opex forecast'!$F94,'Input|Rate of change'!$C$14:$C$22,0),MATCH('Output|Models'!$F15,'Input|Rate of change'!$C$14:$P$14,0))*IF('Calc|Opex forecast'!$E94="$millions",1000000,IF('Calc|Opex forecast'!$E94="$000",1000,1))/IF($E15="$millions",1000000,IF($E15="$000",1000,1)))</f>
        <v>0</v>
      </c>
      <c r="M15" s="108">
        <f>IF(M$11="",0,'Calc|Opex forecast'!M94*INDEX('Input|Rate of change'!$C$14:$P$22,MATCH('Calc|Opex forecast'!$F94,'Input|Rate of change'!$C$14:$C$22,0),MATCH('Output|Models'!$F15,'Input|Rate of change'!$C$14:$P$14,0))*IF('Calc|Opex forecast'!$E94="$millions",1000000,IF('Calc|Opex forecast'!$E94="$000",1000,1))/IF($E15="$millions",1000000,IF($E15="$000",1000,1)))</f>
        <v>0</v>
      </c>
      <c r="N15" s="108">
        <f>IF(N$11="",0,'Calc|Opex forecast'!N94*INDEX('Input|Rate of change'!$C$14:$P$22,MATCH('Calc|Opex forecast'!$F94,'Input|Rate of change'!$C$14:$C$22,0),MATCH('Output|Models'!$F15,'Input|Rate of change'!$C$14:$P$14,0))*IF('Calc|Opex forecast'!$E94="$millions",1000000,IF('Calc|Opex forecast'!$E94="$000",1000,1))/IF($E15="$millions",1000000,IF($E15="$000",1000,1)))</f>
        <v>0</v>
      </c>
      <c r="O15" s="108">
        <f>IF(O$11="",0,'Calc|Opex forecast'!O94*INDEX('Input|Rate of change'!$C$14:$P$22,MATCH('Calc|Opex forecast'!$F94,'Input|Rate of change'!$C$14:$C$22,0),MATCH('Output|Models'!$F15,'Input|Rate of change'!$C$14:$P$14,0))*IF('Calc|Opex forecast'!$E94="$millions",1000000,IF('Calc|Opex forecast'!$E94="$000",1000,1))/IF($E15="$millions",1000000,IF($E15="$000",1000,1)))</f>
        <v>0</v>
      </c>
      <c r="P15" s="108">
        <f>IF(P$11="",0,'Calc|Opex forecast'!P94*INDEX('Input|Rate of change'!$C$14:$P$22,MATCH('Calc|Opex forecast'!$F94,'Input|Rate of change'!$C$14:$C$22,0),MATCH('Output|Models'!$F15,'Input|Rate of change'!$C$14:$P$14,0))*IF('Calc|Opex forecast'!$E94="$millions",1000000,IF('Calc|Opex forecast'!$E94="$000",1000,1))/IF($E15="$millions",1000000,IF($E15="$000",1000,1)))</f>
        <v>0</v>
      </c>
      <c r="Q15" s="108">
        <f>IF(Q$11="",0,'Calc|Opex forecast'!Q94*INDEX('Input|Rate of change'!$C$14:$P$22,MATCH('Calc|Opex forecast'!$F94,'Input|Rate of change'!$C$14:$C$22,0),MATCH('Output|Models'!$F15,'Input|Rate of change'!$C$14:$P$14,0))*IF('Calc|Opex forecast'!$E94="$millions",1000000,IF('Calc|Opex forecast'!$E94="$000",1000,1))/IF($E15="$millions",1000000,IF($E15="$000",1000,1)))</f>
        <v>0</v>
      </c>
      <c r="R15" s="108">
        <f>IF(R$11="",0,'Calc|Opex forecast'!R94*INDEX('Input|Rate of change'!$C$14:$P$22,MATCH('Calc|Opex forecast'!$F94,'Input|Rate of change'!$C$14:$C$22,0),MATCH('Output|Models'!$F15,'Input|Rate of change'!$C$14:$P$14,0))*IF('Calc|Opex forecast'!$E94="$millions",1000000,IF('Calc|Opex forecast'!$E94="$000",1000,1))/IF($E15="$millions",1000000,IF($E15="$000",1000,1)))</f>
        <v>0</v>
      </c>
      <c r="S15" s="108">
        <f>IF(S$11="",0,'Calc|Opex forecast'!S94*INDEX('Input|Rate of change'!$C$14:$P$22,MATCH('Calc|Opex forecast'!$F94,'Input|Rate of change'!$C$14:$C$22,0),MATCH('Output|Models'!$F15,'Input|Rate of change'!$C$14:$P$14,0))*IF('Calc|Opex forecast'!$E94="$millions",1000000,IF('Calc|Opex forecast'!$E94="$000",1000,1))/IF($E15="$millions",1000000,IF($E15="$000",1000,1)))</f>
        <v>0</v>
      </c>
      <c r="T15" s="108">
        <f>IF(T$11="",0,'Calc|Opex forecast'!T94*INDEX('Input|Rate of change'!$C$14:$P$22,MATCH('Calc|Opex forecast'!$F94,'Input|Rate of change'!$C$14:$C$22,0),MATCH('Output|Models'!$F15,'Input|Rate of change'!$C$14:$P$14,0))*IF('Calc|Opex forecast'!$E94="$millions",1000000,IF('Calc|Opex forecast'!$E94="$000",1000,1))/IF($E15="$millions",1000000,IF($E15="$000",1000,1)))</f>
        <v>0</v>
      </c>
      <c r="U15" s="15"/>
      <c r="V15" s="94"/>
    </row>
    <row r="16" spans="1:27">
      <c r="C16" s="15">
        <f>'Input|Step changes'!C30</f>
        <v>0</v>
      </c>
      <c r="D16" s="25" t="s">
        <v>103</v>
      </c>
      <c r="E16" s="16" t="str">
        <f t="shared" si="0"/>
        <v>$millions</v>
      </c>
      <c r="F16" s="101">
        <f t="shared" si="1"/>
        <v>45444</v>
      </c>
      <c r="H16" s="21"/>
      <c r="I16" s="21"/>
      <c r="J16" s="108">
        <f>IF(J$11="",0,'Calc|Opex forecast'!J95*INDEX('Input|Rate of change'!$C$14:$P$22,MATCH('Calc|Opex forecast'!$F95,'Input|Rate of change'!$C$14:$C$22,0),MATCH('Output|Models'!$F16,'Input|Rate of change'!$C$14:$P$14,0))*IF('Calc|Opex forecast'!$E95="$millions",1000000,IF('Calc|Opex forecast'!$E95="$000",1000,1))/IF($E16="$millions",1000000,IF($E16="$000",1000,1)))</f>
        <v>0</v>
      </c>
      <c r="K16" s="108">
        <f>IF(K$11="",0,'Calc|Opex forecast'!K95*INDEX('Input|Rate of change'!$C$14:$P$22,MATCH('Calc|Opex forecast'!$F95,'Input|Rate of change'!$C$14:$C$22,0),MATCH('Output|Models'!$F16,'Input|Rate of change'!$C$14:$P$14,0))*IF('Calc|Opex forecast'!$E95="$millions",1000000,IF('Calc|Opex forecast'!$E95="$000",1000,1))/IF($E16="$millions",1000000,IF($E16="$000",1000,1)))</f>
        <v>0</v>
      </c>
      <c r="L16" s="108">
        <f>IF(L$11="",0,'Calc|Opex forecast'!L95*INDEX('Input|Rate of change'!$C$14:$P$22,MATCH('Calc|Opex forecast'!$F95,'Input|Rate of change'!$C$14:$C$22,0),MATCH('Output|Models'!$F16,'Input|Rate of change'!$C$14:$P$14,0))*IF('Calc|Opex forecast'!$E95="$millions",1000000,IF('Calc|Opex forecast'!$E95="$000",1000,1))/IF($E16="$millions",1000000,IF($E16="$000",1000,1)))</f>
        <v>0</v>
      </c>
      <c r="M16" s="108">
        <f>IF(M$11="",0,'Calc|Opex forecast'!M95*INDEX('Input|Rate of change'!$C$14:$P$22,MATCH('Calc|Opex forecast'!$F95,'Input|Rate of change'!$C$14:$C$22,0),MATCH('Output|Models'!$F16,'Input|Rate of change'!$C$14:$P$14,0))*IF('Calc|Opex forecast'!$E95="$millions",1000000,IF('Calc|Opex forecast'!$E95="$000",1000,1))/IF($E16="$millions",1000000,IF($E16="$000",1000,1)))</f>
        <v>0</v>
      </c>
      <c r="N16" s="108">
        <f>IF(N$11="",0,'Calc|Opex forecast'!N95*INDEX('Input|Rate of change'!$C$14:$P$22,MATCH('Calc|Opex forecast'!$F95,'Input|Rate of change'!$C$14:$C$22,0),MATCH('Output|Models'!$F16,'Input|Rate of change'!$C$14:$P$14,0))*IF('Calc|Opex forecast'!$E95="$millions",1000000,IF('Calc|Opex forecast'!$E95="$000",1000,1))/IF($E16="$millions",1000000,IF($E16="$000",1000,1)))</f>
        <v>0</v>
      </c>
      <c r="O16" s="108">
        <f>IF(O$11="",0,'Calc|Opex forecast'!O95*INDEX('Input|Rate of change'!$C$14:$P$22,MATCH('Calc|Opex forecast'!$F95,'Input|Rate of change'!$C$14:$C$22,0),MATCH('Output|Models'!$F16,'Input|Rate of change'!$C$14:$P$14,0))*IF('Calc|Opex forecast'!$E95="$millions",1000000,IF('Calc|Opex forecast'!$E95="$000",1000,1))/IF($E16="$millions",1000000,IF($E16="$000",1000,1)))</f>
        <v>0</v>
      </c>
      <c r="P16" s="108">
        <f>IF(P$11="",0,'Calc|Opex forecast'!P95*INDEX('Input|Rate of change'!$C$14:$P$22,MATCH('Calc|Opex forecast'!$F95,'Input|Rate of change'!$C$14:$C$22,0),MATCH('Output|Models'!$F16,'Input|Rate of change'!$C$14:$P$14,0))*IF('Calc|Opex forecast'!$E95="$millions",1000000,IF('Calc|Opex forecast'!$E95="$000",1000,1))/IF($E16="$millions",1000000,IF($E16="$000",1000,1)))</f>
        <v>0</v>
      </c>
      <c r="Q16" s="108">
        <f>IF(Q$11="",0,'Calc|Opex forecast'!Q95*INDEX('Input|Rate of change'!$C$14:$P$22,MATCH('Calc|Opex forecast'!$F95,'Input|Rate of change'!$C$14:$C$22,0),MATCH('Output|Models'!$F16,'Input|Rate of change'!$C$14:$P$14,0))*IF('Calc|Opex forecast'!$E95="$millions",1000000,IF('Calc|Opex forecast'!$E95="$000",1000,1))/IF($E16="$millions",1000000,IF($E16="$000",1000,1)))</f>
        <v>0</v>
      </c>
      <c r="R16" s="108">
        <f>IF(R$11="",0,'Calc|Opex forecast'!R95*INDEX('Input|Rate of change'!$C$14:$P$22,MATCH('Calc|Opex forecast'!$F95,'Input|Rate of change'!$C$14:$C$22,0),MATCH('Output|Models'!$F16,'Input|Rate of change'!$C$14:$P$14,0))*IF('Calc|Opex forecast'!$E95="$millions",1000000,IF('Calc|Opex forecast'!$E95="$000",1000,1))/IF($E16="$millions",1000000,IF($E16="$000",1000,1)))</f>
        <v>0</v>
      </c>
      <c r="S16" s="108">
        <f>IF(S$11="",0,'Calc|Opex forecast'!S95*INDEX('Input|Rate of change'!$C$14:$P$22,MATCH('Calc|Opex forecast'!$F95,'Input|Rate of change'!$C$14:$C$22,0),MATCH('Output|Models'!$F16,'Input|Rate of change'!$C$14:$P$14,0))*IF('Calc|Opex forecast'!$E95="$millions",1000000,IF('Calc|Opex forecast'!$E95="$000",1000,1))/IF($E16="$millions",1000000,IF($E16="$000",1000,1)))</f>
        <v>0</v>
      </c>
      <c r="T16" s="108">
        <f>IF(T$11="",0,'Calc|Opex forecast'!T95*INDEX('Input|Rate of change'!$C$14:$P$22,MATCH('Calc|Opex forecast'!$F95,'Input|Rate of change'!$C$14:$C$22,0),MATCH('Output|Models'!$F16,'Input|Rate of change'!$C$14:$P$14,0))*IF('Calc|Opex forecast'!$E95="$millions",1000000,IF('Calc|Opex forecast'!$E95="$000",1000,1))/IF($E16="$millions",1000000,IF($E16="$000",1000,1)))</f>
        <v>0</v>
      </c>
      <c r="U16" s="15"/>
      <c r="V16" s="94"/>
    </row>
    <row r="17" spans="1:24">
      <c r="C17" s="15">
        <f>'Input|Step changes'!C31</f>
        <v>0</v>
      </c>
      <c r="D17" s="25" t="s">
        <v>103</v>
      </c>
      <c r="E17" s="16" t="str">
        <f t="shared" si="0"/>
        <v>$millions</v>
      </c>
      <c r="F17" s="101">
        <f t="shared" si="1"/>
        <v>45444</v>
      </c>
      <c r="H17" s="21"/>
      <c r="I17" s="21"/>
      <c r="J17" s="108">
        <f>IF(J$11="",0,'Calc|Opex forecast'!J96*INDEX('Input|Rate of change'!$C$14:$P$22,MATCH('Calc|Opex forecast'!$F96,'Input|Rate of change'!$C$14:$C$22,0),MATCH('Output|Models'!$F17,'Input|Rate of change'!$C$14:$P$14,0))*IF('Calc|Opex forecast'!$E96="$millions",1000000,IF('Calc|Opex forecast'!$E96="$000",1000,1))/IF($E17="$millions",1000000,IF($E17="$000",1000,1)))</f>
        <v>0</v>
      </c>
      <c r="K17" s="108">
        <f>IF(K$11="",0,'Calc|Opex forecast'!K96*INDEX('Input|Rate of change'!$C$14:$P$22,MATCH('Calc|Opex forecast'!$F96,'Input|Rate of change'!$C$14:$C$22,0),MATCH('Output|Models'!$F17,'Input|Rate of change'!$C$14:$P$14,0))*IF('Calc|Opex forecast'!$E96="$millions",1000000,IF('Calc|Opex forecast'!$E96="$000",1000,1))/IF($E17="$millions",1000000,IF($E17="$000",1000,1)))</f>
        <v>0</v>
      </c>
      <c r="L17" s="108">
        <f>IF(L$11="",0,'Calc|Opex forecast'!L96*INDEX('Input|Rate of change'!$C$14:$P$22,MATCH('Calc|Opex forecast'!$F96,'Input|Rate of change'!$C$14:$C$22,0),MATCH('Output|Models'!$F17,'Input|Rate of change'!$C$14:$P$14,0))*IF('Calc|Opex forecast'!$E96="$millions",1000000,IF('Calc|Opex forecast'!$E96="$000",1000,1))/IF($E17="$millions",1000000,IF($E17="$000",1000,1)))</f>
        <v>0</v>
      </c>
      <c r="M17" s="108">
        <f>IF(M$11="",0,'Calc|Opex forecast'!M96*INDEX('Input|Rate of change'!$C$14:$P$22,MATCH('Calc|Opex forecast'!$F96,'Input|Rate of change'!$C$14:$C$22,0),MATCH('Output|Models'!$F17,'Input|Rate of change'!$C$14:$P$14,0))*IF('Calc|Opex forecast'!$E96="$millions",1000000,IF('Calc|Opex forecast'!$E96="$000",1000,1))/IF($E17="$millions",1000000,IF($E17="$000",1000,1)))</f>
        <v>0</v>
      </c>
      <c r="N17" s="108">
        <f>IF(N$11="",0,'Calc|Opex forecast'!N96*INDEX('Input|Rate of change'!$C$14:$P$22,MATCH('Calc|Opex forecast'!$F96,'Input|Rate of change'!$C$14:$C$22,0),MATCH('Output|Models'!$F17,'Input|Rate of change'!$C$14:$P$14,0))*IF('Calc|Opex forecast'!$E96="$millions",1000000,IF('Calc|Opex forecast'!$E96="$000",1000,1))/IF($E17="$millions",1000000,IF($E17="$000",1000,1)))</f>
        <v>0</v>
      </c>
      <c r="O17" s="108">
        <f>IF(O$11="",0,'Calc|Opex forecast'!O96*INDEX('Input|Rate of change'!$C$14:$P$22,MATCH('Calc|Opex forecast'!$F96,'Input|Rate of change'!$C$14:$C$22,0),MATCH('Output|Models'!$F17,'Input|Rate of change'!$C$14:$P$14,0))*IF('Calc|Opex forecast'!$E96="$millions",1000000,IF('Calc|Opex forecast'!$E96="$000",1000,1))/IF($E17="$millions",1000000,IF($E17="$000",1000,1)))</f>
        <v>0</v>
      </c>
      <c r="P17" s="108">
        <f>IF(P$11="",0,'Calc|Opex forecast'!P96*INDEX('Input|Rate of change'!$C$14:$P$22,MATCH('Calc|Opex forecast'!$F96,'Input|Rate of change'!$C$14:$C$22,0),MATCH('Output|Models'!$F17,'Input|Rate of change'!$C$14:$P$14,0))*IF('Calc|Opex forecast'!$E96="$millions",1000000,IF('Calc|Opex forecast'!$E96="$000",1000,1))/IF($E17="$millions",1000000,IF($E17="$000",1000,1)))</f>
        <v>0</v>
      </c>
      <c r="Q17" s="108">
        <f>IF(Q$11="",0,'Calc|Opex forecast'!Q96*INDEX('Input|Rate of change'!$C$14:$P$22,MATCH('Calc|Opex forecast'!$F96,'Input|Rate of change'!$C$14:$C$22,0),MATCH('Output|Models'!$F17,'Input|Rate of change'!$C$14:$P$14,0))*IF('Calc|Opex forecast'!$E96="$millions",1000000,IF('Calc|Opex forecast'!$E96="$000",1000,1))/IF($E17="$millions",1000000,IF($E17="$000",1000,1)))</f>
        <v>0</v>
      </c>
      <c r="R17" s="108">
        <f>IF(R$11="",0,'Calc|Opex forecast'!R96*INDEX('Input|Rate of change'!$C$14:$P$22,MATCH('Calc|Opex forecast'!$F96,'Input|Rate of change'!$C$14:$C$22,0),MATCH('Output|Models'!$F17,'Input|Rate of change'!$C$14:$P$14,0))*IF('Calc|Opex forecast'!$E96="$millions",1000000,IF('Calc|Opex forecast'!$E96="$000",1000,1))/IF($E17="$millions",1000000,IF($E17="$000",1000,1)))</f>
        <v>0</v>
      </c>
      <c r="S17" s="108">
        <f>IF(S$11="",0,'Calc|Opex forecast'!S96*INDEX('Input|Rate of change'!$C$14:$P$22,MATCH('Calc|Opex forecast'!$F96,'Input|Rate of change'!$C$14:$C$22,0),MATCH('Output|Models'!$F17,'Input|Rate of change'!$C$14:$P$14,0))*IF('Calc|Opex forecast'!$E96="$millions",1000000,IF('Calc|Opex forecast'!$E96="$000",1000,1))/IF($E17="$millions",1000000,IF($E17="$000",1000,1)))</f>
        <v>0</v>
      </c>
      <c r="T17" s="108">
        <f>IF(T$11="",0,'Calc|Opex forecast'!T96*INDEX('Input|Rate of change'!$C$14:$P$22,MATCH('Calc|Opex forecast'!$F96,'Input|Rate of change'!$C$14:$C$22,0),MATCH('Output|Models'!$F17,'Input|Rate of change'!$C$14:$P$14,0))*IF('Calc|Opex forecast'!$E96="$millions",1000000,IF('Calc|Opex forecast'!$E96="$000",1000,1))/IF($E17="$millions",1000000,IF($E17="$000",1000,1)))</f>
        <v>0</v>
      </c>
      <c r="U17" s="15"/>
      <c r="V17" s="118"/>
    </row>
    <row r="18" spans="1:24">
      <c r="C18" s="15">
        <f>'Input|Step changes'!C32</f>
        <v>0</v>
      </c>
      <c r="D18" s="25" t="s">
        <v>103</v>
      </c>
      <c r="E18" s="16" t="str">
        <f t="shared" si="0"/>
        <v>$millions</v>
      </c>
      <c r="F18" s="101">
        <f t="shared" si="1"/>
        <v>45444</v>
      </c>
      <c r="H18" s="21"/>
      <c r="I18" s="21"/>
      <c r="J18" s="108">
        <f>IF(J$11="",0,'Calc|Opex forecast'!J97*INDEX('Input|Rate of change'!$C$14:$P$22,MATCH('Calc|Opex forecast'!$F97,'Input|Rate of change'!$C$14:$C$22,0),MATCH('Output|Models'!$F18,'Input|Rate of change'!$C$14:$P$14,0))*IF('Calc|Opex forecast'!$E97="$millions",1000000,IF('Calc|Opex forecast'!$E97="$000",1000,1))/IF($E18="$millions",1000000,IF($E18="$000",1000,1)))</f>
        <v>0</v>
      </c>
      <c r="K18" s="108">
        <f>IF(K$11="",0,'Calc|Opex forecast'!K97*INDEX('Input|Rate of change'!$C$14:$P$22,MATCH('Calc|Opex forecast'!$F97,'Input|Rate of change'!$C$14:$C$22,0),MATCH('Output|Models'!$F18,'Input|Rate of change'!$C$14:$P$14,0))*IF('Calc|Opex forecast'!$E97="$millions",1000000,IF('Calc|Opex forecast'!$E97="$000",1000,1))/IF($E18="$millions",1000000,IF($E18="$000",1000,1)))</f>
        <v>0</v>
      </c>
      <c r="L18" s="108">
        <f>IF(L$11="",0,'Calc|Opex forecast'!L97*INDEX('Input|Rate of change'!$C$14:$P$22,MATCH('Calc|Opex forecast'!$F97,'Input|Rate of change'!$C$14:$C$22,0),MATCH('Output|Models'!$F18,'Input|Rate of change'!$C$14:$P$14,0))*IF('Calc|Opex forecast'!$E97="$millions",1000000,IF('Calc|Opex forecast'!$E97="$000",1000,1))/IF($E18="$millions",1000000,IF($E18="$000",1000,1)))</f>
        <v>0</v>
      </c>
      <c r="M18" s="108">
        <f>IF(M$11="",0,'Calc|Opex forecast'!M97*INDEX('Input|Rate of change'!$C$14:$P$22,MATCH('Calc|Opex forecast'!$F97,'Input|Rate of change'!$C$14:$C$22,0),MATCH('Output|Models'!$F18,'Input|Rate of change'!$C$14:$P$14,0))*IF('Calc|Opex forecast'!$E97="$millions",1000000,IF('Calc|Opex forecast'!$E97="$000",1000,1))/IF($E18="$millions",1000000,IF($E18="$000",1000,1)))</f>
        <v>0</v>
      </c>
      <c r="N18" s="108">
        <f>IF(N$11="",0,'Calc|Opex forecast'!N97*INDEX('Input|Rate of change'!$C$14:$P$22,MATCH('Calc|Opex forecast'!$F97,'Input|Rate of change'!$C$14:$C$22,0),MATCH('Output|Models'!$F18,'Input|Rate of change'!$C$14:$P$14,0))*IF('Calc|Opex forecast'!$E97="$millions",1000000,IF('Calc|Opex forecast'!$E97="$000",1000,1))/IF($E18="$millions",1000000,IF($E18="$000",1000,1)))</f>
        <v>0</v>
      </c>
      <c r="O18" s="108">
        <f>IF(O$11="",0,'Calc|Opex forecast'!O97*INDEX('Input|Rate of change'!$C$14:$P$22,MATCH('Calc|Opex forecast'!$F97,'Input|Rate of change'!$C$14:$C$22,0),MATCH('Output|Models'!$F18,'Input|Rate of change'!$C$14:$P$14,0))*IF('Calc|Opex forecast'!$E97="$millions",1000000,IF('Calc|Opex forecast'!$E97="$000",1000,1))/IF($E18="$millions",1000000,IF($E18="$000",1000,1)))</f>
        <v>0</v>
      </c>
      <c r="P18" s="108">
        <f>IF(P$11="",0,'Calc|Opex forecast'!P97*INDEX('Input|Rate of change'!$C$14:$P$22,MATCH('Calc|Opex forecast'!$F97,'Input|Rate of change'!$C$14:$C$22,0),MATCH('Output|Models'!$F18,'Input|Rate of change'!$C$14:$P$14,0))*IF('Calc|Opex forecast'!$E97="$millions",1000000,IF('Calc|Opex forecast'!$E97="$000",1000,1))/IF($E18="$millions",1000000,IF($E18="$000",1000,1)))</f>
        <v>0</v>
      </c>
      <c r="Q18" s="108">
        <f>IF(Q$11="",0,'Calc|Opex forecast'!Q97*INDEX('Input|Rate of change'!$C$14:$P$22,MATCH('Calc|Opex forecast'!$F97,'Input|Rate of change'!$C$14:$C$22,0),MATCH('Output|Models'!$F18,'Input|Rate of change'!$C$14:$P$14,0))*IF('Calc|Opex forecast'!$E97="$millions",1000000,IF('Calc|Opex forecast'!$E97="$000",1000,1))/IF($E18="$millions",1000000,IF($E18="$000",1000,1)))</f>
        <v>0</v>
      </c>
      <c r="R18" s="108">
        <f>IF(R$11="",0,'Calc|Opex forecast'!R97*INDEX('Input|Rate of change'!$C$14:$P$22,MATCH('Calc|Opex forecast'!$F97,'Input|Rate of change'!$C$14:$C$22,0),MATCH('Output|Models'!$F18,'Input|Rate of change'!$C$14:$P$14,0))*IF('Calc|Opex forecast'!$E97="$millions",1000000,IF('Calc|Opex forecast'!$E97="$000",1000,1))/IF($E18="$millions",1000000,IF($E18="$000",1000,1)))</f>
        <v>0</v>
      </c>
      <c r="S18" s="108">
        <f>IF(S$11="",0,'Calc|Opex forecast'!S97*INDEX('Input|Rate of change'!$C$14:$P$22,MATCH('Calc|Opex forecast'!$F97,'Input|Rate of change'!$C$14:$C$22,0),MATCH('Output|Models'!$F18,'Input|Rate of change'!$C$14:$P$14,0))*IF('Calc|Opex forecast'!$E97="$millions",1000000,IF('Calc|Opex forecast'!$E97="$000",1000,1))/IF($E18="$millions",1000000,IF($E18="$000",1000,1)))</f>
        <v>0</v>
      </c>
      <c r="T18" s="108">
        <f>IF(T$11="",0,'Calc|Opex forecast'!T97*INDEX('Input|Rate of change'!$C$14:$P$22,MATCH('Calc|Opex forecast'!$F97,'Input|Rate of change'!$C$14:$C$22,0),MATCH('Output|Models'!$F18,'Input|Rate of change'!$C$14:$P$14,0))*IF('Calc|Opex forecast'!$E97="$millions",1000000,IF('Calc|Opex forecast'!$E97="$000",1000,1))/IF($E18="$millions",1000000,IF($E18="$000",1000,1)))</f>
        <v>0</v>
      </c>
      <c r="U18" s="15"/>
      <c r="V18" s="118"/>
    </row>
    <row r="19" spans="1:24">
      <c r="D19" s="25"/>
      <c r="H19" s="21"/>
      <c r="I19" s="21"/>
      <c r="S19" s="23"/>
      <c r="T19" s="23"/>
    </row>
    <row r="20" spans="1:24" customFormat="1" ht="12.75">
      <c r="A20" s="34"/>
      <c r="B20" s="40" t="s">
        <v>21</v>
      </c>
      <c r="C20" s="34"/>
      <c r="D20" s="34"/>
      <c r="E20" s="34"/>
      <c r="F20" s="35"/>
      <c r="G20" s="35"/>
      <c r="H20" s="35"/>
      <c r="I20" s="35"/>
      <c r="J20" s="36"/>
      <c r="K20" s="37"/>
      <c r="L20" s="36"/>
      <c r="M20" s="37"/>
      <c r="N20" s="36"/>
      <c r="O20" s="36"/>
      <c r="P20" s="36"/>
      <c r="Q20" s="36"/>
      <c r="R20" s="36"/>
      <c r="S20" s="36"/>
      <c r="T20" s="36"/>
      <c r="U20" s="36"/>
      <c r="V20" s="36"/>
      <c r="W20" s="37"/>
      <c r="X20" s="37"/>
    </row>
    <row r="26" spans="1:24" hidden="1">
      <c r="M26" s="92"/>
      <c r="N26" s="92"/>
      <c r="O26" s="92"/>
      <c r="P26" s="92"/>
      <c r="Q26" s="92"/>
      <c r="R26" s="92"/>
      <c r="S26" s="92"/>
      <c r="T26" s="92"/>
    </row>
  </sheetData>
  <mergeCells count="1">
    <mergeCell ref="N3:S3"/>
  </mergeCells>
  <conditionalFormatting sqref="W1">
    <cfRule type="cellIs" dxfId="24" priority="13" operator="equal">
      <formula>"Check"</formula>
    </cfRule>
    <cfRule type="cellIs" dxfId="23" priority="14" operator="equal">
      <formula>"Ok"</formula>
    </cfRule>
  </conditionalFormatting>
  <conditionalFormatting sqref="J13:T18">
    <cfRule type="expression" dxfId="22" priority="3">
      <formula>AND($C13=0,J$11=J$4)</formula>
    </cfRule>
    <cfRule type="expression" dxfId="21" priority="4">
      <formula>NOT(J$11=J$4)</formula>
    </cfRule>
    <cfRule type="expression" dxfId="20" priority="5">
      <formula>J$11=J$4</formula>
    </cfRule>
  </conditionalFormatting>
  <conditionalFormatting sqref="J11:T11">
    <cfRule type="expression" dxfId="19" priority="7">
      <formula>J$11=J$4</formula>
    </cfRule>
  </conditionalFormatting>
  <conditionalFormatting sqref="S1:T1">
    <cfRule type="cellIs" dxfId="18" priority="1" operator="equal">
      <formula>"Check"</formula>
    </cfRule>
    <cfRule type="cellIs" dxfId="17" priority="2" operator="equal">
      <formula>"Ok"</formula>
    </cfRule>
  </conditionalFormatting>
  <dataValidations count="2">
    <dataValidation type="list" allowBlank="1" showInputMessage="1" showErrorMessage="1" sqref="F13:F18" xr:uid="{00000000-0002-0000-0800-000000000000}">
      <formula1>$G$22:$G$28</formula1>
    </dataValidation>
    <dataValidation type="list" allowBlank="1" showInputMessage="1" showErrorMessage="1" sqref="F19" xr:uid="{00000000-0002-0000-0800-000001000000}">
      <formula1>#REF!</formula1>
    </dataValidation>
  </dataValidations>
  <hyperlinks>
    <hyperlink ref="J1" location="Index!A1" display="Back to Index" xr:uid="{00000000-0004-0000-0800-000000000000}"/>
    <hyperlink ref="D13" location="'Calc|Opex forecast'!A1" display="Calc | Opex forecast" xr:uid="{00000000-0004-0000-0800-000001000000}"/>
    <hyperlink ref="D14" location="'Calc|Opex forecast'!A1" display="Calc | Opex forecast" xr:uid="{00000000-0004-0000-0800-000002000000}"/>
    <hyperlink ref="D15" location="'Calc|Opex forecast'!A1" display="Calc | Opex forecast" xr:uid="{00000000-0004-0000-0800-000003000000}"/>
    <hyperlink ref="D17" location="'Calc|Opex forecast'!A1" display="Calc | Opex forecast" xr:uid="{00000000-0004-0000-0800-000004000000}"/>
    <hyperlink ref="V1" location="'Check|List'!A1" display="Overall Check:" xr:uid="{00000000-0004-0000-0800-000005000000}"/>
    <hyperlink ref="D16" location="'Calc|Opex forecast'!A1" display="Calc | Opex forecast" xr:uid="{00000000-0004-0000-0800-000006000000}"/>
    <hyperlink ref="D18" location="'Calc|Opex forecast'!A1" display="Calc | Opex forecast" xr:uid="{00000000-0004-0000-0800-000007000000}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800-000002000000}">
          <x14:formula1>
            <xm:f>'Lookup|Tables'!$G$17:$G$19</xm:f>
          </x14:formula1>
          <xm:sqref>E8</xm:sqref>
        </x14:dataValidation>
        <x14:dataValidation type="list" allowBlank="1" showInputMessage="1" showErrorMessage="1" xr:uid="{00000000-0002-0000-0800-000003000000}">
          <x14:formula1>
            <xm:f>'Lookup|Tables'!$H$48:$H$67</xm:f>
          </x14:formula1>
          <xm:sqref>F8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1">
    <tabColor theme="1"/>
  </sheetPr>
  <dimension ref="A1:XER85"/>
  <sheetViews>
    <sheetView showGridLines="0" topLeftCell="A42" workbookViewId="0"/>
  </sheetViews>
  <sheetFormatPr defaultColWidth="0" defaultRowHeight="11.25" zeroHeight="1"/>
  <cols>
    <col min="1" max="2" width="1.5" style="8" customWidth="1"/>
    <col min="3" max="3" width="42" style="8" customWidth="1"/>
    <col min="4" max="4" width="17" style="7" customWidth="1"/>
    <col min="5" max="5" width="15.83203125" style="7" customWidth="1"/>
    <col min="6" max="6" width="10.6640625" style="7" customWidth="1"/>
    <col min="7" max="7" width="15" style="16" customWidth="1"/>
    <col min="8" max="9" width="15" style="8" customWidth="1"/>
    <col min="10" max="23" width="10.83203125" style="8" customWidth="1"/>
    <col min="24" max="311" width="10.5" style="8" hidden="1" customWidth="1"/>
    <col min="312" max="16371" width="10.5" style="8" hidden="1"/>
    <col min="16372" max="16372" width="0" style="8" hidden="1"/>
    <col min="16373" max="16384" width="10.5" style="8" hidden="1"/>
  </cols>
  <sheetData>
    <row r="1" spans="1:30" s="29" customFormat="1" ht="15.75">
      <c r="B1" s="26" t="str">
        <f>Index!$B$1</f>
        <v>AER opex model v2.1</v>
      </c>
      <c r="C1" s="26"/>
      <c r="D1" s="26"/>
      <c r="E1" s="26"/>
      <c r="F1" s="27"/>
      <c r="G1" s="27"/>
      <c r="H1" s="27"/>
      <c r="I1" s="27"/>
      <c r="J1" s="28" t="s">
        <v>2</v>
      </c>
      <c r="L1" s="30" t="s">
        <v>3</v>
      </c>
      <c r="M1" s="48" t="s">
        <v>4</v>
      </c>
      <c r="N1" s="11" t="s">
        <v>5</v>
      </c>
      <c r="O1" s="12" t="s">
        <v>6</v>
      </c>
      <c r="R1" s="30"/>
      <c r="S1" s="31"/>
      <c r="U1" s="109" t="s">
        <v>24</v>
      </c>
      <c r="V1" s="31" t="str">
        <f>'Check|List'!$S$1</f>
        <v>Ok</v>
      </c>
    </row>
    <row r="2" spans="1:30" s="29" customFormat="1" ht="12.75">
      <c r="B2" s="43" t="str">
        <f>Index!$C$14</f>
        <v>Lookup | Tables</v>
      </c>
      <c r="C2" s="43"/>
      <c r="D2" s="43"/>
      <c r="E2" s="43"/>
      <c r="F2" s="44"/>
      <c r="G2" s="44"/>
      <c r="H2" s="44"/>
      <c r="I2" s="44"/>
    </row>
    <row r="3" spans="1:30" s="47" customFormat="1" ht="12.75">
      <c r="A3" s="34"/>
      <c r="B3" s="40"/>
      <c r="C3" s="34"/>
      <c r="D3" s="34"/>
      <c r="E3" s="34"/>
      <c r="F3" s="35"/>
      <c r="G3" s="35"/>
      <c r="H3" s="35"/>
      <c r="I3" s="35"/>
      <c r="J3" s="36"/>
      <c r="K3" s="37"/>
      <c r="L3" s="36"/>
      <c r="M3" s="37"/>
      <c r="N3" s="36"/>
      <c r="O3" s="36"/>
      <c r="P3" s="36"/>
      <c r="Q3" s="36"/>
      <c r="R3" s="36"/>
      <c r="S3" s="36"/>
      <c r="T3" s="36"/>
      <c r="U3" s="36"/>
      <c r="V3" s="37"/>
      <c r="W3" s="37"/>
      <c r="X3" s="45"/>
      <c r="Y3" s="45"/>
      <c r="Z3" s="45"/>
      <c r="AA3" s="45"/>
      <c r="AB3" s="45"/>
      <c r="AC3" s="46"/>
      <c r="AD3" s="46"/>
    </row>
    <row r="4" spans="1:30" s="6" customFormat="1" ht="3" customHeight="1">
      <c r="D4" s="20"/>
      <c r="E4" s="20"/>
    </row>
    <row r="5" spans="1:30" customFormat="1" ht="12.75">
      <c r="A5" s="34"/>
      <c r="B5" s="40" t="s">
        <v>197</v>
      </c>
      <c r="C5" s="34"/>
      <c r="D5" s="34"/>
      <c r="E5" s="34"/>
      <c r="F5" s="35"/>
      <c r="G5" s="35"/>
      <c r="H5" s="35"/>
      <c r="I5" s="35"/>
      <c r="J5" s="36"/>
      <c r="K5" s="37"/>
      <c r="L5" s="36"/>
      <c r="M5" s="37"/>
      <c r="N5" s="36"/>
      <c r="O5" s="36"/>
      <c r="P5" s="36"/>
      <c r="Q5" s="36"/>
      <c r="R5" s="36"/>
      <c r="S5" s="36"/>
      <c r="T5" s="36"/>
      <c r="U5" s="36"/>
      <c r="V5" s="37"/>
      <c r="W5" s="37"/>
      <c r="X5" s="38"/>
      <c r="Y5" s="38"/>
      <c r="Z5" s="38"/>
      <c r="AA5" s="38"/>
      <c r="AB5" s="38"/>
      <c r="AC5" s="39"/>
      <c r="AD5" s="39"/>
    </row>
    <row r="6" spans="1:30"/>
    <row r="7" spans="1:30">
      <c r="C7" s="13" t="str">
        <f>B5</f>
        <v>Stage</v>
      </c>
      <c r="D7" s="21" t="s">
        <v>7</v>
      </c>
      <c r="E7" s="21"/>
      <c r="F7" s="14"/>
      <c r="G7" s="14" t="s">
        <v>9</v>
      </c>
      <c r="H7" s="14"/>
    </row>
    <row r="8" spans="1:30">
      <c r="C8" s="15" t="s">
        <v>198</v>
      </c>
      <c r="D8" s="16" t="s">
        <v>201</v>
      </c>
      <c r="E8" s="16"/>
      <c r="F8" s="16"/>
      <c r="G8" s="41" t="s">
        <v>198</v>
      </c>
    </row>
    <row r="9" spans="1:30">
      <c r="C9" s="15" t="s">
        <v>199</v>
      </c>
      <c r="D9" s="16" t="s">
        <v>201</v>
      </c>
      <c r="E9" s="16"/>
      <c r="F9" s="16"/>
      <c r="G9" s="41" t="s">
        <v>199</v>
      </c>
    </row>
    <row r="10" spans="1:30">
      <c r="C10" s="15" t="s">
        <v>200</v>
      </c>
      <c r="D10" s="16" t="s">
        <v>69</v>
      </c>
      <c r="E10" s="16"/>
      <c r="F10" s="16"/>
      <c r="G10" s="41" t="s">
        <v>200</v>
      </c>
      <c r="T10" s="17"/>
    </row>
    <row r="11" spans="1:30">
      <c r="C11" s="15" t="s">
        <v>202</v>
      </c>
      <c r="D11" s="16" t="s">
        <v>201</v>
      </c>
      <c r="E11" s="16"/>
      <c r="F11" s="16"/>
      <c r="G11" s="41" t="s">
        <v>202</v>
      </c>
    </row>
    <row r="12" spans="1:30">
      <c r="C12" s="15" t="s">
        <v>203</v>
      </c>
      <c r="D12" s="16" t="s">
        <v>69</v>
      </c>
      <c r="E12" s="16"/>
      <c r="F12" s="16"/>
      <c r="G12" s="41" t="s">
        <v>203</v>
      </c>
      <c r="T12" s="17"/>
    </row>
    <row r="13" spans="1:30">
      <c r="F13" s="8"/>
      <c r="G13" s="8"/>
    </row>
    <row r="14" spans="1:30" customFormat="1" ht="12.75">
      <c r="A14" s="34"/>
      <c r="B14" s="40" t="s">
        <v>19</v>
      </c>
      <c r="C14" s="34"/>
      <c r="D14" s="34"/>
      <c r="E14" s="34"/>
      <c r="F14" s="35"/>
      <c r="G14" s="35"/>
      <c r="H14" s="35"/>
      <c r="I14" s="35"/>
      <c r="J14" s="36"/>
      <c r="K14" s="37"/>
      <c r="L14" s="36"/>
      <c r="M14" s="37"/>
      <c r="N14" s="36"/>
      <c r="O14" s="36"/>
      <c r="P14" s="36"/>
      <c r="Q14" s="36"/>
      <c r="R14" s="36"/>
      <c r="S14" s="36"/>
      <c r="T14" s="36"/>
      <c r="U14" s="36"/>
      <c r="V14" s="37"/>
      <c r="W14" s="37"/>
      <c r="X14" s="38"/>
      <c r="Y14" s="38"/>
      <c r="Z14" s="38"/>
      <c r="AA14" s="38"/>
      <c r="AB14" s="38"/>
      <c r="AC14" s="39"/>
      <c r="AD14" s="39"/>
    </row>
    <row r="15" spans="1:30"/>
    <row r="16" spans="1:30">
      <c r="C16" s="13" t="str">
        <f>B14</f>
        <v>Unit Denominations</v>
      </c>
      <c r="D16" s="21" t="s">
        <v>7</v>
      </c>
      <c r="E16" s="21"/>
      <c r="F16" s="14"/>
      <c r="G16" s="14" t="s">
        <v>9</v>
      </c>
      <c r="H16" s="14"/>
    </row>
    <row r="17" spans="1:30">
      <c r="C17" s="15" t="s">
        <v>10</v>
      </c>
      <c r="D17" s="16" t="s">
        <v>69</v>
      </c>
      <c r="E17" s="16"/>
      <c r="F17" s="16"/>
      <c r="G17" s="41" t="s">
        <v>12</v>
      </c>
    </row>
    <row r="18" spans="1:30">
      <c r="C18" s="15" t="s">
        <v>13</v>
      </c>
      <c r="D18" s="16" t="s">
        <v>69</v>
      </c>
      <c r="E18" s="16"/>
      <c r="F18" s="16"/>
      <c r="G18" s="41" t="s">
        <v>20</v>
      </c>
    </row>
    <row r="19" spans="1:30">
      <c r="C19" s="15" t="s">
        <v>14</v>
      </c>
      <c r="D19" s="16" t="s">
        <v>69</v>
      </c>
      <c r="E19" s="16"/>
      <c r="F19" s="16"/>
      <c r="G19" s="41" t="s">
        <v>15</v>
      </c>
      <c r="T19" s="17"/>
    </row>
    <row r="20" spans="1:30">
      <c r="F20" s="8"/>
      <c r="G20" s="8"/>
    </row>
    <row r="21" spans="1:30">
      <c r="C21" s="15" t="s">
        <v>16</v>
      </c>
      <c r="D21" s="16" t="s">
        <v>69</v>
      </c>
      <c r="E21" s="16"/>
      <c r="F21" s="16"/>
      <c r="G21" s="41" t="s">
        <v>31</v>
      </c>
    </row>
    <row r="22" spans="1:30">
      <c r="C22" s="15" t="s">
        <v>8</v>
      </c>
      <c r="D22" s="16" t="s">
        <v>69</v>
      </c>
      <c r="E22" s="16"/>
      <c r="F22" s="16"/>
      <c r="G22" s="41" t="s">
        <v>11</v>
      </c>
    </row>
    <row r="23" spans="1:30">
      <c r="C23" s="15" t="s">
        <v>17</v>
      </c>
      <c r="D23" s="16" t="s">
        <v>69</v>
      </c>
      <c r="E23" s="16"/>
      <c r="F23" s="16"/>
      <c r="G23" s="41" t="s">
        <v>18</v>
      </c>
    </row>
    <row r="24" spans="1:30">
      <c r="C24" s="15" t="s">
        <v>37</v>
      </c>
      <c r="D24" s="16" t="s">
        <v>69</v>
      </c>
      <c r="E24" s="16"/>
      <c r="F24" s="16"/>
      <c r="G24" s="41" t="s">
        <v>38</v>
      </c>
    </row>
    <row r="25" spans="1:30">
      <c r="C25" s="15"/>
      <c r="D25" s="16"/>
      <c r="E25" s="16"/>
      <c r="F25" s="16"/>
      <c r="G25" s="8"/>
    </row>
    <row r="26" spans="1:30">
      <c r="C26" s="15" t="s">
        <v>23</v>
      </c>
      <c r="D26" s="16" t="s">
        <v>69</v>
      </c>
      <c r="E26" s="16"/>
      <c r="F26" s="16"/>
      <c r="G26" s="41" t="s">
        <v>23</v>
      </c>
    </row>
    <row r="27" spans="1:30">
      <c r="C27" s="15" t="s">
        <v>74</v>
      </c>
      <c r="D27" s="16" t="s">
        <v>69</v>
      </c>
      <c r="E27" s="16"/>
      <c r="F27" s="16"/>
      <c r="G27" s="41" t="s">
        <v>74</v>
      </c>
    </row>
    <row r="28" spans="1:30">
      <c r="C28" s="15"/>
      <c r="D28" s="16"/>
      <c r="E28" s="16"/>
      <c r="F28" s="16"/>
      <c r="G28" s="8"/>
    </row>
    <row r="29" spans="1:30" customFormat="1" ht="12.75">
      <c r="A29" s="34"/>
      <c r="B29" s="40" t="s">
        <v>119</v>
      </c>
      <c r="C29" s="34"/>
      <c r="D29" s="34"/>
      <c r="E29" s="34"/>
      <c r="F29" s="35"/>
      <c r="G29" s="35"/>
      <c r="H29" s="35"/>
      <c r="I29" s="35"/>
      <c r="J29" s="36"/>
      <c r="K29" s="37"/>
      <c r="L29" s="36"/>
      <c r="M29" s="37"/>
      <c r="N29" s="36"/>
      <c r="O29" s="36"/>
      <c r="P29" s="36"/>
      <c r="Q29" s="36"/>
      <c r="R29" s="36"/>
      <c r="S29" s="36"/>
      <c r="T29" s="36"/>
      <c r="U29" s="36"/>
      <c r="V29" s="37"/>
      <c r="W29" s="37"/>
      <c r="X29" s="38"/>
      <c r="Y29" s="38"/>
      <c r="Z29" s="38"/>
      <c r="AA29" s="38"/>
      <c r="AB29" s="38"/>
      <c r="AC29" s="39"/>
      <c r="AD29" s="39"/>
    </row>
    <row r="30" spans="1:30"/>
    <row r="31" spans="1:30">
      <c r="C31" s="13" t="str">
        <f>B29</f>
        <v>Months</v>
      </c>
      <c r="D31" s="21" t="s">
        <v>7</v>
      </c>
      <c r="E31" s="21"/>
      <c r="F31" s="14"/>
      <c r="G31" s="14" t="s">
        <v>9</v>
      </c>
      <c r="H31" s="14"/>
    </row>
    <row r="32" spans="1:30">
      <c r="C32" s="15" t="s">
        <v>120</v>
      </c>
      <c r="D32" s="16" t="s">
        <v>69</v>
      </c>
      <c r="E32" s="16"/>
      <c r="F32" s="16"/>
      <c r="G32" s="95">
        <v>36526</v>
      </c>
      <c r="H32" s="14"/>
    </row>
    <row r="33" spans="1:30">
      <c r="C33" s="15" t="s">
        <v>121</v>
      </c>
      <c r="D33" s="16" t="s">
        <v>69</v>
      </c>
      <c r="E33" s="16"/>
      <c r="F33" s="16"/>
      <c r="G33" s="95">
        <v>36557</v>
      </c>
      <c r="H33" s="14"/>
    </row>
    <row r="34" spans="1:30">
      <c r="C34" s="15" t="s">
        <v>122</v>
      </c>
      <c r="D34" s="16" t="s">
        <v>69</v>
      </c>
      <c r="E34" s="16"/>
      <c r="F34" s="16"/>
      <c r="G34" s="95">
        <v>36586</v>
      </c>
      <c r="H34" s="14"/>
    </row>
    <row r="35" spans="1:30">
      <c r="C35" s="15" t="s">
        <v>123</v>
      </c>
      <c r="D35" s="16" t="s">
        <v>69</v>
      </c>
      <c r="E35" s="16"/>
      <c r="F35" s="16"/>
      <c r="G35" s="95">
        <v>36617</v>
      </c>
    </row>
    <row r="36" spans="1:30">
      <c r="C36" s="15" t="s">
        <v>124</v>
      </c>
      <c r="D36" s="16" t="s">
        <v>69</v>
      </c>
      <c r="E36" s="16"/>
      <c r="F36" s="16"/>
      <c r="G36" s="95">
        <v>36647</v>
      </c>
    </row>
    <row r="37" spans="1:30">
      <c r="C37" s="15" t="s">
        <v>125</v>
      </c>
      <c r="D37" s="16" t="s">
        <v>69</v>
      </c>
      <c r="E37" s="16"/>
      <c r="F37" s="16"/>
      <c r="G37" s="95">
        <v>36678</v>
      </c>
      <c r="T37" s="17"/>
    </row>
    <row r="38" spans="1:30">
      <c r="C38" s="15" t="s">
        <v>126</v>
      </c>
      <c r="D38" s="16" t="s">
        <v>69</v>
      </c>
      <c r="E38" s="16"/>
      <c r="F38" s="16"/>
      <c r="G38" s="95">
        <v>36708</v>
      </c>
      <c r="T38" s="17"/>
    </row>
    <row r="39" spans="1:30">
      <c r="C39" s="15" t="s">
        <v>127</v>
      </c>
      <c r="D39" s="16" t="s">
        <v>69</v>
      </c>
      <c r="E39" s="16"/>
      <c r="F39" s="16"/>
      <c r="G39" s="95">
        <v>36739</v>
      </c>
      <c r="T39" s="17"/>
    </row>
    <row r="40" spans="1:30">
      <c r="C40" s="15" t="s">
        <v>128</v>
      </c>
      <c r="D40" s="16" t="s">
        <v>69</v>
      </c>
      <c r="E40" s="16"/>
      <c r="F40" s="16"/>
      <c r="G40" s="95">
        <v>36770</v>
      </c>
      <c r="T40" s="17"/>
    </row>
    <row r="41" spans="1:30">
      <c r="C41" s="15" t="s">
        <v>129</v>
      </c>
      <c r="D41" s="16" t="s">
        <v>69</v>
      </c>
      <c r="E41" s="16"/>
      <c r="F41" s="16"/>
      <c r="G41" s="95">
        <v>36800</v>
      </c>
      <c r="T41" s="17"/>
    </row>
    <row r="42" spans="1:30">
      <c r="C42" s="15" t="s">
        <v>130</v>
      </c>
      <c r="D42" s="16" t="s">
        <v>69</v>
      </c>
      <c r="E42" s="16"/>
      <c r="F42" s="16"/>
      <c r="G42" s="95">
        <v>36831</v>
      </c>
      <c r="T42" s="17"/>
    </row>
    <row r="43" spans="1:30">
      <c r="C43" s="15" t="s">
        <v>131</v>
      </c>
      <c r="D43" s="16" t="s">
        <v>69</v>
      </c>
      <c r="E43" s="16"/>
      <c r="F43" s="16"/>
      <c r="G43" s="95">
        <v>36861</v>
      </c>
      <c r="T43" s="17"/>
    </row>
    <row r="44" spans="1:30">
      <c r="C44" s="15"/>
      <c r="D44" s="16"/>
      <c r="E44" s="16"/>
      <c r="F44" s="16"/>
      <c r="T44" s="17"/>
    </row>
    <row r="45" spans="1:30" customFormat="1" ht="12.75">
      <c r="A45" s="34"/>
      <c r="B45" s="40" t="s">
        <v>70</v>
      </c>
      <c r="C45" s="34"/>
      <c r="D45" s="34"/>
      <c r="E45" s="34"/>
      <c r="F45" s="35"/>
      <c r="G45" s="35"/>
      <c r="H45" s="35"/>
      <c r="I45" s="35"/>
      <c r="J45" s="36"/>
      <c r="K45" s="37"/>
      <c r="L45" s="36"/>
      <c r="M45" s="37"/>
      <c r="N45" s="36"/>
      <c r="O45" s="36"/>
      <c r="P45" s="36"/>
      <c r="Q45" s="36"/>
      <c r="R45" s="36"/>
      <c r="S45" s="36"/>
      <c r="T45" s="36"/>
      <c r="U45" s="36"/>
      <c r="V45" s="37"/>
      <c r="W45" s="37"/>
      <c r="X45" s="38"/>
      <c r="Y45" s="38"/>
      <c r="Z45" s="38"/>
      <c r="AA45" s="38"/>
      <c r="AB45" s="38"/>
      <c r="AC45" s="39"/>
      <c r="AD45" s="39"/>
    </row>
    <row r="46" spans="1:30"/>
    <row r="47" spans="1:30">
      <c r="C47" s="13" t="str">
        <f>B45</f>
        <v>Years</v>
      </c>
      <c r="D47" s="21" t="s">
        <v>7</v>
      </c>
      <c r="E47" s="21"/>
      <c r="F47" s="14"/>
      <c r="G47" s="14" t="s">
        <v>154</v>
      </c>
      <c r="H47" s="14" t="s">
        <v>152</v>
      </c>
      <c r="I47" s="14" t="s">
        <v>153</v>
      </c>
    </row>
    <row r="48" spans="1:30">
      <c r="C48" s="100">
        <v>40695</v>
      </c>
      <c r="D48" s="16" t="s">
        <v>69</v>
      </c>
      <c r="E48" s="16"/>
      <c r="F48" s="16"/>
      <c r="G48" s="96">
        <v>2011</v>
      </c>
      <c r="H48" s="112">
        <f>DATE(G48,MONTH('Input|General'!$G$9),1)</f>
        <v>40695</v>
      </c>
      <c r="I48" s="111" t="str">
        <f>G48-1&amp;"–"&amp;RIGHT(G48,2)</f>
        <v>2010–11</v>
      </c>
    </row>
    <row r="49" spans="3:20">
      <c r="C49" s="100">
        <v>41061</v>
      </c>
      <c r="D49" s="16" t="s">
        <v>69</v>
      </c>
      <c r="E49" s="16"/>
      <c r="F49" s="16"/>
      <c r="G49" s="96">
        <v>2012</v>
      </c>
      <c r="H49" s="112">
        <f>DATE(G49,MONTH('Input|General'!$G$9),1)</f>
        <v>41061</v>
      </c>
      <c r="I49" s="111" t="str">
        <f t="shared" ref="I49:I67" si="0">G49-1&amp;"–"&amp;RIGHT(G49,2)</f>
        <v>2011–12</v>
      </c>
    </row>
    <row r="50" spans="3:20">
      <c r="C50" s="100">
        <v>41426</v>
      </c>
      <c r="D50" s="16" t="s">
        <v>69</v>
      </c>
      <c r="E50" s="16"/>
      <c r="F50" s="16"/>
      <c r="G50" s="96">
        <v>2013</v>
      </c>
      <c r="H50" s="112">
        <f>DATE(G50,MONTH('Input|General'!$G$9),1)</f>
        <v>41426</v>
      </c>
      <c r="I50" s="111" t="str">
        <f t="shared" si="0"/>
        <v>2012–13</v>
      </c>
    </row>
    <row r="51" spans="3:20">
      <c r="C51" s="100">
        <v>41791</v>
      </c>
      <c r="D51" s="16" t="s">
        <v>69</v>
      </c>
      <c r="E51" s="16"/>
      <c r="F51" s="16"/>
      <c r="G51" s="96">
        <v>2014</v>
      </c>
      <c r="H51" s="112">
        <f>DATE(G51,MONTH('Input|General'!$G$9),1)</f>
        <v>41791</v>
      </c>
      <c r="I51" s="111" t="str">
        <f t="shared" si="0"/>
        <v>2013–14</v>
      </c>
    </row>
    <row r="52" spans="3:20">
      <c r="C52" s="100">
        <v>42156</v>
      </c>
      <c r="D52" s="16" t="s">
        <v>69</v>
      </c>
      <c r="E52" s="16"/>
      <c r="F52" s="16"/>
      <c r="G52" s="96">
        <v>2015</v>
      </c>
      <c r="H52" s="112">
        <f>DATE(G52,MONTH('Input|General'!$G$9),1)</f>
        <v>42156</v>
      </c>
      <c r="I52" s="111" t="str">
        <f t="shared" si="0"/>
        <v>2014–15</v>
      </c>
      <c r="T52" s="17"/>
    </row>
    <row r="53" spans="3:20">
      <c r="C53" s="100">
        <v>42522</v>
      </c>
      <c r="D53" s="16" t="s">
        <v>69</v>
      </c>
      <c r="E53" s="16"/>
      <c r="F53" s="16"/>
      <c r="G53" s="96">
        <v>2016</v>
      </c>
      <c r="H53" s="112">
        <f>DATE(G53,MONTH('Input|General'!$G$9),1)</f>
        <v>42522</v>
      </c>
      <c r="I53" s="111" t="str">
        <f t="shared" si="0"/>
        <v>2015–16</v>
      </c>
      <c r="T53" s="17"/>
    </row>
    <row r="54" spans="3:20">
      <c r="C54" s="100">
        <v>42887</v>
      </c>
      <c r="D54" s="16" t="s">
        <v>69</v>
      </c>
      <c r="E54" s="16"/>
      <c r="F54" s="16"/>
      <c r="G54" s="96">
        <v>2017</v>
      </c>
      <c r="H54" s="112">
        <f>DATE(G54,MONTH('Input|General'!$G$9),1)</f>
        <v>42887</v>
      </c>
      <c r="I54" s="111" t="str">
        <f t="shared" si="0"/>
        <v>2016–17</v>
      </c>
      <c r="T54" s="17"/>
    </row>
    <row r="55" spans="3:20">
      <c r="C55" s="100">
        <v>43252</v>
      </c>
      <c r="D55" s="16" t="s">
        <v>69</v>
      </c>
      <c r="E55" s="16"/>
      <c r="F55" s="16"/>
      <c r="G55" s="96">
        <v>2018</v>
      </c>
      <c r="H55" s="112">
        <f>DATE(G55,MONTH('Input|General'!$G$9),1)</f>
        <v>43252</v>
      </c>
      <c r="I55" s="111" t="str">
        <f t="shared" si="0"/>
        <v>2017–18</v>
      </c>
      <c r="T55" s="17"/>
    </row>
    <row r="56" spans="3:20">
      <c r="C56" s="100">
        <v>43617</v>
      </c>
      <c r="D56" s="16" t="s">
        <v>69</v>
      </c>
      <c r="E56" s="16"/>
      <c r="F56" s="16"/>
      <c r="G56" s="96">
        <v>2019</v>
      </c>
      <c r="H56" s="112">
        <f>DATE(G56,MONTH('Input|General'!$G$9),1)</f>
        <v>43617</v>
      </c>
      <c r="I56" s="111" t="str">
        <f t="shared" si="0"/>
        <v>2018–19</v>
      </c>
      <c r="T56" s="17"/>
    </row>
    <row r="57" spans="3:20">
      <c r="C57" s="100">
        <v>43983</v>
      </c>
      <c r="D57" s="16" t="s">
        <v>69</v>
      </c>
      <c r="E57" s="16"/>
      <c r="F57" s="16"/>
      <c r="G57" s="96">
        <v>2020</v>
      </c>
      <c r="H57" s="112">
        <f>DATE(G57,MONTH('Input|General'!$G$9),1)</f>
        <v>43983</v>
      </c>
      <c r="I57" s="111" t="str">
        <f t="shared" si="0"/>
        <v>2019–20</v>
      </c>
      <c r="T57" s="17"/>
    </row>
    <row r="58" spans="3:20">
      <c r="C58" s="100">
        <v>44348</v>
      </c>
      <c r="D58" s="16" t="s">
        <v>69</v>
      </c>
      <c r="E58" s="16"/>
      <c r="F58" s="16"/>
      <c r="G58" s="96">
        <v>2021</v>
      </c>
      <c r="H58" s="112">
        <f>DATE(G58,MONTH('Input|General'!$G$9),1)</f>
        <v>44348</v>
      </c>
      <c r="I58" s="111" t="str">
        <f t="shared" si="0"/>
        <v>2020–21</v>
      </c>
      <c r="T58" s="17"/>
    </row>
    <row r="59" spans="3:20">
      <c r="C59" s="100">
        <v>44713</v>
      </c>
      <c r="D59" s="16" t="s">
        <v>69</v>
      </c>
      <c r="E59" s="16"/>
      <c r="F59" s="16"/>
      <c r="G59" s="96">
        <v>2022</v>
      </c>
      <c r="H59" s="112">
        <f>DATE(G59,MONTH('Input|General'!$G$9),1)</f>
        <v>44713</v>
      </c>
      <c r="I59" s="111" t="str">
        <f t="shared" si="0"/>
        <v>2021–22</v>
      </c>
      <c r="T59" s="17"/>
    </row>
    <row r="60" spans="3:20">
      <c r="C60" s="100">
        <v>45078</v>
      </c>
      <c r="D60" s="16" t="s">
        <v>69</v>
      </c>
      <c r="E60" s="16"/>
      <c r="F60" s="16"/>
      <c r="G60" s="96">
        <v>2023</v>
      </c>
      <c r="H60" s="112">
        <f>DATE(G60,MONTH('Input|General'!$G$9),1)</f>
        <v>45078</v>
      </c>
      <c r="I60" s="111" t="str">
        <f t="shared" si="0"/>
        <v>2022–23</v>
      </c>
      <c r="T60" s="17"/>
    </row>
    <row r="61" spans="3:20">
      <c r="C61" s="100">
        <v>45444</v>
      </c>
      <c r="D61" s="16" t="s">
        <v>69</v>
      </c>
      <c r="E61" s="16"/>
      <c r="F61" s="16"/>
      <c r="G61" s="96">
        <v>2024</v>
      </c>
      <c r="H61" s="112">
        <f>DATE(G61,MONTH('Input|General'!$G$9),1)</f>
        <v>45444</v>
      </c>
      <c r="I61" s="111" t="str">
        <f t="shared" si="0"/>
        <v>2023–24</v>
      </c>
      <c r="T61" s="17"/>
    </row>
    <row r="62" spans="3:20">
      <c r="C62" s="100">
        <v>45809</v>
      </c>
      <c r="D62" s="16" t="s">
        <v>69</v>
      </c>
      <c r="E62" s="16"/>
      <c r="F62" s="16"/>
      <c r="G62" s="96">
        <v>2025</v>
      </c>
      <c r="H62" s="112">
        <f>DATE(G62,MONTH('Input|General'!$G$9),1)</f>
        <v>45809</v>
      </c>
      <c r="I62" s="111" t="str">
        <f t="shared" si="0"/>
        <v>2024–25</v>
      </c>
      <c r="T62" s="17"/>
    </row>
    <row r="63" spans="3:20">
      <c r="C63" s="100">
        <v>46174</v>
      </c>
      <c r="D63" s="16" t="s">
        <v>69</v>
      </c>
      <c r="E63" s="16"/>
      <c r="F63" s="16"/>
      <c r="G63" s="96">
        <v>2026</v>
      </c>
      <c r="H63" s="112">
        <f>DATE(G63,MONTH('Input|General'!$G$9),1)</f>
        <v>46174</v>
      </c>
      <c r="I63" s="111" t="str">
        <f t="shared" si="0"/>
        <v>2025–26</v>
      </c>
      <c r="T63" s="17"/>
    </row>
    <row r="64" spans="3:20">
      <c r="C64" s="100">
        <v>46539</v>
      </c>
      <c r="D64" s="16" t="s">
        <v>69</v>
      </c>
      <c r="E64" s="16"/>
      <c r="F64" s="16"/>
      <c r="G64" s="96">
        <v>2027</v>
      </c>
      <c r="H64" s="112">
        <f>DATE(G64,MONTH('Input|General'!$G$9),1)</f>
        <v>46539</v>
      </c>
      <c r="I64" s="111" t="str">
        <f t="shared" si="0"/>
        <v>2026–27</v>
      </c>
      <c r="T64" s="17"/>
    </row>
    <row r="65" spans="1:30">
      <c r="C65" s="100">
        <v>46905</v>
      </c>
      <c r="D65" s="16" t="s">
        <v>69</v>
      </c>
      <c r="E65" s="16"/>
      <c r="F65" s="16"/>
      <c r="G65" s="96">
        <v>2028</v>
      </c>
      <c r="H65" s="112">
        <f>DATE(G65,MONTH('Input|General'!$G$9),1)</f>
        <v>46905</v>
      </c>
      <c r="I65" s="111" t="str">
        <f t="shared" si="0"/>
        <v>2027–28</v>
      </c>
      <c r="T65" s="17"/>
    </row>
    <row r="66" spans="1:30">
      <c r="C66" s="100">
        <v>47270</v>
      </c>
      <c r="D66" s="16" t="s">
        <v>69</v>
      </c>
      <c r="E66" s="16"/>
      <c r="F66" s="16"/>
      <c r="G66" s="96">
        <v>2029</v>
      </c>
      <c r="H66" s="112">
        <f>DATE(G66,MONTH('Input|General'!$G$9),1)</f>
        <v>47270</v>
      </c>
      <c r="I66" s="111" t="str">
        <f t="shared" si="0"/>
        <v>2028–29</v>
      </c>
      <c r="T66" s="17"/>
    </row>
    <row r="67" spans="1:30">
      <c r="C67" s="100">
        <v>47635</v>
      </c>
      <c r="D67" s="16" t="s">
        <v>69</v>
      </c>
      <c r="E67" s="16"/>
      <c r="F67" s="16"/>
      <c r="G67" s="96">
        <v>2030</v>
      </c>
      <c r="H67" s="112">
        <f>DATE(G67,MONTH('Input|General'!$G$9),1)</f>
        <v>47635</v>
      </c>
      <c r="I67" s="111" t="str">
        <f t="shared" si="0"/>
        <v>2029–30</v>
      </c>
      <c r="T67" s="17"/>
    </row>
    <row r="68" spans="1:30"/>
    <row r="69" spans="1:30" customFormat="1" ht="12.75">
      <c r="A69" s="34"/>
      <c r="B69" s="40" t="s">
        <v>150</v>
      </c>
      <c r="C69" s="34"/>
      <c r="D69" s="34"/>
      <c r="E69" s="34"/>
      <c r="F69" s="35"/>
      <c r="G69" s="35"/>
      <c r="H69" s="35"/>
      <c r="I69" s="35"/>
      <c r="J69" s="36"/>
      <c r="K69" s="37"/>
      <c r="L69" s="36"/>
      <c r="M69" s="37"/>
      <c r="N69" s="36"/>
      <c r="O69" s="36"/>
      <c r="P69" s="36"/>
      <c r="Q69" s="36"/>
      <c r="R69" s="36"/>
      <c r="S69" s="36"/>
      <c r="T69" s="36"/>
      <c r="U69" s="36"/>
      <c r="V69" s="37"/>
      <c r="W69" s="37"/>
      <c r="X69" s="38"/>
      <c r="Y69" s="38"/>
      <c r="Z69" s="38"/>
      <c r="AA69" s="38"/>
      <c r="AB69" s="38"/>
      <c r="AC69" s="39"/>
      <c r="AD69" s="39"/>
    </row>
    <row r="70" spans="1:30"/>
    <row r="71" spans="1:30">
      <c r="C71" s="13" t="str">
        <f>B69</f>
        <v>Regulatory years</v>
      </c>
      <c r="D71" s="21" t="s">
        <v>7</v>
      </c>
      <c r="E71" s="21"/>
      <c r="F71" s="14"/>
      <c r="G71" s="14" t="s">
        <v>151</v>
      </c>
      <c r="H71" s="14" t="s">
        <v>118</v>
      </c>
    </row>
    <row r="72" spans="1:30">
      <c r="C72" s="15" t="s">
        <v>177</v>
      </c>
      <c r="D72" s="16" t="s">
        <v>98</v>
      </c>
      <c r="E72" s="21"/>
      <c r="F72" s="14"/>
      <c r="G72" s="111" t="str">
        <f>IF(H72="","",IF(MONTH(H72)=12,YEAR(H72),YEAR(H72)-1&amp;"–"&amp;RIGHT(YEAR(H72),2)))</f>
        <v>2018–19</v>
      </c>
      <c r="H72" s="112">
        <f>DATE(PPFirstYear-1,MONTH('Input|General'!$G$9),1)</f>
        <v>43617</v>
      </c>
    </row>
    <row r="73" spans="1:30">
      <c r="C73" s="15" t="s">
        <v>138</v>
      </c>
      <c r="D73" s="16" t="s">
        <v>98</v>
      </c>
      <c r="E73" s="16"/>
      <c r="F73" s="16"/>
      <c r="G73" s="111" t="str">
        <f t="shared" ref="G73:G82" si="1">IF(H73="","",IF(MONTH(H73)=12,YEAR(H73),YEAR(H73)-1&amp;"–"&amp;RIGHT(YEAR(H73),2)))</f>
        <v>2019–20</v>
      </c>
      <c r="H73" s="112">
        <f>DATE(PPFirstYear,MONTH('Input|General'!$G$9),1)</f>
        <v>43983</v>
      </c>
    </row>
    <row r="74" spans="1:30">
      <c r="C74" s="15" t="s">
        <v>139</v>
      </c>
      <c r="D74" s="16" t="s">
        <v>98</v>
      </c>
      <c r="E74" s="16"/>
      <c r="F74" s="16"/>
      <c r="G74" s="111" t="str">
        <f t="shared" si="1"/>
        <v>2020–21</v>
      </c>
      <c r="H74" s="112">
        <f>IF(PPLastYear-PPFirstYear&lt;1,"",DATE(PPFirstYear+1,MONTH('Input|General'!$G$9),1))</f>
        <v>44348</v>
      </c>
    </row>
    <row r="75" spans="1:30">
      <c r="C75" s="15" t="s">
        <v>140</v>
      </c>
      <c r="D75" s="16" t="s">
        <v>98</v>
      </c>
      <c r="E75" s="16"/>
      <c r="F75" s="16"/>
      <c r="G75" s="111" t="str">
        <f t="shared" si="1"/>
        <v>2021–22</v>
      </c>
      <c r="H75" s="112">
        <f>IF(PPLastYear-PPFirstYear&lt;2,"",DATE(PPFirstYear+2,MONTH('Input|General'!$G$9),1))</f>
        <v>44713</v>
      </c>
    </row>
    <row r="76" spans="1:30">
      <c r="C76" s="15" t="s">
        <v>141</v>
      </c>
      <c r="D76" s="16" t="s">
        <v>98</v>
      </c>
      <c r="E76" s="16"/>
      <c r="F76" s="16"/>
      <c r="G76" s="111" t="str">
        <f t="shared" si="1"/>
        <v>2022–23</v>
      </c>
      <c r="H76" s="112">
        <f>IF(PPLastYear-PPFirstYear&lt;3,"",DATE(PPFirstYear+3,MONTH('Input|General'!$G$9),1))</f>
        <v>45078</v>
      </c>
    </row>
    <row r="77" spans="1:30">
      <c r="C77" s="15" t="s">
        <v>142</v>
      </c>
      <c r="D77" s="16" t="s">
        <v>98</v>
      </c>
      <c r="E77" s="16"/>
      <c r="F77" s="16"/>
      <c r="G77" s="111" t="str">
        <f t="shared" si="1"/>
        <v>2023–24</v>
      </c>
      <c r="H77" s="112">
        <f>IF(PPLastYear-PPFirstYear&lt;4,"",DATE(PPFirstYear+4,MONTH('Input|General'!$G$9),1))</f>
        <v>45444</v>
      </c>
    </row>
    <row r="78" spans="1:30">
      <c r="C78" s="15" t="s">
        <v>179</v>
      </c>
      <c r="D78" s="16" t="s">
        <v>98</v>
      </c>
      <c r="E78" s="16"/>
      <c r="F78" s="16"/>
      <c r="G78" s="111" t="str">
        <f t="shared" si="1"/>
        <v/>
      </c>
      <c r="H78" s="112" t="str">
        <f>IF(PPLastYear-PPFirstYear&lt;5,"",DATE(PPFirstYear+5,MONTH('Input|General'!$G$9),1))</f>
        <v/>
      </c>
    </row>
    <row r="79" spans="1:30">
      <c r="C79" s="15" t="s">
        <v>143</v>
      </c>
      <c r="D79" s="16" t="s">
        <v>98</v>
      </c>
      <c r="E79" s="16"/>
      <c r="F79" s="16"/>
      <c r="G79" s="111" t="str">
        <f t="shared" si="1"/>
        <v>2024–25</v>
      </c>
      <c r="H79" s="112">
        <f>DATE(FPFirstYear,MONTH('Input|General'!$G$9),1)</f>
        <v>45809</v>
      </c>
      <c r="T79" s="17"/>
    </row>
    <row r="80" spans="1:30">
      <c r="C80" s="15" t="s">
        <v>144</v>
      </c>
      <c r="D80" s="16" t="s">
        <v>98</v>
      </c>
      <c r="E80" s="16"/>
      <c r="F80" s="16"/>
      <c r="G80" s="111" t="str">
        <f t="shared" si="1"/>
        <v>2025–26</v>
      </c>
      <c r="H80" s="112">
        <f>IF(FPLastYear-FPFirstYear&lt;1,"",DATE(FPFirstYear+1,MONTH('Input|General'!$G$9),1))</f>
        <v>46174</v>
      </c>
      <c r="T80" s="17"/>
    </row>
    <row r="81" spans="1:30">
      <c r="C81" s="15" t="s">
        <v>145</v>
      </c>
      <c r="D81" s="16" t="s">
        <v>98</v>
      </c>
      <c r="E81" s="16"/>
      <c r="F81" s="16"/>
      <c r="G81" s="111" t="str">
        <f t="shared" si="1"/>
        <v>2026–27</v>
      </c>
      <c r="H81" s="112">
        <f>IF(FPLastYear-FPFirstYear&lt;2,"",DATE(FPFirstYear+2,MONTH('Input|General'!$G$9),1))</f>
        <v>46539</v>
      </c>
      <c r="T81" s="17"/>
    </row>
    <row r="82" spans="1:30">
      <c r="C82" s="15" t="s">
        <v>146</v>
      </c>
      <c r="D82" s="16" t="s">
        <v>98</v>
      </c>
      <c r="E82" s="16"/>
      <c r="F82" s="16"/>
      <c r="G82" s="111" t="str">
        <f t="shared" si="1"/>
        <v>2027–28</v>
      </c>
      <c r="H82" s="112">
        <f>IF(FPLastYear-FPFirstYear&lt;3,"",DATE(FPFirstYear+3,MONTH('Input|General'!$G$9),1))</f>
        <v>46905</v>
      </c>
      <c r="T82" s="17"/>
    </row>
    <row r="83" spans="1:30">
      <c r="C83" s="15" t="s">
        <v>147</v>
      </c>
      <c r="D83" s="16" t="s">
        <v>98</v>
      </c>
      <c r="E83" s="16"/>
      <c r="F83" s="16"/>
      <c r="G83" s="111" t="str">
        <f>IF(H83="","",IF(MONTH(H83)=12,YEAR(H83),YEAR(H83)-1&amp;"–"&amp;RIGHT(YEAR(H83),2)))</f>
        <v>2028–29</v>
      </c>
      <c r="H83" s="112">
        <f>IF(FPLastYear-FPFirstYear&lt;4,"",DATE(FPFirstYear+4,MONTH('Input|General'!$G$9),1))</f>
        <v>47270</v>
      </c>
      <c r="T83" s="17"/>
    </row>
    <row r="84" spans="1:30">
      <c r="C84" s="15"/>
      <c r="D84" s="16"/>
      <c r="E84" s="16"/>
      <c r="F84" s="16"/>
      <c r="G84" s="119"/>
      <c r="H84" s="120"/>
      <c r="T84" s="17"/>
    </row>
    <row r="85" spans="1:30" customFormat="1" ht="12.75">
      <c r="A85" s="34"/>
      <c r="B85" s="40" t="s">
        <v>21</v>
      </c>
      <c r="C85" s="34"/>
      <c r="D85" s="34"/>
      <c r="E85" s="34"/>
      <c r="F85" s="35"/>
      <c r="G85" s="35"/>
      <c r="H85" s="35"/>
      <c r="I85" s="35"/>
      <c r="J85" s="36"/>
      <c r="K85" s="37"/>
      <c r="L85" s="36"/>
      <c r="M85" s="37"/>
      <c r="N85" s="36"/>
      <c r="O85" s="36"/>
      <c r="P85" s="36"/>
      <c r="Q85" s="36"/>
      <c r="R85" s="36"/>
      <c r="S85" s="36"/>
      <c r="T85" s="36"/>
      <c r="U85" s="36"/>
      <c r="V85" s="37"/>
      <c r="W85" s="37"/>
      <c r="X85" s="38"/>
      <c r="Y85" s="38"/>
      <c r="Z85" s="38"/>
      <c r="AA85" s="38"/>
      <c r="AB85" s="38"/>
      <c r="AC85" s="39"/>
      <c r="AD85" s="39"/>
    </row>
  </sheetData>
  <conditionalFormatting sqref="P21:Q28">
    <cfRule type="expression" dxfId="16" priority="56" stopIfTrue="1">
      <formula>#REF!="Actual"</formula>
    </cfRule>
  </conditionalFormatting>
  <conditionalFormatting sqref="P21:P28">
    <cfRule type="expression" dxfId="15" priority="55" stopIfTrue="1">
      <formula>#REF!="Actual"</formula>
    </cfRule>
  </conditionalFormatting>
  <conditionalFormatting sqref="V1">
    <cfRule type="cellIs" dxfId="14" priority="5" operator="equal">
      <formula>"Check"</formula>
    </cfRule>
    <cfRule type="cellIs" dxfId="13" priority="6" operator="equal">
      <formula>"Ok"</formula>
    </cfRule>
  </conditionalFormatting>
  <conditionalFormatting sqref="S1">
    <cfRule type="cellIs" dxfId="12" priority="3" operator="equal">
      <formula>"Check"</formula>
    </cfRule>
    <cfRule type="cellIs" dxfId="11" priority="4" operator="equal">
      <formula>"Ok"</formula>
    </cfRule>
  </conditionalFormatting>
  <conditionalFormatting sqref="P68">
    <cfRule type="expression" dxfId="10" priority="2" stopIfTrue="1">
      <formula>#REF!="Actual"</formula>
    </cfRule>
  </conditionalFormatting>
  <conditionalFormatting sqref="Q68">
    <cfRule type="expression" dxfId="9" priority="1" stopIfTrue="1">
      <formula>#REF!="Actual"</formula>
    </cfRule>
  </conditionalFormatting>
  <hyperlinks>
    <hyperlink ref="J1" location="Index!A1" display="Back to Index" xr:uid="{00000000-0004-0000-0B00-000000000000}"/>
    <hyperlink ref="U1" location="'Check|List'!A1" display="Overall Check:" xr:uid="{00000000-0004-0000-0B00-000001000000}"/>
  </hyperlinks>
  <pageMargins left="0.7" right="0.7" top="0.75" bottom="0.75" header="0.3" footer="0.3"/>
  <pageSetup paperSize="9" orientation="portrait" verticalDpi="4" r:id="rId1"/>
  <ignoredErrors>
    <ignoredError sqref="G18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2">
    <tabColor theme="1"/>
  </sheetPr>
  <dimension ref="A1:AD22"/>
  <sheetViews>
    <sheetView showGridLines="0" workbookViewId="0"/>
  </sheetViews>
  <sheetFormatPr defaultColWidth="0" defaultRowHeight="11.25" zeroHeight="1"/>
  <cols>
    <col min="1" max="2" width="1.5" style="8" customWidth="1"/>
    <col min="3" max="3" width="42" style="8" customWidth="1"/>
    <col min="4" max="4" width="26.33203125" style="7" bestFit="1" customWidth="1"/>
    <col min="5" max="5" width="15.83203125" style="7" customWidth="1"/>
    <col min="6" max="6" width="10.6640625" style="7" customWidth="1"/>
    <col min="7" max="7" width="15" style="16" customWidth="1"/>
    <col min="8" max="9" width="5.33203125" style="8" customWidth="1"/>
    <col min="10" max="20" width="10.83203125" style="8" customWidth="1"/>
    <col min="21" max="23" width="10.83203125" style="8" hidden="1" customWidth="1"/>
    <col min="24" max="38" width="10.5" style="8" hidden="1" customWidth="1"/>
    <col min="39" max="16384" width="10.5" style="8" hidden="1"/>
  </cols>
  <sheetData>
    <row r="1" spans="1:30" s="29" customFormat="1" ht="15.75">
      <c r="B1" s="26" t="str">
        <f>Index!$B$1</f>
        <v>AER opex model v2.1</v>
      </c>
      <c r="C1" s="26"/>
      <c r="D1" s="26"/>
      <c r="E1" s="26"/>
      <c r="F1" s="27"/>
      <c r="G1" s="27"/>
      <c r="H1" s="27"/>
      <c r="I1" s="27"/>
      <c r="J1" s="28" t="s">
        <v>2</v>
      </c>
      <c r="L1" s="30" t="s">
        <v>3</v>
      </c>
      <c r="M1" s="48" t="s">
        <v>4</v>
      </c>
      <c r="N1" s="11" t="s">
        <v>5</v>
      </c>
      <c r="O1" s="12" t="s">
        <v>6</v>
      </c>
      <c r="R1" s="109" t="s">
        <v>24</v>
      </c>
      <c r="S1" s="31" t="str">
        <f>IF(COUNTIF(G10:G16,"Check")=0,"Ok","Check")</f>
        <v>Ok</v>
      </c>
      <c r="U1" s="30"/>
      <c r="V1" s="31"/>
    </row>
    <row r="2" spans="1:30" s="29" customFormat="1" ht="12.75">
      <c r="B2" s="43" t="str">
        <f>Index!$C$15</f>
        <v>Check | List</v>
      </c>
      <c r="C2" s="43"/>
      <c r="D2" s="43"/>
      <c r="E2" s="43"/>
      <c r="F2" s="44"/>
      <c r="G2" s="44"/>
      <c r="H2" s="44"/>
      <c r="I2" s="44"/>
    </row>
    <row r="3" spans="1:30" s="47" customFormat="1" ht="12.75">
      <c r="A3" s="34"/>
      <c r="B3" s="40"/>
      <c r="C3" s="34"/>
      <c r="D3" s="34"/>
      <c r="E3" s="34"/>
      <c r="F3" s="35"/>
      <c r="G3" s="35"/>
      <c r="H3" s="35"/>
      <c r="I3" s="35"/>
      <c r="J3" s="36"/>
      <c r="K3" s="37"/>
      <c r="L3" s="36"/>
      <c r="M3" s="37"/>
      <c r="N3" s="36"/>
      <c r="O3" s="36"/>
      <c r="P3" s="36"/>
      <c r="Q3" s="36"/>
      <c r="R3" s="36"/>
      <c r="S3" s="36"/>
      <c r="T3" s="36"/>
      <c r="U3" s="36"/>
      <c r="V3" s="37"/>
      <c r="W3" s="37"/>
      <c r="X3" s="45"/>
      <c r="Y3" s="45"/>
      <c r="Z3" s="45"/>
      <c r="AA3" s="45"/>
      <c r="AB3" s="45"/>
      <c r="AC3" s="46"/>
      <c r="AD3" s="46"/>
    </row>
    <row r="4" spans="1:30" s="6" customFormat="1" ht="3" customHeight="1"/>
    <row r="5" spans="1:30" s="6" customFormat="1" ht="9" customHeight="1"/>
    <row r="6" spans="1:30" s="6" customFormat="1" ht="3" customHeight="1"/>
    <row r="7" spans="1:30" customFormat="1" ht="12.75">
      <c r="A7" s="34"/>
      <c r="B7" s="40" t="s">
        <v>26</v>
      </c>
      <c r="C7" s="34"/>
      <c r="D7" s="34"/>
      <c r="E7" s="34"/>
      <c r="F7" s="35"/>
      <c r="G7" s="35"/>
      <c r="H7" s="35"/>
      <c r="I7" s="35"/>
      <c r="J7" s="36"/>
      <c r="K7" s="37"/>
      <c r="L7" s="36"/>
      <c r="M7" s="37"/>
      <c r="N7" s="36"/>
      <c r="O7" s="36"/>
      <c r="P7" s="36"/>
      <c r="Q7" s="36"/>
      <c r="R7" s="36"/>
      <c r="S7" s="36"/>
      <c r="T7" s="36"/>
      <c r="U7" s="36"/>
      <c r="V7" s="37"/>
      <c r="W7" s="37"/>
      <c r="X7" s="38"/>
      <c r="Y7" s="38"/>
      <c r="Z7" s="38"/>
      <c r="AA7" s="38"/>
      <c r="AB7" s="38"/>
      <c r="AC7" s="39"/>
      <c r="AD7" s="39"/>
    </row>
    <row r="8" spans="1:30"/>
    <row r="9" spans="1:30">
      <c r="C9" s="13" t="s">
        <v>27</v>
      </c>
      <c r="D9" s="14" t="s">
        <v>7</v>
      </c>
      <c r="E9" s="14" t="s">
        <v>8</v>
      </c>
      <c r="F9" s="14"/>
      <c r="G9" s="14" t="s">
        <v>29</v>
      </c>
    </row>
    <row r="10" spans="1:30">
      <c r="C10" s="15" t="str">
        <f>Index!C7</f>
        <v>Input | General</v>
      </c>
      <c r="D10" s="25" t="str">
        <f>C10</f>
        <v>Input | General</v>
      </c>
      <c r="E10" s="16" t="s">
        <v>28</v>
      </c>
      <c r="F10" s="16"/>
      <c r="G10" s="18" t="str">
        <f>'Input|General'!S1</f>
        <v>OK</v>
      </c>
      <c r="T10" s="17"/>
    </row>
    <row r="11" spans="1:30">
      <c r="C11" s="15" t="str">
        <f>Index!C8</f>
        <v>Input | Inflation</v>
      </c>
      <c r="D11" s="103" t="str">
        <f>C11</f>
        <v>Input | Inflation</v>
      </c>
      <c r="E11" s="16" t="s">
        <v>28</v>
      </c>
      <c r="F11" s="16"/>
      <c r="G11" s="18" t="str">
        <f>'Input|Inflation'!V1</f>
        <v>OK</v>
      </c>
      <c r="T11" s="17"/>
    </row>
    <row r="12" spans="1:30">
      <c r="C12" s="15" t="str">
        <f>Index!C9</f>
        <v>Input | Reported opex</v>
      </c>
      <c r="D12" s="25" t="str">
        <f t="shared" ref="D12:D16" si="0">C12</f>
        <v>Input | Reported opex</v>
      </c>
      <c r="E12" s="16" t="s">
        <v>28</v>
      </c>
      <c r="G12" s="18" t="str">
        <f>'Input|Reported opex'!S1</f>
        <v>OK</v>
      </c>
      <c r="H12" s="16"/>
      <c r="T12" s="17"/>
    </row>
    <row r="13" spans="1:30">
      <c r="C13" s="15" t="str">
        <f>Index!C10</f>
        <v>Input | Rate of change</v>
      </c>
      <c r="D13" s="25" t="str">
        <f t="shared" si="0"/>
        <v>Input | Rate of change</v>
      </c>
      <c r="E13" s="16" t="s">
        <v>28</v>
      </c>
      <c r="F13" s="16"/>
      <c r="G13" s="18" t="str">
        <f>'Input|Rate of change'!T1</f>
        <v>Ok</v>
      </c>
      <c r="H13" s="16"/>
      <c r="T13" s="17"/>
    </row>
    <row r="14" spans="1:30">
      <c r="C14" s="15" t="str">
        <f>Index!C11</f>
        <v>Input | Step changes</v>
      </c>
      <c r="D14" s="25" t="str">
        <f t="shared" si="0"/>
        <v>Input | Step changes</v>
      </c>
      <c r="E14" s="16" t="s">
        <v>28</v>
      </c>
      <c r="F14" s="16"/>
      <c r="G14" s="18" t="str">
        <f>'Input|Step changes'!S1</f>
        <v>OK</v>
      </c>
      <c r="H14" s="16"/>
      <c r="T14" s="17"/>
    </row>
    <row r="15" spans="1:30">
      <c r="C15" s="15" t="str">
        <f>Index!C12</f>
        <v>Calc | Opex Forecast</v>
      </c>
      <c r="D15" s="25" t="str">
        <f t="shared" si="0"/>
        <v>Calc | Opex Forecast</v>
      </c>
      <c r="E15" s="16" t="s">
        <v>28</v>
      </c>
      <c r="F15" s="16"/>
      <c r="G15" s="18" t="str">
        <f>'Calc|Opex forecast'!S1</f>
        <v>n/a</v>
      </c>
      <c r="H15" s="16"/>
      <c r="T15" s="17"/>
    </row>
    <row r="16" spans="1:30">
      <c r="C16" s="15" t="str">
        <f>Index!C13</f>
        <v>Output | Models</v>
      </c>
      <c r="D16" s="25" t="str">
        <f t="shared" si="0"/>
        <v>Output | Models</v>
      </c>
      <c r="E16" s="16" t="s">
        <v>28</v>
      </c>
      <c r="F16" s="16"/>
      <c r="G16" s="18" t="str">
        <f>'Output|Models'!S1</f>
        <v>n/a</v>
      </c>
      <c r="H16" s="16"/>
      <c r="T16" s="17"/>
    </row>
    <row r="17" spans="1:30">
      <c r="C17" s="15"/>
    </row>
    <row r="18" spans="1:30" customFormat="1" ht="12.75">
      <c r="A18" s="34"/>
      <c r="B18" s="40" t="s">
        <v>21</v>
      </c>
      <c r="C18" s="34"/>
      <c r="D18" s="34"/>
      <c r="E18" s="34"/>
      <c r="F18" s="35"/>
      <c r="G18" s="35"/>
      <c r="H18" s="35"/>
      <c r="I18" s="35"/>
      <c r="J18" s="36"/>
      <c r="K18" s="37"/>
      <c r="L18" s="36"/>
      <c r="M18" s="37"/>
      <c r="N18" s="36"/>
      <c r="O18" s="36"/>
      <c r="P18" s="36"/>
      <c r="Q18" s="36"/>
      <c r="R18" s="36"/>
      <c r="S18" s="36"/>
      <c r="T18" s="36"/>
      <c r="U18" s="36"/>
      <c r="V18" s="37"/>
      <c r="W18" s="37"/>
      <c r="X18" s="38"/>
      <c r="Y18" s="38"/>
      <c r="Z18" s="38"/>
      <c r="AA18" s="38"/>
      <c r="AB18" s="38"/>
      <c r="AC18" s="39"/>
      <c r="AD18" s="39"/>
    </row>
    <row r="19" spans="1:30" hidden="1">
      <c r="C19" s="15"/>
    </row>
    <row r="20" spans="1:30" hidden="1">
      <c r="C20" s="15"/>
    </row>
    <row r="21" spans="1:30" hidden="1">
      <c r="C21" s="15"/>
    </row>
    <row r="22" spans="1:30" hidden="1">
      <c r="C22" s="15"/>
    </row>
  </sheetData>
  <conditionalFormatting sqref="G10:G16">
    <cfRule type="cellIs" dxfId="8" priority="13" operator="equal">
      <formula>"Check"</formula>
    </cfRule>
    <cfRule type="cellIs" dxfId="7" priority="14" operator="equal">
      <formula>"Ok"</formula>
    </cfRule>
  </conditionalFormatting>
  <conditionalFormatting sqref="V1">
    <cfRule type="cellIs" dxfId="6" priority="3" operator="equal">
      <formula>"Check"</formula>
    </cfRule>
    <cfRule type="cellIs" dxfId="5" priority="4" operator="equal">
      <formula>"Ok"</formula>
    </cfRule>
  </conditionalFormatting>
  <conditionalFormatting sqref="S1">
    <cfRule type="cellIs" dxfId="4" priority="1" operator="equal">
      <formula>"Check"</formula>
    </cfRule>
    <cfRule type="cellIs" dxfId="3" priority="2" operator="equal">
      <formula>"Ok"</formula>
    </cfRule>
  </conditionalFormatting>
  <hyperlinks>
    <hyperlink ref="J1" location="Index!A1" display="Back to Index" xr:uid="{00000000-0004-0000-0C00-000000000000}"/>
    <hyperlink ref="D10" location="'Input|General'!A1" display="'Input|General'!A1" xr:uid="{00000000-0004-0000-0C00-000001000000}"/>
    <hyperlink ref="D12" location="'Input|Reported opex'!A1" display="'Input|Reported opex'!A1" xr:uid="{00000000-0004-0000-0C00-000002000000}"/>
    <hyperlink ref="D13" location="'Input|Rate of change'!A1" display="'Input|Rate of change'!A1" xr:uid="{00000000-0004-0000-0C00-000003000000}"/>
    <hyperlink ref="D14" location="'Input|Step changes'!A1" display="'Input|Step changes'!A1" xr:uid="{00000000-0004-0000-0C00-000004000000}"/>
    <hyperlink ref="D15" location="'Calc|Opex forecast'!A1" display="'Calc|Opex forecast'!A1" xr:uid="{00000000-0004-0000-0C00-000005000000}"/>
    <hyperlink ref="D16" location="'Output|Models'!A1" display="'Output|Models'!A1" xr:uid="{00000000-0004-0000-0C00-000006000000}"/>
    <hyperlink ref="D11" location="'Input|Inflation'!A1" display="'Input|Inflation'!A1" xr:uid="{00000000-0004-0000-0C00-000008000000}"/>
    <hyperlink ref="R1" location="'Check|List'!A1" display="Overall Check:" xr:uid="{00000000-0004-0000-0C00-000009000000}"/>
  </hyperlinks>
  <pageMargins left="0.7" right="0.7" top="0.75" bottom="0.75" header="0.3" footer="0.3"/>
  <pageSetup paperSize="9" orientation="portrait" verticalDpi="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17</vt:i4>
      </vt:variant>
    </vt:vector>
  </HeadingPairs>
  <TitlesOfParts>
    <vt:vector size="27" baseType="lpstr">
      <vt:lpstr>Index</vt:lpstr>
      <vt:lpstr>Input|General</vt:lpstr>
      <vt:lpstr>Input|Inflation</vt:lpstr>
      <vt:lpstr>Input|Reported opex</vt:lpstr>
      <vt:lpstr>Input|Rate of change</vt:lpstr>
      <vt:lpstr>Input|Step changes</vt:lpstr>
      <vt:lpstr>Calc|Opex forecast</vt:lpstr>
      <vt:lpstr>Output|Models</vt:lpstr>
      <vt:lpstr>Lookup|Tables</vt:lpstr>
      <vt:lpstr>Check|List</vt:lpstr>
      <vt:lpstr>BaseYear</vt:lpstr>
      <vt:lpstr>dollars</vt:lpstr>
      <vt:lpstr>factor</vt:lpstr>
      <vt:lpstr>FPFirstYear</vt:lpstr>
      <vt:lpstr>FPLastYear</vt:lpstr>
      <vt:lpstr>millions</vt:lpstr>
      <vt:lpstr>month</vt:lpstr>
      <vt:lpstr>Nominal_to_Real</vt:lpstr>
      <vt:lpstr>NSP</vt:lpstr>
      <vt:lpstr>number</vt:lpstr>
      <vt:lpstr>percent</vt:lpstr>
      <vt:lpstr>PPFirstYear</vt:lpstr>
      <vt:lpstr>PPLastYear</vt:lpstr>
      <vt:lpstr>Real_to_Nominal</vt:lpstr>
      <vt:lpstr>thousands</vt:lpstr>
      <vt:lpstr>unit</vt:lpstr>
      <vt:lpstr>units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2023-09-21T06:04:32Z</dcterms:created>
  <dcterms:modified xsi:type="dcterms:W3CDTF">2023-09-21T06:04:41Z</dcterms:modified>
</cp:coreProperties>
</file>