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8_{71006F2C-55D7-4B26-9193-641938F5CFBB}" xr6:coauthVersionLast="47" xr6:coauthVersionMax="47" xr10:uidLastSave="{00000000-0000-0000-0000-000000000000}"/>
  <bookViews>
    <workbookView xWindow="-110" yWindow="-110" windowWidth="19420" windowHeight="10420" tabRatio="835" xr2:uid="{00000000-000D-0000-FFFF-FFFF00000000}"/>
  </bookViews>
  <sheets>
    <sheet name="Readme" sheetId="28" r:id="rId1"/>
    <sheet name="TNSP Charts-updated" sheetId="15" r:id="rId2"/>
    <sheet name="TNSP Analysis" sheetId="23" r:id="rId3"/>
    <sheet name="Asset cost and Total cost" sheetId="22" r:id="rId4"/>
    <sheet name="Opex" sheetId="4" r:id="rId5"/>
    <sheet name="RAB" sheetId="7" r:id="rId6"/>
    <sheet name="Depreciation" sheetId="27" r:id="rId7"/>
    <sheet name="Capex" sheetId="1" r:id="rId8"/>
    <sheet name="CPI" sheetId="2" r:id="rId9"/>
    <sheet name="Physical data" sheetId="5" r:id="rId10"/>
    <sheet name="Network characteristics charts" sheetId="25" r:id="rId11"/>
    <sheet name="Network size table" sheetId="26" r:id="rId12"/>
  </sheets>
  <definedNames>
    <definedName name="_Ref390772024" localSheetId="9">'Physical data'!$B$27</definedName>
    <definedName name="currency_base">CPI!$E$10</definedName>
    <definedName name="Real_year">CPI!$E$8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6" l="1"/>
  <c r="D10" i="2" l="1"/>
  <c r="E9" i="2"/>
  <c r="U5" i="2"/>
  <c r="E28" i="5" l="1"/>
  <c r="T41" i="5" l="1"/>
  <c r="F27" i="5"/>
  <c r="F28" i="5"/>
  <c r="D27" i="5"/>
  <c r="E27" i="5"/>
  <c r="K25" i="5" l="1"/>
  <c r="J25" i="5"/>
  <c r="I25" i="5"/>
  <c r="G27" i="5"/>
  <c r="G28" i="5"/>
  <c r="U3" i="2" l="1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S42" i="5" l="1"/>
  <c r="S41" i="5"/>
  <c r="S44" i="5" l="1"/>
  <c r="U6" i="2" l="1"/>
  <c r="V6" i="2"/>
  <c r="U4" i="2"/>
  <c r="V4" i="2" l="1"/>
  <c r="V3" i="2"/>
  <c r="E10" i="2" s="1"/>
  <c r="U13" i="2" s="1"/>
  <c r="R3" i="27" s="1"/>
  <c r="R17" i="27" s="1"/>
  <c r="V5" i="2"/>
  <c r="V11" i="2" l="1"/>
  <c r="S3" i="1" s="1"/>
  <c r="V13" i="2"/>
  <c r="U11" i="2"/>
  <c r="R3" i="1" s="1"/>
  <c r="U12" i="2"/>
  <c r="R4" i="27" s="1"/>
  <c r="V12" i="2"/>
  <c r="R5" i="22"/>
  <c r="R3" i="7"/>
  <c r="R17" i="7" s="1"/>
  <c r="R4" i="1"/>
  <c r="R19" i="1" s="1"/>
  <c r="R3" i="4"/>
  <c r="R17" i="4" s="1"/>
  <c r="R40" i="5"/>
  <c r="R4" i="7" l="1"/>
  <c r="R18" i="7" s="1"/>
  <c r="R5" i="1"/>
  <c r="R17" i="1" s="1"/>
  <c r="U5" i="5"/>
  <c r="U34" i="5"/>
  <c r="U50" i="5"/>
  <c r="U49" i="5"/>
  <c r="U48" i="5"/>
  <c r="R6" i="22"/>
  <c r="U12" i="5"/>
  <c r="K27" i="5" s="1"/>
  <c r="D6" i="26" s="1"/>
  <c r="S4" i="7"/>
  <c r="S4" i="27"/>
  <c r="S4" i="4"/>
  <c r="S16" i="4" s="1"/>
  <c r="S6" i="22"/>
  <c r="S5" i="1"/>
  <c r="J28" i="5"/>
  <c r="L28" i="5" s="1"/>
  <c r="C7" i="26" s="1"/>
  <c r="U13" i="5"/>
  <c r="K28" i="5" s="1"/>
  <c r="D7" i="26" s="1"/>
  <c r="U52" i="5"/>
  <c r="U4" i="5"/>
  <c r="J27" i="5" s="1"/>
  <c r="L27" i="5" s="1"/>
  <c r="C6" i="26" s="1"/>
  <c r="R4" i="4"/>
  <c r="S3" i="7"/>
  <c r="S17" i="7" s="1"/>
  <c r="S3" i="27"/>
  <c r="S17" i="27" s="1"/>
  <c r="S5" i="22"/>
  <c r="S4" i="1"/>
  <c r="S19" i="1" s="1"/>
  <c r="S3" i="4"/>
  <c r="U51" i="5"/>
  <c r="I27" i="5"/>
  <c r="B6" i="26" s="1"/>
  <c r="R18" i="1"/>
  <c r="R20" i="1"/>
  <c r="R21" i="1"/>
  <c r="R16" i="4"/>
  <c r="R19" i="27"/>
  <c r="R15" i="27"/>
  <c r="R16" i="27"/>
  <c r="R18" i="27"/>
  <c r="B4" i="22"/>
  <c r="R15" i="7" l="1"/>
  <c r="R16" i="7"/>
  <c r="R19" i="7"/>
  <c r="S16" i="7"/>
  <c r="S19" i="7"/>
  <c r="S18" i="7"/>
  <c r="S15" i="7"/>
  <c r="R19" i="4"/>
  <c r="S18" i="27"/>
  <c r="S16" i="27"/>
  <c r="S15" i="27"/>
  <c r="S19" i="27"/>
  <c r="S21" i="1"/>
  <c r="S20" i="1"/>
  <c r="S17" i="1"/>
  <c r="S18" i="1"/>
  <c r="C13" i="26"/>
  <c r="R42" i="5" l="1"/>
  <c r="Q40" i="5"/>
  <c r="R41" i="5" l="1"/>
  <c r="R43" i="5"/>
  <c r="R44" i="5"/>
  <c r="R16" i="5"/>
  <c r="T6" i="2" l="1"/>
  <c r="T5" i="2"/>
  <c r="T4" i="2"/>
  <c r="T11" i="2" l="1"/>
  <c r="Q3" i="1" s="1"/>
  <c r="T12" i="2" l="1"/>
  <c r="Q6" i="22" s="1"/>
  <c r="T13" i="2"/>
  <c r="Q5" i="22" s="1"/>
  <c r="Q13" i="22" s="1"/>
  <c r="Q15" i="22" l="1"/>
  <c r="Q11" i="22"/>
  <c r="Q12" i="22"/>
  <c r="Q14" i="22"/>
  <c r="Q4" i="7"/>
  <c r="Q3" i="7"/>
  <c r="Q17" i="7" s="1"/>
  <c r="Q4" i="1"/>
  <c r="Q19" i="1" s="1"/>
  <c r="Q3" i="27"/>
  <c r="Q17" i="27" s="1"/>
  <c r="Q4" i="4"/>
  <c r="Q15" i="4" s="1"/>
  <c r="Q5" i="1"/>
  <c r="Q4" i="27"/>
  <c r="Q3" i="4"/>
  <c r="Q17" i="4" s="1"/>
  <c r="Q20" i="1" l="1"/>
  <c r="Q21" i="1"/>
  <c r="Q18" i="1"/>
  <c r="Q17" i="1"/>
  <c r="Q19" i="7"/>
  <c r="Q18" i="7"/>
  <c r="Q16" i="7"/>
  <c r="Q15" i="7"/>
  <c r="Q21" i="22"/>
  <c r="Q19" i="4"/>
  <c r="Q16" i="4"/>
  <c r="Q18" i="4"/>
  <c r="Q15" i="27"/>
  <c r="Q19" i="27"/>
  <c r="Q18" i="27"/>
  <c r="Q16" i="27"/>
  <c r="Q20" i="22" l="1"/>
  <c r="R54" i="23" s="1"/>
  <c r="R46" i="23" s="1"/>
  <c r="R55" i="23"/>
  <c r="R47" i="23" s="1"/>
  <c r="Q19" i="22"/>
  <c r="R53" i="23" s="1"/>
  <c r="R13" i="23" s="1"/>
  <c r="Q23" i="22"/>
  <c r="Q22" i="22"/>
  <c r="R56" i="23" s="1"/>
  <c r="R48" i="23" s="1"/>
  <c r="R30" i="23" l="1"/>
  <c r="R14" i="23"/>
  <c r="R22" i="23"/>
  <c r="R21" i="23"/>
  <c r="R45" i="23"/>
  <c r="R31" i="23"/>
  <c r="R15" i="23"/>
  <c r="R57" i="23"/>
  <c r="R49" i="23" s="1"/>
  <c r="R50" i="23" s="1"/>
  <c r="R29" i="23"/>
  <c r="R23" i="23"/>
  <c r="R32" i="23"/>
  <c r="R24" i="23"/>
  <c r="R16" i="23"/>
  <c r="R33" i="23" l="1"/>
  <c r="R25" i="23"/>
  <c r="R17" i="23"/>
  <c r="R34" i="23"/>
  <c r="S6" i="2"/>
  <c r="S5" i="2"/>
  <c r="S4" i="2"/>
  <c r="S11" i="2" l="1"/>
  <c r="P3" i="1" s="1"/>
  <c r="S12" i="2"/>
  <c r="S13" i="2"/>
  <c r="P5" i="22" s="1"/>
  <c r="P13" i="22" s="1"/>
  <c r="P6" i="22" l="1"/>
  <c r="P5" i="1"/>
  <c r="P15" i="22"/>
  <c r="P12" i="22"/>
  <c r="P11" i="22"/>
  <c r="P14" i="22"/>
  <c r="P4" i="1"/>
  <c r="P3" i="27"/>
  <c r="P3" i="4"/>
  <c r="P3" i="7"/>
  <c r="P4" i="7"/>
  <c r="P4" i="27"/>
  <c r="P4" i="4"/>
  <c r="P15" i="4" s="1"/>
  <c r="P20" i="1" l="1"/>
  <c r="P18" i="27"/>
  <c r="Q42" i="5"/>
  <c r="Q43" i="5"/>
  <c r="Q41" i="5"/>
  <c r="Q44" i="5"/>
  <c r="P18" i="7" l="1"/>
  <c r="P21" i="1"/>
  <c r="P19" i="27"/>
  <c r="P19" i="7"/>
  <c r="P19" i="1" l="1"/>
  <c r="P17" i="27"/>
  <c r="P17" i="7"/>
  <c r="P18" i="1" l="1"/>
  <c r="P16" i="27"/>
  <c r="P16" i="7"/>
  <c r="P17" i="1" l="1"/>
  <c r="P15" i="27"/>
  <c r="P15" i="7" l="1"/>
  <c r="P18" i="4" l="1"/>
  <c r="P19" i="4" l="1"/>
  <c r="P17" i="4" l="1"/>
  <c r="P16" i="4" l="1"/>
  <c r="P21" i="22" l="1"/>
  <c r="Q55" i="23" s="1"/>
  <c r="Q31" i="23" s="1"/>
  <c r="P22" i="22"/>
  <c r="Q56" i="23" s="1"/>
  <c r="Q32" i="23" s="1"/>
  <c r="P20" i="22"/>
  <c r="Q54" i="23" s="1"/>
  <c r="Q30" i="23" s="1"/>
  <c r="P19" i="22"/>
  <c r="Q53" i="23" s="1"/>
  <c r="P23" i="22"/>
  <c r="Q57" i="23" s="1"/>
  <c r="Q33" i="23" s="1"/>
  <c r="Q34" i="23" l="1"/>
  <c r="Q22" i="23"/>
  <c r="Q14" i="23"/>
  <c r="Q46" i="23"/>
  <c r="Q13" i="23"/>
  <c r="Q29" i="23"/>
  <c r="Q45" i="23"/>
  <c r="Q21" i="23"/>
  <c r="Q24" i="23"/>
  <c r="Q16" i="23"/>
  <c r="Q48" i="23"/>
  <c r="Q25" i="23"/>
  <c r="Q49" i="23"/>
  <c r="Q17" i="23"/>
  <c r="Q23" i="23"/>
  <c r="Q47" i="23"/>
  <c r="Q15" i="23"/>
  <c r="Q50" i="23" l="1"/>
  <c r="Q16" i="5" l="1"/>
  <c r="B2" i="1"/>
  <c r="B2" i="27"/>
  <c r="F6" i="2"/>
  <c r="G6" i="2"/>
  <c r="H6" i="2"/>
  <c r="I6" i="2"/>
  <c r="J6" i="2"/>
  <c r="K6" i="2"/>
  <c r="L6" i="2"/>
  <c r="M6" i="2"/>
  <c r="N6" i="2"/>
  <c r="R6" i="2"/>
  <c r="F5" i="2"/>
  <c r="G5" i="2"/>
  <c r="H5" i="2"/>
  <c r="I5" i="2"/>
  <c r="J5" i="2"/>
  <c r="K5" i="2"/>
  <c r="L5" i="2"/>
  <c r="M5" i="2"/>
  <c r="N5" i="2"/>
  <c r="R5" i="2"/>
  <c r="L4" i="2"/>
  <c r="K4" i="2"/>
  <c r="J4" i="2"/>
  <c r="I4" i="2"/>
  <c r="H4" i="2"/>
  <c r="G4" i="2"/>
  <c r="F4" i="2"/>
  <c r="M4" i="2"/>
  <c r="N4" i="2"/>
  <c r="R4" i="2"/>
  <c r="R11" i="2" l="1"/>
  <c r="O3" i="1" s="1"/>
  <c r="R12" i="2"/>
  <c r="O6" i="22" s="1"/>
  <c r="R13" i="2"/>
  <c r="O5" i="22" s="1"/>
  <c r="O13" i="22" s="1"/>
  <c r="O16" i="5"/>
  <c r="G16" i="5"/>
  <c r="K16" i="5"/>
  <c r="N16" i="5"/>
  <c r="J16" i="5"/>
  <c r="F16" i="5"/>
  <c r="P41" i="5"/>
  <c r="U41" i="5" s="1"/>
  <c r="M16" i="5"/>
  <c r="P43" i="5"/>
  <c r="P42" i="5"/>
  <c r="I16" i="5"/>
  <c r="P16" i="5"/>
  <c r="H16" i="5"/>
  <c r="P40" i="5"/>
  <c r="P44" i="5"/>
  <c r="L16" i="5"/>
  <c r="O14" i="22" l="1"/>
  <c r="O12" i="22"/>
  <c r="O15" i="22"/>
  <c r="O11" i="22"/>
  <c r="O4" i="4"/>
  <c r="O18" i="4" s="1"/>
  <c r="O4" i="1"/>
  <c r="O19" i="1" s="1"/>
  <c r="T19" i="1" s="1"/>
  <c r="O3" i="7"/>
  <c r="O17" i="7" s="1"/>
  <c r="T17" i="7" s="1"/>
  <c r="F39" i="23" s="1"/>
  <c r="O3" i="27"/>
  <c r="O17" i="27" s="1"/>
  <c r="T17" i="27" s="1"/>
  <c r="O3" i="4"/>
  <c r="O17" i="4" s="1"/>
  <c r="O4" i="27"/>
  <c r="O5" i="1"/>
  <c r="O4" i="7"/>
  <c r="O42" i="5"/>
  <c r="O43" i="5"/>
  <c r="O44" i="5"/>
  <c r="O21" i="1" l="1"/>
  <c r="T21" i="1" s="1"/>
  <c r="O20" i="1"/>
  <c r="T20" i="1" s="1"/>
  <c r="O18" i="1"/>
  <c r="T18" i="1" s="1"/>
  <c r="O17" i="1"/>
  <c r="T17" i="1" s="1"/>
  <c r="O16" i="4"/>
  <c r="T16" i="4" s="1"/>
  <c r="O19" i="4"/>
  <c r="O15" i="4"/>
  <c r="O18" i="7"/>
  <c r="T18" i="7" s="1"/>
  <c r="F40" i="23" s="1"/>
  <c r="O15" i="7"/>
  <c r="T15" i="7" s="1"/>
  <c r="F37" i="23" s="1"/>
  <c r="O19" i="7"/>
  <c r="T19" i="7" s="1"/>
  <c r="F41" i="23" s="1"/>
  <c r="O16" i="7"/>
  <c r="T16" i="7" s="1"/>
  <c r="F38" i="23" s="1"/>
  <c r="O15" i="27"/>
  <c r="T15" i="27" s="1"/>
  <c r="O19" i="27"/>
  <c r="T19" i="27" s="1"/>
  <c r="O18" i="27"/>
  <c r="T18" i="27" s="1"/>
  <c r="O16" i="27"/>
  <c r="T16" i="27" s="1"/>
  <c r="O41" i="5"/>
  <c r="O21" i="22" l="1"/>
  <c r="P55" i="23" s="1"/>
  <c r="O19" i="22"/>
  <c r="P53" i="23" s="1"/>
  <c r="O40" i="5"/>
  <c r="O20" i="22" l="1"/>
  <c r="P54" i="23" s="1"/>
  <c r="O22" i="22"/>
  <c r="P56" i="23" s="1"/>
  <c r="P21" i="23"/>
  <c r="P13" i="23"/>
  <c r="P45" i="23"/>
  <c r="P29" i="23"/>
  <c r="O23" i="22"/>
  <c r="P57" i="23" s="1"/>
  <c r="P47" i="23"/>
  <c r="P23" i="23"/>
  <c r="P31" i="23"/>
  <c r="P15" i="23"/>
  <c r="Q6" i="2"/>
  <c r="Q5" i="2"/>
  <c r="Q4" i="2"/>
  <c r="P16" i="23" l="1"/>
  <c r="P48" i="23"/>
  <c r="P32" i="23"/>
  <c r="P24" i="23"/>
  <c r="P25" i="23"/>
  <c r="P49" i="23"/>
  <c r="P33" i="23"/>
  <c r="P17" i="23"/>
  <c r="P22" i="23"/>
  <c r="P14" i="23"/>
  <c r="P30" i="23"/>
  <c r="P46" i="23"/>
  <c r="J11" i="2"/>
  <c r="G3" i="1" s="1"/>
  <c r="P50" i="23" l="1"/>
  <c r="Q12" i="2"/>
  <c r="N6" i="22" s="1"/>
  <c r="K11" i="2"/>
  <c r="H3" i="1" s="1"/>
  <c r="L11" i="2"/>
  <c r="I3" i="1" s="1"/>
  <c r="G11" i="2"/>
  <c r="D3" i="1" s="1"/>
  <c r="M11" i="2"/>
  <c r="J3" i="1" s="1"/>
  <c r="H11" i="2"/>
  <c r="E3" i="1" s="1"/>
  <c r="N11" i="2"/>
  <c r="K3" i="1" s="1"/>
  <c r="I11" i="2"/>
  <c r="F3" i="1" s="1"/>
  <c r="Q13" i="2"/>
  <c r="N5" i="22" s="1"/>
  <c r="N13" i="22" s="1"/>
  <c r="Q11" i="2"/>
  <c r="N3" i="1" s="1"/>
  <c r="N14" i="22" l="1"/>
  <c r="N15" i="22"/>
  <c r="N12" i="22"/>
  <c r="N11" i="22"/>
  <c r="N3" i="7"/>
  <c r="N17" i="7" s="1"/>
  <c r="N3" i="27"/>
  <c r="N17" i="27" s="1"/>
  <c r="N4" i="1"/>
  <c r="N19" i="1" s="1"/>
  <c r="N4" i="7"/>
  <c r="N15" i="7" s="1"/>
  <c r="N5" i="1"/>
  <c r="N4" i="27"/>
  <c r="N16" i="27" s="1"/>
  <c r="N4" i="4"/>
  <c r="N16" i="4" s="1"/>
  <c r="N3" i="4"/>
  <c r="N17" i="4" s="1"/>
  <c r="N40" i="5"/>
  <c r="N42" i="5"/>
  <c r="N41" i="5"/>
  <c r="N43" i="5"/>
  <c r="N44" i="5"/>
  <c r="N21" i="1" l="1"/>
  <c r="N18" i="1"/>
  <c r="N17" i="1"/>
  <c r="N20" i="1"/>
  <c r="N19" i="7"/>
  <c r="N18" i="7"/>
  <c r="N16" i="7"/>
  <c r="N21" i="22"/>
  <c r="N15" i="27"/>
  <c r="N18" i="4"/>
  <c r="N19" i="4"/>
  <c r="N15" i="4"/>
  <c r="N18" i="27"/>
  <c r="N19" i="27"/>
  <c r="M9" i="1"/>
  <c r="M16" i="1"/>
  <c r="E37" i="23" l="1"/>
  <c r="N20" i="22"/>
  <c r="O54" i="23" s="1"/>
  <c r="N23" i="22"/>
  <c r="N22" i="22"/>
  <c r="N19" i="22"/>
  <c r="O55" i="23"/>
  <c r="M41" i="5"/>
  <c r="M40" i="5"/>
  <c r="M43" i="5"/>
  <c r="M42" i="5"/>
  <c r="M44" i="5"/>
  <c r="O22" i="23" l="1"/>
  <c r="O47" i="23"/>
  <c r="O30" i="23"/>
  <c r="O14" i="23"/>
  <c r="O46" i="23"/>
  <c r="O57" i="23"/>
  <c r="O53" i="23"/>
  <c r="O15" i="23"/>
  <c r="O23" i="23"/>
  <c r="O31" i="23"/>
  <c r="O56" i="23"/>
  <c r="P6" i="2"/>
  <c r="P5" i="2"/>
  <c r="P4" i="2"/>
  <c r="P11" i="2" s="1"/>
  <c r="M3" i="1" s="1"/>
  <c r="O6" i="2"/>
  <c r="O5" i="2"/>
  <c r="O4" i="2"/>
  <c r="O11" i="2" s="1"/>
  <c r="L3" i="1" s="1"/>
  <c r="O49" i="23" l="1"/>
  <c r="O48" i="23"/>
  <c r="O45" i="23"/>
  <c r="O21" i="23"/>
  <c r="O25" i="23"/>
  <c r="O13" i="23"/>
  <c r="O32" i="23"/>
  <c r="O17" i="23"/>
  <c r="O16" i="23"/>
  <c r="O33" i="23"/>
  <c r="O24" i="23"/>
  <c r="O29" i="23"/>
  <c r="P13" i="2"/>
  <c r="M5" i="22" s="1"/>
  <c r="M13" i="22" s="1"/>
  <c r="P12" i="2"/>
  <c r="M6" i="22" s="1"/>
  <c r="O13" i="2"/>
  <c r="L5" i="22" s="1"/>
  <c r="L13" i="22" s="1"/>
  <c r="O12" i="2"/>
  <c r="L6" i="22" s="1"/>
  <c r="O50" i="23" l="1"/>
  <c r="L14" i="22"/>
  <c r="L11" i="22"/>
  <c r="L15" i="22"/>
  <c r="L12" i="22"/>
  <c r="M14" i="22"/>
  <c r="M15" i="22"/>
  <c r="M11" i="22"/>
  <c r="M12" i="22"/>
  <c r="M3" i="27"/>
  <c r="M17" i="27" s="1"/>
  <c r="M4" i="1"/>
  <c r="M19" i="1" s="1"/>
  <c r="M4" i="27"/>
  <c r="M5" i="1"/>
  <c r="L4" i="7"/>
  <c r="L19" i="7" s="1"/>
  <c r="L4" i="27"/>
  <c r="L5" i="1"/>
  <c r="L3" i="7"/>
  <c r="L17" i="7" s="1"/>
  <c r="L3" i="27"/>
  <c r="L17" i="27" s="1"/>
  <c r="L4" i="1"/>
  <c r="L19" i="1" s="1"/>
  <c r="M3" i="7"/>
  <c r="M17" i="7" s="1"/>
  <c r="M4" i="7"/>
  <c r="M16" i="7" s="1"/>
  <c r="L4" i="4"/>
  <c r="L3" i="4"/>
  <c r="M4" i="4"/>
  <c r="M15" i="4" s="1"/>
  <c r="M3" i="4"/>
  <c r="M17" i="4" s="1"/>
  <c r="M20" i="1" l="1"/>
  <c r="M18" i="1"/>
  <c r="M17" i="1"/>
  <c r="M21" i="1"/>
  <c r="L18" i="1"/>
  <c r="L17" i="1"/>
  <c r="L20" i="1"/>
  <c r="L21" i="1"/>
  <c r="L16" i="7"/>
  <c r="L15" i="7"/>
  <c r="L18" i="7"/>
  <c r="M19" i="27"/>
  <c r="M18" i="27"/>
  <c r="M15" i="27"/>
  <c r="M16" i="27"/>
  <c r="M18" i="7"/>
  <c r="M15" i="7"/>
  <c r="M19" i="7"/>
  <c r="L15" i="27"/>
  <c r="L18" i="27"/>
  <c r="L19" i="27"/>
  <c r="L16" i="27"/>
  <c r="M16" i="4"/>
  <c r="M18" i="4"/>
  <c r="M19" i="4"/>
  <c r="M21" i="22" l="1"/>
  <c r="N55" i="23" s="1"/>
  <c r="E39" i="23"/>
  <c r="E16" i="26"/>
  <c r="D15" i="26"/>
  <c r="D16" i="26"/>
  <c r="D14" i="26" l="1"/>
  <c r="M20" i="22"/>
  <c r="N54" i="23" s="1"/>
  <c r="N47" i="23"/>
  <c r="N23" i="23"/>
  <c r="N15" i="23"/>
  <c r="N31" i="23"/>
  <c r="M22" i="22"/>
  <c r="N56" i="23" s="1"/>
  <c r="M23" i="22"/>
  <c r="N57" i="23" s="1"/>
  <c r="M19" i="22"/>
  <c r="N53" i="23" s="1"/>
  <c r="D18" i="26"/>
  <c r="E18" i="26"/>
  <c r="E41" i="23"/>
  <c r="E38" i="23"/>
  <c r="E15" i="26"/>
  <c r="E17" i="26"/>
  <c r="E40" i="23"/>
  <c r="D17" i="26"/>
  <c r="E14" i="26"/>
  <c r="N46" i="23" l="1"/>
  <c r="N14" i="23"/>
  <c r="N30" i="23"/>
  <c r="N22" i="23"/>
  <c r="N45" i="23"/>
  <c r="N48" i="23"/>
  <c r="N49" i="23"/>
  <c r="N32" i="23"/>
  <c r="N33" i="23"/>
  <c r="N25" i="23"/>
  <c r="N13" i="23"/>
  <c r="N16" i="23"/>
  <c r="N29" i="23"/>
  <c r="N21" i="23"/>
  <c r="N24" i="23"/>
  <c r="N17" i="23"/>
  <c r="F25" i="5"/>
  <c r="D4" i="26" s="1"/>
  <c r="E25" i="5"/>
  <c r="D25" i="5"/>
  <c r="B4" i="26" s="1"/>
  <c r="F13" i="26"/>
  <c r="E13" i="26"/>
  <c r="D13" i="26"/>
  <c r="N50" i="23" l="1"/>
  <c r="D40" i="5"/>
  <c r="D41" i="5"/>
  <c r="D42" i="5"/>
  <c r="D43" i="5"/>
  <c r="D44" i="5"/>
  <c r="A16" i="1" l="1"/>
  <c r="A14" i="27"/>
  <c r="B2" i="4"/>
  <c r="A14" i="4" s="1"/>
  <c r="B2" i="7"/>
  <c r="A14" i="7" s="1"/>
  <c r="D8" i="2" l="1"/>
  <c r="G13" i="2" l="1"/>
  <c r="D5" i="22" s="1"/>
  <c r="D13" i="22" s="1"/>
  <c r="I13" i="2"/>
  <c r="F5" i="22" s="1"/>
  <c r="F13" i="22" s="1"/>
  <c r="K13" i="2"/>
  <c r="H5" i="22" s="1"/>
  <c r="H13" i="22" s="1"/>
  <c r="M13" i="2"/>
  <c r="J5" i="22" s="1"/>
  <c r="J13" i="22" s="1"/>
  <c r="H13" i="2"/>
  <c r="E5" i="22" s="1"/>
  <c r="E13" i="22" s="1"/>
  <c r="J13" i="2"/>
  <c r="G5" i="22" s="1"/>
  <c r="G13" i="22" s="1"/>
  <c r="L13" i="2"/>
  <c r="I5" i="22" s="1"/>
  <c r="I13" i="22" s="1"/>
  <c r="N13" i="2"/>
  <c r="K5" i="22" s="1"/>
  <c r="K13" i="22" s="1"/>
  <c r="F13" i="2"/>
  <c r="C5" i="22" s="1"/>
  <c r="C13" i="22" s="1"/>
  <c r="M12" i="2"/>
  <c r="J6" i="22" s="1"/>
  <c r="K12" i="2"/>
  <c r="H6" i="22" s="1"/>
  <c r="I12" i="2"/>
  <c r="F6" i="22" s="1"/>
  <c r="G12" i="2"/>
  <c r="D6" i="22" s="1"/>
  <c r="N12" i="2"/>
  <c r="K6" i="22" s="1"/>
  <c r="L12" i="2"/>
  <c r="I6" i="22" s="1"/>
  <c r="J12" i="2"/>
  <c r="G6" i="22" s="1"/>
  <c r="H12" i="2"/>
  <c r="E6" i="22" s="1"/>
  <c r="F12" i="2"/>
  <c r="C6" i="22" s="1"/>
  <c r="F11" i="2"/>
  <c r="C3" i="1" s="1"/>
  <c r="I15" i="22" l="1"/>
  <c r="I11" i="22"/>
  <c r="I12" i="22"/>
  <c r="I14" i="22"/>
  <c r="K11" i="22"/>
  <c r="K14" i="22"/>
  <c r="K12" i="22"/>
  <c r="K15" i="22"/>
  <c r="F14" i="22"/>
  <c r="F15" i="22"/>
  <c r="F11" i="22"/>
  <c r="F12" i="22"/>
  <c r="J11" i="22"/>
  <c r="J12" i="22"/>
  <c r="J15" i="22"/>
  <c r="J14" i="22"/>
  <c r="E14" i="22"/>
  <c r="E15" i="22"/>
  <c r="E11" i="22"/>
  <c r="E12" i="22"/>
  <c r="D11" i="22"/>
  <c r="D14" i="22"/>
  <c r="D15" i="22"/>
  <c r="D12" i="22"/>
  <c r="H15" i="22"/>
  <c r="H12" i="22"/>
  <c r="H11" i="22"/>
  <c r="H14" i="22"/>
  <c r="C11" i="22"/>
  <c r="C12" i="22"/>
  <c r="C15" i="22"/>
  <c r="C14" i="22"/>
  <c r="G14" i="22"/>
  <c r="G12" i="22"/>
  <c r="G15" i="22"/>
  <c r="G11" i="22"/>
  <c r="K3" i="7"/>
  <c r="K17" i="7" s="1"/>
  <c r="K4" i="1"/>
  <c r="K19" i="1" s="1"/>
  <c r="K3" i="27"/>
  <c r="K17" i="27" s="1"/>
  <c r="J3" i="7"/>
  <c r="J17" i="7" s="1"/>
  <c r="J3" i="27"/>
  <c r="J17" i="27" s="1"/>
  <c r="J4" i="1"/>
  <c r="J19" i="1" s="1"/>
  <c r="I4" i="7"/>
  <c r="I19" i="7" s="1"/>
  <c r="I4" i="27"/>
  <c r="I5" i="1"/>
  <c r="H4" i="7"/>
  <c r="H16" i="7" s="1"/>
  <c r="H4" i="27"/>
  <c r="H5" i="1"/>
  <c r="I3" i="7"/>
  <c r="I17" i="7" s="1"/>
  <c r="I3" i="27"/>
  <c r="I17" i="27" s="1"/>
  <c r="I4" i="1"/>
  <c r="I19" i="1" s="1"/>
  <c r="H3" i="7"/>
  <c r="H17" i="7" s="1"/>
  <c r="H3" i="27"/>
  <c r="H17" i="27" s="1"/>
  <c r="H4" i="1"/>
  <c r="H19" i="1" s="1"/>
  <c r="F4" i="7"/>
  <c r="F16" i="7" s="1"/>
  <c r="F5" i="1"/>
  <c r="F4" i="27"/>
  <c r="C4" i="27"/>
  <c r="C5" i="1"/>
  <c r="G3" i="7"/>
  <c r="G17" i="7" s="1"/>
  <c r="G4" i="1"/>
  <c r="G19" i="1" s="1"/>
  <c r="G3" i="27"/>
  <c r="G17" i="27" s="1"/>
  <c r="F3" i="7"/>
  <c r="F17" i="7" s="1"/>
  <c r="F3" i="27"/>
  <c r="F17" i="27" s="1"/>
  <c r="F4" i="1"/>
  <c r="F19" i="1" s="1"/>
  <c r="G4" i="7"/>
  <c r="G15" i="7" s="1"/>
  <c r="G4" i="27"/>
  <c r="G5" i="1"/>
  <c r="K4" i="7"/>
  <c r="K15" i="7" s="1"/>
  <c r="K4" i="27"/>
  <c r="K5" i="1"/>
  <c r="J4" i="7"/>
  <c r="J18" i="7" s="1"/>
  <c r="J5" i="1"/>
  <c r="J4" i="27"/>
  <c r="E4" i="7"/>
  <c r="E16" i="7" s="1"/>
  <c r="E4" i="27"/>
  <c r="E5" i="1"/>
  <c r="D4" i="7"/>
  <c r="D19" i="7" s="1"/>
  <c r="D4" i="27"/>
  <c r="D5" i="1"/>
  <c r="C4" i="1"/>
  <c r="C19" i="1" s="1"/>
  <c r="C3" i="27"/>
  <c r="E3" i="7"/>
  <c r="E17" i="7" s="1"/>
  <c r="E3" i="27"/>
  <c r="E17" i="27" s="1"/>
  <c r="E4" i="1"/>
  <c r="E19" i="1" s="1"/>
  <c r="D3" i="7"/>
  <c r="D17" i="7" s="1"/>
  <c r="D3" i="27"/>
  <c r="D17" i="27" s="1"/>
  <c r="D4" i="1"/>
  <c r="D19" i="1" s="1"/>
  <c r="C4" i="4"/>
  <c r="C4" i="7"/>
  <c r="E4" i="4"/>
  <c r="I4" i="4"/>
  <c r="F4" i="4"/>
  <c r="J4" i="4"/>
  <c r="C3" i="4"/>
  <c r="C3" i="7"/>
  <c r="I3" i="4"/>
  <c r="E3" i="4"/>
  <c r="J3" i="4"/>
  <c r="F3" i="4"/>
  <c r="G4" i="4"/>
  <c r="K4" i="4"/>
  <c r="D4" i="4"/>
  <c r="H4" i="4"/>
  <c r="K3" i="4"/>
  <c r="G3" i="4"/>
  <c r="H3" i="4"/>
  <c r="D3" i="4"/>
  <c r="B3" i="26"/>
  <c r="D16" i="1"/>
  <c r="E16" i="1"/>
  <c r="F16" i="1"/>
  <c r="G16" i="1"/>
  <c r="H16" i="1"/>
  <c r="I16" i="1"/>
  <c r="J16" i="1"/>
  <c r="K16" i="1"/>
  <c r="L16" i="1"/>
  <c r="C16" i="1"/>
  <c r="D18" i="1" l="1"/>
  <c r="D17" i="1"/>
  <c r="D21" i="1"/>
  <c r="D20" i="1"/>
  <c r="K17" i="1"/>
  <c r="K18" i="1"/>
  <c r="K21" i="1"/>
  <c r="K20" i="1"/>
  <c r="E20" i="1"/>
  <c r="E18" i="1"/>
  <c r="E17" i="1"/>
  <c r="E21" i="1"/>
  <c r="I21" i="1"/>
  <c r="I20" i="1"/>
  <c r="I18" i="1"/>
  <c r="I17" i="1"/>
  <c r="F21" i="1"/>
  <c r="F18" i="1"/>
  <c r="F17" i="1"/>
  <c r="F20" i="1"/>
  <c r="G20" i="1"/>
  <c r="G18" i="1"/>
  <c r="G17" i="1"/>
  <c r="G21" i="1"/>
  <c r="C17" i="1"/>
  <c r="C21" i="1"/>
  <c r="C20" i="1"/>
  <c r="C18" i="1"/>
  <c r="H21" i="1"/>
  <c r="H20" i="1"/>
  <c r="H18" i="1"/>
  <c r="H17" i="1"/>
  <c r="J21" i="1"/>
  <c r="J20" i="1"/>
  <c r="J17" i="1"/>
  <c r="J18" i="1"/>
  <c r="G19" i="7"/>
  <c r="G16" i="7"/>
  <c r="H19" i="7"/>
  <c r="K18" i="7"/>
  <c r="K16" i="7"/>
  <c r="K19" i="7"/>
  <c r="D18" i="7"/>
  <c r="D16" i="7"/>
  <c r="H15" i="7"/>
  <c r="I16" i="7"/>
  <c r="D15" i="7"/>
  <c r="I18" i="7"/>
  <c r="G18" i="7"/>
  <c r="H18" i="7"/>
  <c r="E18" i="7"/>
  <c r="F18" i="7"/>
  <c r="E15" i="7"/>
  <c r="F15" i="7"/>
  <c r="E19" i="7"/>
  <c r="I15" i="7"/>
  <c r="F19" i="7"/>
  <c r="J15" i="7"/>
  <c r="J19" i="7"/>
  <c r="J16" i="7"/>
  <c r="J18" i="27"/>
  <c r="J19" i="27"/>
  <c r="J16" i="27"/>
  <c r="J15" i="27"/>
  <c r="F18" i="27"/>
  <c r="F15" i="27"/>
  <c r="F19" i="27"/>
  <c r="F16" i="27"/>
  <c r="G18" i="27"/>
  <c r="G15" i="27"/>
  <c r="G16" i="27"/>
  <c r="G19" i="27"/>
  <c r="E19" i="27"/>
  <c r="E16" i="27"/>
  <c r="E18" i="27"/>
  <c r="E15" i="27"/>
  <c r="D15" i="27"/>
  <c r="D18" i="27"/>
  <c r="D19" i="27"/>
  <c r="D16" i="27"/>
  <c r="H18" i="27"/>
  <c r="H15" i="27"/>
  <c r="H19" i="27"/>
  <c r="H16" i="27"/>
  <c r="K18" i="27"/>
  <c r="K15" i="27"/>
  <c r="K19" i="27"/>
  <c r="K16" i="27"/>
  <c r="I19" i="27"/>
  <c r="I18" i="27"/>
  <c r="I15" i="27"/>
  <c r="I16" i="27"/>
  <c r="E16" i="5" l="1"/>
  <c r="E40" i="5" l="1"/>
  <c r="I40" i="5"/>
  <c r="E41" i="5"/>
  <c r="I41" i="5"/>
  <c r="E42" i="5"/>
  <c r="I42" i="5"/>
  <c r="E43" i="5"/>
  <c r="I43" i="5"/>
  <c r="E44" i="5"/>
  <c r="I44" i="5"/>
  <c r="F40" i="5"/>
  <c r="J40" i="5"/>
  <c r="F41" i="5"/>
  <c r="J41" i="5"/>
  <c r="F42" i="5"/>
  <c r="F43" i="5"/>
  <c r="F44" i="5"/>
  <c r="G40" i="5"/>
  <c r="K40" i="5"/>
  <c r="G41" i="5"/>
  <c r="K41" i="5"/>
  <c r="G42" i="5"/>
  <c r="K42" i="5"/>
  <c r="G43" i="5"/>
  <c r="K43" i="5"/>
  <c r="G44" i="5"/>
  <c r="K44" i="5"/>
  <c r="H40" i="5"/>
  <c r="L40" i="5"/>
  <c r="H41" i="5"/>
  <c r="L41" i="5"/>
  <c r="H42" i="5"/>
  <c r="L42" i="5"/>
  <c r="H43" i="5"/>
  <c r="L43" i="5"/>
  <c r="H44" i="5"/>
  <c r="L44" i="5"/>
  <c r="J42" i="5"/>
  <c r="J43" i="5"/>
  <c r="J44" i="5"/>
  <c r="L9" i="1" l="1"/>
  <c r="A18" i="22" l="1"/>
  <c r="A10" i="22" l="1"/>
  <c r="D9" i="1"/>
  <c r="E9" i="1"/>
  <c r="F9" i="1"/>
  <c r="G9" i="1"/>
  <c r="H9" i="1"/>
  <c r="I9" i="1"/>
  <c r="J9" i="1"/>
  <c r="K9" i="1"/>
  <c r="C9" i="1"/>
  <c r="C17" i="22" l="1"/>
  <c r="C3" i="26"/>
  <c r="D3" i="26"/>
  <c r="A5" i="26"/>
  <c r="A6" i="26"/>
  <c r="A7" i="26"/>
  <c r="A8" i="26"/>
  <c r="A9" i="26"/>
  <c r="B9" i="22" l="1"/>
  <c r="C17" i="7" l="1"/>
  <c r="C18" i="7" l="1"/>
  <c r="C15" i="7"/>
  <c r="C19" i="7"/>
  <c r="C16" i="7"/>
  <c r="L17" i="4" l="1"/>
  <c r="K17" i="4"/>
  <c r="I17" i="4"/>
  <c r="G17" i="4"/>
  <c r="E17" i="4"/>
  <c r="C17" i="4"/>
  <c r="J17" i="4"/>
  <c r="H17" i="4"/>
  <c r="F17" i="4"/>
  <c r="D17" i="4"/>
  <c r="F21" i="22" l="1"/>
  <c r="D21" i="22"/>
  <c r="G21" i="22"/>
  <c r="I21" i="22"/>
  <c r="H21" i="22"/>
  <c r="J21" i="22"/>
  <c r="E21" i="22"/>
  <c r="K21" i="22"/>
  <c r="L21" i="22"/>
  <c r="M55" i="23" s="1"/>
  <c r="C16" i="4"/>
  <c r="C15" i="4"/>
  <c r="C19" i="4"/>
  <c r="C18" i="4"/>
  <c r="L15" i="4"/>
  <c r="L19" i="4"/>
  <c r="L16" i="4"/>
  <c r="L18" i="4"/>
  <c r="C16" i="26"/>
  <c r="K16" i="4"/>
  <c r="K18" i="4"/>
  <c r="K15" i="4"/>
  <c r="K19" i="4"/>
  <c r="C17" i="27"/>
  <c r="F19" i="4"/>
  <c r="F18" i="4"/>
  <c r="F16" i="4"/>
  <c r="J19" i="4"/>
  <c r="J18" i="4"/>
  <c r="J16" i="4"/>
  <c r="E19" i="4"/>
  <c r="E18" i="4"/>
  <c r="E16" i="4"/>
  <c r="I19" i="4"/>
  <c r="I18" i="4"/>
  <c r="I16" i="4"/>
  <c r="D19" i="4"/>
  <c r="D18" i="4"/>
  <c r="D16" i="4"/>
  <c r="H19" i="4"/>
  <c r="H18" i="4"/>
  <c r="H16" i="4"/>
  <c r="G19" i="4"/>
  <c r="G18" i="4"/>
  <c r="G16" i="4"/>
  <c r="D20" i="22" l="1"/>
  <c r="D22" i="22"/>
  <c r="J20" i="22"/>
  <c r="E22" i="22"/>
  <c r="I20" i="22"/>
  <c r="G23" i="22"/>
  <c r="H23" i="22"/>
  <c r="E23" i="22"/>
  <c r="D23" i="22"/>
  <c r="J23" i="22"/>
  <c r="I22" i="22"/>
  <c r="I23" i="22"/>
  <c r="F22" i="22"/>
  <c r="G20" i="22"/>
  <c r="J22" i="22"/>
  <c r="G22" i="22"/>
  <c r="F20" i="22"/>
  <c r="H20" i="22"/>
  <c r="H22" i="22"/>
  <c r="E20" i="22"/>
  <c r="F23" i="22"/>
  <c r="D38" i="23"/>
  <c r="B15" i="26"/>
  <c r="L22" i="22"/>
  <c r="M56" i="23" s="1"/>
  <c r="M47" i="23"/>
  <c r="M31" i="23"/>
  <c r="M23" i="23"/>
  <c r="K23" i="22"/>
  <c r="K19" i="22"/>
  <c r="L53" i="23" s="1"/>
  <c r="L21" i="23" s="1"/>
  <c r="K22" i="22"/>
  <c r="L56" i="23" s="1"/>
  <c r="L20" i="22"/>
  <c r="M54" i="23" s="1"/>
  <c r="L19" i="22"/>
  <c r="M53" i="23" s="1"/>
  <c r="M45" i="23" s="1"/>
  <c r="K20" i="22"/>
  <c r="L54" i="23" s="1"/>
  <c r="L22" i="23" s="1"/>
  <c r="L23" i="22"/>
  <c r="M57" i="23" s="1"/>
  <c r="C19" i="27"/>
  <c r="C18" i="27"/>
  <c r="C15" i="27"/>
  <c r="C16" i="27"/>
  <c r="M15" i="23"/>
  <c r="C15" i="26"/>
  <c r="C17" i="26"/>
  <c r="C14" i="26"/>
  <c r="C18" i="26"/>
  <c r="L55" i="23"/>
  <c r="M49" i="23" l="1"/>
  <c r="M21" i="23"/>
  <c r="M48" i="23"/>
  <c r="M25" i="23"/>
  <c r="M22" i="23"/>
  <c r="M46" i="23"/>
  <c r="M30" i="23"/>
  <c r="M33" i="23"/>
  <c r="L48" i="23"/>
  <c r="L45" i="23"/>
  <c r="L46" i="23"/>
  <c r="L47" i="23"/>
  <c r="M29" i="23"/>
  <c r="M13" i="23"/>
  <c r="L31" i="23"/>
  <c r="L23" i="23"/>
  <c r="L32" i="23"/>
  <c r="L24" i="23"/>
  <c r="M32" i="23"/>
  <c r="M24" i="23"/>
  <c r="L30" i="23"/>
  <c r="M17" i="23"/>
  <c r="M16" i="23"/>
  <c r="M14" i="23"/>
  <c r="L57" i="23"/>
  <c r="Y45" i="23" l="1"/>
  <c r="M50" i="23"/>
  <c r="L49" i="23"/>
  <c r="L50" i="23" s="1"/>
  <c r="L29" i="23"/>
  <c r="L13" i="23"/>
  <c r="L33" i="23"/>
  <c r="L25" i="23"/>
  <c r="L14" i="23"/>
  <c r="L16" i="23"/>
  <c r="L15" i="23"/>
  <c r="J15" i="4"/>
  <c r="E55" i="23"/>
  <c r="E47" i="23" s="1"/>
  <c r="J19" i="22" l="1"/>
  <c r="K53" i="23" s="1"/>
  <c r="F55" i="23"/>
  <c r="F47" i="23" s="1"/>
  <c r="J55" i="23"/>
  <c r="J47" i="23" s="1"/>
  <c r="L17" i="23"/>
  <c r="C21" i="22"/>
  <c r="G54" i="23"/>
  <c r="F54" i="23"/>
  <c r="I56" i="23"/>
  <c r="I48" i="23" s="1"/>
  <c r="H56" i="23"/>
  <c r="H48" i="23" s="1"/>
  <c r="I57" i="23"/>
  <c r="I49" i="23" s="1"/>
  <c r="H57" i="23"/>
  <c r="H49" i="23" s="1"/>
  <c r="H54" i="23"/>
  <c r="C20" i="22"/>
  <c r="I54" i="23"/>
  <c r="E54" i="23"/>
  <c r="G55" i="23"/>
  <c r="G47" i="23" s="1"/>
  <c r="G56" i="23"/>
  <c r="G48" i="23" s="1"/>
  <c r="G57" i="23"/>
  <c r="G49" i="23" s="1"/>
  <c r="E56" i="23"/>
  <c r="E48" i="23" s="1"/>
  <c r="C22" i="22"/>
  <c r="F56" i="23"/>
  <c r="F48" i="23" s="1"/>
  <c r="F57" i="23"/>
  <c r="F49" i="23" s="1"/>
  <c r="E57" i="23"/>
  <c r="E49" i="23" s="1"/>
  <c r="C23" i="22"/>
  <c r="C19" i="22" l="1"/>
  <c r="D53" i="23" s="1"/>
  <c r="I46" i="23"/>
  <c r="I22" i="23"/>
  <c r="F46" i="23"/>
  <c r="F22" i="23"/>
  <c r="K45" i="23"/>
  <c r="K21" i="23"/>
  <c r="G46" i="23"/>
  <c r="G22" i="23"/>
  <c r="E46" i="23"/>
  <c r="E22" i="23"/>
  <c r="H46" i="23"/>
  <c r="H22" i="23"/>
  <c r="I30" i="23"/>
  <c r="H33" i="23"/>
  <c r="H25" i="23"/>
  <c r="K54" i="23"/>
  <c r="E33" i="23"/>
  <c r="E25" i="23"/>
  <c r="G31" i="23"/>
  <c r="G23" i="23"/>
  <c r="I33" i="23"/>
  <c r="I25" i="23"/>
  <c r="K56" i="23"/>
  <c r="K48" i="23" s="1"/>
  <c r="F30" i="23"/>
  <c r="J31" i="23"/>
  <c r="J23" i="23"/>
  <c r="F31" i="23"/>
  <c r="F23" i="23"/>
  <c r="E31" i="23"/>
  <c r="E23" i="23"/>
  <c r="F33" i="23"/>
  <c r="F25" i="23"/>
  <c r="G33" i="23"/>
  <c r="G25" i="23"/>
  <c r="H30" i="23"/>
  <c r="E30" i="23"/>
  <c r="K57" i="23"/>
  <c r="K49" i="23" s="1"/>
  <c r="G30" i="23"/>
  <c r="J57" i="23"/>
  <c r="J49" i="23" s="1"/>
  <c r="J56" i="23"/>
  <c r="J48" i="23" s="1"/>
  <c r="J54" i="23"/>
  <c r="F15" i="23"/>
  <c r="J15" i="23"/>
  <c r="H55" i="23"/>
  <c r="H47" i="23" s="1"/>
  <c r="I55" i="23"/>
  <c r="I47" i="23" s="1"/>
  <c r="E15" i="23"/>
  <c r="D55" i="23"/>
  <c r="D31" i="23" s="1"/>
  <c r="G15" i="4"/>
  <c r="F15" i="4"/>
  <c r="E15" i="4"/>
  <c r="D15" i="4"/>
  <c r="I15" i="4"/>
  <c r="H15" i="4"/>
  <c r="D57" i="23"/>
  <c r="D33" i="23" s="1"/>
  <c r="D56" i="23"/>
  <c r="D32" i="23" s="1"/>
  <c r="D54" i="23"/>
  <c r="D30" i="23" s="1"/>
  <c r="H19" i="22" l="1"/>
  <c r="I53" i="23" s="1"/>
  <c r="I19" i="22"/>
  <c r="J53" i="23" s="1"/>
  <c r="D29" i="23"/>
  <c r="D45" i="23"/>
  <c r="D21" i="23"/>
  <c r="D13" i="23"/>
  <c r="G19" i="22"/>
  <c r="H53" i="23" s="1"/>
  <c r="D19" i="22"/>
  <c r="E53" i="23" s="1"/>
  <c r="E45" i="23" s="1"/>
  <c r="E50" i="23" s="1"/>
  <c r="E19" i="22"/>
  <c r="F53" i="23" s="1"/>
  <c r="F19" i="22"/>
  <c r="G53" i="23" s="1"/>
  <c r="K46" i="23"/>
  <c r="K22" i="23"/>
  <c r="J46" i="23"/>
  <c r="J22" i="23"/>
  <c r="K55" i="23"/>
  <c r="K47" i="23" s="1"/>
  <c r="G32" i="23"/>
  <c r="G24" i="23"/>
  <c r="H32" i="23"/>
  <c r="H24" i="23"/>
  <c r="K32" i="23"/>
  <c r="K24" i="23"/>
  <c r="I31" i="23"/>
  <c r="I23" i="23"/>
  <c r="J32" i="23"/>
  <c r="J24" i="23"/>
  <c r="K29" i="23"/>
  <c r="K13" i="23"/>
  <c r="H31" i="23"/>
  <c r="H23" i="23"/>
  <c r="J33" i="23"/>
  <c r="J25" i="23"/>
  <c r="K30" i="23"/>
  <c r="K33" i="23"/>
  <c r="K25" i="23"/>
  <c r="F32" i="23"/>
  <c r="F24" i="23"/>
  <c r="I32" i="23"/>
  <c r="I24" i="23"/>
  <c r="E32" i="23"/>
  <c r="E24" i="23"/>
  <c r="J30" i="23"/>
  <c r="H15" i="23"/>
  <c r="G14" i="23"/>
  <c r="J16" i="23"/>
  <c r="E14" i="23"/>
  <c r="F16" i="23"/>
  <c r="K17" i="23"/>
  <c r="F14" i="23"/>
  <c r="H16" i="23"/>
  <c r="J17" i="23"/>
  <c r="D46" i="23"/>
  <c r="D22" i="23"/>
  <c r="D14" i="23"/>
  <c r="G15" i="23"/>
  <c r="D48" i="23"/>
  <c r="D24" i="23"/>
  <c r="D16" i="23"/>
  <c r="F17" i="23"/>
  <c r="J14" i="23"/>
  <c r="K16" i="23"/>
  <c r="I17" i="23"/>
  <c r="H14" i="23"/>
  <c r="G16" i="23"/>
  <c r="E17" i="23"/>
  <c r="D47" i="23"/>
  <c r="D23" i="23"/>
  <c r="D15" i="23"/>
  <c r="I15" i="23"/>
  <c r="K14" i="23"/>
  <c r="H17" i="23"/>
  <c r="G17" i="23"/>
  <c r="D49" i="23"/>
  <c r="D25" i="23"/>
  <c r="D17" i="23"/>
  <c r="I16" i="23"/>
  <c r="I14" i="23"/>
  <c r="E16" i="23"/>
  <c r="K50" i="23" l="1"/>
  <c r="D50" i="23"/>
  <c r="K31" i="23"/>
  <c r="G45" i="23"/>
  <c r="G50" i="23" s="1"/>
  <c r="G21" i="23"/>
  <c r="H45" i="23"/>
  <c r="H50" i="23" s="1"/>
  <c r="H21" i="23"/>
  <c r="F45" i="23"/>
  <c r="F50" i="23" s="1"/>
  <c r="F21" i="23"/>
  <c r="E21" i="23"/>
  <c r="K23" i="23"/>
  <c r="J45" i="23"/>
  <c r="J50" i="23" s="1"/>
  <c r="J21" i="23"/>
  <c r="I45" i="23"/>
  <c r="I50" i="23" s="1"/>
  <c r="I21" i="23"/>
  <c r="K15" i="23"/>
  <c r="H29" i="23"/>
  <c r="H13" i="23"/>
  <c r="F29" i="23"/>
  <c r="F13" i="23"/>
  <c r="G29" i="23"/>
  <c r="G13" i="23"/>
  <c r="I29" i="23"/>
  <c r="I13" i="23"/>
  <c r="J29" i="23"/>
  <c r="J13" i="23"/>
  <c r="E29" i="23"/>
  <c r="E13" i="23"/>
  <c r="R15" i="4" l="1"/>
  <c r="S16" i="5" l="1"/>
  <c r="R12" i="22" l="1"/>
  <c r="R20" i="22" s="1"/>
  <c r="R13" i="22"/>
  <c r="R15" i="22"/>
  <c r="R21" i="22" l="1"/>
  <c r="S55" i="23" s="1"/>
  <c r="R23" i="22"/>
  <c r="S57" i="23" s="1"/>
  <c r="S54" i="23"/>
  <c r="S49" i="23" l="1"/>
  <c r="S33" i="23"/>
  <c r="S17" i="23"/>
  <c r="S25" i="23"/>
  <c r="S46" i="23"/>
  <c r="S14" i="23"/>
  <c r="S30" i="23"/>
  <c r="S22" i="23"/>
  <c r="S47" i="23"/>
  <c r="S23" i="23"/>
  <c r="S15" i="23"/>
  <c r="S31" i="23"/>
  <c r="R18" i="4" l="1"/>
  <c r="S40" i="5" l="1"/>
  <c r="S43" i="5" l="1"/>
  <c r="R11" i="22" l="1"/>
  <c r="R19" i="22" s="1"/>
  <c r="S53" i="23" l="1"/>
  <c r="S13" i="23" l="1"/>
  <c r="S45" i="23"/>
  <c r="S21" i="23"/>
  <c r="S29" i="23"/>
  <c r="R14" i="22"/>
  <c r="R22" i="22" l="1"/>
  <c r="S56" i="23" s="1"/>
  <c r="Z13" i="23"/>
  <c r="AA13" i="23" s="1"/>
  <c r="S32" i="23" l="1"/>
  <c r="S48" i="23"/>
  <c r="S24" i="23"/>
  <c r="S16" i="23"/>
  <c r="S50" i="23" l="1"/>
  <c r="S34" i="23"/>
  <c r="F26" i="5" l="1"/>
  <c r="S15" i="4"/>
  <c r="T15" i="4" s="1"/>
  <c r="S18" i="4"/>
  <c r="T18" i="4" s="1"/>
  <c r="F29" i="5" l="1"/>
  <c r="U14" i="5"/>
  <c r="K29" i="5" s="1"/>
  <c r="D8" i="26" s="1"/>
  <c r="B14" i="26"/>
  <c r="D37" i="23"/>
  <c r="E29" i="5"/>
  <c r="U6" i="5"/>
  <c r="J29" i="5" s="1"/>
  <c r="L29" i="5" s="1"/>
  <c r="C8" i="26" s="1"/>
  <c r="B17" i="26"/>
  <c r="D40" i="23"/>
  <c r="E26" i="5"/>
  <c r="U3" i="5"/>
  <c r="J26" i="5" s="1"/>
  <c r="L26" i="5" s="1"/>
  <c r="C5" i="26" s="1"/>
  <c r="U11" i="5"/>
  <c r="T16" i="5"/>
  <c r="S17" i="4"/>
  <c r="T17" i="4" s="1"/>
  <c r="G29" i="5" l="1"/>
  <c r="D39" i="23"/>
  <c r="B16" i="26"/>
  <c r="G26" i="5"/>
  <c r="K26" i="5"/>
  <c r="D5" i="26" s="1"/>
  <c r="U16" i="5"/>
  <c r="S11" i="22"/>
  <c r="S12" i="22"/>
  <c r="S15" i="22"/>
  <c r="T15" i="22" s="1"/>
  <c r="F18" i="26" s="1"/>
  <c r="S13" i="22"/>
  <c r="U36" i="5" l="1"/>
  <c r="I29" i="5" s="1"/>
  <c r="B8" i="26" s="1"/>
  <c r="D29" i="5"/>
  <c r="S20" i="22"/>
  <c r="T54" i="23" s="1"/>
  <c r="U54" i="23" s="1"/>
  <c r="T12" i="22"/>
  <c r="F15" i="26" s="1"/>
  <c r="S21" i="22"/>
  <c r="T55" i="23" s="1"/>
  <c r="T23" i="23" s="1"/>
  <c r="T13" i="22"/>
  <c r="F16" i="26" s="1"/>
  <c r="S19" i="22"/>
  <c r="T53" i="23" s="1"/>
  <c r="T21" i="23" s="1"/>
  <c r="T11" i="22"/>
  <c r="F14" i="26" s="1"/>
  <c r="S14" i="22"/>
  <c r="T43" i="5"/>
  <c r="U43" i="5" s="1"/>
  <c r="U21" i="23" l="1"/>
  <c r="X21" i="23"/>
  <c r="T13" i="23"/>
  <c r="U53" i="23"/>
  <c r="T22" i="23"/>
  <c r="U22" i="23" s="1"/>
  <c r="E5" i="23" s="1"/>
  <c r="T14" i="23"/>
  <c r="U55" i="23"/>
  <c r="S22" i="22"/>
  <c r="T56" i="23" s="1"/>
  <c r="U56" i="23" s="1"/>
  <c r="T14" i="22"/>
  <c r="F17" i="26" s="1"/>
  <c r="T29" i="23"/>
  <c r="T46" i="23"/>
  <c r="U46" i="23" s="1"/>
  <c r="T15" i="23"/>
  <c r="T30" i="23"/>
  <c r="T31" i="23"/>
  <c r="G5" i="23"/>
  <c r="V13" i="23"/>
  <c r="V21" i="23"/>
  <c r="W21" i="23"/>
  <c r="V23" i="23"/>
  <c r="W23" i="23"/>
  <c r="U23" i="23"/>
  <c r="E6" i="23" s="1"/>
  <c r="X13" i="23" l="1"/>
  <c r="V15" i="23"/>
  <c r="W15" i="23"/>
  <c r="U15" i="23"/>
  <c r="D6" i="23" s="1"/>
  <c r="V22" i="23"/>
  <c r="V14" i="23"/>
  <c r="W14" i="23"/>
  <c r="V46" i="23"/>
  <c r="U13" i="23"/>
  <c r="D4" i="23" s="1"/>
  <c r="W13" i="23"/>
  <c r="U29" i="23"/>
  <c r="F4" i="23" s="1"/>
  <c r="W29" i="23"/>
  <c r="V29" i="23"/>
  <c r="U31" i="23"/>
  <c r="F6" i="23" s="1"/>
  <c r="W31" i="23"/>
  <c r="U30" i="23"/>
  <c r="F5" i="23" s="1"/>
  <c r="W30" i="23"/>
  <c r="V31" i="23"/>
  <c r="T32" i="23"/>
  <c r="V30" i="23"/>
  <c r="T16" i="23"/>
  <c r="T24" i="23"/>
  <c r="V24" i="23" s="1"/>
  <c r="W22" i="23"/>
  <c r="U14" i="23"/>
  <c r="D5" i="23" s="1"/>
  <c r="T48" i="23"/>
  <c r="U48" i="23" s="1"/>
  <c r="G7" i="23" s="1"/>
  <c r="W46" i="23"/>
  <c r="E4" i="23"/>
  <c r="T34" i="23"/>
  <c r="V32" i="23"/>
  <c r="Y13" i="23"/>
  <c r="V16" i="23" l="1"/>
  <c r="W16" i="23"/>
  <c r="V48" i="23"/>
  <c r="W48" i="23"/>
  <c r="U32" i="23"/>
  <c r="F7" i="23" s="1"/>
  <c r="W32" i="23"/>
  <c r="U16" i="23"/>
  <c r="D7" i="23" s="1"/>
  <c r="U24" i="23"/>
  <c r="E7" i="23" s="1"/>
  <c r="W24" i="23"/>
  <c r="S19" i="4"/>
  <c r="U7" i="5" l="1"/>
  <c r="J30" i="5" s="1"/>
  <c r="L30" i="5" s="1"/>
  <c r="C9" i="26" s="1"/>
  <c r="E30" i="5"/>
  <c r="U15" i="5"/>
  <c r="K30" i="5" s="1"/>
  <c r="D9" i="26" s="1"/>
  <c r="F30" i="5"/>
  <c r="S23" i="22"/>
  <c r="T57" i="23" s="1"/>
  <c r="T19" i="4"/>
  <c r="D30" i="5"/>
  <c r="G30" i="5" l="1"/>
  <c r="T44" i="5"/>
  <c r="U44" i="5" s="1"/>
  <c r="U37" i="5"/>
  <c r="I30" i="5" s="1"/>
  <c r="B9" i="26" s="1"/>
  <c r="B18" i="26"/>
  <c r="D41" i="23"/>
  <c r="T33" i="23"/>
  <c r="W33" i="23" s="1"/>
  <c r="T49" i="23"/>
  <c r="T17" i="23"/>
  <c r="T25" i="23"/>
  <c r="X22" i="23" s="1"/>
  <c r="U57" i="23"/>
  <c r="W17" i="23" l="1"/>
  <c r="X14" i="23"/>
  <c r="D26" i="5"/>
  <c r="U33" i="5"/>
  <c r="I26" i="5" s="1"/>
  <c r="B5" i="26" s="1"/>
  <c r="T45" i="23"/>
  <c r="D28" i="5"/>
  <c r="T47" i="23"/>
  <c r="W25" i="23"/>
  <c r="U25" i="23"/>
  <c r="E8" i="23" s="1"/>
  <c r="V25" i="23"/>
  <c r="W49" i="23"/>
  <c r="U49" i="23"/>
  <c r="G8" i="23" s="1"/>
  <c r="V49" i="23"/>
  <c r="V33" i="23"/>
  <c r="U33" i="23"/>
  <c r="F8" i="23" s="1"/>
  <c r="U17" i="23"/>
  <c r="D8" i="23" s="1"/>
  <c r="V17" i="23"/>
  <c r="T40" i="5"/>
  <c r="U40" i="5" s="1"/>
  <c r="T42" i="5"/>
  <c r="U42" i="5" s="1"/>
  <c r="U35" i="5"/>
  <c r="I28" i="5" s="1"/>
  <c r="B7" i="26" s="1"/>
  <c r="X45" i="23" l="1"/>
  <c r="W45" i="23"/>
  <c r="V45" i="23"/>
  <c r="U47" i="23"/>
  <c r="G6" i="23" s="1"/>
  <c r="W47" i="23"/>
  <c r="V47" i="23"/>
  <c r="T50" i="23"/>
  <c r="U45" i="23"/>
  <c r="G4" i="23" s="1"/>
</calcChain>
</file>

<file path=xl/sharedStrings.xml><?xml version="1.0" encoding="utf-8"?>
<sst xmlns="http://schemas.openxmlformats.org/spreadsheetml/2006/main" count="503" uniqueCount="148">
  <si>
    <t>CPI (Dec)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</si>
  <si>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</si>
  <si>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</si>
  <si>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</si>
  <si>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</si>
  <si>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</si>
  <si>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</si>
  <si>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</si>
  <si>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</si>
  <si>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</si>
  <si>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Index Numbers ;  All groups CPI ;  Australia ;</t>
  </si>
  <si>
    <t>Index Numbers</t>
  </si>
  <si>
    <t>Original</t>
  </si>
  <si>
    <t>INDEX</t>
  </si>
  <si>
    <t>Quarter</t>
  </si>
  <si>
    <t>A2325846C</t>
  </si>
  <si>
    <t>Financial year data (Real December previous year)</t>
  </si>
  <si>
    <t>Calander year data (Real June same year)</t>
  </si>
  <si>
    <t>$ '000</t>
  </si>
  <si>
    <t>Maximum demand</t>
  </si>
  <si>
    <t>Powerlink</t>
  </si>
  <si>
    <t>Energy transported</t>
  </si>
  <si>
    <t>Depreciation</t>
  </si>
  <si>
    <t>5 year average</t>
  </si>
  <si>
    <t>Opex</t>
  </si>
  <si>
    <t>Capex</t>
  </si>
  <si>
    <t>RAB</t>
  </si>
  <si>
    <t>Asset cost</t>
  </si>
  <si>
    <t>TasNetworks</t>
  </si>
  <si>
    <t>Prescribed transmission services RAB</t>
  </si>
  <si>
    <t>Average real WACC</t>
  </si>
  <si>
    <t>Benchmarking metrics</t>
  </si>
  <si>
    <t>Total user cost per MWh energy</t>
  </si>
  <si>
    <t>Return on assets</t>
  </si>
  <si>
    <t>AusNet Services</t>
  </si>
  <si>
    <t>Circuit line length</t>
  </si>
  <si>
    <t>ElectraNet</t>
  </si>
  <si>
    <t>TransGrid</t>
  </si>
  <si>
    <t>AVG Last 5YRs</t>
  </si>
  <si>
    <t>total overhead circuit kilometres</t>
  </si>
  <si>
    <t>total underground circuit kilometres</t>
  </si>
  <si>
    <t>CPI conversion</t>
  </si>
  <si>
    <t>Total user cost ($)</t>
  </si>
  <si>
    <t>Transmission system non-coincident summated maximum demand (MVA)</t>
  </si>
  <si>
    <t>Voltage of entry/exit points (kV)</t>
  </si>
  <si>
    <t>Circuit line length (km)</t>
  </si>
  <si>
    <t>Connection density (kV/km)</t>
  </si>
  <si>
    <t>Total user cost per MVA of maximum demand ($/MVA)</t>
  </si>
  <si>
    <t>Total user cost per km of transmission circuit length ($/km)</t>
  </si>
  <si>
    <t>Total energy transported</t>
  </si>
  <si>
    <t>Prescribed transmission services opex ($'000)</t>
  </si>
  <si>
    <t>TNSP Asset cost ($'000)</t>
  </si>
  <si>
    <t>Transmission inputs (avg last 5 years)</t>
  </si>
  <si>
    <t>Transmission outputs (avg last 5 yrs)</t>
  </si>
  <si>
    <t>Total user cost per MWh of energy transported ($/MWh)</t>
  </si>
  <si>
    <t>Convert to real (Financial year TNSP)</t>
  </si>
  <si>
    <t>Convert to real (March ending TNSP)</t>
  </si>
  <si>
    <t>March ending data (Real September previous year)</t>
  </si>
  <si>
    <t>Summary tables used in the annual benchmarking report</t>
  </si>
  <si>
    <t>TNSP depreciation</t>
  </si>
  <si>
    <t>Nominal</t>
  </si>
  <si>
    <t>$'000</t>
  </si>
  <si>
    <t>Nominal - Prescribed transmission services capex ($'000)</t>
  </si>
  <si>
    <t>MWh</t>
  </si>
  <si>
    <t>TOPED01</t>
  </si>
  <si>
    <t>MVA</t>
  </si>
  <si>
    <t>TOPSD0204</t>
  </si>
  <si>
    <t>kV</t>
  </si>
  <si>
    <t>km</t>
  </si>
  <si>
    <t>TPA01+TPA02</t>
  </si>
  <si>
    <t>GWh</t>
  </si>
  <si>
    <t>Total user cost per MVA MD</t>
  </si>
  <si>
    <t>Summary</t>
  </si>
  <si>
    <t>Data worksheets</t>
  </si>
  <si>
    <t xml:space="preserve">– CPI: this contains consumer price index sourced from the Australian Bureau of Statistics.  This index is used to convert nominal values into real values. </t>
  </si>
  <si>
    <t>Analysis worksheets</t>
  </si>
  <si>
    <t>AER TNSP Partial Performance Indicator Analysis</t>
  </si>
  <si>
    <t>– Asset cost and total user cost: this calculates asset cost and total user costs.</t>
  </si>
  <si>
    <t>– Data analysis: TNSP Analysis</t>
  </si>
  <si>
    <t>– Data analysis: Network Size Table</t>
  </si>
  <si>
    <t>Asset cost and total user cost</t>
  </si>
  <si>
    <t>CPI</t>
  </si>
  <si>
    <t>Physical data</t>
  </si>
  <si>
    <t>Network Characteristics Charts</t>
  </si>
  <si>
    <t xml:space="preserve">TNSP Analysis </t>
  </si>
  <si>
    <t>TNSP Charts</t>
  </si>
  <si>
    <t>– Graphical analysis: Network Characteristics Charts</t>
  </si>
  <si>
    <t>End User Number</t>
  </si>
  <si>
    <t>#</t>
  </si>
  <si>
    <t>Total user cost per total end user number ($/#)</t>
  </si>
  <si>
    <t>ENT</t>
  </si>
  <si>
    <t>PLK</t>
  </si>
  <si>
    <t>ANT</t>
  </si>
  <si>
    <t>TNT</t>
  </si>
  <si>
    <t>TRG</t>
  </si>
  <si>
    <t>Old WACC used for reference</t>
  </si>
  <si>
    <t>– Physical data: this presents key operational data submitted under TNSP EBRINs.</t>
  </si>
  <si>
    <t>– Capex: this presents network services capex data submitted under TNSP EBRINs.</t>
  </si>
  <si>
    <t>– Depreciation: this presents network services depreciation data submitted under TNSP EBRINs.</t>
  </si>
  <si>
    <t>– Opex: this presents network services opex data submitted under TNSP EBRINs.</t>
  </si>
  <si>
    <t>– RAB: this presents network services RAB data submitted under TNSP EBRINs.</t>
  </si>
  <si>
    <t>– Graphical analysis: TNSP Charts-updated</t>
  </si>
  <si>
    <t>Total user cost per end user number</t>
  </si>
  <si>
    <t>asset additions (recognised in RAB)</t>
  </si>
  <si>
    <t>currency_base (Calendar year TNSP)</t>
  </si>
  <si>
    <t>$, 000</t>
  </si>
  <si>
    <t>#/km</t>
  </si>
  <si>
    <t xml:space="preserve">Total user cost per km of circuit length </t>
  </si>
  <si>
    <t>CPI (Jun)</t>
  </si>
  <si>
    <t>Highest to lowest difference 2021</t>
  </si>
  <si>
    <t>Highest to lowest difference 2014</t>
  </si>
  <si>
    <t>Change 2020 to 2021</t>
  </si>
  <si>
    <t xml:space="preserve">Energy transported </t>
  </si>
  <si>
    <t>TNSP Network services capex</t>
  </si>
  <si>
    <t xml:space="preserve"> Average 2018-22</t>
  </si>
  <si>
    <t>Change between 2022 and 2006</t>
  </si>
  <si>
    <t>Change between 2021 and 2022</t>
  </si>
  <si>
    <t>$'000 2022</t>
  </si>
  <si>
    <t>2021 average WACC</t>
  </si>
  <si>
    <t>Average NSP performance 2018-2022</t>
  </si>
  <si>
    <t>$2022/mva</t>
  </si>
  <si>
    <t>$2022/mwh</t>
  </si>
  <si>
    <t>$2022/km</t>
  </si>
  <si>
    <t>Total cost per MVA of maximum demand served ($2022), 2006 to 2022</t>
  </si>
  <si>
    <t>Total cost per MWh of energy transported ($2022), 2006 to 2022</t>
  </si>
  <si>
    <t>Total cost per end user ($2022), 2006 to 2022</t>
  </si>
  <si>
    <t>Five year average circuit length by TNSP (2018 to 2022)</t>
  </si>
  <si>
    <t>Energy transported in 2022 (GWh)</t>
  </si>
  <si>
    <t>Total cost per km of transmission circuit length ($2022), 2006 to 2022</t>
  </si>
  <si>
    <t>Maximum demand in 2022 (MVA)</t>
  </si>
  <si>
    <t>Circuit length km in 2022</t>
  </si>
  <si>
    <t>Connection density (end user per circuit km, 2018-22 average)</t>
  </si>
  <si>
    <t>2022 average WACC</t>
  </si>
  <si>
    <t>Five year average circuit length by TNSP (2018-22)</t>
  </si>
  <si>
    <t>Maximum demand for 2022 (MVA)</t>
  </si>
  <si>
    <t>$, 2022</t>
  </si>
  <si>
    <t>*These are used to convert to $2022</t>
  </si>
  <si>
    <t>Average 2018-22</t>
  </si>
  <si>
    <t>in 2022</t>
  </si>
  <si>
    <t>Connection density (#/km)</t>
  </si>
  <si>
    <t>$ 2022/MVA</t>
  </si>
  <si>
    <t>End User Number (millions, 2022)</t>
  </si>
  <si>
    <t>This spreadsheet contains the PPI analysis on Electricity Transmission Network Service Providers for the years up to 2022.</t>
  </si>
  <si>
    <t>ElectraNet cost 2022 cf AusNet and Transgrid</t>
  </si>
  <si>
    <t xml:space="preserve">Note that the $2022 value is of June 2022 value. </t>
  </si>
  <si>
    <t>Average TNSP performance 2018-2022</t>
  </si>
  <si>
    <t>$2022</t>
  </si>
  <si>
    <t>Date: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</si>
</sst>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m\-yyyy"/>
    <numFmt numFmtId="168" formatCode="0.0;\-0.0;0.0;@"/>
    <numFmt numFmtId="169" formatCode="#,##0.000"/>
    <numFmt numFmtId="170" formatCode="#,##0.0"/>
    <numFmt numFmtId="171" formatCode="_-&quot;$&quot;* #,##0_-;\-&quot;$&quot;* #,##0_-;_-&quot;$&quot;* &quot;-&quot;??_-;_-@_-"/>
    <numFmt numFmtId="172" formatCode="_-* #,##0_-;\-* #,##0_-;_-* &quot;-&quot;??_-;_-@_-"/>
    <numFmt numFmtId="173" formatCode="#,##0.0000"/>
    <numFmt numFmtId="174" formatCode="0.000"/>
    <numFmt numFmtId="175" formatCode="0.0"/>
    <numFmt numFmtId="176" formatCode="[$-C09]mmm\-yyyy;@"/>
    <numFmt numFmtId="177" formatCode="0.0%"/>
    <numFmt numFmtId="178" formatCode="_(* #,##0_);_(* \(#,##0\);_(* &quot;-&quot;??_);_(@_)"/>
    <numFmt numFmtId="179" formatCode="0.00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167" fontId="3" fillId="0" borderId="0" xfId="0" applyNumberFormat="1" applyFont="1"/>
    <xf numFmtId="167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7" fontId="2" fillId="0" borderId="0" xfId="0" applyNumberFormat="1" applyFont="1"/>
    <xf numFmtId="0" fontId="4" fillId="0" borderId="0" xfId="0" applyFont="1"/>
    <xf numFmtId="0" fontId="5" fillId="0" borderId="0" xfId="0" applyFont="1"/>
    <xf numFmtId="3" fontId="0" fillId="0" borderId="0" xfId="0" applyNumberFormat="1"/>
    <xf numFmtId="171" fontId="0" fillId="0" borderId="0" xfId="3" applyNumberFormat="1" applyFont="1"/>
    <xf numFmtId="0" fontId="5" fillId="0" borderId="0" xfId="0" applyFont="1" applyAlignment="1">
      <alignment wrapText="1"/>
    </xf>
    <xf numFmtId="0" fontId="5" fillId="0" borderId="1" xfId="0" applyFont="1" applyBorder="1"/>
    <xf numFmtId="1" fontId="0" fillId="0" borderId="0" xfId="0" applyNumberFormat="1"/>
    <xf numFmtId="0" fontId="7" fillId="0" borderId="0" xfId="0" applyFont="1"/>
    <xf numFmtId="169" fontId="0" fillId="0" borderId="0" xfId="0" applyNumberFormat="1"/>
    <xf numFmtId="173" fontId="0" fillId="0" borderId="0" xfId="0" applyNumberFormat="1"/>
    <xf numFmtId="1" fontId="0" fillId="0" borderId="1" xfId="0" applyNumberFormat="1" applyBorder="1"/>
    <xf numFmtId="3" fontId="0" fillId="0" borderId="1" xfId="0" applyNumberFormat="1" applyBorder="1"/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vertical="center"/>
    </xf>
    <xf numFmtId="10" fontId="0" fillId="0" borderId="0" xfId="8" applyNumberFormat="1" applyFont="1" applyFill="1"/>
    <xf numFmtId="0" fontId="0" fillId="0" borderId="1" xfId="0" applyBorder="1"/>
    <xf numFmtId="10" fontId="0" fillId="0" borderId="0" xfId="0" applyNumberFormat="1"/>
    <xf numFmtId="0" fontId="5" fillId="0" borderId="1" xfId="6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4" fontId="0" fillId="0" borderId="1" xfId="0" applyNumberFormat="1" applyBorder="1"/>
    <xf numFmtId="171" fontId="0" fillId="0" borderId="0" xfId="3" applyNumberFormat="1" applyFont="1" applyFill="1"/>
    <xf numFmtId="0" fontId="0" fillId="0" borderId="0" xfId="3" applyNumberFormat="1" applyFont="1" applyFill="1"/>
    <xf numFmtId="170" fontId="0" fillId="0" borderId="1" xfId="0" applyNumberFormat="1" applyBorder="1"/>
    <xf numFmtId="172" fontId="0" fillId="0" borderId="0" xfId="7" applyNumberFormat="1" applyFont="1" applyFill="1"/>
    <xf numFmtId="172" fontId="5" fillId="0" borderId="0" xfId="7" applyNumberFormat="1" applyFont="1" applyFill="1"/>
    <xf numFmtId="0" fontId="5" fillId="0" borderId="0" xfId="0" applyFont="1" applyAlignment="1">
      <alignment vertical="top"/>
    </xf>
    <xf numFmtId="9" fontId="0" fillId="0" borderId="0" xfId="8" applyFont="1" applyFill="1" applyBorder="1"/>
    <xf numFmtId="168" fontId="10" fillId="0" borderId="0" xfId="0" applyNumberFormat="1" applyFont="1"/>
    <xf numFmtId="167" fontId="10" fillId="0" borderId="0" xfId="0" applyNumberFormat="1" applyFont="1" applyAlignment="1">
      <alignment horizontal="left"/>
    </xf>
    <xf numFmtId="175" fontId="2" fillId="0" borderId="0" xfId="0" applyNumberFormat="1" applyFont="1"/>
    <xf numFmtId="175" fontId="0" fillId="0" borderId="0" xfId="0" applyNumberFormat="1"/>
    <xf numFmtId="175" fontId="2" fillId="3" borderId="0" xfId="0" applyNumberFormat="1" applyFont="1" applyFill="1"/>
    <xf numFmtId="164" fontId="0" fillId="0" borderId="1" xfId="0" applyNumberFormat="1" applyBorder="1"/>
    <xf numFmtId="9" fontId="0" fillId="0" borderId="0" xfId="8" applyFont="1" applyFill="1"/>
    <xf numFmtId="166" fontId="0" fillId="0" borderId="0" xfId="7" applyFont="1" applyFill="1"/>
    <xf numFmtId="166" fontId="0" fillId="0" borderId="1" xfId="7" applyFont="1" applyBorder="1"/>
    <xf numFmtId="3" fontId="11" fillId="0" borderId="1" xfId="0" applyNumberFormat="1" applyFont="1" applyBorder="1"/>
    <xf numFmtId="0" fontId="10" fillId="0" borderId="0" xfId="0" applyFont="1" applyProtection="1">
      <protection locked="0"/>
    </xf>
    <xf numFmtId="176" fontId="12" fillId="0" borderId="0" xfId="0" applyNumberFormat="1" applyFont="1" applyAlignment="1">
      <alignment horizontal="left"/>
    </xf>
    <xf numFmtId="2" fontId="0" fillId="0" borderId="0" xfId="8" applyNumberFormat="1" applyFont="1" applyFill="1"/>
    <xf numFmtId="177" fontId="0" fillId="0" borderId="0" xfId="8" applyNumberFormat="1" applyFont="1" applyFill="1"/>
    <xf numFmtId="3" fontId="0" fillId="0" borderId="2" xfId="0" applyNumberFormat="1" applyBorder="1"/>
    <xf numFmtId="2" fontId="0" fillId="0" borderId="0" xfId="0" applyNumberFormat="1"/>
    <xf numFmtId="0" fontId="11" fillId="0" borderId="1" xfId="0" applyFont="1" applyBorder="1"/>
    <xf numFmtId="0" fontId="11" fillId="0" borderId="0" xfId="0" applyFont="1"/>
    <xf numFmtId="0" fontId="13" fillId="0" borderId="1" xfId="6" applyFont="1" applyFill="1" applyBorder="1" applyAlignment="1">
      <alignment wrapText="1"/>
    </xf>
    <xf numFmtId="164" fontId="11" fillId="0" borderId="1" xfId="0" applyNumberFormat="1" applyFont="1" applyBorder="1"/>
    <xf numFmtId="0" fontId="14" fillId="0" borderId="0" xfId="0" applyFont="1"/>
    <xf numFmtId="166" fontId="11" fillId="0" borderId="1" xfId="7" applyFont="1" applyBorder="1"/>
    <xf numFmtId="175" fontId="10" fillId="0" borderId="0" xfId="0" applyNumberFormat="1" applyFont="1"/>
    <xf numFmtId="0" fontId="5" fillId="0" borderId="3" xfId="0" applyFont="1" applyBorder="1"/>
    <xf numFmtId="3" fontId="0" fillId="0" borderId="3" xfId="0" applyNumberFormat="1" applyBorder="1"/>
    <xf numFmtId="178" fontId="0" fillId="0" borderId="1" xfId="7" applyNumberFormat="1" applyFont="1" applyBorder="1"/>
    <xf numFmtId="177" fontId="0" fillId="0" borderId="0" xfId="8" applyNumberFormat="1" applyFont="1"/>
    <xf numFmtId="0" fontId="5" fillId="0" borderId="0" xfId="0" applyFont="1" applyBorder="1"/>
    <xf numFmtId="168" fontId="0" fillId="0" borderId="0" xfId="0" applyNumberFormat="1" applyFill="1"/>
    <xf numFmtId="0" fontId="5" fillId="0" borderId="1" xfId="0" applyFont="1" applyFill="1" applyBorder="1" applyAlignment="1">
      <alignment wrapText="1"/>
    </xf>
    <xf numFmtId="3" fontId="0" fillId="0" borderId="1" xfId="0" applyNumberFormat="1" applyFill="1" applyBorder="1"/>
    <xf numFmtId="3" fontId="0" fillId="0" borderId="0" xfId="0" applyNumberFormat="1" applyFill="1"/>
    <xf numFmtId="0" fontId="11" fillId="0" borderId="0" xfId="0" applyFont="1" applyFill="1"/>
    <xf numFmtId="0" fontId="0" fillId="0" borderId="0" xfId="0" applyFill="1" applyAlignment="1">
      <alignment vertical="center"/>
    </xf>
    <xf numFmtId="164" fontId="0" fillId="0" borderId="0" xfId="0" quotePrefix="1" applyNumberFormat="1" applyAlignment="1">
      <alignment wrapText="1"/>
    </xf>
    <xf numFmtId="0" fontId="0" fillId="0" borderId="0" xfId="0" applyFill="1"/>
    <xf numFmtId="175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5" fillId="0" borderId="0" xfId="0" applyFont="1" applyFill="1"/>
    <xf numFmtId="174" fontId="0" fillId="0" borderId="0" xfId="0" applyNumberFormat="1" applyFill="1"/>
    <xf numFmtId="0" fontId="8" fillId="0" borderId="0" xfId="0" applyFont="1" applyFill="1"/>
    <xf numFmtId="166" fontId="0" fillId="4" borderId="1" xfId="7" applyFont="1" applyFill="1" applyBorder="1"/>
    <xf numFmtId="3" fontId="0" fillId="4" borderId="1" xfId="0" applyNumberFormat="1" applyFill="1" applyBorder="1"/>
    <xf numFmtId="43" fontId="0" fillId="0" borderId="0" xfId="0" applyNumberFormat="1"/>
    <xf numFmtId="166" fontId="0" fillId="0" borderId="0" xfId="7" applyFont="1"/>
    <xf numFmtId="179" fontId="0" fillId="0" borderId="0" xfId="8" applyNumberFormat="1" applyFont="1"/>
    <xf numFmtId="0" fontId="5" fillId="4" borderId="1" xfId="0" applyFont="1" applyFill="1" applyBorder="1" applyAlignment="1">
      <alignment wrapText="1"/>
    </xf>
    <xf numFmtId="3" fontId="0" fillId="4" borderId="0" xfId="0" applyNumberFormat="1" applyFill="1"/>
    <xf numFmtId="166" fontId="11" fillId="4" borderId="1" xfId="7" applyFont="1" applyFill="1" applyBorder="1"/>
    <xf numFmtId="0" fontId="0" fillId="4" borderId="1" xfId="0" applyFill="1" applyBorder="1"/>
  </cellXfs>
  <cellStyles count="9">
    <cellStyle name="20% - Accent4" xfId="6" builtinId="42"/>
    <cellStyle name="Comma" xfId="7" builtinId="3"/>
    <cellStyle name="Comma 2" xfId="4" xr:uid="{00000000-0005-0000-0000-000002000000}"/>
    <cellStyle name="Currency" xfId="3" builtinId="4"/>
    <cellStyle name="Normal" xfId="0" builtinId="0"/>
    <cellStyle name="Normal 2" xfId="2" xr:uid="{00000000-0005-0000-0000-000005000000}"/>
    <cellStyle name="Normal 3" xfId="1" xr:uid="{00000000-0005-0000-0000-000006000000}"/>
    <cellStyle name="Percent" xfId="8" builtinId="5"/>
    <cellStyle name="Percent 2" xfId="5" xr:uid="{00000000-0005-0000-0000-000008000000}"/>
  </cellStyles>
  <dxfs count="0"/>
  <tableStyles count="0" defaultTableStyle="TableStyleMedium2" defaultPivotStyle="PivotStyleLight16"/>
  <colors>
    <mruColors>
      <color rgb="FF006D2C"/>
      <color rgb="FFFCC0C0"/>
      <color rgb="FFA1D99B"/>
      <color rgb="FFBD0026"/>
      <color rgb="FFC6DBEF"/>
      <color rgb="FFAC0000"/>
      <color rgb="FF238B45"/>
      <color rgb="FF74C476"/>
      <color rgb="FF41AB5D"/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7263537726834185"/>
          <c:h val="0.80200510055607255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Analysis'!$B$13</c:f>
              <c:strCache>
                <c:ptCount val="1"/>
                <c:pt idx="0">
                  <c:v>ENT</c:v>
                </c:pt>
              </c:strCache>
            </c:strRef>
          </c:tx>
          <c:spPr>
            <a:ln w="3175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Analysis'!$D$12:$T$12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Analysis'!$D$13:$T$13</c:f>
              <c:numCache>
                <c:formatCode>#,##0</c:formatCode>
                <c:ptCount val="17"/>
                <c:pt idx="0">
                  <c:v>55167.367574147727</c:v>
                </c:pt>
                <c:pt idx="1">
                  <c:v>60148.121048545145</c:v>
                </c:pt>
                <c:pt idx="2">
                  <c:v>47698.832807111976</c:v>
                </c:pt>
                <c:pt idx="3">
                  <c:v>62836.267907071575</c:v>
                </c:pt>
                <c:pt idx="4">
                  <c:v>59790.940184897234</c:v>
                </c:pt>
                <c:pt idx="5">
                  <c:v>60995.294764672617</c:v>
                </c:pt>
                <c:pt idx="6">
                  <c:v>74082.76622833556</c:v>
                </c:pt>
                <c:pt idx="7">
                  <c:v>65170.446136185834</c:v>
                </c:pt>
                <c:pt idx="8">
                  <c:v>75981.627659248319</c:v>
                </c:pt>
                <c:pt idx="9">
                  <c:v>104914.01989856764</c:v>
                </c:pt>
                <c:pt idx="10">
                  <c:v>98157.240512746197</c:v>
                </c:pt>
                <c:pt idx="11">
                  <c:v>90495.876151816643</c:v>
                </c:pt>
                <c:pt idx="12">
                  <c:v>94261.428805712756</c:v>
                </c:pt>
                <c:pt idx="13">
                  <c:v>86056.42391055284</c:v>
                </c:pt>
                <c:pt idx="14">
                  <c:v>92503.142955159594</c:v>
                </c:pt>
                <c:pt idx="15">
                  <c:v>96769.998788433368</c:v>
                </c:pt>
                <c:pt idx="16">
                  <c:v>77210.170468656041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EA8E-449F-8386-CE6506D8A256}"/>
            </c:ext>
          </c:extLst>
        </c:ser>
        <c:ser>
          <c:idx val="3"/>
          <c:order val="1"/>
          <c:tx>
            <c:strRef>
              <c:f>'TNSP Analysis'!$B$14</c:f>
              <c:strCache>
                <c:ptCount val="1"/>
                <c:pt idx="0">
                  <c:v>PLK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'TNSP Analysis'!$D$12:$T$12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Analysis'!$D$14:$T$14</c:f>
              <c:numCache>
                <c:formatCode>#,##0</c:formatCode>
                <c:ptCount val="17"/>
                <c:pt idx="0">
                  <c:v>52264.91482980513</c:v>
                </c:pt>
                <c:pt idx="1">
                  <c:v>53047.043619783981</c:v>
                </c:pt>
                <c:pt idx="2">
                  <c:v>51762.581470030782</c:v>
                </c:pt>
                <c:pt idx="3">
                  <c:v>67281.213598037866</c:v>
                </c:pt>
                <c:pt idx="4">
                  <c:v>65775.824887959854</c:v>
                </c:pt>
                <c:pt idx="5">
                  <c:v>71559.621928996188</c:v>
                </c:pt>
                <c:pt idx="6">
                  <c:v>87460.031388074203</c:v>
                </c:pt>
                <c:pt idx="7">
                  <c:v>71904.815637906868</c:v>
                </c:pt>
                <c:pt idx="8">
                  <c:v>66372.49627550102</c:v>
                </c:pt>
                <c:pt idx="9">
                  <c:v>84846.889355049643</c:v>
                </c:pt>
                <c:pt idx="10">
                  <c:v>77624.057258842688</c:v>
                </c:pt>
                <c:pt idx="11">
                  <c:v>68574.464972929869</c:v>
                </c:pt>
                <c:pt idx="12">
                  <c:v>62619.271438557946</c:v>
                </c:pt>
                <c:pt idx="13">
                  <c:v>63902.156424052955</c:v>
                </c:pt>
                <c:pt idx="14">
                  <c:v>59977.066291499526</c:v>
                </c:pt>
                <c:pt idx="15">
                  <c:v>62703.674808792122</c:v>
                </c:pt>
                <c:pt idx="16">
                  <c:v>41077.789919028401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A8E-449F-8386-CE6506D8A256}"/>
            </c:ext>
          </c:extLst>
        </c:ser>
        <c:ser>
          <c:idx val="4"/>
          <c:order val="2"/>
          <c:tx>
            <c:strRef>
              <c:f>'TNSP Analysis'!$B$15</c:f>
              <c:strCache>
                <c:ptCount val="1"/>
                <c:pt idx="0">
                  <c:v>ANT</c:v>
                </c:pt>
              </c:strCache>
            </c:strRef>
          </c:tx>
          <c:spPr>
            <a:ln w="31750">
              <a:solidFill>
                <a:srgbClr val="92D05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'TNSP Analysis'!$D$12:$T$12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Analysis'!$D$15:$T$15</c:f>
              <c:numCache>
                <c:formatCode>#,##0</c:formatCode>
                <c:ptCount val="17"/>
                <c:pt idx="0">
                  <c:v>46662.015430746011</c:v>
                </c:pt>
                <c:pt idx="1">
                  <c:v>36351.211374278522</c:v>
                </c:pt>
                <c:pt idx="2">
                  <c:v>38397.225974673624</c:v>
                </c:pt>
                <c:pt idx="3">
                  <c:v>39682.196080562557</c:v>
                </c:pt>
                <c:pt idx="4">
                  <c:v>47204.916482096472</c:v>
                </c:pt>
                <c:pt idx="5">
                  <c:v>46468.695492931591</c:v>
                </c:pt>
                <c:pt idx="6">
                  <c:v>48233.241568201869</c:v>
                </c:pt>
                <c:pt idx="7">
                  <c:v>45702.595803385098</c:v>
                </c:pt>
                <c:pt idx="8">
                  <c:v>36472.349414097851</c:v>
                </c:pt>
                <c:pt idx="9">
                  <c:v>47319.304170422874</c:v>
                </c:pt>
                <c:pt idx="10">
                  <c:v>42104.103576378388</c:v>
                </c:pt>
                <c:pt idx="11">
                  <c:v>45756.399595249844</c:v>
                </c:pt>
                <c:pt idx="12">
                  <c:v>40251.555327378512</c:v>
                </c:pt>
                <c:pt idx="13">
                  <c:v>41168.244371675282</c:v>
                </c:pt>
                <c:pt idx="14">
                  <c:v>39039.55353198661</c:v>
                </c:pt>
                <c:pt idx="15">
                  <c:v>42785.091655257216</c:v>
                </c:pt>
                <c:pt idx="16">
                  <c:v>28264.89582520325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EA8E-449F-8386-CE6506D8A256}"/>
            </c:ext>
          </c:extLst>
        </c:ser>
        <c:ser>
          <c:idx val="5"/>
          <c:order val="3"/>
          <c:tx>
            <c:strRef>
              <c:f>'TNSP Analysis'!$B$16</c:f>
              <c:strCache>
                <c:ptCount val="1"/>
                <c:pt idx="0">
                  <c:v>TNT</c:v>
                </c:pt>
              </c:strCache>
            </c:strRef>
          </c:tx>
          <c:spPr>
            <a:ln w="31750">
              <a:solidFill>
                <a:srgbClr val="006D2C"/>
              </a:solidFill>
            </a:ln>
          </c:spPr>
          <c:marker>
            <c:symbol val="triangle"/>
            <c:size val="5"/>
            <c:spPr>
              <a:solidFill>
                <a:srgbClr val="006D2C"/>
              </a:solidFill>
              <a:ln w="19050">
                <a:solidFill>
                  <a:srgbClr val="006D2C"/>
                </a:solidFill>
              </a:ln>
            </c:spPr>
          </c:marker>
          <c:cat>
            <c:numRef>
              <c:f>'TNSP Analysis'!$D$12:$T$12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Analysis'!$D$16:$T$16</c:f>
              <c:numCache>
                <c:formatCode>#,##0</c:formatCode>
                <c:ptCount val="17"/>
                <c:pt idx="0">
                  <c:v>60047.316129133556</c:v>
                </c:pt>
                <c:pt idx="1">
                  <c:v>56428.186704336375</c:v>
                </c:pt>
                <c:pt idx="2">
                  <c:v>69382.780086416169</c:v>
                </c:pt>
                <c:pt idx="3">
                  <c:v>64539.651223520385</c:v>
                </c:pt>
                <c:pt idx="4">
                  <c:v>74211.747545040271</c:v>
                </c:pt>
                <c:pt idx="5">
                  <c:v>76930.846793375458</c:v>
                </c:pt>
                <c:pt idx="6">
                  <c:v>91746.670306918924</c:v>
                </c:pt>
                <c:pt idx="7">
                  <c:v>78381.773544085852</c:v>
                </c:pt>
                <c:pt idx="8">
                  <c:v>72629.401382214695</c:v>
                </c:pt>
                <c:pt idx="9">
                  <c:v>75714.66078171847</c:v>
                </c:pt>
                <c:pt idx="10">
                  <c:v>70213.875401611425</c:v>
                </c:pt>
                <c:pt idx="11">
                  <c:v>69543.216588144802</c:v>
                </c:pt>
                <c:pt idx="12">
                  <c:v>61580.108298716659</c:v>
                </c:pt>
                <c:pt idx="13">
                  <c:v>66237.605637382207</c:v>
                </c:pt>
                <c:pt idx="14">
                  <c:v>54328.030379762669</c:v>
                </c:pt>
                <c:pt idx="15">
                  <c:v>56092.996009184069</c:v>
                </c:pt>
                <c:pt idx="16">
                  <c:v>40586.665730200504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EA8E-449F-8386-CE6506D8A256}"/>
            </c:ext>
          </c:extLst>
        </c:ser>
        <c:ser>
          <c:idx val="0"/>
          <c:order val="4"/>
          <c:tx>
            <c:strRef>
              <c:f>'TNSP Analysis'!$B$25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'TNSP Analysis'!$D$12:$T$12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Analysis'!$D$17:$T$17</c:f>
              <c:numCache>
                <c:formatCode>#,##0</c:formatCode>
                <c:ptCount val="17"/>
                <c:pt idx="0">
                  <c:v>31742.944148208851</c:v>
                </c:pt>
                <c:pt idx="1">
                  <c:v>32416.060752451311</c:v>
                </c:pt>
                <c:pt idx="2">
                  <c:v>28591.411300758664</c:v>
                </c:pt>
                <c:pt idx="3">
                  <c:v>37378.192208116925</c:v>
                </c:pt>
                <c:pt idx="4">
                  <c:v>38392.435447819662</c:v>
                </c:pt>
                <c:pt idx="5">
                  <c:v>37651.763394418333</c:v>
                </c:pt>
                <c:pt idx="6">
                  <c:v>47932.465841343459</c:v>
                </c:pt>
                <c:pt idx="7">
                  <c:v>41821.845677345969</c:v>
                </c:pt>
                <c:pt idx="8">
                  <c:v>41251.437949834377</c:v>
                </c:pt>
                <c:pt idx="9">
                  <c:v>50193.134141019247</c:v>
                </c:pt>
                <c:pt idx="10">
                  <c:v>42908.081048650507</c:v>
                </c:pt>
                <c:pt idx="11">
                  <c:v>42655.994876672361</c:v>
                </c:pt>
                <c:pt idx="12">
                  <c:v>37539.693925460138</c:v>
                </c:pt>
                <c:pt idx="13">
                  <c:v>36493.836481286089</c:v>
                </c:pt>
                <c:pt idx="14">
                  <c:v>34713.842816095683</c:v>
                </c:pt>
                <c:pt idx="15">
                  <c:v>35919.620645573828</c:v>
                </c:pt>
                <c:pt idx="16">
                  <c:v>26375.54111771785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EA8E-449F-8386-CE6506D8A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</a:t>
                </a:r>
                <a:r>
                  <a:rPr lang="en-AU" b="1" baseline="0"/>
                  <a:t> cost per MVA of maximum demand served</a:t>
                </a:r>
                <a:endParaRPr lang="en-AU" b="1"/>
              </a:p>
            </c:rich>
          </c:tx>
          <c:layout>
            <c:manualLayout>
              <c:xMode val="edge"/>
              <c:yMode val="edge"/>
              <c:x val="2.5935179811358646E-2"/>
              <c:y val="9.3092357912083853E-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222956095064"/>
          <c:y val="4.3180537606820828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data'!$A$32</c:f>
              <c:strCache>
                <c:ptCount val="1"/>
                <c:pt idx="0">
                  <c:v>Circuit line length (km)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35B-45E0-9232-08A9576E74BD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35B-45E0-9232-08A9576E74B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35B-45E0-9232-08A9576E74B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35B-45E0-9232-08A9576E74BD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35B-45E0-9232-08A9576E74BD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35B-45E0-9232-08A9576E74BD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35B-45E0-9232-08A9576E74BD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35B-45E0-9232-08A9576E74BD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35B-45E0-9232-08A9576E74BD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35B-45E0-9232-08A9576E74BD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E35B-45E0-9232-08A9576E74BD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E35B-45E0-9232-08A9576E74BD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E35B-45E0-9232-08A9576E74BD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data'!$T$33:$T$37</c:f>
              <c:numCache>
                <c:formatCode>#,##0</c:formatCode>
                <c:ptCount val="5"/>
                <c:pt idx="0">
                  <c:v>5518.0389999999998</c:v>
                </c:pt>
                <c:pt idx="1">
                  <c:v>14535.2</c:v>
                </c:pt>
                <c:pt idx="2">
                  <c:v>6628.5450000000001</c:v>
                </c:pt>
                <c:pt idx="3">
                  <c:v>3360.9470000000006</c:v>
                </c:pt>
                <c:pt idx="4">
                  <c:v>13074.842999999999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35B-45E0-9232-08A9576E7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Circuit length  (km)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98856362812389"/>
          <c:y val="3.7448969862505802E-2"/>
          <c:w val="0.86501143637187616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data'!$D$24</c:f>
              <c:strCache>
                <c:ptCount val="1"/>
                <c:pt idx="0">
                  <c:v>Circuit line length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89-4C87-9955-3AE49454F5F4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89-4C87-9955-3AE49454F5F4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F89-4C87-9955-3AE49454F5F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F89-4C87-9955-3AE49454F5F4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F89-4C87-9955-3AE49454F5F4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F89-4C87-9955-3AE49454F5F4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F89-4C87-9955-3AE49454F5F4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F89-4C87-9955-3AE49454F5F4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F89-4C87-9955-3AE49454F5F4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F89-4C87-9955-3AE49454F5F4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F89-4C87-9955-3AE49454F5F4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AF89-4C87-9955-3AE49454F5F4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AF89-4C87-9955-3AE49454F5F4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data'!$I$26:$I$30</c:f>
              <c:numCache>
                <c:formatCode>#,##0</c:formatCode>
                <c:ptCount val="5"/>
                <c:pt idx="0">
                  <c:v>5517.5190000000002</c:v>
                </c:pt>
                <c:pt idx="1">
                  <c:v>14530.26</c:v>
                </c:pt>
                <c:pt idx="2">
                  <c:v>6669.0332399999998</c:v>
                </c:pt>
                <c:pt idx="3">
                  <c:v>3430.4238364000003</c:v>
                </c:pt>
                <c:pt idx="4">
                  <c:v>13061.52344533864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F89-4C87-9955-3AE49454F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22656"/>
        <c:axId val="46024192"/>
      </c:barChart>
      <c:catAx>
        <c:axId val="4602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24192"/>
        <c:crosses val="autoZero"/>
        <c:auto val="1"/>
        <c:lblAlgn val="ctr"/>
        <c:lblOffset val="100"/>
        <c:noMultiLvlLbl val="0"/>
      </c:catAx>
      <c:valAx>
        <c:axId val="46024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Circuit length (km)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6022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5266890192175"/>
          <c:y val="4.4929835603229447E-2"/>
          <c:w val="0.86724733109807828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data'!$B$2</c:f>
              <c:strCache>
                <c:ptCount val="1"/>
                <c:pt idx="0">
                  <c:v>Total energy transported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770-4DA2-84B7-6AE3FBF867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770-4DA2-84B7-6AE3FBF867D7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770-4DA2-84B7-6AE3FBF867D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770-4DA2-84B7-6AE3FBF867D7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770-4DA2-84B7-6AE3FBF867D7}"/>
              </c:ext>
            </c:extLst>
          </c:dPt>
          <c:cat>
            <c:strRef>
              <c:f>'Physical data'!$B$3:$B$7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data'!$T$3:$T$7</c:f>
              <c:numCache>
                <c:formatCode>#,##0</c:formatCode>
                <c:ptCount val="5"/>
                <c:pt idx="0">
                  <c:v>13615857.093138969</c:v>
                </c:pt>
                <c:pt idx="1">
                  <c:v>51131761.323307499</c:v>
                </c:pt>
                <c:pt idx="2">
                  <c:v>44066710</c:v>
                </c:pt>
                <c:pt idx="3">
                  <c:v>13236631.575661141</c:v>
                </c:pt>
                <c:pt idx="4">
                  <c:v>68200000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70-4DA2-84B7-6AE3FBF86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68864"/>
        <c:axId val="46070400"/>
      </c:barChart>
      <c:catAx>
        <c:axId val="4606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70400"/>
        <c:crosses val="autoZero"/>
        <c:auto val="1"/>
        <c:lblAlgn val="ctr"/>
        <c:lblOffset val="100"/>
        <c:noMultiLvlLbl val="0"/>
      </c:catAx>
      <c:valAx>
        <c:axId val="460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Energy transported (GWh)</a:t>
                </a:r>
              </a:p>
            </c:rich>
          </c:tx>
          <c:layout>
            <c:manualLayout>
              <c:xMode val="edge"/>
              <c:yMode val="edge"/>
              <c:x val="2.5688295758768721E-3"/>
              <c:y val="0.25338113550076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606886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9063691747995"/>
          <c:y val="3.7449071656417712E-2"/>
          <c:w val="0.87279650154287303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data'!$B$9</c:f>
              <c:strCache>
                <c:ptCount val="1"/>
                <c:pt idx="0">
                  <c:v>Transmission system non-coincident summated maximum demand (MVA)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F7F-4C16-98C2-A5EC7FB7C6B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F7F-4C16-98C2-A5EC7FB7C6BF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F7F-4C16-98C2-A5EC7FB7C6B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F7F-4C16-98C2-A5EC7FB7C6BF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F7F-4C16-98C2-A5EC7FB7C6BF}"/>
              </c:ext>
            </c:extLst>
          </c:dPt>
          <c:cat>
            <c:strRef>
              <c:f>'Physical data'!$B$11:$B$15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data'!$T$11:$T$15</c:f>
              <c:numCache>
                <c:formatCode>#,##0</c:formatCode>
                <c:ptCount val="5"/>
                <c:pt idx="0">
                  <c:v>3155.114829697</c:v>
                </c:pt>
                <c:pt idx="1">
                  <c:v>12875.119141000003</c:v>
                </c:pt>
                <c:pt idx="2">
                  <c:v>9641.1038709999993</c:v>
                </c:pt>
                <c:pt idx="3">
                  <c:v>2420.861424197818</c:v>
                </c:pt>
                <c:pt idx="4">
                  <c:v>18200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7F-4C16-98C2-A5EC7FB7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105344"/>
        <c:axId val="46106880"/>
      </c:barChart>
      <c:catAx>
        <c:axId val="4610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106880"/>
        <c:crosses val="autoZero"/>
        <c:auto val="1"/>
        <c:lblAlgn val="ctr"/>
        <c:lblOffset val="100"/>
        <c:noMultiLvlLbl val="0"/>
      </c:catAx>
      <c:valAx>
        <c:axId val="46106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Maximum</a:t>
                </a:r>
                <a:r>
                  <a:rPr lang="en-AU" b="0" baseline="0"/>
                  <a:t> demand (MVA)</a:t>
                </a:r>
                <a:endParaRPr lang="en-AU" b="0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6105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30B-45FE-BDB3-CBA5F4893EA7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30B-45FE-BDB3-CBA5F4893EA7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30B-45FE-BDB3-CBA5F4893EA7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30B-45FE-BDB3-CBA5F4893EA7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30B-45FE-BDB3-CBA5F4893EA7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30B-45FE-BDB3-CBA5F4893EA7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30B-45FE-BDB3-CBA5F4893EA7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30B-45FE-BDB3-CBA5F4893EA7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30B-45FE-BDB3-CBA5F4893EA7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30B-45FE-BDB3-CBA5F4893EA7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30B-45FE-BDB3-CBA5F4893EA7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30B-45FE-BDB3-CBA5F4893EA7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30B-45FE-BDB3-CBA5F4893EA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30B-45FE-BDB3-CBA5F4893E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30B-45FE-BDB3-CBA5F4893EA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30B-45FE-BDB3-CBA5F4893EA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30B-45FE-BDB3-CBA5F4893EA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30B-45FE-BDB3-CBA5F4893EA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30B-45FE-BDB3-CBA5F4893EA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30B-45FE-BDB3-CBA5F4893EA7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30B-45FE-BDB3-CBA5F4893EA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30B-45FE-BDB3-CBA5F4893EA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30B-45FE-BDB3-CBA5F4893EA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30B-45FE-BDB3-CBA5F4893EA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30B-45FE-BDB3-CBA5F4893EA7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630B-45FE-BDB3-CBA5F4893EA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169074</c:v>
                </c:pt>
                <c:pt idx="1">
                  <c:v>1609696.2</c:v>
                </c:pt>
                <c:pt idx="2">
                  <c:v>314395.72017981031</c:v>
                </c:pt>
                <c:pt idx="3">
                  <c:v>896579.25652216526</c:v>
                </c:pt>
                <c:pt idx="4">
                  <c:v>1325025.9033333333</c:v>
                </c:pt>
                <c:pt idx="5">
                  <c:v>687766</c:v>
                </c:pt>
                <c:pt idx="6">
                  <c:v>832767.6</c:v>
                </c:pt>
                <c:pt idx="7">
                  <c:v>312816.59999999998</c:v>
                </c:pt>
                <c:pt idx="8">
                  <c:v>728996.13955593482</c:v>
                </c:pt>
                <c:pt idx="9">
                  <c:v>833881</c:v>
                </c:pt>
                <c:pt idx="10">
                  <c:v>657790.19999999995</c:v>
                </c:pt>
                <c:pt idx="11">
                  <c:v>274036.43045142054</c:v>
                </c:pt>
                <c:pt idx="12">
                  <c:v>641496.15483870974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30B-45FE-BDB3-CBA5F4893EA7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46194048"/>
        <c:axId val="46199936"/>
      </c:scatterChart>
      <c:valAx>
        <c:axId val="461940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46199936"/>
        <c:crosses val="autoZero"/>
        <c:crossBetween val="midCat"/>
      </c:valAx>
      <c:valAx>
        <c:axId val="46199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61940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A5B-41C0-B388-7571ACEDBFAB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A5B-41C0-B388-7571ACEDBFAB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A5B-41C0-B388-7571ACEDBFAB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A5B-41C0-B388-7571ACEDBFAB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A5B-41C0-B388-7571ACEDBFAB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A5B-41C0-B388-7571ACEDBFAB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A5B-41C0-B388-7571ACEDBFAB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A5B-41C0-B388-7571ACEDBFAB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A5B-41C0-B388-7571ACEDBFAB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A5B-41C0-B388-7571ACEDBFAB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A5B-41C0-B388-7571ACEDBFAB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7A5B-41C0-B388-7571ACEDBFAB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A5B-41C0-B388-7571ACEDBFA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A5B-41C0-B388-7571ACEDBFA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A5B-41C0-B388-7571ACEDBFA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A5B-41C0-B388-7571ACEDBFA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A5B-41C0-B388-7571ACEDBFA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A5B-41C0-B388-7571ACEDBFA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A5B-41C0-B388-7571ACEDBFA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A5B-41C0-B388-7571ACEDBFAB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A5B-41C0-B388-7571ACEDBFA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A5B-41C0-B388-7571ACEDBFA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A5B-41C0-B388-7571ACEDBFA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A5B-41C0-B388-7571ACEDBFA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A5B-41C0-B388-7571ACEDBFAB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A5B-41C0-B388-7571ACEDBFAB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2894863.3612000002</c:v>
                </c:pt>
                <c:pt idx="1">
                  <c:v>29498623.453123212</c:v>
                </c:pt>
                <c:pt idx="2">
                  <c:v>6095543.732903216</c:v>
                </c:pt>
                <c:pt idx="3">
                  <c:v>16968905.781588919</c:v>
                </c:pt>
                <c:pt idx="4">
                  <c:v>21581200</c:v>
                </c:pt>
                <c:pt idx="5">
                  <c:v>13760201.800000001</c:v>
                </c:pt>
                <c:pt idx="6">
                  <c:v>12062537.723719694</c:v>
                </c:pt>
                <c:pt idx="7">
                  <c:v>4372000</c:v>
                </c:pt>
                <c:pt idx="8">
                  <c:v>10587837.423770327</c:v>
                </c:pt>
                <c:pt idx="9">
                  <c:v>11211160</c:v>
                </c:pt>
                <c:pt idx="10">
                  <c:v>7676879.5999999996</c:v>
                </c:pt>
                <c:pt idx="11">
                  <c:v>4428349.8270545658</c:v>
                </c:pt>
                <c:pt idx="12">
                  <c:v>8035224.7425093148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5B-41C0-B388-7571ACEDBFAB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2325760"/>
        <c:axId val="52327936"/>
      </c:scatterChart>
      <c:valAx>
        <c:axId val="523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2327936"/>
        <c:crosses val="autoZero"/>
        <c:crossBetween val="midCat"/>
      </c:valAx>
      <c:valAx>
        <c:axId val="52327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52325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73339033709935109"/>
          <c:h val="0.80182708953541248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Analysis'!$B$21</c:f>
              <c:strCache>
                <c:ptCount val="1"/>
                <c:pt idx="0">
                  <c:v>ENT</c:v>
                </c:pt>
              </c:strCache>
            </c:strRef>
          </c:tx>
          <c:spPr>
            <a:ln w="31750">
              <a:solidFill>
                <a:srgbClr val="F79646">
                  <a:lumMod val="75000"/>
                </a:srgbClr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>
                  <a:lumMod val="75000"/>
                </a:srgb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cat>
            <c:numRef>
              <c:f>'TNSP Analysis'!$D$20:$T$20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Analysis'!$D$21:$T$21</c:f>
              <c:numCache>
                <c:formatCode>#,##0.00</c:formatCode>
                <c:ptCount val="17"/>
                <c:pt idx="0">
                  <c:v>14.533893882206431</c:v>
                </c:pt>
                <c:pt idx="1">
                  <c:v>17.096313978850489</c:v>
                </c:pt>
                <c:pt idx="2">
                  <c:v>15.395351704320305</c:v>
                </c:pt>
                <c:pt idx="3">
                  <c:v>19.832910493103419</c:v>
                </c:pt>
                <c:pt idx="4">
                  <c:v>18.504148362680731</c:v>
                </c:pt>
                <c:pt idx="5">
                  <c:v>19.230066525672473</c:v>
                </c:pt>
                <c:pt idx="6">
                  <c:v>22.278235119098465</c:v>
                </c:pt>
                <c:pt idx="7">
                  <c:v>20.090630050949301</c:v>
                </c:pt>
                <c:pt idx="8">
                  <c:v>18.670292434349925</c:v>
                </c:pt>
                <c:pt idx="9">
                  <c:v>24.758589942279016</c:v>
                </c:pt>
                <c:pt idx="10">
                  <c:v>22.538694914041727</c:v>
                </c:pt>
                <c:pt idx="11">
                  <c:v>21.479484261431303</c:v>
                </c:pt>
                <c:pt idx="12">
                  <c:v>27.403367513506982</c:v>
                </c:pt>
                <c:pt idx="13">
                  <c:v>23.006416004862384</c:v>
                </c:pt>
                <c:pt idx="14">
                  <c:v>23.447523695213174</c:v>
                </c:pt>
                <c:pt idx="15">
                  <c:v>23.564341833361592</c:v>
                </c:pt>
                <c:pt idx="16">
                  <c:v>17.891415294880233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CEA0-496A-88BF-61D2C64237FC}"/>
            </c:ext>
          </c:extLst>
        </c:ser>
        <c:ser>
          <c:idx val="3"/>
          <c:order val="1"/>
          <c:tx>
            <c:strRef>
              <c:f>'TNSP Analysis'!$B$22</c:f>
              <c:strCache>
                <c:ptCount val="1"/>
                <c:pt idx="0">
                  <c:v>PLK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'TNSP Analysis'!$D$20:$T$20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Analysis'!$D$22:$T$22</c:f>
              <c:numCache>
                <c:formatCode>#,##0.00</c:formatCode>
                <c:ptCount val="17"/>
                <c:pt idx="0">
                  <c:v>11.293973345041119</c:v>
                </c:pt>
                <c:pt idx="1">
                  <c:v>11.981908563191274</c:v>
                </c:pt>
                <c:pt idx="2">
                  <c:v>11.742821744467552</c:v>
                </c:pt>
                <c:pt idx="3">
                  <c:v>15.557920087944151</c:v>
                </c:pt>
                <c:pt idx="4">
                  <c:v>15.243249074488553</c:v>
                </c:pt>
                <c:pt idx="5">
                  <c:v>16.454178690366561</c:v>
                </c:pt>
                <c:pt idx="6">
                  <c:v>20.068676181519994</c:v>
                </c:pt>
                <c:pt idx="7">
                  <c:v>17.001666191407061</c:v>
                </c:pt>
                <c:pt idx="8">
                  <c:v>16.047820077471627</c:v>
                </c:pt>
                <c:pt idx="9">
                  <c:v>18.910923807922444</c:v>
                </c:pt>
                <c:pt idx="10">
                  <c:v>17.610781351851575</c:v>
                </c:pt>
                <c:pt idx="11">
                  <c:v>15.659246655169875</c:v>
                </c:pt>
                <c:pt idx="12">
                  <c:v>14.066454305577201</c:v>
                </c:pt>
                <c:pt idx="13">
                  <c:v>14.852899666731995</c:v>
                </c:pt>
                <c:pt idx="14">
                  <c:v>14.219484390114596</c:v>
                </c:pt>
                <c:pt idx="15">
                  <c:v>14.547875325712349</c:v>
                </c:pt>
                <c:pt idx="16">
                  <c:v>10.343501290955498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CEA0-496A-88BF-61D2C64237FC}"/>
            </c:ext>
          </c:extLst>
        </c:ser>
        <c:ser>
          <c:idx val="4"/>
          <c:order val="2"/>
          <c:tx>
            <c:strRef>
              <c:f>'TNSP Analysis'!$B$23</c:f>
              <c:strCache>
                <c:ptCount val="1"/>
                <c:pt idx="0">
                  <c:v>ANT</c:v>
                </c:pt>
              </c:strCache>
            </c:strRef>
          </c:tx>
          <c:spPr>
            <a:ln w="31750">
              <a:solidFill>
                <a:srgbClr val="92D05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'TNSP Analysis'!$D$20:$T$20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Analysis'!$D$23:$T$23</c:f>
              <c:numCache>
                <c:formatCode>#,##0.00</c:formatCode>
                <c:ptCount val="17"/>
                <c:pt idx="0">
                  <c:v>8.3095905489652981</c:v>
                </c:pt>
                <c:pt idx="1">
                  <c:v>7.5288447130203577</c:v>
                </c:pt>
                <c:pt idx="2">
                  <c:v>8.3719504865207686</c:v>
                </c:pt>
                <c:pt idx="3">
                  <c:v>8.5682551033625494</c:v>
                </c:pt>
                <c:pt idx="4">
                  <c:v>9.5181438043490534</c:v>
                </c:pt>
                <c:pt idx="5">
                  <c:v>9.2968690324519248</c:v>
                </c:pt>
                <c:pt idx="6">
                  <c:v>9.0648922239227154</c:v>
                </c:pt>
                <c:pt idx="7">
                  <c:v>8.9156747952905437</c:v>
                </c:pt>
                <c:pt idx="8">
                  <c:v>7.7136404592546199</c:v>
                </c:pt>
                <c:pt idx="9">
                  <c:v>8.9752574835245422</c:v>
                </c:pt>
                <c:pt idx="10">
                  <c:v>8.5234656251596519</c:v>
                </c:pt>
                <c:pt idx="11">
                  <c:v>9.4206884673056184</c:v>
                </c:pt>
                <c:pt idx="12">
                  <c:v>9.9036306229558022</c:v>
                </c:pt>
                <c:pt idx="13">
                  <c:v>9.8354522141615206</c:v>
                </c:pt>
                <c:pt idx="14">
                  <c:v>9.531651639532269</c:v>
                </c:pt>
                <c:pt idx="15">
                  <c:v>9.0550251538654773</c:v>
                </c:pt>
                <c:pt idx="16">
                  <c:v>6.1839151721056274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CEA0-496A-88BF-61D2C64237FC}"/>
            </c:ext>
          </c:extLst>
        </c:ser>
        <c:ser>
          <c:idx val="5"/>
          <c:order val="3"/>
          <c:tx>
            <c:strRef>
              <c:f>'TNSP Analysis'!$B$24</c:f>
              <c:strCache>
                <c:ptCount val="1"/>
                <c:pt idx="0">
                  <c:v>TNT</c:v>
                </c:pt>
              </c:strCache>
            </c:strRef>
          </c:tx>
          <c:spPr>
            <a:ln w="31750">
              <a:solidFill>
                <a:srgbClr val="006D2C"/>
              </a:solidFill>
            </a:ln>
          </c:spPr>
          <c:marker>
            <c:symbol val="triangle"/>
            <c:size val="5"/>
            <c:spPr>
              <a:solidFill>
                <a:srgbClr val="006D2C"/>
              </a:solidFill>
              <a:ln w="19050">
                <a:solidFill>
                  <a:srgbClr val="006D2C"/>
                </a:solidFill>
              </a:ln>
            </c:spPr>
          </c:marker>
          <c:cat>
            <c:numRef>
              <c:f>'TNSP Analysis'!$D$20:$T$20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Analysis'!$D$24:$T$24</c:f>
              <c:numCache>
                <c:formatCode>#,##0.00</c:formatCode>
                <c:ptCount val="17"/>
                <c:pt idx="0">
                  <c:v>15.306740993571685</c:v>
                </c:pt>
                <c:pt idx="1">
                  <c:v>11.835080194419914</c:v>
                </c:pt>
                <c:pt idx="2">
                  <c:v>13.486966527956945</c:v>
                </c:pt>
                <c:pt idx="3">
                  <c:v>12.780945155431748</c:v>
                </c:pt>
                <c:pt idx="4">
                  <c:v>15.004277704919341</c:v>
                </c:pt>
                <c:pt idx="5">
                  <c:v>15.245455458387617</c:v>
                </c:pt>
                <c:pt idx="6">
                  <c:v>18.869843679494998</c:v>
                </c:pt>
                <c:pt idx="7">
                  <c:v>15.502787856122717</c:v>
                </c:pt>
                <c:pt idx="8">
                  <c:v>13.639795042963929</c:v>
                </c:pt>
                <c:pt idx="9">
                  <c:v>14.467006503126774</c:v>
                </c:pt>
                <c:pt idx="10">
                  <c:v>15.178921215089707</c:v>
                </c:pt>
                <c:pt idx="11">
                  <c:v>14.123010725037522</c:v>
                </c:pt>
                <c:pt idx="12">
                  <c:v>12.556139268250407</c:v>
                </c:pt>
                <c:pt idx="13">
                  <c:v>12.307200638370757</c:v>
                </c:pt>
                <c:pt idx="14">
                  <c:v>10.768155714875768</c:v>
                </c:pt>
                <c:pt idx="15">
                  <c:v>10.473581474238562</c:v>
                </c:pt>
                <c:pt idx="16">
                  <c:v>7.4229378404487587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CEA0-496A-88BF-61D2C64237FC}"/>
            </c:ext>
          </c:extLst>
        </c:ser>
        <c:ser>
          <c:idx val="0"/>
          <c:order val="4"/>
          <c:tx>
            <c:strRef>
              <c:f>'TNSP Analysis'!$B$25</c:f>
              <c:strCache>
                <c:ptCount val="1"/>
                <c:pt idx="0">
                  <c:v>TRG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'TNSP Analysis'!$D$20:$T$20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Analysis'!$D$25:$T$25</c:f>
              <c:numCache>
                <c:formatCode>#,##0.00</c:formatCode>
                <c:ptCount val="17"/>
                <c:pt idx="0">
                  <c:v>7.0886083864711793</c:v>
                </c:pt>
                <c:pt idx="1">
                  <c:v>7.2643220481396913</c:v>
                </c:pt>
                <c:pt idx="2">
                  <c:v>6.4460636387164989</c:v>
                </c:pt>
                <c:pt idx="3">
                  <c:v>8.6186460455214124</c:v>
                </c:pt>
                <c:pt idx="4">
                  <c:v>9.0026926794515081</c:v>
                </c:pt>
                <c:pt idx="5">
                  <c:v>9.1534362136806475</c:v>
                </c:pt>
                <c:pt idx="6">
                  <c:v>11.263503722508906</c:v>
                </c:pt>
                <c:pt idx="7">
                  <c:v>10.234882064498169</c:v>
                </c:pt>
                <c:pt idx="8">
                  <c:v>10.343280849081513</c:v>
                </c:pt>
                <c:pt idx="9">
                  <c:v>11.13154184579056</c:v>
                </c:pt>
                <c:pt idx="10">
                  <c:v>10.697305524594309</c:v>
                </c:pt>
                <c:pt idx="11">
                  <c:v>10.635561389250309</c:v>
                </c:pt>
                <c:pt idx="12">
                  <c:v>9.1741656224704435</c:v>
                </c:pt>
                <c:pt idx="13">
                  <c:v>9.172509975807122</c:v>
                </c:pt>
                <c:pt idx="14">
                  <c:v>8.9998851745433246</c:v>
                </c:pt>
                <c:pt idx="15">
                  <c:v>9.3199576710114425</c:v>
                </c:pt>
                <c:pt idx="16">
                  <c:v>7.0386341399188392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CEA0-496A-88BF-61D2C6423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MWh of energy transported </a:t>
                </a:r>
              </a:p>
            </c:rich>
          </c:tx>
          <c:layout>
            <c:manualLayout>
              <c:xMode val="edge"/>
              <c:yMode val="edge"/>
              <c:x val="2.5935179811358646E-2"/>
              <c:y val="9.3092357912083853E-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7580709926067084"/>
          <c:h val="0.7947149909752782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Analysis'!$B$45</c:f>
              <c:strCache>
                <c:ptCount val="1"/>
                <c:pt idx="0">
                  <c:v>ENT</c:v>
                </c:pt>
              </c:strCache>
            </c:strRef>
          </c:tx>
          <c:spPr>
            <a:ln w="31750">
              <a:solidFill>
                <a:srgbClr val="F79646">
                  <a:lumMod val="75000"/>
                </a:srgbClr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>
                  <a:lumMod val="75000"/>
                </a:srgb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cat>
            <c:numRef>
              <c:f>'TNSP Analysis'!$D$44:$T$44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Analysis'!$D$45:$T$45</c:f>
              <c:numCache>
                <c:formatCode>#,##0</c:formatCode>
                <c:ptCount val="17"/>
                <c:pt idx="0">
                  <c:v>39188.622876515277</c:v>
                </c:pt>
                <c:pt idx="1">
                  <c:v>43338.487052161785</c:v>
                </c:pt>
                <c:pt idx="2">
                  <c:v>36498.364638124171</c:v>
                </c:pt>
                <c:pt idx="3">
                  <c:v>48697.290616338018</c:v>
                </c:pt>
                <c:pt idx="4">
                  <c:v>46571.600061188125</c:v>
                </c:pt>
                <c:pt idx="5">
                  <c:v>48493.902960692663</c:v>
                </c:pt>
                <c:pt idx="6">
                  <c:v>56694.215147429859</c:v>
                </c:pt>
                <c:pt idx="7">
                  <c:v>51917.548882799529</c:v>
                </c:pt>
                <c:pt idx="8">
                  <c:v>47126.474406259091</c:v>
                </c:pt>
                <c:pt idx="9">
                  <c:v>60335.797965399252</c:v>
                </c:pt>
                <c:pt idx="10">
                  <c:v>58130.079050106273</c:v>
                </c:pt>
                <c:pt idx="11">
                  <c:v>56524.33281201715</c:v>
                </c:pt>
                <c:pt idx="12">
                  <c:v>56794.15987410384</c:v>
                </c:pt>
                <c:pt idx="13">
                  <c:v>57537.082936073741</c:v>
                </c:pt>
                <c:pt idx="14">
                  <c:v>58863.360262243594</c:v>
                </c:pt>
                <c:pt idx="15">
                  <c:v>58201.256775026508</c:v>
                </c:pt>
                <c:pt idx="16">
                  <c:v>44147.378053886547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0A-4E0A-B7DF-0179FE5A49E3}"/>
            </c:ext>
          </c:extLst>
        </c:ser>
        <c:ser>
          <c:idx val="3"/>
          <c:order val="1"/>
          <c:tx>
            <c:strRef>
              <c:f>'TNSP Analysis'!$B$46</c:f>
              <c:strCache>
                <c:ptCount val="1"/>
                <c:pt idx="0">
                  <c:v>PLK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'TNSP Analysis'!$D$44:$T$44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Analysis'!$D$46:$T$46</c:f>
              <c:numCache>
                <c:formatCode>#,##0</c:formatCode>
                <c:ptCount val="17"/>
                <c:pt idx="0">
                  <c:v>49271.139623904499</c:v>
                </c:pt>
                <c:pt idx="1">
                  <c:v>52353.817125613547</c:v>
                </c:pt>
                <c:pt idx="2">
                  <c:v>48362.163967893997</c:v>
                </c:pt>
                <c:pt idx="3">
                  <c:v>63116.350457287575</c:v>
                </c:pt>
                <c:pt idx="4">
                  <c:v>60474.22233342634</c:v>
                </c:pt>
                <c:pt idx="5">
                  <c:v>62179.931176346836</c:v>
                </c:pt>
                <c:pt idx="6">
                  <c:v>74517.287914748842</c:v>
                </c:pt>
                <c:pt idx="7">
                  <c:v>58599.165625906993</c:v>
                </c:pt>
                <c:pt idx="8">
                  <c:v>51724.094628053739</c:v>
                </c:pt>
                <c:pt idx="9">
                  <c:v>68042.622052826337</c:v>
                </c:pt>
                <c:pt idx="10">
                  <c:v>63103.524601455618</c:v>
                </c:pt>
                <c:pt idx="11">
                  <c:v>58459.714907013862</c:v>
                </c:pt>
                <c:pt idx="12">
                  <c:v>53109.139338669542</c:v>
                </c:pt>
                <c:pt idx="13">
                  <c:v>54974.495784332954</c:v>
                </c:pt>
                <c:pt idx="14">
                  <c:v>51948.527631454293</c:v>
                </c:pt>
                <c:pt idx="15">
                  <c:v>51831.987136291369</c:v>
                </c:pt>
                <c:pt idx="16">
                  <c:v>36386.25125601708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0A-4E0A-B7DF-0179FE5A49E3}"/>
            </c:ext>
          </c:extLst>
        </c:ser>
        <c:ser>
          <c:idx val="4"/>
          <c:order val="2"/>
          <c:tx>
            <c:strRef>
              <c:f>'TNSP Analysis'!$B$47</c:f>
              <c:strCache>
                <c:ptCount val="1"/>
                <c:pt idx="0">
                  <c:v>ANT</c:v>
                </c:pt>
              </c:strCache>
            </c:strRef>
          </c:tx>
          <c:spPr>
            <a:ln w="31750">
              <a:solidFill>
                <a:srgbClr val="92D05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'TNSP Analysis'!$D$44:$T$44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Analysis'!$D$47:$T$47</c:f>
              <c:numCache>
                <c:formatCode>#,##0</c:formatCode>
                <c:ptCount val="17"/>
                <c:pt idx="0">
                  <c:v>57124.547201071015</c:v>
                </c:pt>
                <c:pt idx="1">
                  <c:v>52639.415531995262</c:v>
                </c:pt>
                <c:pt idx="2">
                  <c:v>57375.459140998784</c:v>
                </c:pt>
                <c:pt idx="3">
                  <c:v>61813.422008801135</c:v>
                </c:pt>
                <c:pt idx="4">
                  <c:v>70921.44634050371</c:v>
                </c:pt>
                <c:pt idx="5">
                  <c:v>67959.180525227697</c:v>
                </c:pt>
                <c:pt idx="6">
                  <c:v>65548.233278348736</c:v>
                </c:pt>
                <c:pt idx="7">
                  <c:v>66540.569442827502</c:v>
                </c:pt>
                <c:pt idx="8">
                  <c:v>56920.835959181291</c:v>
                </c:pt>
                <c:pt idx="9">
                  <c:v>65495.780893586765</c:v>
                </c:pt>
                <c:pt idx="10">
                  <c:v>62124.716253946572</c:v>
                </c:pt>
                <c:pt idx="11">
                  <c:v>67250.935869577457</c:v>
                </c:pt>
                <c:pt idx="12">
                  <c:v>62386.240321576217</c:v>
                </c:pt>
                <c:pt idx="13">
                  <c:v>61555.319856103139</c:v>
                </c:pt>
                <c:pt idx="14">
                  <c:v>58805.878028316314</c:v>
                </c:pt>
                <c:pt idx="15">
                  <c:v>56823.973283441112</c:v>
                </c:pt>
                <c:pt idx="16">
                  <c:v>41110.80132273052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0A-4E0A-B7DF-0179FE5A49E3}"/>
            </c:ext>
          </c:extLst>
        </c:ser>
        <c:ser>
          <c:idx val="5"/>
          <c:order val="3"/>
          <c:tx>
            <c:strRef>
              <c:f>'TNSP Analysis'!$B$48</c:f>
              <c:strCache>
                <c:ptCount val="1"/>
                <c:pt idx="0">
                  <c:v>TNT</c:v>
                </c:pt>
              </c:strCache>
            </c:strRef>
          </c:tx>
          <c:spPr>
            <a:ln w="31750">
              <a:solidFill>
                <a:srgbClr val="006D2C"/>
              </a:solidFill>
            </a:ln>
          </c:spPr>
          <c:marker>
            <c:symbol val="triangle"/>
            <c:size val="5"/>
            <c:spPr>
              <a:solidFill>
                <a:srgbClr val="006D2C"/>
              </a:solidFill>
              <a:ln w="19050">
                <a:solidFill>
                  <a:srgbClr val="006D2C"/>
                </a:solidFill>
              </a:ln>
            </c:spPr>
          </c:marker>
          <c:cat>
            <c:numRef>
              <c:f>'TNSP Analysis'!$D$44:$T$44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Analysis'!$D$48:$T$48</c:f>
              <c:numCache>
                <c:formatCode>#,##0</c:formatCode>
                <c:ptCount val="17"/>
                <c:pt idx="0">
                  <c:v>45006.463584656398</c:v>
                </c:pt>
                <c:pt idx="1">
                  <c:v>41914.320577686689</c:v>
                </c:pt>
                <c:pt idx="2">
                  <c:v>50266.016960256929</c:v>
                </c:pt>
                <c:pt idx="3">
                  <c:v>48696.737118045654</c:v>
                </c:pt>
                <c:pt idx="4">
                  <c:v>56159.74475109081</c:v>
                </c:pt>
                <c:pt idx="5">
                  <c:v>57207.850423757744</c:v>
                </c:pt>
                <c:pt idx="6">
                  <c:v>68006.861523311571</c:v>
                </c:pt>
                <c:pt idx="7">
                  <c:v>56937.186701546831</c:v>
                </c:pt>
                <c:pt idx="8">
                  <c:v>52008.438857234054</c:v>
                </c:pt>
                <c:pt idx="9">
                  <c:v>53219.130917900882</c:v>
                </c:pt>
                <c:pt idx="10">
                  <c:v>49640.50258842214</c:v>
                </c:pt>
                <c:pt idx="11">
                  <c:v>49247.247909987876</c:v>
                </c:pt>
                <c:pt idx="12">
                  <c:v>44039.019087693021</c:v>
                </c:pt>
                <c:pt idx="13">
                  <c:v>44728.905052149443</c:v>
                </c:pt>
                <c:pt idx="14">
                  <c:v>39893.280018556761</c:v>
                </c:pt>
                <c:pt idx="15">
                  <c:v>40357.05253590893</c:v>
                </c:pt>
                <c:pt idx="16">
                  <c:v>29234.228746556833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60A-4E0A-B7DF-0179FE5A49E3}"/>
            </c:ext>
          </c:extLst>
        </c:ser>
        <c:ser>
          <c:idx val="0"/>
          <c:order val="4"/>
          <c:tx>
            <c:strRef>
              <c:f>'TNSP Analysis'!$B$49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'TNSP Analysis'!$D$44:$T$44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Analysis'!$D$49:$T$49</c:f>
              <c:numCache>
                <c:formatCode>#,##0</c:formatCode>
                <c:ptCount val="17"/>
                <c:pt idx="0">
                  <c:v>46154.104170275445</c:v>
                </c:pt>
                <c:pt idx="1">
                  <c:v>48133.079375250105</c:v>
                </c:pt>
                <c:pt idx="2">
                  <c:v>42464.139872731488</c:v>
                </c:pt>
                <c:pt idx="3">
                  <c:v>55813.520352406238</c:v>
                </c:pt>
                <c:pt idx="4">
                  <c:v>57214.222412529911</c:v>
                </c:pt>
                <c:pt idx="5">
                  <c:v>57597.547761848211</c:v>
                </c:pt>
                <c:pt idx="6">
                  <c:v>67950.722166235631</c:v>
                </c:pt>
                <c:pt idx="7">
                  <c:v>56438.787873551679</c:v>
                </c:pt>
                <c:pt idx="8">
                  <c:v>54237.630356977839</c:v>
                </c:pt>
                <c:pt idx="9">
                  <c:v>63585.541278870318</c:v>
                </c:pt>
                <c:pt idx="10">
                  <c:v>59232.602846702517</c:v>
                </c:pt>
                <c:pt idx="11">
                  <c:v>60992.520859495962</c:v>
                </c:pt>
                <c:pt idx="12">
                  <c:v>53056.619350124151</c:v>
                </c:pt>
                <c:pt idx="13">
                  <c:v>52284.333748486286</c:v>
                </c:pt>
                <c:pt idx="14">
                  <c:v>50265.778714037464</c:v>
                </c:pt>
                <c:pt idx="15">
                  <c:v>50965.630810888062</c:v>
                </c:pt>
                <c:pt idx="16">
                  <c:v>36714.387189388421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60A-4E0A-B7DF-0179FE5A4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km of transmission circuit length </a:t>
                </a:r>
              </a:p>
            </c:rich>
          </c:tx>
          <c:layout>
            <c:manualLayout>
              <c:xMode val="edge"/>
              <c:yMode val="edge"/>
              <c:x val="3.2768806438034599E-2"/>
              <c:y val="0.11602531056241923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78169407127062263"/>
          <c:h val="0.79374771636235975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Analysis'!$B$29</c:f>
              <c:strCache>
                <c:ptCount val="1"/>
                <c:pt idx="0">
                  <c:v>ENT</c:v>
                </c:pt>
              </c:strCache>
            </c:strRef>
          </c:tx>
          <c:spPr>
            <a:ln w="31750">
              <a:solidFill>
                <a:srgbClr val="F79646">
                  <a:lumMod val="75000"/>
                </a:srgbClr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>
                  <a:lumMod val="75000"/>
                </a:srgb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cat>
            <c:numRef>
              <c:f>'TNSP Analysis'!$D$28:$T$28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Analysis'!$D$29:$T$29</c:f>
              <c:numCache>
                <c:formatCode>#,##0</c:formatCode>
                <c:ptCount val="17"/>
                <c:pt idx="0">
                  <c:v>281.80074543803784</c:v>
                </c:pt>
                <c:pt idx="1">
                  <c:v>306.85499970704927</c:v>
                </c:pt>
                <c:pt idx="2">
                  <c:v>257.86687339697619</c:v>
                </c:pt>
                <c:pt idx="3">
                  <c:v>329.06645542315454</c:v>
                </c:pt>
                <c:pt idx="4">
                  <c:v>309.83395690385169</c:v>
                </c:pt>
                <c:pt idx="5">
                  <c:v>319.28866440214233</c:v>
                </c:pt>
                <c:pt idx="6">
                  <c:v>371.13668352246879</c:v>
                </c:pt>
                <c:pt idx="7">
                  <c:v>338.49719368291852</c:v>
                </c:pt>
                <c:pt idx="8">
                  <c:v>305.93040640389347</c:v>
                </c:pt>
                <c:pt idx="9">
                  <c:v>390.11568479769539</c:v>
                </c:pt>
                <c:pt idx="10">
                  <c:v>373.99656793613622</c:v>
                </c:pt>
                <c:pt idx="11">
                  <c:v>355.22046310500309</c:v>
                </c:pt>
                <c:pt idx="12">
                  <c:v>350.65742510073278</c:v>
                </c:pt>
                <c:pt idx="13">
                  <c:v>350.01519365494022</c:v>
                </c:pt>
                <c:pt idx="14">
                  <c:v>355.23715445161923</c:v>
                </c:pt>
                <c:pt idx="15">
                  <c:v>348.58137407974112</c:v>
                </c:pt>
                <c:pt idx="16">
                  <c:v>262.30143976239577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F9-4EE8-A140-D8A934B90B89}"/>
            </c:ext>
          </c:extLst>
        </c:ser>
        <c:ser>
          <c:idx val="3"/>
          <c:order val="1"/>
          <c:tx>
            <c:strRef>
              <c:f>'TNSP Analysis'!$B$30</c:f>
              <c:strCache>
                <c:ptCount val="1"/>
                <c:pt idx="0">
                  <c:v>PLK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'TNSP Analysis'!$D$28:$T$28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Analysis'!$D$30:$T$30</c:f>
              <c:numCache>
                <c:formatCode>#,##0</c:formatCode>
                <c:ptCount val="17"/>
                <c:pt idx="0">
                  <c:v>313.97112065017558</c:v>
                </c:pt>
                <c:pt idx="1">
                  <c:v>332.74128809563456</c:v>
                </c:pt>
                <c:pt idx="2">
                  <c:v>314.4578587529744</c:v>
                </c:pt>
                <c:pt idx="3">
                  <c:v>416.27019688132776</c:v>
                </c:pt>
                <c:pt idx="4">
                  <c:v>405.93466602616849</c:v>
                </c:pt>
                <c:pt idx="5">
                  <c:v>423.83687925742709</c:v>
                </c:pt>
                <c:pt idx="6">
                  <c:v>499.75598006834105</c:v>
                </c:pt>
                <c:pt idx="7">
                  <c:v>405.16976835479863</c:v>
                </c:pt>
                <c:pt idx="8">
                  <c:v>364.12955309222912</c:v>
                </c:pt>
                <c:pt idx="9">
                  <c:v>472.3329123675864</c:v>
                </c:pt>
                <c:pt idx="10">
                  <c:v>430.90129776416012</c:v>
                </c:pt>
                <c:pt idx="11">
                  <c:v>387.26681774122596</c:v>
                </c:pt>
                <c:pt idx="12">
                  <c:v>345.37521671143315</c:v>
                </c:pt>
                <c:pt idx="13">
                  <c:v>352.99975584492427</c:v>
                </c:pt>
                <c:pt idx="14">
                  <c:v>331.23470173385675</c:v>
                </c:pt>
                <c:pt idx="15">
                  <c:v>327.11334275428266</c:v>
                </c:pt>
                <c:pt idx="16">
                  <c:v>225.41246697711208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F9-4EE8-A140-D8A934B90B89}"/>
            </c:ext>
          </c:extLst>
        </c:ser>
        <c:ser>
          <c:idx val="4"/>
          <c:order val="2"/>
          <c:tx>
            <c:strRef>
              <c:f>'TNSP Analysis'!$B$31</c:f>
              <c:strCache>
                <c:ptCount val="1"/>
                <c:pt idx="0">
                  <c:v>ANT</c:v>
                </c:pt>
              </c:strCache>
            </c:strRef>
          </c:tx>
          <c:spPr>
            <a:ln w="31750">
              <a:solidFill>
                <a:srgbClr val="92D05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'TNSP Analysis'!$D$28:$T$28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Analysis'!$D$31:$T$31</c:f>
              <c:numCache>
                <c:formatCode>#,##0</c:formatCode>
                <c:ptCount val="17"/>
                <c:pt idx="0">
                  <c:v>152.00069725766633</c:v>
                </c:pt>
                <c:pt idx="1">
                  <c:v>137.86315971627195</c:v>
                </c:pt>
                <c:pt idx="2">
                  <c:v>148.1387086531565</c:v>
                </c:pt>
                <c:pt idx="3">
                  <c:v>157.54361195580819</c:v>
                </c:pt>
                <c:pt idx="4">
                  <c:v>178.29981081772624</c:v>
                </c:pt>
                <c:pt idx="5">
                  <c:v>168.64823279971213</c:v>
                </c:pt>
                <c:pt idx="6">
                  <c:v>160.06922907442123</c:v>
                </c:pt>
                <c:pt idx="7">
                  <c:v>159.97159009010846</c:v>
                </c:pt>
                <c:pt idx="8">
                  <c:v>135.5222707447343</c:v>
                </c:pt>
                <c:pt idx="9">
                  <c:v>153.3011474679854</c:v>
                </c:pt>
                <c:pt idx="10">
                  <c:v>142.58692202637562</c:v>
                </c:pt>
                <c:pt idx="11">
                  <c:v>151.3902164719058</c:v>
                </c:pt>
                <c:pt idx="12">
                  <c:v>139.64967953891491</c:v>
                </c:pt>
                <c:pt idx="13">
                  <c:v>135.12727177305837</c:v>
                </c:pt>
                <c:pt idx="14">
                  <c:v>129.49592671230442</c:v>
                </c:pt>
                <c:pt idx="15">
                  <c:v>124.08780153221974</c:v>
                </c:pt>
                <c:pt idx="16">
                  <c:v>87.011487885828501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F9-4EE8-A140-D8A934B90B89}"/>
            </c:ext>
          </c:extLst>
        </c:ser>
        <c:ser>
          <c:idx val="5"/>
          <c:order val="3"/>
          <c:tx>
            <c:strRef>
              <c:f>'TNSP Analysis'!$B$32</c:f>
              <c:strCache>
                <c:ptCount val="1"/>
                <c:pt idx="0">
                  <c:v>TNT</c:v>
                </c:pt>
              </c:strCache>
            </c:strRef>
          </c:tx>
          <c:spPr>
            <a:ln w="31750">
              <a:solidFill>
                <a:srgbClr val="006D2C"/>
              </a:solidFill>
            </a:ln>
          </c:spPr>
          <c:marker>
            <c:symbol val="triangle"/>
            <c:size val="5"/>
            <c:spPr>
              <a:solidFill>
                <a:srgbClr val="006D2C"/>
              </a:solidFill>
              <a:ln w="19050">
                <a:solidFill>
                  <a:srgbClr val="006D2C"/>
                </a:solidFill>
              </a:ln>
            </c:spPr>
          </c:marker>
          <c:cat>
            <c:numRef>
              <c:f>'TNSP Analysis'!$D$28:$T$28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Analysis'!$D$32:$T$32</c:f>
              <c:numCache>
                <c:formatCode>#,##0</c:formatCode>
                <c:ptCount val="17"/>
                <c:pt idx="0">
                  <c:v>643.0738301465525</c:v>
                </c:pt>
                <c:pt idx="1">
                  <c:v>594.26819043019987</c:v>
                </c:pt>
                <c:pt idx="2">
                  <c:v>699.16141306808549</c:v>
                </c:pt>
                <c:pt idx="3">
                  <c:v>645.76379311492326</c:v>
                </c:pt>
                <c:pt idx="4">
                  <c:v>722.48547146588965</c:v>
                </c:pt>
                <c:pt idx="5">
                  <c:v>724.46160943303005</c:v>
                </c:pt>
                <c:pt idx="6">
                  <c:v>853.35918187086145</c:v>
                </c:pt>
                <c:pt idx="7">
                  <c:v>712.69949790972521</c:v>
                </c:pt>
                <c:pt idx="8">
                  <c:v>649.07272686723661</c:v>
                </c:pt>
                <c:pt idx="9">
                  <c:v>670.02644979358854</c:v>
                </c:pt>
                <c:pt idx="10">
                  <c:v>620.00826802544464</c:v>
                </c:pt>
                <c:pt idx="11">
                  <c:v>610.1216830637477</c:v>
                </c:pt>
                <c:pt idx="12">
                  <c:v>542.22858715023233</c:v>
                </c:pt>
                <c:pt idx="13">
                  <c:v>545.9634981748078</c:v>
                </c:pt>
                <c:pt idx="14">
                  <c:v>454.71805658162504</c:v>
                </c:pt>
                <c:pt idx="15">
                  <c:v>454.23445152337212</c:v>
                </c:pt>
                <c:pt idx="16">
                  <c:v>326.35870307444782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F9-4EE8-A140-D8A934B90B89}"/>
            </c:ext>
          </c:extLst>
        </c:ser>
        <c:ser>
          <c:idx val="0"/>
          <c:order val="4"/>
          <c:tx>
            <c:strRef>
              <c:f>'TNSP Analysis'!$B$33</c:f>
              <c:strCache>
                <c:ptCount val="1"/>
                <c:pt idx="0">
                  <c:v>TRG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'TNSP Analysis'!$D$28:$T$28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'TNSP Analysis'!$D$33:$T$33</c:f>
              <c:numCache>
                <c:formatCode>#,##0</c:formatCode>
                <c:ptCount val="17"/>
                <c:pt idx="0">
                  <c:v>172.49123592526371</c:v>
                </c:pt>
                <c:pt idx="1">
                  <c:v>178.23204080228768</c:v>
                </c:pt>
                <c:pt idx="2">
                  <c:v>155.62034694654983</c:v>
                </c:pt>
                <c:pt idx="3">
                  <c:v>202.75224723432447</c:v>
                </c:pt>
                <c:pt idx="4">
                  <c:v>208.92628446467154</c:v>
                </c:pt>
                <c:pt idx="5">
                  <c:v>208.27128422538291</c:v>
                </c:pt>
                <c:pt idx="6">
                  <c:v>243.93276606594142</c:v>
                </c:pt>
                <c:pt idx="7">
                  <c:v>203.49918143743022</c:v>
                </c:pt>
                <c:pt idx="8">
                  <c:v>193.50151309381769</c:v>
                </c:pt>
                <c:pt idx="9">
                  <c:v>225.40335882161784</c:v>
                </c:pt>
                <c:pt idx="10">
                  <c:v>207.58279388743443</c:v>
                </c:pt>
                <c:pt idx="11">
                  <c:v>211.32720366277849</c:v>
                </c:pt>
                <c:pt idx="12">
                  <c:v>181.02675310470167</c:v>
                </c:pt>
                <c:pt idx="13">
                  <c:v>175.48890024926948</c:v>
                </c:pt>
                <c:pt idx="14">
                  <c:v>166.33300241851617</c:v>
                </c:pt>
                <c:pt idx="15">
                  <c:v>166.57648197671807</c:v>
                </c:pt>
                <c:pt idx="16">
                  <c:v>119.16528995463976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F9-4EE8-A140-D8A934B9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end user</a:t>
                </a:r>
              </a:p>
            </c:rich>
          </c:tx>
          <c:layout>
            <c:manualLayout>
              <c:xMode val="edge"/>
              <c:yMode val="edge"/>
              <c:x val="3.1167807013700782E-2"/>
              <c:y val="0.30775903354731399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899903690436"/>
          <c:y val="3.7448982602920851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2A-459E-8AE3-FCE64AB8F02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3175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2A-459E-8AE3-FCE64AB8F02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2A-459E-8AE3-FCE64AB8F02D}"/>
              </c:ext>
            </c:extLst>
          </c:dPt>
          <c:dPt>
            <c:idx val="3"/>
            <c:invertIfNegative val="0"/>
            <c:bubble3D val="0"/>
            <c:spPr>
              <a:solidFill>
                <a:srgbClr val="006D2C"/>
              </a:solidFill>
              <a:ln w="3175">
                <a:solidFill>
                  <a:srgbClr val="006D2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2A-459E-8AE3-FCE64AB8F02D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3175"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2A-459E-8AE3-FCE64AB8F02D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2A-459E-8AE3-FCE64AB8F02D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2A-459E-8AE3-FCE64AB8F02D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2A-459E-8AE3-FCE64AB8F02D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2A-459E-8AE3-FCE64AB8F02D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2A-459E-8AE3-FCE64AB8F02D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2A-459E-8AE3-FCE64AB8F02D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02A-459E-8AE3-FCE64AB8F02D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02A-459E-8AE3-FCE64AB8F02D}"/>
              </c:ext>
            </c:extLst>
          </c:dPt>
          <c:cat>
            <c:strRef>
              <c:f>'Physical data'!$B$40:$B$44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data'!$U$40:$U$44</c:f>
              <c:numCache>
                <c:formatCode>#,##0.0</c:formatCode>
                <c:ptCount val="5"/>
                <c:pt idx="0">
                  <c:v>165.46495417710676</c:v>
                </c:pt>
                <c:pt idx="1">
                  <c:v>157.24278919126905</c:v>
                </c:pt>
                <c:pt idx="2">
                  <c:v>457.35852334426983</c:v>
                </c:pt>
                <c:pt idx="3">
                  <c:v>85.860057958854824</c:v>
                </c:pt>
                <c:pt idx="4">
                  <c:v>301.45555616484904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02A-459E-8AE3-FCE64AB8F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Connection density (end user per km)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'Physical data'!$T$47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98D-440C-ACD2-0230351807C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98D-440C-ACD2-0230351807C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98D-440C-ACD2-0230351807CD}"/>
              </c:ext>
            </c:extLst>
          </c:dPt>
          <c:dPt>
            <c:idx val="3"/>
            <c:invertIfNegative val="0"/>
            <c:bubble3D val="0"/>
            <c:spPr>
              <a:solidFill>
                <a:srgbClr val="006D2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98D-440C-ACD2-0230351807CD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98D-440C-ACD2-0230351807CD}"/>
              </c:ext>
            </c:extLst>
          </c:dPt>
          <c:cat>
            <c:strRef>
              <c:f>'Physical data'!$B$48:$B$52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data'!$T$48:$T$52</c:f>
              <c:numCache>
                <c:formatCode>_(* #,##0_);_(* \(#,##0\);_(* "-"??_);_(@_)</c:formatCode>
                <c:ptCount val="5"/>
                <c:pt idx="0">
                  <c:v>928729</c:v>
                </c:pt>
                <c:pt idx="1">
                  <c:v>2346283</c:v>
                </c:pt>
                <c:pt idx="2">
                  <c:v>3131825.5</c:v>
                </c:pt>
                <c:pt idx="3">
                  <c:v>301063.49999999983</c:v>
                </c:pt>
                <c:pt idx="4">
                  <c:v>4028311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8D-440C-ACD2-023035180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51554176"/>
        <c:axId val="51555712"/>
      </c:barChart>
      <c:catAx>
        <c:axId val="5155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555712"/>
        <c:crosses val="autoZero"/>
        <c:auto val="1"/>
        <c:lblAlgn val="ctr"/>
        <c:lblOffset val="100"/>
        <c:noMultiLvlLbl val="0"/>
      </c:catAx>
      <c:valAx>
        <c:axId val="515557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51554176"/>
        <c:crosses val="autoZero"/>
        <c:crossBetween val="between"/>
        <c:majorUnit val="1000000"/>
        <c:minorUnit val="500000"/>
        <c:dispUnits>
          <c:builtInUnit val="millions"/>
          <c:dispUnitsLbl>
            <c:layout>
              <c:manualLayout>
                <c:xMode val="edge"/>
                <c:yMode val="edge"/>
                <c:x val="1.5216357584403234E-2"/>
                <c:y val="0.22497317692965069"/>
              </c:manualLayout>
            </c:layout>
            <c:tx>
              <c:rich>
                <a:bodyPr/>
                <a:lstStyle/>
                <a:p>
                  <a:pPr>
                    <a:defRPr b="1"/>
                  </a:pPr>
                  <a:r>
                    <a:rPr lang="en-US" b="1"/>
                    <a:t>Total number of end users (millons)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data'!$D$25</c:f>
              <c:strCache>
                <c:ptCount val="1"/>
                <c:pt idx="0">
                  <c:v>km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2AB-4F81-8570-1F2106DA406C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2AB-4F81-8570-1F2106DA406C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2AB-4F81-8570-1F2106DA40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2AB-4F81-8570-1F2106DA406C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2AB-4F81-8570-1F2106DA406C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2AB-4F81-8570-1F2106DA406C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2AB-4F81-8570-1F2106DA406C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2AB-4F81-8570-1F2106DA406C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2AB-4F81-8570-1F2106DA406C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2AB-4F81-8570-1F2106DA406C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2AB-4F81-8570-1F2106DA406C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72AB-4F81-8570-1F2106DA406C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72AB-4F81-8570-1F2106DA406C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data'!$I$26:$I$30</c:f>
              <c:numCache>
                <c:formatCode>#,##0</c:formatCode>
                <c:ptCount val="5"/>
                <c:pt idx="0">
                  <c:v>5517.5190000000002</c:v>
                </c:pt>
                <c:pt idx="1">
                  <c:v>14530.26</c:v>
                </c:pt>
                <c:pt idx="2">
                  <c:v>6669.0332399999998</c:v>
                </c:pt>
                <c:pt idx="3">
                  <c:v>3430.4238364000003</c:v>
                </c:pt>
                <c:pt idx="4">
                  <c:v>13061.52344533864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2AB-4F81-8570-1F2106DA4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Circuit length (km)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222956095064"/>
          <c:y val="4.3180537606820828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data'!$G$25</c:f>
              <c:strCache>
                <c:ptCount val="1"/>
                <c:pt idx="0">
                  <c:v>GWh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2C4-441F-8B9B-1C0359DA9B10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2C4-441F-8B9B-1C0359DA9B10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2C4-441F-8B9B-1C0359DA9B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2C4-441F-8B9B-1C0359DA9B10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2C4-441F-8B9B-1C0359DA9B10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2C4-441F-8B9B-1C0359DA9B10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2C4-441F-8B9B-1C0359DA9B10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2C4-441F-8B9B-1C0359DA9B10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2C4-441F-8B9B-1C0359DA9B10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02C4-441F-8B9B-1C0359DA9B10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02C4-441F-8B9B-1C0359DA9B10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02C4-441F-8B9B-1C0359DA9B10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02C4-441F-8B9B-1C0359DA9B10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data'!$G$26:$G$30</c:f>
              <c:numCache>
                <c:formatCode>#,##0</c:formatCode>
                <c:ptCount val="5"/>
                <c:pt idx="0">
                  <c:v>13615.857093138968</c:v>
                </c:pt>
                <c:pt idx="1">
                  <c:v>51131.761323307503</c:v>
                </c:pt>
                <c:pt idx="2">
                  <c:v>44066.71</c:v>
                </c:pt>
                <c:pt idx="3">
                  <c:v>13236.631575661142</c:v>
                </c:pt>
                <c:pt idx="4">
                  <c:v>68200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2C4-441F-8B9B-1C0359DA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Energy transported  (GWh)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data'!$T$10</c:f>
              <c:strCache>
                <c:ptCount val="1"/>
                <c:pt idx="0">
                  <c:v>2022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004-42D3-88F4-0CCB8E87E972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004-42D3-88F4-0CCB8E87E972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004-42D3-88F4-0CCB8E87E97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004-42D3-88F4-0CCB8E87E972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004-42D3-88F4-0CCB8E87E972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004-42D3-88F4-0CCB8E87E972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004-42D3-88F4-0CCB8E87E972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004-42D3-88F4-0CCB8E87E972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D004-42D3-88F4-0CCB8E87E972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D004-42D3-88F4-0CCB8E87E972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D004-42D3-88F4-0CCB8E87E972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D004-42D3-88F4-0CCB8E87E972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D004-42D3-88F4-0CCB8E87E972}"/>
              </c:ext>
            </c:extLst>
          </c:dPt>
          <c:cat>
            <c:strRef>
              <c:f>'Physical data'!$B$11:$B$15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data'!$T$11:$T$15</c:f>
              <c:numCache>
                <c:formatCode>#,##0</c:formatCode>
                <c:ptCount val="5"/>
                <c:pt idx="0">
                  <c:v>3155.114829697</c:v>
                </c:pt>
                <c:pt idx="1">
                  <c:v>12875.119141000003</c:v>
                </c:pt>
                <c:pt idx="2">
                  <c:v>9641.1038709999993</c:v>
                </c:pt>
                <c:pt idx="3">
                  <c:v>2420.861424197818</c:v>
                </c:pt>
                <c:pt idx="4">
                  <c:v>18200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004-42D3-88F4-0CCB8E87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Maximum demand (MVA)</a:t>
                </a:r>
              </a:p>
            </c:rich>
          </c:tx>
          <c:layout>
            <c:manualLayout>
              <c:xMode val="edge"/>
              <c:yMode val="edge"/>
              <c:x val="1.7142283159470512E-3"/>
              <c:y val="0.257757662055871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2875" y="333375"/>
          <a:ext cx="431346" cy="2009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Total user</a:t>
          </a:r>
          <a:r>
            <a:rPr lang="en-AU" sz="2400" b="1" baseline="0"/>
            <a:t> cost</a:t>
          </a:r>
          <a:endParaRPr lang="en-AU" sz="2400" b="1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61925" y="3952875"/>
          <a:ext cx="431346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AUCC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52400" y="7572375"/>
          <a:ext cx="431346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Opex</a:t>
          </a:r>
        </a:p>
      </xdr:txBody>
    </xdr:sp>
    <xdr:clientData/>
  </xdr:twoCellAnchor>
  <xdr:twoCellAnchor>
    <xdr:from>
      <xdr:col>0</xdr:col>
      <xdr:colOff>37619</xdr:colOff>
      <xdr:row>3</xdr:row>
      <xdr:rowOff>2399</xdr:rowOff>
    </xdr:from>
    <xdr:to>
      <xdr:col>12</xdr:col>
      <xdr:colOff>483658</xdr:colOff>
      <xdr:row>26</xdr:row>
      <xdr:rowOff>52916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1057</xdr:rowOff>
    </xdr:from>
    <xdr:to>
      <xdr:col>12</xdr:col>
      <xdr:colOff>508000</xdr:colOff>
      <xdr:row>51</xdr:row>
      <xdr:rowOff>52917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12461</xdr:colOff>
      <xdr:row>78</xdr:row>
      <xdr:rowOff>162954</xdr:rowOff>
    </xdr:from>
    <xdr:to>
      <xdr:col>13</xdr:col>
      <xdr:colOff>190500</xdr:colOff>
      <xdr:row>104</xdr:row>
      <xdr:rowOff>63500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123289</xdr:colOff>
      <xdr:row>53</xdr:row>
      <xdr:rowOff>95250</xdr:rowOff>
    </xdr:from>
    <xdr:to>
      <xdr:col>12</xdr:col>
      <xdr:colOff>352424</xdr:colOff>
      <xdr:row>76</xdr:row>
      <xdr:rowOff>52917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466725</xdr:colOff>
      <xdr:row>53</xdr:row>
      <xdr:rowOff>161925</xdr:rowOff>
    </xdr:from>
    <xdr:to>
      <xdr:col>25</xdr:col>
      <xdr:colOff>600075</xdr:colOff>
      <xdr:row>70</xdr:row>
      <xdr:rowOff>138546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38099</xdr:colOff>
      <xdr:row>28</xdr:row>
      <xdr:rowOff>61911</xdr:rowOff>
    </xdr:from>
    <xdr:to>
      <xdr:col>26</xdr:col>
      <xdr:colOff>9524</xdr:colOff>
      <xdr:row>51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</xdr:row>
      <xdr:rowOff>5868</xdr:rowOff>
    </xdr:from>
    <xdr:to>
      <xdr:col>25</xdr:col>
      <xdr:colOff>133350</xdr:colOff>
      <xdr:row>25</xdr:row>
      <xdr:rowOff>42899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74</xdr:row>
      <xdr:rowOff>190499</xdr:rowOff>
    </xdr:from>
    <xdr:to>
      <xdr:col>26</xdr:col>
      <xdr:colOff>133350</xdr:colOff>
      <xdr:row>97</xdr:row>
      <xdr:rowOff>9281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102</xdr:row>
      <xdr:rowOff>0</xdr:rowOff>
    </xdr:from>
    <xdr:to>
      <xdr:col>26</xdr:col>
      <xdr:colOff>133350</xdr:colOff>
      <xdr:row>125</xdr:row>
      <xdr:rowOff>42900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129</xdr:row>
      <xdr:rowOff>0</xdr:rowOff>
    </xdr:from>
    <xdr:to>
      <xdr:col>26</xdr:col>
      <xdr:colOff>133350</xdr:colOff>
      <xdr:row>152</xdr:row>
      <xdr:rowOff>53732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3A11A41-3FD1-45F3-9C8B-C6219ED93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11206</xdr:rowOff>
    </xdr:from>
    <xdr:to>
      <xdr:col>9</xdr:col>
      <xdr:colOff>593912</xdr:colOff>
      <xdr:row>21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593911</xdr:colOff>
      <xdr:row>3</xdr:row>
      <xdr:rowOff>11206</xdr:rowOff>
    </xdr:from>
    <xdr:to>
      <xdr:col>20</xdr:col>
      <xdr:colOff>593912</xdr:colOff>
      <xdr:row>20</xdr:row>
      <xdr:rowOff>168089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22411</xdr:colOff>
      <xdr:row>2</xdr:row>
      <xdr:rowOff>184337</xdr:rowOff>
    </xdr:from>
    <xdr:to>
      <xdr:col>32</xdr:col>
      <xdr:colOff>0</xdr:colOff>
      <xdr:row>20</xdr:row>
      <xdr:rowOff>22412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533399</xdr:colOff>
      <xdr:row>44</xdr:row>
      <xdr:rowOff>0</xdr:rowOff>
    </xdr:from>
    <xdr:to>
      <xdr:col>9</xdr:col>
      <xdr:colOff>294409</xdr:colOff>
      <xdr:row>44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329045</xdr:colOff>
      <xdr:row>44</xdr:row>
      <xdr:rowOff>0</xdr:rowOff>
    </xdr:from>
    <xdr:to>
      <xdr:col>9</xdr:col>
      <xdr:colOff>69272</xdr:colOff>
      <xdr:row>44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zoomScale="80" zoomScaleNormal="80" workbookViewId="0">
      <selection activeCell="A25" sqref="A25"/>
    </sheetView>
  </sheetViews>
  <sheetFormatPr defaultColWidth="8.81640625" defaultRowHeight="14.5" x14ac:dyDescent="0.35"/>
  <cols>
    <col min="1" max="1" width="101.54296875" customWidth="1"/>
  </cols>
  <sheetData>
    <row r="1" spans="1:1" x14ac:dyDescent="0.35">
      <c r="A1" s="10" t="s">
        <v>76</v>
      </c>
    </row>
    <row r="2" spans="1:1" x14ac:dyDescent="0.35">
      <c r="A2" s="59" t="s">
        <v>147</v>
      </c>
    </row>
    <row r="4" spans="1:1" x14ac:dyDescent="0.35">
      <c r="A4" s="21" t="s">
        <v>72</v>
      </c>
    </row>
    <row r="5" spans="1:1" x14ac:dyDescent="0.35">
      <c r="A5" s="71" t="s">
        <v>142</v>
      </c>
    </row>
    <row r="7" spans="1:1" x14ac:dyDescent="0.35">
      <c r="A7" s="21" t="s">
        <v>73</v>
      </c>
    </row>
    <row r="8" spans="1:1" x14ac:dyDescent="0.35">
      <c r="A8" s="22" t="s">
        <v>96</v>
      </c>
    </row>
    <row r="9" spans="1:1" s="24" customFormat="1" ht="29.15" customHeight="1" x14ac:dyDescent="0.35">
      <c r="A9" s="23" t="s">
        <v>74</v>
      </c>
    </row>
    <row r="10" spans="1:1" ht="14.5" customHeight="1" x14ac:dyDescent="0.35">
      <c r="A10" s="23" t="s">
        <v>97</v>
      </c>
    </row>
    <row r="11" spans="1:1" s="24" customFormat="1" ht="14.5" customHeight="1" x14ac:dyDescent="0.35">
      <c r="A11" s="23" t="s">
        <v>98</v>
      </c>
    </row>
    <row r="12" spans="1:1" x14ac:dyDescent="0.35">
      <c r="A12" s="23" t="s">
        <v>100</v>
      </c>
    </row>
    <row r="13" spans="1:1" s="24" customFormat="1" ht="14.5" customHeight="1" x14ac:dyDescent="0.35">
      <c r="A13" s="23" t="s">
        <v>99</v>
      </c>
    </row>
    <row r="14" spans="1:1" x14ac:dyDescent="0.35">
      <c r="A14" s="22" t="s">
        <v>77</v>
      </c>
    </row>
    <row r="17" spans="1:1" x14ac:dyDescent="0.35">
      <c r="A17" s="25" t="s">
        <v>75</v>
      </c>
    </row>
    <row r="18" spans="1:1" x14ac:dyDescent="0.35">
      <c r="A18" s="22" t="s">
        <v>79</v>
      </c>
    </row>
    <row r="19" spans="1:1" x14ac:dyDescent="0.35">
      <c r="A19" s="22" t="s">
        <v>78</v>
      </c>
    </row>
    <row r="20" spans="1:1" x14ac:dyDescent="0.35">
      <c r="A20" s="22" t="s">
        <v>86</v>
      </c>
    </row>
    <row r="21" spans="1:1" x14ac:dyDescent="0.35">
      <c r="A21" s="22" t="s">
        <v>101</v>
      </c>
    </row>
    <row r="23" spans="1:1" x14ac:dyDescent="0.35">
      <c r="A23" s="72" t="s">
        <v>144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CW55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48" sqref="T48"/>
    </sheetView>
  </sheetViews>
  <sheetFormatPr defaultRowHeight="14.5" x14ac:dyDescent="0.35"/>
  <cols>
    <col min="1" max="1" width="30.81640625" bestFit="1" customWidth="1"/>
    <col min="2" max="2" width="32.1796875" customWidth="1"/>
    <col min="3" max="3" width="12.81640625" bestFit="1" customWidth="1"/>
    <col min="4" max="17" width="12.1796875" customWidth="1"/>
    <col min="18" max="18" width="18.81640625" bestFit="1" customWidth="1"/>
    <col min="19" max="20" width="18.81640625" customWidth="1"/>
    <col min="21" max="21" width="18.81640625" bestFit="1" customWidth="1"/>
    <col min="22" max="22" width="13.7265625" customWidth="1"/>
  </cols>
  <sheetData>
    <row r="1" spans="1:101" x14ac:dyDescent="0.35">
      <c r="A1" s="10" t="s">
        <v>82</v>
      </c>
      <c r="B1" s="10" t="s">
        <v>82</v>
      </c>
    </row>
    <row r="2" spans="1:101" x14ac:dyDescent="0.35">
      <c r="A2" s="10" t="s">
        <v>49</v>
      </c>
      <c r="B2" s="10" t="s">
        <v>49</v>
      </c>
      <c r="C2" t="s">
        <v>64</v>
      </c>
      <c r="D2" s="14">
        <v>2006</v>
      </c>
      <c r="E2" s="14">
        <v>2007</v>
      </c>
      <c r="F2" s="14">
        <v>2008</v>
      </c>
      <c r="G2" s="14">
        <v>2009</v>
      </c>
      <c r="H2" s="14">
        <v>2010</v>
      </c>
      <c r="I2" s="14">
        <v>2011</v>
      </c>
      <c r="J2" s="14">
        <v>2012</v>
      </c>
      <c r="K2" s="14">
        <v>2013</v>
      </c>
      <c r="L2" s="14">
        <v>2014</v>
      </c>
      <c r="M2" s="14">
        <v>2015</v>
      </c>
      <c r="N2" s="14">
        <v>2016</v>
      </c>
      <c r="O2" s="14">
        <v>2017</v>
      </c>
      <c r="P2" s="14">
        <v>2018</v>
      </c>
      <c r="Q2" s="14">
        <v>2019</v>
      </c>
      <c r="R2" s="14">
        <v>2020</v>
      </c>
      <c r="S2" s="14">
        <v>2021</v>
      </c>
      <c r="T2" s="14">
        <v>2022</v>
      </c>
      <c r="U2" s="10" t="s">
        <v>114</v>
      </c>
    </row>
    <row r="3" spans="1:101" x14ac:dyDescent="0.35">
      <c r="A3" s="27" t="s">
        <v>36</v>
      </c>
      <c r="B3" s="27" t="s">
        <v>90</v>
      </c>
      <c r="C3" s="27" t="s">
        <v>63</v>
      </c>
      <c r="D3" s="20">
        <v>15101074.258214997</v>
      </c>
      <c r="E3" s="20">
        <v>13989610</v>
      </c>
      <c r="F3" s="20">
        <v>13083325.236576969</v>
      </c>
      <c r="G3" s="20">
        <v>13513587.369959038</v>
      </c>
      <c r="H3" s="20">
        <v>13846707.414743055</v>
      </c>
      <c r="I3" s="20">
        <v>13881537.225071985</v>
      </c>
      <c r="J3" s="20">
        <v>14062879.897383038</v>
      </c>
      <c r="K3" s="20">
        <v>14283594.450350931</v>
      </c>
      <c r="L3" s="20">
        <v>13957000</v>
      </c>
      <c r="M3" s="20">
        <v>13455329.989999998</v>
      </c>
      <c r="N3" s="20">
        <v>14247978.656044956</v>
      </c>
      <c r="O3" s="20">
        <v>14525020.775061335</v>
      </c>
      <c r="P3" s="20">
        <v>11444832.423724381</v>
      </c>
      <c r="Q3" s="20">
        <v>13786714.687984707</v>
      </c>
      <c r="R3" s="20">
        <v>13856515.144038128</v>
      </c>
      <c r="S3" s="20">
        <v>13621768.999909813</v>
      </c>
      <c r="T3" s="20">
        <v>13615857.093138969</v>
      </c>
      <c r="U3" s="20">
        <f>AVERAGE(P3:T3)</f>
        <v>13265137.669759199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</row>
    <row r="4" spans="1:101" x14ac:dyDescent="0.35">
      <c r="A4" s="27" t="s">
        <v>20</v>
      </c>
      <c r="B4" s="27" t="s">
        <v>91</v>
      </c>
      <c r="C4" s="27" t="s">
        <v>63</v>
      </c>
      <c r="D4" s="20">
        <v>51045963.444256991</v>
      </c>
      <c r="E4" s="20">
        <v>51964465.679886967</v>
      </c>
      <c r="F4" s="20">
        <v>51187327.595034994</v>
      </c>
      <c r="G4" s="20">
        <v>52191948.260312036</v>
      </c>
      <c r="H4" s="20">
        <v>52848520.626357004</v>
      </c>
      <c r="I4" s="20">
        <v>51917071.191967987</v>
      </c>
      <c r="J4" s="20">
        <v>50878576.976755999</v>
      </c>
      <c r="K4" s="20">
        <v>49333938.670690008</v>
      </c>
      <c r="L4" s="20">
        <v>47613581.421291001</v>
      </c>
      <c r="M4" s="20">
        <v>53087563.425000042</v>
      </c>
      <c r="N4" s="20">
        <v>52872387.581990004</v>
      </c>
      <c r="O4" s="20">
        <v>54253300.021025993</v>
      </c>
      <c r="P4" s="20">
        <v>54849858.036833994</v>
      </c>
      <c r="Q4" s="20">
        <v>53765294.224065989</v>
      </c>
      <c r="R4" s="20">
        <v>53076368.905469991</v>
      </c>
      <c r="S4" s="20">
        <v>51783263.917914994</v>
      </c>
      <c r="T4" s="20">
        <v>51131761.323307499</v>
      </c>
      <c r="U4" s="20">
        <f>AVERAGE(P4:T4)</f>
        <v>52921309.281518497</v>
      </c>
    </row>
    <row r="5" spans="1:101" x14ac:dyDescent="0.35">
      <c r="A5" s="27" t="s">
        <v>34</v>
      </c>
      <c r="B5" s="27" t="s">
        <v>92</v>
      </c>
      <c r="C5" s="27" t="s">
        <v>63</v>
      </c>
      <c r="D5" s="20">
        <v>45186299.678676002</v>
      </c>
      <c r="E5" s="20">
        <v>45956437.073729999</v>
      </c>
      <c r="F5" s="20">
        <v>45046718.030759998</v>
      </c>
      <c r="G5" s="20">
        <v>47419179.046665005</v>
      </c>
      <c r="H5" s="20">
        <v>48976636.241105005</v>
      </c>
      <c r="I5" s="20">
        <v>48047970.9925</v>
      </c>
      <c r="J5" s="20">
        <v>47529361.264941998</v>
      </c>
      <c r="K5" s="20">
        <v>49056428.480179004</v>
      </c>
      <c r="L5" s="20">
        <v>48503771.563634999</v>
      </c>
      <c r="M5" s="20">
        <v>47967077.018125005</v>
      </c>
      <c r="N5" s="20">
        <v>47805245.822115995</v>
      </c>
      <c r="O5" s="20">
        <v>46829301.624719001</v>
      </c>
      <c r="P5" s="20">
        <v>41725000</v>
      </c>
      <c r="Q5" s="20">
        <v>41479994.350973003</v>
      </c>
      <c r="R5" s="20">
        <v>41527840.000000007</v>
      </c>
      <c r="S5" s="20">
        <v>42258720</v>
      </c>
      <c r="T5" s="20">
        <v>44066710</v>
      </c>
      <c r="U5" s="20">
        <f>AVERAGE(P5:T5)</f>
        <v>42211652.870194599</v>
      </c>
    </row>
    <row r="6" spans="1:101" x14ac:dyDescent="0.35">
      <c r="A6" s="27" t="s">
        <v>28</v>
      </c>
      <c r="B6" s="27" t="s">
        <v>93</v>
      </c>
      <c r="C6" s="27" t="s">
        <v>63</v>
      </c>
      <c r="D6" s="48">
        <v>10530108.800000003</v>
      </c>
      <c r="E6" s="48">
        <v>12828493</v>
      </c>
      <c r="F6" s="48">
        <v>13500337</v>
      </c>
      <c r="G6" s="48">
        <v>13412711</v>
      </c>
      <c r="H6" s="48">
        <v>13030212</v>
      </c>
      <c r="I6" s="48">
        <v>13108443</v>
      </c>
      <c r="J6" s="48">
        <v>12589843</v>
      </c>
      <c r="K6" s="48">
        <v>12866188</v>
      </c>
      <c r="L6" s="48">
        <v>13359963.803999998</v>
      </c>
      <c r="M6" s="48">
        <v>13109624.082295986</v>
      </c>
      <c r="N6" s="48">
        <v>11654573.903348012</v>
      </c>
      <c r="O6" s="48">
        <v>12426700</v>
      </c>
      <c r="P6" s="48">
        <v>12434326.12001</v>
      </c>
      <c r="Q6" s="48">
        <v>12884563.992276987</v>
      </c>
      <c r="R6" s="48">
        <v>12412888.664812012</v>
      </c>
      <c r="S6" s="48">
        <v>12909204.95870496</v>
      </c>
      <c r="T6" s="48">
        <v>13236631.575661141</v>
      </c>
      <c r="U6" s="20">
        <f>AVERAGE(P6:T6)</f>
        <v>12775523.062293019</v>
      </c>
    </row>
    <row r="7" spans="1:101" x14ac:dyDescent="0.35">
      <c r="A7" s="27" t="s">
        <v>37</v>
      </c>
      <c r="B7" s="27" t="s">
        <v>94</v>
      </c>
      <c r="C7" s="27" t="s">
        <v>63</v>
      </c>
      <c r="D7" s="48">
        <v>81500000</v>
      </c>
      <c r="E7" s="48">
        <v>83000000</v>
      </c>
      <c r="F7" s="48">
        <v>82500000</v>
      </c>
      <c r="G7" s="48">
        <v>81100000</v>
      </c>
      <c r="H7" s="48">
        <v>80600000</v>
      </c>
      <c r="I7" s="48">
        <v>79800000</v>
      </c>
      <c r="J7" s="48">
        <v>76600000</v>
      </c>
      <c r="K7" s="48">
        <v>71100000</v>
      </c>
      <c r="L7" s="48">
        <v>67800000.346065998</v>
      </c>
      <c r="M7" s="48">
        <v>74400000</v>
      </c>
      <c r="N7" s="48">
        <v>72200000</v>
      </c>
      <c r="O7" s="48">
        <v>75000000</v>
      </c>
      <c r="P7" s="48">
        <v>75700000</v>
      </c>
      <c r="Q7" s="48">
        <v>74400000</v>
      </c>
      <c r="R7" s="48">
        <v>72900000</v>
      </c>
      <c r="S7" s="48">
        <v>71300000</v>
      </c>
      <c r="T7" s="48">
        <v>68200000</v>
      </c>
      <c r="U7" s="20">
        <f>AVERAGE(P7:T7)</f>
        <v>72500000</v>
      </c>
    </row>
    <row r="9" spans="1:101" ht="43.5" x14ac:dyDescent="0.35">
      <c r="A9" s="13" t="s">
        <v>43</v>
      </c>
      <c r="B9" s="13" t="s">
        <v>43</v>
      </c>
    </row>
    <row r="10" spans="1:101" x14ac:dyDescent="0.35">
      <c r="A10" s="13"/>
      <c r="B10" s="13"/>
      <c r="C10" t="s">
        <v>66</v>
      </c>
      <c r="D10" s="14">
        <v>2006</v>
      </c>
      <c r="E10" s="14">
        <v>2007</v>
      </c>
      <c r="F10" s="14">
        <v>2008</v>
      </c>
      <c r="G10" s="14">
        <v>2009</v>
      </c>
      <c r="H10" s="14">
        <v>2010</v>
      </c>
      <c r="I10" s="14">
        <v>2011</v>
      </c>
      <c r="J10" s="14">
        <v>2012</v>
      </c>
      <c r="K10" s="14">
        <v>2013</v>
      </c>
      <c r="L10" s="14">
        <v>2014</v>
      </c>
      <c r="M10" s="14">
        <v>2015</v>
      </c>
      <c r="N10" s="14">
        <v>2016</v>
      </c>
      <c r="O10" s="14">
        <v>2017</v>
      </c>
      <c r="P10" s="14">
        <v>2018</v>
      </c>
      <c r="Q10" s="14">
        <v>2019</v>
      </c>
      <c r="R10" s="62">
        <v>2020</v>
      </c>
      <c r="S10" s="62">
        <v>2021</v>
      </c>
      <c r="T10" s="62">
        <v>2022</v>
      </c>
      <c r="U10" s="10" t="s">
        <v>114</v>
      </c>
    </row>
    <row r="11" spans="1:101" x14ac:dyDescent="0.35">
      <c r="A11" s="27" t="s">
        <v>36</v>
      </c>
      <c r="B11" s="27" t="s">
        <v>90</v>
      </c>
      <c r="C11" s="27" t="s">
        <v>65</v>
      </c>
      <c r="D11" s="20">
        <v>3978.391944861738</v>
      </c>
      <c r="E11" s="20">
        <v>3976.363032332024</v>
      </c>
      <c r="F11" s="20">
        <v>4222.7950166755372</v>
      </c>
      <c r="G11" s="20">
        <v>4265.2719150267712</v>
      </c>
      <c r="H11" s="20">
        <v>4285.2901718002513</v>
      </c>
      <c r="I11" s="20">
        <v>4376.4504351791684</v>
      </c>
      <c r="J11" s="20">
        <v>4229.0017065495522</v>
      </c>
      <c r="K11" s="20">
        <v>4403.3212738811562</v>
      </c>
      <c r="L11" s="20">
        <v>3429.53</v>
      </c>
      <c r="M11" s="20">
        <v>3175.3143963269999</v>
      </c>
      <c r="N11" s="20">
        <v>3271.5960879999998</v>
      </c>
      <c r="O11" s="20">
        <v>3447.559915454</v>
      </c>
      <c r="P11" s="20">
        <v>3327.2034278649999</v>
      </c>
      <c r="Q11" s="20">
        <v>3685.7549853780001</v>
      </c>
      <c r="R11" s="63">
        <v>3512.323547</v>
      </c>
      <c r="S11" s="63">
        <v>3317.0199969799901</v>
      </c>
      <c r="T11" s="63">
        <v>3155.114829697</v>
      </c>
      <c r="U11" s="20">
        <f>AVERAGE(P11:T11)</f>
        <v>3399.4833573839978</v>
      </c>
    </row>
    <row r="12" spans="1:101" x14ac:dyDescent="0.35">
      <c r="A12" s="27" t="s">
        <v>20</v>
      </c>
      <c r="B12" s="27" t="s">
        <v>91</v>
      </c>
      <c r="C12" s="27" t="s">
        <v>65</v>
      </c>
      <c r="D12" s="20">
        <v>11030.569023</v>
      </c>
      <c r="E12" s="20">
        <v>11737.383156999998</v>
      </c>
      <c r="F12" s="20">
        <v>11612.320067000001</v>
      </c>
      <c r="G12" s="20">
        <v>12068.720476999999</v>
      </c>
      <c r="H12" s="20">
        <v>12247.404947000005</v>
      </c>
      <c r="I12" s="20">
        <v>11937.636665000005</v>
      </c>
      <c r="J12" s="20">
        <v>11674.654921999996</v>
      </c>
      <c r="K12" s="20">
        <v>11664.853734000002</v>
      </c>
      <c r="L12" s="20">
        <v>11512.211092999996</v>
      </c>
      <c r="M12" s="20">
        <v>11832.312</v>
      </c>
      <c r="N12" s="20">
        <v>11995.302618000009</v>
      </c>
      <c r="O12" s="20">
        <v>12388.952756999994</v>
      </c>
      <c r="P12" s="20">
        <v>12321.175319</v>
      </c>
      <c r="Q12" s="20">
        <v>12496.769520000003</v>
      </c>
      <c r="R12" s="63">
        <v>12583.453072999999</v>
      </c>
      <c r="S12" s="63">
        <v>12014.231537999995</v>
      </c>
      <c r="T12" s="63">
        <v>12875.119141000003</v>
      </c>
      <c r="U12" s="20">
        <f>AVERAGE(P12:T12)</f>
        <v>12458.149718199998</v>
      </c>
    </row>
    <row r="13" spans="1:101" x14ac:dyDescent="0.35">
      <c r="A13" s="27" t="s">
        <v>34</v>
      </c>
      <c r="B13" s="27" t="s">
        <v>92</v>
      </c>
      <c r="C13" s="27" t="s">
        <v>65</v>
      </c>
      <c r="D13" s="20">
        <v>8046.7944919762931</v>
      </c>
      <c r="E13" s="20">
        <v>9518.2214075162174</v>
      </c>
      <c r="F13" s="20">
        <v>9821.7744475221989</v>
      </c>
      <c r="G13" s="20">
        <v>10238.839151920494</v>
      </c>
      <c r="H13" s="20">
        <v>9875.383784927044</v>
      </c>
      <c r="I13" s="20">
        <v>9612.8305056523277</v>
      </c>
      <c r="J13" s="20">
        <v>8932.6058819697173</v>
      </c>
      <c r="K13" s="20">
        <v>9569.9413842771264</v>
      </c>
      <c r="L13" s="20">
        <v>10258.200000000001</v>
      </c>
      <c r="M13" s="20">
        <v>9098.1233667172328</v>
      </c>
      <c r="N13" s="20">
        <v>9677.5927963400009</v>
      </c>
      <c r="O13" s="20">
        <v>9641.5859999999993</v>
      </c>
      <c r="P13" s="20">
        <v>10266.162</v>
      </c>
      <c r="Q13" s="20">
        <v>9909.9320000000007</v>
      </c>
      <c r="R13" s="63">
        <v>10139.175999999999</v>
      </c>
      <c r="S13" s="63">
        <v>8943.6239999999998</v>
      </c>
      <c r="T13" s="63">
        <v>9641.1038709999993</v>
      </c>
      <c r="U13" s="20">
        <f>AVERAGE(P13:T13)</f>
        <v>9779.9995741999992</v>
      </c>
    </row>
    <row r="14" spans="1:101" x14ac:dyDescent="0.35">
      <c r="A14" s="27" t="s">
        <v>28</v>
      </c>
      <c r="B14" s="27" t="s">
        <v>93</v>
      </c>
      <c r="C14" s="27" t="s">
        <v>65</v>
      </c>
      <c r="D14" s="20">
        <v>2684.2440000000001</v>
      </c>
      <c r="E14" s="20">
        <v>2690.61</v>
      </c>
      <c r="F14" s="20">
        <v>2624.2620000000002</v>
      </c>
      <c r="G14" s="20">
        <v>2656.152</v>
      </c>
      <c r="H14" s="20">
        <v>2634.4740000000002</v>
      </c>
      <c r="I14" s="20">
        <v>2597.712</v>
      </c>
      <c r="J14" s="20">
        <v>2589.395</v>
      </c>
      <c r="K14" s="20">
        <v>2544.7469999999998</v>
      </c>
      <c r="L14" s="20">
        <v>2509</v>
      </c>
      <c r="M14" s="20">
        <v>2504.8915876265355</v>
      </c>
      <c r="N14" s="20">
        <v>2519.5</v>
      </c>
      <c r="O14" s="20">
        <v>2523.6453817803717</v>
      </c>
      <c r="P14" s="20">
        <v>2535.3500470044319</v>
      </c>
      <c r="Q14" s="20">
        <v>2394.0013028095805</v>
      </c>
      <c r="R14" s="63">
        <v>2460.3122380799996</v>
      </c>
      <c r="S14" s="63">
        <v>2410.3831052365917</v>
      </c>
      <c r="T14" s="63">
        <v>2420.861424197818</v>
      </c>
      <c r="U14" s="20">
        <f>AVERAGE(P14:T14)</f>
        <v>2444.1816234656844</v>
      </c>
    </row>
    <row r="15" spans="1:101" x14ac:dyDescent="0.35">
      <c r="A15" s="27" t="s">
        <v>37</v>
      </c>
      <c r="B15" s="27" t="s">
        <v>94</v>
      </c>
      <c r="C15" s="27" t="s">
        <v>65</v>
      </c>
      <c r="D15" s="20">
        <v>18200</v>
      </c>
      <c r="E15" s="20">
        <v>18600</v>
      </c>
      <c r="F15" s="20">
        <v>18600</v>
      </c>
      <c r="G15" s="20">
        <v>18700</v>
      </c>
      <c r="H15" s="20">
        <v>18900</v>
      </c>
      <c r="I15" s="20">
        <v>19400</v>
      </c>
      <c r="J15" s="20">
        <v>18000</v>
      </c>
      <c r="K15" s="20">
        <v>17400</v>
      </c>
      <c r="L15" s="20">
        <v>17000</v>
      </c>
      <c r="M15" s="20">
        <v>16500</v>
      </c>
      <c r="N15" s="20">
        <v>18000</v>
      </c>
      <c r="O15" s="20">
        <v>18700</v>
      </c>
      <c r="P15" s="20">
        <v>18500</v>
      </c>
      <c r="Q15" s="20">
        <v>18700</v>
      </c>
      <c r="R15" s="63">
        <v>18900</v>
      </c>
      <c r="S15" s="63">
        <v>18500</v>
      </c>
      <c r="T15" s="63">
        <v>18200</v>
      </c>
      <c r="U15" s="20">
        <f>AVERAGE(P15:T15)</f>
        <v>18560</v>
      </c>
    </row>
    <row r="16" spans="1:101" x14ac:dyDescent="0.35">
      <c r="E16" s="26">
        <f>(E11-D11)/D11</f>
        <v>-5.0998306799169473E-4</v>
      </c>
      <c r="F16" s="26">
        <f t="shared" ref="F16:U16" si="0">(F11-E11)/E11</f>
        <v>6.197421672512328E-2</v>
      </c>
      <c r="G16" s="26">
        <f t="shared" si="0"/>
        <v>1.0058953414384444E-2</v>
      </c>
      <c r="H16" s="26">
        <f t="shared" si="0"/>
        <v>4.6933131514909328E-3</v>
      </c>
      <c r="I16" s="26">
        <f t="shared" si="0"/>
        <v>2.1272833279483764E-2</v>
      </c>
      <c r="J16" s="26">
        <f t="shared" si="0"/>
        <v>-3.3691396901100693E-2</v>
      </c>
      <c r="K16" s="26">
        <f t="shared" si="0"/>
        <v>4.1220027663179074E-2</v>
      </c>
      <c r="L16" s="26">
        <f t="shared" si="0"/>
        <v>-0.2211492674080629</v>
      </c>
      <c r="M16" s="26">
        <f t="shared" si="0"/>
        <v>-7.4125493485404773E-2</v>
      </c>
      <c r="N16" s="26">
        <f t="shared" si="0"/>
        <v>3.0321939705993312E-2</v>
      </c>
      <c r="O16" s="26">
        <f t="shared" si="0"/>
        <v>5.3785315399851479E-2</v>
      </c>
      <c r="P16" s="26">
        <f t="shared" si="0"/>
        <v>-3.4910629703487177E-2</v>
      </c>
      <c r="Q16" s="26">
        <f t="shared" si="0"/>
        <v>0.10776364153455914</v>
      </c>
      <c r="R16" s="26">
        <f t="shared" si="0"/>
        <v>-4.7054521818740362E-2</v>
      </c>
      <c r="S16" s="26">
        <f t="shared" si="0"/>
        <v>-5.5605227538569321E-2</v>
      </c>
      <c r="T16" s="26">
        <f t="shared" si="0"/>
        <v>-4.8810428466032181E-2</v>
      </c>
      <c r="U16" s="26">
        <f t="shared" si="0"/>
        <v>7.7451548002918688E-2</v>
      </c>
    </row>
    <row r="17" spans="1:44" x14ac:dyDescent="0.35">
      <c r="A17" s="10" t="s">
        <v>44</v>
      </c>
      <c r="B17" s="10" t="s">
        <v>44</v>
      </c>
      <c r="C17" s="10"/>
      <c r="D17" s="14">
        <v>2006</v>
      </c>
      <c r="E17" s="14">
        <v>2007</v>
      </c>
      <c r="F17" s="14">
        <v>2008</v>
      </c>
      <c r="G17" s="14">
        <v>2009</v>
      </c>
      <c r="H17" s="14">
        <v>2010</v>
      </c>
      <c r="I17" s="14">
        <v>2011</v>
      </c>
      <c r="J17" s="14">
        <v>2012</v>
      </c>
      <c r="K17" s="14">
        <v>2013</v>
      </c>
      <c r="L17" s="14">
        <v>2014</v>
      </c>
      <c r="M17" s="14">
        <v>2015</v>
      </c>
      <c r="N17" s="14">
        <v>2016</v>
      </c>
      <c r="O17" s="14">
        <v>2017</v>
      </c>
      <c r="P17" s="14">
        <v>2018</v>
      </c>
      <c r="Q17" s="14">
        <v>2019</v>
      </c>
      <c r="R17" s="62">
        <v>2020</v>
      </c>
      <c r="S17" s="14">
        <v>2021</v>
      </c>
      <c r="T17" s="66">
        <v>2022</v>
      </c>
    </row>
    <row r="18" spans="1:44" x14ac:dyDescent="0.35">
      <c r="A18" s="27" t="s">
        <v>36</v>
      </c>
      <c r="B18" s="27" t="s">
        <v>36</v>
      </c>
      <c r="C18" s="27" t="s">
        <v>67</v>
      </c>
      <c r="D18" s="19">
        <v>5875.1</v>
      </c>
      <c r="E18" s="19">
        <v>5974.1</v>
      </c>
      <c r="F18" s="19">
        <v>6007.1</v>
      </c>
      <c r="G18" s="19">
        <v>6546.1</v>
      </c>
      <c r="H18" s="19">
        <v>6953.1</v>
      </c>
      <c r="I18" s="19">
        <v>7052.1</v>
      </c>
      <c r="J18" s="19">
        <v>7129.1</v>
      </c>
      <c r="K18" s="19">
        <v>7129.1</v>
      </c>
      <c r="L18" s="19">
        <v>7195.1</v>
      </c>
      <c r="M18" s="19">
        <v>7470.1</v>
      </c>
      <c r="N18" s="19">
        <v>7470.1</v>
      </c>
      <c r="O18" s="19"/>
      <c r="P18" s="20"/>
      <c r="Q18" s="20"/>
      <c r="R18" s="20"/>
      <c r="S18" s="11"/>
      <c r="T18" s="11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 x14ac:dyDescent="0.35">
      <c r="A19" s="27" t="s">
        <v>20</v>
      </c>
      <c r="B19" s="27" t="s">
        <v>20</v>
      </c>
      <c r="C19" s="27" t="s">
        <v>67</v>
      </c>
      <c r="D19" s="19">
        <v>12468.5</v>
      </c>
      <c r="E19" s="19">
        <v>12694</v>
      </c>
      <c r="F19" s="19">
        <v>13117.5</v>
      </c>
      <c r="G19" s="19">
        <v>13898.5</v>
      </c>
      <c r="H19" s="19">
        <v>14580.5</v>
      </c>
      <c r="I19" s="19">
        <v>15009.5</v>
      </c>
      <c r="J19" s="19">
        <v>15356</v>
      </c>
      <c r="K19" s="19">
        <v>16214</v>
      </c>
      <c r="L19" s="19">
        <v>17050</v>
      </c>
      <c r="M19" s="19">
        <v>17160</v>
      </c>
      <c r="N19" s="19">
        <v>17407.5</v>
      </c>
      <c r="O19" s="19"/>
      <c r="P19" s="20"/>
      <c r="Q19" s="20"/>
      <c r="R19" s="20"/>
      <c r="S19" s="11"/>
      <c r="T19" s="11"/>
    </row>
    <row r="20" spans="1:44" x14ac:dyDescent="0.35">
      <c r="A20" s="27" t="s">
        <v>34</v>
      </c>
      <c r="B20" s="27" t="s">
        <v>34</v>
      </c>
      <c r="C20" s="27" t="s">
        <v>67</v>
      </c>
      <c r="D20" s="19">
        <v>7330</v>
      </c>
      <c r="E20" s="19">
        <v>7264</v>
      </c>
      <c r="F20" s="19">
        <v>7544</v>
      </c>
      <c r="G20" s="19">
        <v>8336</v>
      </c>
      <c r="H20" s="19">
        <v>8402</v>
      </c>
      <c r="I20" s="19">
        <v>8424</v>
      </c>
      <c r="J20" s="19">
        <v>9144</v>
      </c>
      <c r="K20" s="19">
        <v>10210</v>
      </c>
      <c r="L20" s="19">
        <v>10260</v>
      </c>
      <c r="M20" s="19">
        <v>9320</v>
      </c>
      <c r="N20" s="19">
        <v>9320</v>
      </c>
      <c r="O20" s="19"/>
      <c r="P20" s="20"/>
      <c r="Q20" s="20"/>
      <c r="R20" s="20"/>
      <c r="S20" s="11"/>
      <c r="T20" s="11"/>
    </row>
    <row r="21" spans="1:44" x14ac:dyDescent="0.35">
      <c r="A21" s="27" t="s">
        <v>28</v>
      </c>
      <c r="B21" s="27" t="s">
        <v>28</v>
      </c>
      <c r="C21" s="27" t="s">
        <v>67</v>
      </c>
      <c r="D21" s="19">
        <v>5893.8</v>
      </c>
      <c r="E21" s="19">
        <v>5882.8</v>
      </c>
      <c r="F21" s="19">
        <v>5860.8</v>
      </c>
      <c r="G21" s="19">
        <v>5970.8</v>
      </c>
      <c r="H21" s="19">
        <v>5860.8</v>
      </c>
      <c r="I21" s="19">
        <v>5893.8</v>
      </c>
      <c r="J21" s="19">
        <v>5948.8</v>
      </c>
      <c r="K21" s="19">
        <v>6058.8</v>
      </c>
      <c r="L21" s="19">
        <v>6058.8</v>
      </c>
      <c r="M21" s="19">
        <v>6058.8</v>
      </c>
      <c r="N21" s="19">
        <v>6058.8</v>
      </c>
      <c r="O21" s="19"/>
      <c r="P21" s="20"/>
      <c r="Q21" s="20"/>
      <c r="R21" s="20"/>
      <c r="S21" s="11"/>
      <c r="T21" s="11"/>
    </row>
    <row r="22" spans="1:44" x14ac:dyDescent="0.35">
      <c r="A22" s="27" t="s">
        <v>37</v>
      </c>
      <c r="B22" s="27" t="s">
        <v>37</v>
      </c>
      <c r="C22" s="27" t="s">
        <v>67</v>
      </c>
      <c r="D22" s="19">
        <v>14481</v>
      </c>
      <c r="E22" s="19">
        <v>14481</v>
      </c>
      <c r="F22" s="19">
        <v>15108</v>
      </c>
      <c r="G22" s="19">
        <v>15883.5</v>
      </c>
      <c r="H22" s="19">
        <v>16348</v>
      </c>
      <c r="I22" s="19">
        <v>16895</v>
      </c>
      <c r="J22" s="19">
        <v>17192</v>
      </c>
      <c r="K22" s="19">
        <v>17456</v>
      </c>
      <c r="L22" s="19">
        <v>17621</v>
      </c>
      <c r="M22" s="19">
        <v>17720</v>
      </c>
      <c r="N22" s="19">
        <v>18182</v>
      </c>
      <c r="O22" s="19"/>
      <c r="P22" s="20"/>
      <c r="Q22" s="20"/>
      <c r="R22" s="20"/>
      <c r="S22" s="11"/>
      <c r="T22" s="11"/>
    </row>
    <row r="24" spans="1:44" ht="29" x14ac:dyDescent="0.35">
      <c r="C24" s="10" t="s">
        <v>138</v>
      </c>
      <c r="D24" s="13" t="s">
        <v>35</v>
      </c>
      <c r="E24" s="13" t="s">
        <v>21</v>
      </c>
      <c r="F24" s="13" t="s">
        <v>19</v>
      </c>
      <c r="G24" s="13" t="s">
        <v>112</v>
      </c>
      <c r="H24" s="10" t="s">
        <v>38</v>
      </c>
      <c r="I24" s="13" t="s">
        <v>35</v>
      </c>
      <c r="J24" s="13" t="s">
        <v>21</v>
      </c>
      <c r="K24" s="13" t="s">
        <v>19</v>
      </c>
      <c r="L24" s="13" t="s">
        <v>112</v>
      </c>
    </row>
    <row r="25" spans="1:44" x14ac:dyDescent="0.35">
      <c r="A25" s="10"/>
      <c r="B25" s="10"/>
      <c r="C25" s="10"/>
      <c r="D25" s="13" t="str">
        <f>$C$33</f>
        <v>km</v>
      </c>
      <c r="E25" s="13" t="str">
        <f>$C$3</f>
        <v>MWh</v>
      </c>
      <c r="F25" s="13" t="str">
        <f>$C$11</f>
        <v>MVA</v>
      </c>
      <c r="G25" s="13" t="s">
        <v>70</v>
      </c>
      <c r="I25" s="13" t="str">
        <f>$C$33</f>
        <v>km</v>
      </c>
      <c r="J25" s="13" t="str">
        <f>$C$3</f>
        <v>MWh</v>
      </c>
      <c r="K25" s="13" t="str">
        <f>$C$11</f>
        <v>MVA</v>
      </c>
      <c r="L25" s="13" t="s">
        <v>70</v>
      </c>
    </row>
    <row r="26" spans="1:44" x14ac:dyDescent="0.35">
      <c r="A26" s="27" t="s">
        <v>36</v>
      </c>
      <c r="B26" s="27" t="s">
        <v>90</v>
      </c>
      <c r="C26" s="27"/>
      <c r="D26" s="20">
        <f>T33</f>
        <v>5518.0389999999998</v>
      </c>
      <c r="E26" s="20">
        <f>(T3)</f>
        <v>13615857.093138969</v>
      </c>
      <c r="F26" s="20">
        <f>T11</f>
        <v>3155.114829697</v>
      </c>
      <c r="G26" s="20">
        <f>E26/1000</f>
        <v>13615.857093138968</v>
      </c>
      <c r="I26" s="20">
        <f>U33</f>
        <v>5517.5190000000002</v>
      </c>
      <c r="J26" s="20">
        <f>U3</f>
        <v>13265137.669759199</v>
      </c>
      <c r="K26" s="20">
        <f>U11</f>
        <v>3399.4833573839978</v>
      </c>
      <c r="L26" s="64">
        <f>J26/1000</f>
        <v>13265.137669759199</v>
      </c>
    </row>
    <row r="27" spans="1:44" x14ac:dyDescent="0.35">
      <c r="A27" s="27" t="s">
        <v>20</v>
      </c>
      <c r="B27" s="27" t="s">
        <v>91</v>
      </c>
      <c r="C27" s="27"/>
      <c r="D27" s="20">
        <f t="shared" ref="D27:D30" si="1">T34</f>
        <v>14535.2</v>
      </c>
      <c r="E27" s="20">
        <f t="shared" ref="E27:E30" si="2">(T4)</f>
        <v>51131761.323307499</v>
      </c>
      <c r="F27" s="20">
        <f t="shared" ref="F27:F30" si="3">T12</f>
        <v>12875.119141000003</v>
      </c>
      <c r="G27" s="20">
        <f t="shared" ref="G27:G30" si="4">E27/1000</f>
        <v>51131.761323307503</v>
      </c>
      <c r="I27" s="20">
        <f t="shared" ref="I27:I30" si="5">U34</f>
        <v>14530.26</v>
      </c>
      <c r="J27" s="20">
        <f>U4</f>
        <v>52921309.281518497</v>
      </c>
      <c r="K27" s="20">
        <f>U12</f>
        <v>12458.149718199998</v>
      </c>
      <c r="L27" s="64">
        <f t="shared" ref="L27:L30" si="6">J27/1000</f>
        <v>52921.309281518494</v>
      </c>
    </row>
    <row r="28" spans="1:44" x14ac:dyDescent="0.35">
      <c r="A28" s="27" t="s">
        <v>34</v>
      </c>
      <c r="B28" s="27" t="s">
        <v>92</v>
      </c>
      <c r="C28" s="27"/>
      <c r="D28" s="20">
        <f t="shared" si="1"/>
        <v>6628.5450000000001</v>
      </c>
      <c r="E28" s="20">
        <f t="shared" si="2"/>
        <v>44066710</v>
      </c>
      <c r="F28" s="20">
        <f t="shared" si="3"/>
        <v>9641.1038709999993</v>
      </c>
      <c r="G28" s="20">
        <f t="shared" si="4"/>
        <v>44066.71</v>
      </c>
      <c r="I28" s="20">
        <f t="shared" si="5"/>
        <v>6669.0332399999998</v>
      </c>
      <c r="J28" s="20">
        <f>U5</f>
        <v>42211652.870194599</v>
      </c>
      <c r="K28" s="20">
        <f>U13</f>
        <v>9779.9995741999992</v>
      </c>
      <c r="L28" s="64">
        <f t="shared" si="6"/>
        <v>42211.652870194601</v>
      </c>
    </row>
    <row r="29" spans="1:44" x14ac:dyDescent="0.35">
      <c r="A29" s="27" t="s">
        <v>28</v>
      </c>
      <c r="B29" s="27" t="s">
        <v>93</v>
      </c>
      <c r="C29" s="27"/>
      <c r="D29" s="20">
        <f t="shared" si="1"/>
        <v>3360.9470000000006</v>
      </c>
      <c r="E29" s="20">
        <f t="shared" si="2"/>
        <v>13236631.575661141</v>
      </c>
      <c r="F29" s="20">
        <f t="shared" si="3"/>
        <v>2420.861424197818</v>
      </c>
      <c r="G29" s="20">
        <f t="shared" si="4"/>
        <v>13236.631575661142</v>
      </c>
      <c r="I29" s="20">
        <f t="shared" si="5"/>
        <v>3430.4238364000003</v>
      </c>
      <c r="J29" s="20">
        <f>U6</f>
        <v>12775523.062293019</v>
      </c>
      <c r="K29" s="20">
        <f>U14</f>
        <v>2444.1816234656844</v>
      </c>
      <c r="L29" s="64">
        <f t="shared" si="6"/>
        <v>12775.523062293019</v>
      </c>
      <c r="M29" t="s">
        <v>39</v>
      </c>
    </row>
    <row r="30" spans="1:44" x14ac:dyDescent="0.35">
      <c r="A30" s="27" t="s">
        <v>37</v>
      </c>
      <c r="B30" s="27" t="s">
        <v>94</v>
      </c>
      <c r="C30" s="27"/>
      <c r="D30" s="20">
        <f t="shared" si="1"/>
        <v>13074.842999999999</v>
      </c>
      <c r="E30" s="20">
        <f t="shared" si="2"/>
        <v>68200000</v>
      </c>
      <c r="F30" s="20">
        <f t="shared" si="3"/>
        <v>18200</v>
      </c>
      <c r="G30" s="20">
        <f t="shared" si="4"/>
        <v>68200</v>
      </c>
      <c r="I30" s="20">
        <f t="shared" si="5"/>
        <v>13061.52344533864</v>
      </c>
      <c r="J30" s="20">
        <f>U7</f>
        <v>72500000</v>
      </c>
      <c r="K30" s="20">
        <f>U15</f>
        <v>18560</v>
      </c>
      <c r="L30" s="64">
        <f t="shared" si="6"/>
        <v>72500</v>
      </c>
      <c r="M30" t="s">
        <v>40</v>
      </c>
    </row>
    <row r="32" spans="1:44" x14ac:dyDescent="0.35">
      <c r="A32" s="10" t="s">
        <v>45</v>
      </c>
      <c r="B32" s="10" t="s">
        <v>45</v>
      </c>
      <c r="C32" t="s">
        <v>69</v>
      </c>
      <c r="D32" s="14">
        <v>2006</v>
      </c>
      <c r="E32" s="14">
        <v>2007</v>
      </c>
      <c r="F32" s="14">
        <v>2008</v>
      </c>
      <c r="G32" s="14">
        <v>2009</v>
      </c>
      <c r="H32" s="14">
        <v>2010</v>
      </c>
      <c r="I32" s="14">
        <v>2011</v>
      </c>
      <c r="J32" s="14">
        <v>2012</v>
      </c>
      <c r="K32" s="14">
        <v>2013</v>
      </c>
      <c r="L32" s="14">
        <v>2014</v>
      </c>
      <c r="M32" s="14">
        <v>2015</v>
      </c>
      <c r="N32" s="14">
        <v>2016</v>
      </c>
      <c r="O32" s="14">
        <v>2017</v>
      </c>
      <c r="P32" s="14">
        <v>2018</v>
      </c>
      <c r="Q32" s="14">
        <v>2019</v>
      </c>
      <c r="R32" s="14">
        <v>2020</v>
      </c>
      <c r="S32" s="14">
        <v>2021</v>
      </c>
      <c r="T32" s="66">
        <v>2022</v>
      </c>
      <c r="U32" s="10" t="s">
        <v>114</v>
      </c>
    </row>
    <row r="33" spans="1:43" x14ac:dyDescent="0.35">
      <c r="A33" s="27" t="s">
        <v>36</v>
      </c>
      <c r="B33" s="27" t="s">
        <v>90</v>
      </c>
      <c r="C33" s="27" t="s">
        <v>68</v>
      </c>
      <c r="D33" s="48">
        <v>5600.5389999999998</v>
      </c>
      <c r="E33" s="48">
        <v>5518.6689999999999</v>
      </c>
      <c r="F33" s="48">
        <v>5518.6689999999999</v>
      </c>
      <c r="G33" s="48">
        <v>5503.6689999999999</v>
      </c>
      <c r="H33" s="48">
        <v>5501.6689999999999</v>
      </c>
      <c r="I33" s="48">
        <v>5504.6689999999999</v>
      </c>
      <c r="J33" s="48">
        <v>5526.0690000000004</v>
      </c>
      <c r="K33" s="48">
        <v>5527.3490000000002</v>
      </c>
      <c r="L33" s="48">
        <v>5529.4030540000012</v>
      </c>
      <c r="M33" s="48">
        <v>5521.3490000000002</v>
      </c>
      <c r="N33" s="48">
        <v>5524.3490000000002</v>
      </c>
      <c r="O33" s="48">
        <v>5519.5689999999995</v>
      </c>
      <c r="P33" s="48">
        <v>5522.1689999999999</v>
      </c>
      <c r="Q33" s="48">
        <v>5512.6689999999999</v>
      </c>
      <c r="R33" s="48">
        <v>5519.5789999999997</v>
      </c>
      <c r="S33" s="48">
        <v>5515.1390000000001</v>
      </c>
      <c r="T33" s="48">
        <v>5518.0389999999998</v>
      </c>
      <c r="U33" s="34">
        <f>AVERAGE(P33:T33)</f>
        <v>5517.5190000000002</v>
      </c>
      <c r="AQ33" s="15"/>
    </row>
    <row r="34" spans="1:43" x14ac:dyDescent="0.35">
      <c r="A34" s="27" t="s">
        <v>20</v>
      </c>
      <c r="B34" s="27" t="s">
        <v>91</v>
      </c>
      <c r="C34" s="27" t="s">
        <v>68</v>
      </c>
      <c r="D34" s="20">
        <v>11700.8</v>
      </c>
      <c r="E34" s="20">
        <v>11892.8</v>
      </c>
      <c r="F34" s="20">
        <v>12428.8</v>
      </c>
      <c r="G34" s="20">
        <v>12865.1</v>
      </c>
      <c r="H34" s="20">
        <v>13321.1</v>
      </c>
      <c r="I34" s="20">
        <v>13738.4</v>
      </c>
      <c r="J34" s="20">
        <v>13702.4</v>
      </c>
      <c r="K34" s="20">
        <v>14313.5</v>
      </c>
      <c r="L34" s="20">
        <v>14772.5</v>
      </c>
      <c r="M34" s="20">
        <v>14754.5</v>
      </c>
      <c r="N34" s="20">
        <v>14755.5</v>
      </c>
      <c r="O34" s="20">
        <v>14532.5</v>
      </c>
      <c r="P34" s="20">
        <v>14527.5</v>
      </c>
      <c r="Q34" s="20">
        <v>14526.2</v>
      </c>
      <c r="R34" s="20">
        <v>14528.2</v>
      </c>
      <c r="S34" s="20">
        <v>14534.2</v>
      </c>
      <c r="T34" s="20">
        <v>14535.2</v>
      </c>
      <c r="U34" s="34">
        <f>AVERAGE(P34:T34)</f>
        <v>14530.26</v>
      </c>
    </row>
    <row r="35" spans="1:43" x14ac:dyDescent="0.35">
      <c r="A35" s="27" t="s">
        <v>34</v>
      </c>
      <c r="B35" s="27" t="s">
        <v>92</v>
      </c>
      <c r="C35" s="27" t="s">
        <v>68</v>
      </c>
      <c r="D35" s="20">
        <v>6573</v>
      </c>
      <c r="E35" s="20">
        <v>6573</v>
      </c>
      <c r="F35" s="20">
        <v>6573</v>
      </c>
      <c r="G35" s="20">
        <v>6573</v>
      </c>
      <c r="H35" s="20">
        <v>6573</v>
      </c>
      <c r="I35" s="20">
        <v>6573</v>
      </c>
      <c r="J35" s="20">
        <v>6573</v>
      </c>
      <c r="K35" s="20">
        <v>6573</v>
      </c>
      <c r="L35" s="20">
        <v>6573</v>
      </c>
      <c r="M35" s="20">
        <v>6573.2</v>
      </c>
      <c r="N35" s="20">
        <v>6558.8447567553731</v>
      </c>
      <c r="O35" s="20">
        <v>6559.9720813333324</v>
      </c>
      <c r="P35" s="20">
        <v>6623.72</v>
      </c>
      <c r="Q35" s="20">
        <v>6627.7700000000013</v>
      </c>
      <c r="R35" s="20">
        <v>6731.1111999999994</v>
      </c>
      <c r="S35" s="20">
        <v>6734.02</v>
      </c>
      <c r="T35" s="20">
        <v>6628.5450000000001</v>
      </c>
      <c r="U35" s="34">
        <f t="shared" ref="U35:U37" si="7">AVERAGE(P35:T35)</f>
        <v>6669.0332399999998</v>
      </c>
    </row>
    <row r="36" spans="1:43" x14ac:dyDescent="0.35">
      <c r="A36" s="27" t="s">
        <v>28</v>
      </c>
      <c r="B36" s="27" t="s">
        <v>93</v>
      </c>
      <c r="C36" s="27" t="s">
        <v>68</v>
      </c>
      <c r="D36" s="20">
        <v>3581.3</v>
      </c>
      <c r="E36" s="20">
        <v>3622.3</v>
      </c>
      <c r="F36" s="20">
        <v>3622.3</v>
      </c>
      <c r="G36" s="20">
        <v>3520.3</v>
      </c>
      <c r="H36" s="20">
        <v>3481.3</v>
      </c>
      <c r="I36" s="20">
        <v>3493.3</v>
      </c>
      <c r="J36" s="20">
        <v>3493.3</v>
      </c>
      <c r="K36" s="20">
        <v>3503.19</v>
      </c>
      <c r="L36" s="20">
        <v>3503.8</v>
      </c>
      <c r="M36" s="20">
        <v>3563.7000000000003</v>
      </c>
      <c r="N36" s="20">
        <v>3563.7000000000003</v>
      </c>
      <c r="O36" s="20">
        <v>3563.7</v>
      </c>
      <c r="P36" s="20">
        <v>3545.2</v>
      </c>
      <c r="Q36" s="20">
        <v>3545.2</v>
      </c>
      <c r="R36" s="20">
        <v>3350.5371820000005</v>
      </c>
      <c r="S36" s="20">
        <v>3350.2350000000001</v>
      </c>
      <c r="T36" s="20">
        <v>3360.9470000000006</v>
      </c>
      <c r="U36" s="34">
        <f>AVERAGE(P36:T36)</f>
        <v>3430.4238364000003</v>
      </c>
    </row>
    <row r="37" spans="1:43" x14ac:dyDescent="0.35">
      <c r="A37" s="27" t="s">
        <v>37</v>
      </c>
      <c r="B37" s="27" t="s">
        <v>94</v>
      </c>
      <c r="C37" s="27" t="s">
        <v>68</v>
      </c>
      <c r="D37" s="20">
        <v>12517.231000000002</v>
      </c>
      <c r="E37" s="20">
        <v>12526.494000000004</v>
      </c>
      <c r="F37" s="20">
        <v>12523.514000000005</v>
      </c>
      <c r="G37" s="20">
        <v>12523.349000000004</v>
      </c>
      <c r="H37" s="20">
        <v>12682.458999999999</v>
      </c>
      <c r="I37" s="20">
        <v>12681.863000000001</v>
      </c>
      <c r="J37" s="20">
        <v>12697.207</v>
      </c>
      <c r="K37" s="20">
        <v>12893.617000000002</v>
      </c>
      <c r="L37" s="20">
        <v>12929.666000000003</v>
      </c>
      <c r="M37" s="20">
        <v>13024.7646976</v>
      </c>
      <c r="N37" s="20">
        <v>13039.195</v>
      </c>
      <c r="O37" s="20">
        <v>13078.1133974</v>
      </c>
      <c r="P37" s="20">
        <v>13089.494696939968</v>
      </c>
      <c r="Q37" s="20">
        <v>13052.37521975323</v>
      </c>
      <c r="R37" s="20">
        <v>13052.451309999999</v>
      </c>
      <c r="S37" s="20">
        <v>13038.453</v>
      </c>
      <c r="T37" s="20">
        <v>13074.842999999999</v>
      </c>
      <c r="U37" s="34">
        <f t="shared" si="7"/>
        <v>13061.52344533864</v>
      </c>
    </row>
    <row r="38" spans="1:43" x14ac:dyDescent="0.35">
      <c r="D38" s="11"/>
      <c r="E38" s="11"/>
      <c r="F38" s="11"/>
      <c r="G38" s="11"/>
      <c r="H38" s="11"/>
      <c r="I38" s="11"/>
      <c r="J38" s="11"/>
      <c r="K38" s="11"/>
      <c r="L38" s="11"/>
    </row>
    <row r="39" spans="1:43" x14ac:dyDescent="0.35">
      <c r="A39" s="10" t="s">
        <v>46</v>
      </c>
      <c r="B39" s="10" t="s">
        <v>139</v>
      </c>
      <c r="C39" s="10"/>
      <c r="D39" s="14">
        <v>2006</v>
      </c>
      <c r="E39" s="14">
        <v>2007</v>
      </c>
      <c r="F39" s="14">
        <v>2008</v>
      </c>
      <c r="G39" s="14">
        <v>2009</v>
      </c>
      <c r="H39" s="14">
        <v>2010</v>
      </c>
      <c r="I39" s="14">
        <v>2011</v>
      </c>
      <c r="J39" s="14">
        <v>2012</v>
      </c>
      <c r="K39" s="14">
        <v>2013</v>
      </c>
      <c r="L39" s="14">
        <v>2014</v>
      </c>
      <c r="M39" s="14">
        <v>2015</v>
      </c>
      <c r="N39" s="14">
        <v>2016</v>
      </c>
      <c r="O39" s="14">
        <v>2017</v>
      </c>
      <c r="P39" s="14">
        <v>2018</v>
      </c>
      <c r="Q39" s="14">
        <v>2019</v>
      </c>
      <c r="R39" s="14">
        <v>2020</v>
      </c>
      <c r="S39" s="14">
        <v>2021</v>
      </c>
      <c r="T39" s="14">
        <v>2022</v>
      </c>
      <c r="U39" s="10" t="s">
        <v>114</v>
      </c>
    </row>
    <row r="40" spans="1:43" x14ac:dyDescent="0.35">
      <c r="A40" s="27" t="s">
        <v>36</v>
      </c>
      <c r="B40" s="27" t="s">
        <v>90</v>
      </c>
      <c r="C40" s="55" t="s">
        <v>106</v>
      </c>
      <c r="D40" s="34">
        <f>D48/D33</f>
        <v>139.06500785013728</v>
      </c>
      <c r="E40" s="34">
        <f t="shared" ref="E40:O40" si="8">E48/E33</f>
        <v>141.23441721183133</v>
      </c>
      <c r="F40" s="34">
        <f t="shared" si="8"/>
        <v>141.53956325338592</v>
      </c>
      <c r="G40" s="34">
        <f t="shared" si="8"/>
        <v>147.98618884965649</v>
      </c>
      <c r="H40" s="34">
        <f t="shared" si="8"/>
        <v>150.31147820779478</v>
      </c>
      <c r="I40" s="34">
        <f t="shared" si="8"/>
        <v>151.88106678167208</v>
      </c>
      <c r="J40" s="34">
        <f t="shared" si="8"/>
        <v>152.75831698807957</v>
      </c>
      <c r="K40" s="34">
        <f t="shared" si="8"/>
        <v>153.37660060908041</v>
      </c>
      <c r="L40" s="34">
        <f t="shared" si="8"/>
        <v>154.04312032992917</v>
      </c>
      <c r="M40" s="34">
        <f t="shared" si="8"/>
        <v>154.6612974474173</v>
      </c>
      <c r="N40" s="34">
        <f t="shared" si="8"/>
        <v>155.42944517082464</v>
      </c>
      <c r="O40" s="34">
        <f t="shared" si="8"/>
        <v>159.12465266762678</v>
      </c>
      <c r="P40" s="34">
        <f>P48/P33</f>
        <v>161.96480042534012</v>
      </c>
      <c r="Q40" s="34">
        <f>Q48/Q33</f>
        <v>164.38452952644172</v>
      </c>
      <c r="R40" s="34">
        <f>R48/R33</f>
        <v>165.70158702321314</v>
      </c>
      <c r="S40" s="34">
        <f>S48/S33</f>
        <v>166.9660547086846</v>
      </c>
      <c r="T40" s="34">
        <f>T48/T33</f>
        <v>168.30779920185415</v>
      </c>
      <c r="U40" s="34">
        <f>AVERAGE(P40:T40)</f>
        <v>165.46495417710676</v>
      </c>
    </row>
    <row r="41" spans="1:43" x14ac:dyDescent="0.35">
      <c r="A41" s="27" t="s">
        <v>20</v>
      </c>
      <c r="B41" s="27" t="s">
        <v>91</v>
      </c>
      <c r="C41" s="55" t="s">
        <v>106</v>
      </c>
      <c r="D41" s="34">
        <f t="shared" ref="D41:O41" si="9">D49/D34</f>
        <v>156.92889053577022</v>
      </c>
      <c r="E41" s="34">
        <f t="shared" si="9"/>
        <v>157.34091018655405</v>
      </c>
      <c r="F41" s="34">
        <f t="shared" si="9"/>
        <v>153.79537391649478</v>
      </c>
      <c r="G41" s="34">
        <f t="shared" si="9"/>
        <v>151.62351503939416</v>
      </c>
      <c r="H41" s="34">
        <f t="shared" si="9"/>
        <v>148.9752598008663</v>
      </c>
      <c r="I41" s="34">
        <f t="shared" si="9"/>
        <v>146.70722209281939</v>
      </c>
      <c r="J41" s="34">
        <f t="shared" si="9"/>
        <v>149.1073461583365</v>
      </c>
      <c r="K41" s="34">
        <f t="shared" si="9"/>
        <v>144.62867223250709</v>
      </c>
      <c r="L41" s="34">
        <f t="shared" si="9"/>
        <v>142.04860382467422</v>
      </c>
      <c r="M41" s="34">
        <f t="shared" si="9"/>
        <v>144.05649123996068</v>
      </c>
      <c r="N41" s="34">
        <f t="shared" si="9"/>
        <v>146.44542712886721</v>
      </c>
      <c r="O41" s="34">
        <f t="shared" si="9"/>
        <v>150.95461895750904</v>
      </c>
      <c r="P41" s="34">
        <f t="shared" ref="P41:Q41" si="10">P49/P34</f>
        <v>153.77229392531407</v>
      </c>
      <c r="Q41" s="34">
        <f t="shared" si="10"/>
        <v>155.73522325177953</v>
      </c>
      <c r="R41" s="34">
        <f t="shared" ref="R41:T41" si="11">R49/R34</f>
        <v>156.8329868806872</v>
      </c>
      <c r="S41" s="34">
        <f t="shared" si="11"/>
        <v>158.45268401425602</v>
      </c>
      <c r="T41" s="34">
        <f t="shared" si="11"/>
        <v>161.42075788430844</v>
      </c>
      <c r="U41" s="34">
        <f t="shared" ref="U41:U44" si="12">AVERAGE(P41:T41)</f>
        <v>157.24278919126905</v>
      </c>
    </row>
    <row r="42" spans="1:43" x14ac:dyDescent="0.35">
      <c r="A42" s="27" t="s">
        <v>34</v>
      </c>
      <c r="B42" s="27" t="s">
        <v>92</v>
      </c>
      <c r="C42" s="55" t="s">
        <v>106</v>
      </c>
      <c r="D42" s="34">
        <f t="shared" ref="D42:O42" si="13">D50/D35</f>
        <v>375.81766552185911</v>
      </c>
      <c r="E42" s="34">
        <f t="shared" si="13"/>
        <v>381.82365499477407</v>
      </c>
      <c r="F42" s="34">
        <f t="shared" si="13"/>
        <v>387.30902721269433</v>
      </c>
      <c r="G42" s="34">
        <f t="shared" si="13"/>
        <v>392.35752717247675</v>
      </c>
      <c r="H42" s="34">
        <f t="shared" si="13"/>
        <v>397.76512389576146</v>
      </c>
      <c r="I42" s="34">
        <f t="shared" si="13"/>
        <v>402.96408326991786</v>
      </c>
      <c r="J42" s="34">
        <f t="shared" si="13"/>
        <v>409.49927514096601</v>
      </c>
      <c r="K42" s="34">
        <f t="shared" si="13"/>
        <v>415.95241633434205</v>
      </c>
      <c r="L42" s="34">
        <f t="shared" si="13"/>
        <v>420.01093729012024</v>
      </c>
      <c r="M42" s="34">
        <f t="shared" si="13"/>
        <v>427.23607732463029</v>
      </c>
      <c r="N42" s="34">
        <f t="shared" si="13"/>
        <v>435.69715490776071</v>
      </c>
      <c r="O42" s="34">
        <f t="shared" si="13"/>
        <v>444.222469832174</v>
      </c>
      <c r="P42" s="34">
        <f t="shared" ref="P42:Q42" si="14">P50/P35</f>
        <v>446.73385952304744</v>
      </c>
      <c r="Q42" s="34">
        <f t="shared" si="14"/>
        <v>455.53587405718656</v>
      </c>
      <c r="R42" s="34">
        <f t="shared" ref="R42:T42" si="15">R50/R35</f>
        <v>454.11372790869956</v>
      </c>
      <c r="S42" s="34">
        <f t="shared" si="15"/>
        <v>457.93359687081414</v>
      </c>
      <c r="T42" s="34">
        <f t="shared" si="15"/>
        <v>472.4755583616012</v>
      </c>
      <c r="U42" s="34">
        <f>AVERAGE(P42:T42)</f>
        <v>457.35852334426983</v>
      </c>
    </row>
    <row r="43" spans="1:43" x14ac:dyDescent="0.35">
      <c r="A43" s="27" t="s">
        <v>28</v>
      </c>
      <c r="B43" s="27" t="s">
        <v>93</v>
      </c>
      <c r="C43" s="55" t="s">
        <v>106</v>
      </c>
      <c r="D43" s="34">
        <f t="shared" ref="D43:O43" si="16">D51/D36</f>
        <v>69.986464189344645</v>
      </c>
      <c r="E43" s="34">
        <f t="shared" si="16"/>
        <v>70.530984583482862</v>
      </c>
      <c r="F43" s="34">
        <f t="shared" si="16"/>
        <v>71.894724194914829</v>
      </c>
      <c r="G43" s="34">
        <f t="shared" si="16"/>
        <v>75.409519141899835</v>
      </c>
      <c r="H43" s="34">
        <f t="shared" si="16"/>
        <v>77.731313596030219</v>
      </c>
      <c r="I43" s="34">
        <f t="shared" si="16"/>
        <v>78.966020668133282</v>
      </c>
      <c r="J43" s="34">
        <f t="shared" si="16"/>
        <v>79.693126842810514</v>
      </c>
      <c r="K43" s="34">
        <f t="shared" si="16"/>
        <v>79.889472166793695</v>
      </c>
      <c r="L43" s="34">
        <f t="shared" si="16"/>
        <v>80.127290370454929</v>
      </c>
      <c r="M43" s="34">
        <f t="shared" si="16"/>
        <v>79.428403064230992</v>
      </c>
      <c r="N43" s="34">
        <f t="shared" si="16"/>
        <v>80.064259056598473</v>
      </c>
      <c r="O43" s="34">
        <f t="shared" si="16"/>
        <v>80.717091814686995</v>
      </c>
      <c r="P43" s="34">
        <f t="shared" ref="P43:Q43" si="17">P51/P36</f>
        <v>81.218549024032498</v>
      </c>
      <c r="Q43" s="34">
        <f t="shared" si="17"/>
        <v>81.926548572718048</v>
      </c>
      <c r="R43" s="34">
        <f t="shared" ref="R43:T43" si="18">R51/R36</f>
        <v>87.731902089961636</v>
      </c>
      <c r="S43" s="34">
        <f t="shared" si="18"/>
        <v>88.846304811453521</v>
      </c>
      <c r="T43" s="34">
        <f t="shared" si="18"/>
        <v>89.576985296108447</v>
      </c>
      <c r="U43" s="34">
        <f t="shared" si="12"/>
        <v>85.860057958854824</v>
      </c>
    </row>
    <row r="44" spans="1:43" x14ac:dyDescent="0.35">
      <c r="A44" s="27" t="s">
        <v>37</v>
      </c>
      <c r="B44" s="27" t="s">
        <v>94</v>
      </c>
      <c r="C44" s="55" t="s">
        <v>106</v>
      </c>
      <c r="D44" s="34">
        <f t="shared" ref="D44:O44" si="19">D52/D37</f>
        <v>267.57361858241251</v>
      </c>
      <c r="E44" s="34">
        <f t="shared" si="19"/>
        <v>270.058510010801</v>
      </c>
      <c r="F44" s="34">
        <f t="shared" si="19"/>
        <v>272.87010153830613</v>
      </c>
      <c r="G44" s="34">
        <f t="shared" si="19"/>
        <v>275.27941669569532</v>
      </c>
      <c r="H44" s="34">
        <f t="shared" si="19"/>
        <v>273.84884845451109</v>
      </c>
      <c r="I44" s="34">
        <f t="shared" si="19"/>
        <v>276.55059590221009</v>
      </c>
      <c r="J44" s="34">
        <f t="shared" si="19"/>
        <v>278.5633240754002</v>
      </c>
      <c r="K44" s="34">
        <f t="shared" si="19"/>
        <v>277.34159653563461</v>
      </c>
      <c r="L44" s="34">
        <f t="shared" si="19"/>
        <v>280.29563950066455</v>
      </c>
      <c r="M44" s="34">
        <f t="shared" si="19"/>
        <v>282.09668929197869</v>
      </c>
      <c r="N44" s="34">
        <f t="shared" si="19"/>
        <v>285.34447261954898</v>
      </c>
      <c r="O44" s="34">
        <f t="shared" si="19"/>
        <v>288.6165141181902</v>
      </c>
      <c r="P44" s="34">
        <f t="shared" ref="P44:Q44" si="20">P52/P37</f>
        <v>293.08717325022917</v>
      </c>
      <c r="Q44" s="34">
        <f t="shared" si="20"/>
        <v>297.9352749616649</v>
      </c>
      <c r="R44" s="34">
        <f t="shared" ref="R44:S44" si="21">R52/R37</f>
        <v>302.19967164160249</v>
      </c>
      <c r="S44" s="34">
        <f t="shared" si="21"/>
        <v>305.95934195567526</v>
      </c>
      <c r="T44" s="34">
        <f>T52/T37</f>
        <v>308.09631901507345</v>
      </c>
      <c r="U44" s="34">
        <f t="shared" si="12"/>
        <v>301.45555616484904</v>
      </c>
    </row>
    <row r="46" spans="1:43" x14ac:dyDescent="0.35">
      <c r="A46" s="10" t="s">
        <v>87</v>
      </c>
      <c r="B46" s="10" t="s">
        <v>87</v>
      </c>
    </row>
    <row r="47" spans="1:43" x14ac:dyDescent="0.35">
      <c r="C47" s="10"/>
      <c r="D47" s="14">
        <v>2006</v>
      </c>
      <c r="E47" s="14">
        <v>2007</v>
      </c>
      <c r="F47" s="14">
        <v>2008</v>
      </c>
      <c r="G47" s="14">
        <v>2009</v>
      </c>
      <c r="H47" s="14">
        <v>2010</v>
      </c>
      <c r="I47" s="14">
        <v>2011</v>
      </c>
      <c r="J47" s="14">
        <v>2012</v>
      </c>
      <c r="K47" s="14">
        <v>2013</v>
      </c>
      <c r="L47" s="14">
        <v>2014</v>
      </c>
      <c r="M47" s="14">
        <v>2015</v>
      </c>
      <c r="N47" s="14">
        <v>2016</v>
      </c>
      <c r="O47" s="14">
        <v>2017</v>
      </c>
      <c r="P47" s="14">
        <v>2018</v>
      </c>
      <c r="Q47" s="14">
        <v>2019</v>
      </c>
      <c r="R47" s="14">
        <v>2020</v>
      </c>
      <c r="S47" s="14">
        <v>2021</v>
      </c>
      <c r="T47" s="14">
        <v>2022</v>
      </c>
      <c r="U47" s="10" t="s">
        <v>114</v>
      </c>
    </row>
    <row r="48" spans="1:43" x14ac:dyDescent="0.35">
      <c r="A48" s="27" t="s">
        <v>36</v>
      </c>
      <c r="B48" s="27" t="s">
        <v>90</v>
      </c>
      <c r="C48" s="27" t="s">
        <v>88</v>
      </c>
      <c r="D48" s="27">
        <v>778839</v>
      </c>
      <c r="E48" s="27">
        <v>779426</v>
      </c>
      <c r="F48" s="27">
        <v>781110</v>
      </c>
      <c r="G48" s="27">
        <v>814467</v>
      </c>
      <c r="H48" s="27">
        <v>826964</v>
      </c>
      <c r="I48" s="27">
        <v>836055</v>
      </c>
      <c r="J48" s="27">
        <v>844153</v>
      </c>
      <c r="K48" s="27">
        <v>847766</v>
      </c>
      <c r="L48" s="27">
        <v>851766.5</v>
      </c>
      <c r="M48" s="27">
        <v>853939</v>
      </c>
      <c r="N48" s="27">
        <v>858646.5</v>
      </c>
      <c r="O48" s="27">
        <v>878299.5</v>
      </c>
      <c r="P48" s="27">
        <v>894397</v>
      </c>
      <c r="Q48" s="27">
        <v>906197.5</v>
      </c>
      <c r="R48" s="64">
        <v>914602.99999999965</v>
      </c>
      <c r="S48" s="64">
        <v>920841</v>
      </c>
      <c r="T48" s="64">
        <v>928729</v>
      </c>
      <c r="U48" s="34">
        <f>ROUND(AVERAGE(P48:T48),0)</f>
        <v>912954</v>
      </c>
    </row>
    <row r="49" spans="1:21" x14ac:dyDescent="0.35">
      <c r="A49" s="27" t="s">
        <v>20</v>
      </c>
      <c r="B49" s="27" t="s">
        <v>91</v>
      </c>
      <c r="C49" s="27" t="s">
        <v>88</v>
      </c>
      <c r="D49" s="27">
        <v>1836193.56238094</v>
      </c>
      <c r="E49" s="27">
        <v>1871223.97666665</v>
      </c>
      <c r="F49" s="27">
        <v>1911491.9433333301</v>
      </c>
      <c r="G49" s="27">
        <v>1950651.6833333101</v>
      </c>
      <c r="H49" s="27">
        <v>1984514.33333332</v>
      </c>
      <c r="I49" s="27">
        <v>2015522.49999999</v>
      </c>
      <c r="J49" s="27">
        <v>2043128.49999999</v>
      </c>
      <c r="K49" s="27">
        <v>2070142.49999999</v>
      </c>
      <c r="L49" s="27">
        <v>2098413</v>
      </c>
      <c r="M49" s="27">
        <v>2125481.5</v>
      </c>
      <c r="N49" s="27">
        <v>2160875.5</v>
      </c>
      <c r="O49" s="27">
        <v>2193748</v>
      </c>
      <c r="P49" s="27">
        <v>2233927</v>
      </c>
      <c r="Q49" s="27">
        <v>2262241</v>
      </c>
      <c r="R49" s="64">
        <v>2278501</v>
      </c>
      <c r="S49" s="64">
        <v>2302983</v>
      </c>
      <c r="T49" s="64">
        <v>2346283</v>
      </c>
      <c r="U49" s="34">
        <f t="shared" ref="U49:U52" si="22">ROUND(AVERAGE(P49:T49),0)</f>
        <v>2284787</v>
      </c>
    </row>
    <row r="50" spans="1:21" x14ac:dyDescent="0.35">
      <c r="A50" s="27" t="s">
        <v>34</v>
      </c>
      <c r="B50" s="27" t="s">
        <v>92</v>
      </c>
      <c r="C50" s="27" t="s">
        <v>88</v>
      </c>
      <c r="D50" s="27">
        <v>2470249.51547518</v>
      </c>
      <c r="E50" s="27">
        <v>2509726.8842806499</v>
      </c>
      <c r="F50" s="27">
        <v>2545782.2358690398</v>
      </c>
      <c r="G50" s="27">
        <v>2578966.0261046896</v>
      </c>
      <c r="H50" s="27">
        <v>2614510.15936684</v>
      </c>
      <c r="I50" s="27">
        <v>2648682.9193331702</v>
      </c>
      <c r="J50" s="27">
        <v>2691638.7355015697</v>
      </c>
      <c r="K50" s="27">
        <v>2734055.2325656302</v>
      </c>
      <c r="L50" s="27">
        <v>2760731.8908079602</v>
      </c>
      <c r="M50" s="27">
        <v>2808308.1834702599</v>
      </c>
      <c r="N50" s="27">
        <v>2857670</v>
      </c>
      <c r="O50" s="27">
        <v>2914087</v>
      </c>
      <c r="P50" s="27">
        <v>2959040</v>
      </c>
      <c r="Q50" s="27">
        <v>3019187</v>
      </c>
      <c r="R50" s="64">
        <v>3056690</v>
      </c>
      <c r="S50" s="64">
        <v>3083734</v>
      </c>
      <c r="T50" s="64">
        <v>3131825.5</v>
      </c>
      <c r="U50" s="34">
        <f t="shared" si="22"/>
        <v>3050095</v>
      </c>
    </row>
    <row r="51" spans="1:21" x14ac:dyDescent="0.35">
      <c r="A51" s="27" t="s">
        <v>28</v>
      </c>
      <c r="B51" s="27" t="s">
        <v>93</v>
      </c>
      <c r="C51" s="27" t="s">
        <v>88</v>
      </c>
      <c r="D51" s="27">
        <v>250642.5242013</v>
      </c>
      <c r="E51" s="27">
        <v>255484.38545674999</v>
      </c>
      <c r="F51" s="27">
        <v>260424.25945124001</v>
      </c>
      <c r="G51" s="27">
        <v>265464.13023523003</v>
      </c>
      <c r="H51" s="27">
        <v>270606.02202186</v>
      </c>
      <c r="I51" s="27">
        <v>275851.99999998999</v>
      </c>
      <c r="J51" s="27">
        <v>278391.99999998999</v>
      </c>
      <c r="K51" s="27">
        <v>279867.99999998999</v>
      </c>
      <c r="L51" s="27">
        <v>280750</v>
      </c>
      <c r="M51" s="27">
        <v>283059</v>
      </c>
      <c r="N51" s="27">
        <v>285325</v>
      </c>
      <c r="O51" s="27">
        <v>287651.5001</v>
      </c>
      <c r="P51" s="27">
        <v>287936</v>
      </c>
      <c r="Q51" s="27">
        <v>290446</v>
      </c>
      <c r="R51" s="64">
        <v>293949</v>
      </c>
      <c r="S51" s="64">
        <v>297656</v>
      </c>
      <c r="T51" s="64">
        <v>301063.49999999983</v>
      </c>
      <c r="U51" s="34">
        <f>ROUND(AVERAGE(P51:T51),0)</f>
        <v>294210</v>
      </c>
    </row>
    <row r="52" spans="1:21" x14ac:dyDescent="0.35">
      <c r="A52" s="27" t="s">
        <v>37</v>
      </c>
      <c r="B52" s="27" t="s">
        <v>94</v>
      </c>
      <c r="C52" s="27" t="s">
        <v>88</v>
      </c>
      <c r="D52" s="27">
        <v>3349280.7933019502</v>
      </c>
      <c r="E52" s="27">
        <v>3382886.3052992402</v>
      </c>
      <c r="F52" s="27">
        <v>3417292.5367963999</v>
      </c>
      <c r="G52" s="27">
        <v>3447420.2077966202</v>
      </c>
      <c r="H52" s="27">
        <v>3473076.79272155</v>
      </c>
      <c r="I52" s="27">
        <v>3507176.7698001899</v>
      </c>
      <c r="J52" s="27">
        <v>3536976.1883934401</v>
      </c>
      <c r="K52" s="27">
        <v>3575936.323899</v>
      </c>
      <c r="L52" s="27">
        <v>3624129</v>
      </c>
      <c r="M52" s="27">
        <v>3674243</v>
      </c>
      <c r="N52" s="27">
        <v>3720662.2206584597</v>
      </c>
      <c r="O52" s="27">
        <v>3774559.4999999898</v>
      </c>
      <c r="P52" s="27">
        <v>3836363</v>
      </c>
      <c r="Q52" s="27">
        <v>3888763</v>
      </c>
      <c r="R52" s="64">
        <v>3944446.5000000042</v>
      </c>
      <c r="S52" s="64">
        <v>3989236.5</v>
      </c>
      <c r="T52" s="64">
        <v>4028311</v>
      </c>
      <c r="U52" s="34">
        <f t="shared" si="22"/>
        <v>3937424</v>
      </c>
    </row>
    <row r="55" spans="1:21" x14ac:dyDescent="0.35">
      <c r="U55" s="1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900-000017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data'!D11:M11</xm:f>
              <xm:sqref>V11</xm:sqref>
            </x14:sparkline>
          </x14:sparklines>
        </x14:sparklineGroup>
        <x14:sparklineGroup displayEmptyCellsAs="gap" xr2:uid="{00000000-0003-0000-0900-000016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data'!D12:M12</xm:f>
              <xm:sqref>V12</xm:sqref>
            </x14:sparkline>
          </x14:sparklines>
        </x14:sparklineGroup>
        <x14:sparklineGroup displayEmptyCellsAs="gap" xr2:uid="{00000000-0003-0000-0900-000015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data'!D13:M13</xm:f>
              <xm:sqref>V13</xm:sqref>
            </x14:sparkline>
          </x14:sparklines>
        </x14:sparklineGroup>
        <x14:sparklineGroup displayEmptyCellsAs="gap" xr2:uid="{00000000-0003-0000-0900-00001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data'!D14:M14</xm:f>
              <xm:sqref>V14</xm:sqref>
            </x14:sparkline>
          </x14:sparklines>
        </x14:sparklineGroup>
        <x14:sparklineGroup displayEmptyCellsAs="gap" xr2:uid="{00000000-0003-0000-0900-00001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data'!D15:M15</xm:f>
              <xm:sqref>V15</xm:sqref>
            </x14:sparkline>
          </x14:sparklines>
        </x14:sparklineGroup>
        <x14:sparklineGroup displayEmptyCellsAs="gap" xr2:uid="{00000000-0003-0000-0900-000012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data'!D18:M18</xm:f>
              <xm:sqref>V18</xm:sqref>
            </x14:sparkline>
          </x14:sparklines>
        </x14:sparklineGroup>
        <x14:sparklineGroup displayEmptyCellsAs="gap" xr2:uid="{00000000-0003-0000-0900-00001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data'!D19:M19</xm:f>
              <xm:sqref>V19</xm:sqref>
            </x14:sparkline>
          </x14:sparklines>
        </x14:sparklineGroup>
        <x14:sparklineGroup displayEmptyCellsAs="gap" xr2:uid="{00000000-0003-0000-0900-00001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data'!D20:M20</xm:f>
              <xm:sqref>V20</xm:sqref>
            </x14:sparkline>
          </x14:sparklines>
        </x14:sparklineGroup>
        <x14:sparklineGroup displayEmptyCellsAs="gap" xr2:uid="{00000000-0003-0000-0900-00000F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data'!D21:M21</xm:f>
              <xm:sqref>V21</xm:sqref>
            </x14:sparkline>
          </x14:sparklines>
        </x14:sparklineGroup>
        <x14:sparklineGroup displayEmptyCellsAs="gap" xr2:uid="{00000000-0003-0000-0900-00000E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data'!D22:M22</xm:f>
              <xm:sqref>V22</xm:sqref>
            </x14:sparkline>
          </x14:sparklines>
        </x14:sparklineGroup>
        <x14:sparklineGroup displayEmptyCellsAs="gap" xr2:uid="{00000000-0003-0000-0900-00000D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data'!D33:M33</xm:f>
              <xm:sqref>V33</xm:sqref>
            </x14:sparkline>
          </x14:sparklines>
        </x14:sparklineGroup>
        <x14:sparklineGroup displayEmptyCellsAs="gap" xr2:uid="{00000000-0003-0000-0900-00000C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data'!D34:M34</xm:f>
              <xm:sqref>V34</xm:sqref>
            </x14:sparkline>
          </x14:sparklines>
        </x14:sparklineGroup>
        <x14:sparklineGroup displayEmptyCellsAs="gap" xr2:uid="{00000000-0003-0000-0900-00000B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data'!D35:M35</xm:f>
              <xm:sqref>V35</xm:sqref>
            </x14:sparkline>
          </x14:sparklines>
        </x14:sparklineGroup>
        <x14:sparklineGroup displayEmptyCellsAs="gap" xr2:uid="{00000000-0003-0000-0900-00000A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data'!D36:M36</xm:f>
              <xm:sqref>V36</xm:sqref>
            </x14:sparkline>
          </x14:sparklines>
        </x14:sparklineGroup>
        <x14:sparklineGroup displayEmptyCellsAs="gap" xr2:uid="{00000000-0003-0000-0900-000009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data'!D37:M37</xm:f>
              <xm:sqref>V37</xm:sqref>
            </x14:sparkline>
          </x14:sparklines>
        </x14:sparklineGroup>
        <x14:sparklineGroup displayEmptyCellsAs="gap" xr2:uid="{00000000-0003-0000-0900-000008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data'!D3:Q3</xm:f>
              <xm:sqref>V3</xm:sqref>
            </x14:sparkline>
            <x14:sparkline>
              <xm:f>'Physical data'!D4:Q4</xm:f>
              <xm:sqref>V4</xm:sqref>
            </x14:sparkline>
            <x14:sparkline>
              <xm:f>'Physical data'!D5:Q5</xm:f>
              <xm:sqref>V5</xm:sqref>
            </x14:sparkline>
            <x14:sparkline>
              <xm:f>'Physical data'!D6:Q6</xm:f>
              <xm:sqref>V6</xm:sqref>
            </x14:sparkline>
            <x14:sparkline>
              <xm:f>'Physical data'!D7:Q7</xm:f>
              <xm:sqref>V7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24"/>
  <sheetViews>
    <sheetView zoomScaleNormal="100" workbookViewId="0">
      <selection activeCell="M2" sqref="M2"/>
    </sheetView>
  </sheetViews>
  <sheetFormatPr defaultRowHeight="14.5" x14ac:dyDescent="0.35"/>
  <sheetData>
    <row r="1" spans="1:47" x14ac:dyDescent="0.35">
      <c r="A1" s="10" t="s">
        <v>83</v>
      </c>
    </row>
    <row r="2" spans="1:47" ht="26" x14ac:dyDescent="0.6">
      <c r="B2" s="16" t="s">
        <v>133</v>
      </c>
      <c r="M2" s="16" t="s">
        <v>127</v>
      </c>
      <c r="X2" s="16" t="s">
        <v>134</v>
      </c>
      <c r="AC2" s="9"/>
      <c r="AU2" s="9"/>
    </row>
    <row r="24" spans="2:13" ht="26" x14ac:dyDescent="0.6">
      <c r="B24" s="16"/>
      <c r="L24" s="9"/>
      <c r="M24" s="16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"/>
  <sheetViews>
    <sheetView workbookViewId="0">
      <selection activeCell="A23" sqref="A23"/>
    </sheetView>
  </sheetViews>
  <sheetFormatPr defaultRowHeight="14.5" x14ac:dyDescent="0.35"/>
  <cols>
    <col min="1" max="1" width="17.54296875" customWidth="1"/>
    <col min="2" max="6" width="20" customWidth="1"/>
    <col min="7" max="7" width="19.1796875" customWidth="1"/>
    <col min="8" max="9" width="17.81640625" customWidth="1"/>
  </cols>
  <sheetData>
    <row r="1" spans="1:6" x14ac:dyDescent="0.35">
      <c r="A1" s="10" t="s">
        <v>58</v>
      </c>
    </row>
    <row r="2" spans="1:6" x14ac:dyDescent="0.35">
      <c r="A2" s="10" t="s">
        <v>53</v>
      </c>
    </row>
    <row r="3" spans="1:6" x14ac:dyDescent="0.35">
      <c r="B3" t="str">
        <f>'Physical data'!D24</f>
        <v>Circuit line length</v>
      </c>
      <c r="C3" t="str">
        <f>'Physical data'!E24</f>
        <v>Energy transported</v>
      </c>
      <c r="D3" t="str">
        <f>'Physical data'!F24</f>
        <v>Maximum demand</v>
      </c>
    </row>
    <row r="4" spans="1:6" x14ac:dyDescent="0.35">
      <c r="B4" s="35" t="str">
        <f>'Physical data'!D25</f>
        <v>km</v>
      </c>
      <c r="C4" s="36" t="s">
        <v>70</v>
      </c>
      <c r="D4" s="35" t="str">
        <f>'Physical data'!F25</f>
        <v>MVA</v>
      </c>
      <c r="E4" s="35"/>
    </row>
    <row r="5" spans="1:6" x14ac:dyDescent="0.35">
      <c r="A5" t="str">
        <f>'Physical data'!B26</f>
        <v>ENT</v>
      </c>
      <c r="B5" s="35">
        <f>'Physical data'!I26</f>
        <v>5517.5190000000002</v>
      </c>
      <c r="C5" s="35">
        <f>'Physical data'!L26</f>
        <v>13265.137669759199</v>
      </c>
      <c r="D5" s="35">
        <f>'Physical data'!K26</f>
        <v>3399.4833573839978</v>
      </c>
      <c r="E5" s="35"/>
    </row>
    <row r="6" spans="1:6" x14ac:dyDescent="0.35">
      <c r="A6" t="str">
        <f>'Physical data'!B27</f>
        <v>PLK</v>
      </c>
      <c r="B6" s="35">
        <f>'Physical data'!I27</f>
        <v>14530.26</v>
      </c>
      <c r="C6" s="35">
        <f>'Physical data'!L27</f>
        <v>52921.309281518494</v>
      </c>
      <c r="D6" s="35">
        <f>'Physical data'!K27</f>
        <v>12458.149718199998</v>
      </c>
      <c r="E6" s="35"/>
    </row>
    <row r="7" spans="1:6" x14ac:dyDescent="0.35">
      <c r="A7" t="str">
        <f>'Physical data'!B28</f>
        <v>ANT</v>
      </c>
      <c r="B7" s="35">
        <f>'Physical data'!I28</f>
        <v>6669.0332399999998</v>
      </c>
      <c r="C7" s="35">
        <f>'Physical data'!L28</f>
        <v>42211.652870194601</v>
      </c>
      <c r="D7" s="35">
        <f>'Physical data'!K28</f>
        <v>9779.9995741999992</v>
      </c>
      <c r="E7" s="35"/>
    </row>
    <row r="8" spans="1:6" x14ac:dyDescent="0.35">
      <c r="A8" t="str">
        <f>'Physical data'!B29</f>
        <v>TNT</v>
      </c>
      <c r="B8" s="35">
        <f>'Physical data'!I29</f>
        <v>3430.4238364000003</v>
      </c>
      <c r="C8" s="35">
        <f>'Physical data'!L29</f>
        <v>12775.523062293019</v>
      </c>
      <c r="D8" s="35">
        <f>'Physical data'!K29</f>
        <v>2444.1816234656844</v>
      </c>
      <c r="E8" s="35"/>
    </row>
    <row r="9" spans="1:6" x14ac:dyDescent="0.35">
      <c r="A9" t="str">
        <f>'Physical data'!B30</f>
        <v>TRG</v>
      </c>
      <c r="B9" s="35">
        <f>'Physical data'!I30</f>
        <v>13061.52344533864</v>
      </c>
      <c r="C9" s="35">
        <f>'Physical data'!L30</f>
        <v>72500</v>
      </c>
      <c r="D9" s="35">
        <f>'Physical data'!K30</f>
        <v>18560</v>
      </c>
      <c r="E9" s="35"/>
    </row>
    <row r="11" spans="1:6" x14ac:dyDescent="0.35">
      <c r="A11" s="10" t="s">
        <v>52</v>
      </c>
    </row>
    <row r="12" spans="1:6" x14ac:dyDescent="0.35">
      <c r="B12" t="s">
        <v>24</v>
      </c>
      <c r="C12" t="s">
        <v>25</v>
      </c>
      <c r="D12" t="s">
        <v>26</v>
      </c>
      <c r="E12" t="s">
        <v>22</v>
      </c>
      <c r="F12" t="s">
        <v>27</v>
      </c>
    </row>
    <row r="13" spans="1:6" x14ac:dyDescent="0.35">
      <c r="B13" t="str">
        <f>Opex!$B$16</f>
        <v>$'000 2022</v>
      </c>
      <c r="C13" t="str">
        <f>Capex!$B$18</f>
        <v>$'000 2022</v>
      </c>
      <c r="D13" t="str">
        <f>RAB!$B$15</f>
        <v>$'000 2022</v>
      </c>
      <c r="E13" t="str">
        <f>Depreciation!$B$15</f>
        <v>$'000 2022</v>
      </c>
      <c r="F13" t="str">
        <f>'Asset cost and Total cost'!$B$11</f>
        <v>$'000 2022</v>
      </c>
    </row>
    <row r="14" spans="1:6" x14ac:dyDescent="0.35">
      <c r="A14" t="s">
        <v>36</v>
      </c>
      <c r="B14" s="11">
        <f>Opex!T15</f>
        <v>105549</v>
      </c>
      <c r="C14" s="11">
        <f>Capex!T17</f>
        <v>169318.52629636932</v>
      </c>
      <c r="D14" s="11">
        <f>RAB!T15</f>
        <v>2614922</v>
      </c>
      <c r="E14" s="11">
        <f>ABS(Depreciation!T15)</f>
        <v>131817.14670340117</v>
      </c>
      <c r="F14" s="11">
        <f>'Asset cost and Total cost'!T11</f>
        <v>198512.15078011336</v>
      </c>
    </row>
    <row r="15" spans="1:6" x14ac:dyDescent="0.35">
      <c r="A15" t="s">
        <v>20</v>
      </c>
      <c r="B15" s="11">
        <f>Opex!T16</f>
        <v>218389</v>
      </c>
      <c r="C15" s="11">
        <f>Capex!T18</f>
        <v>161189.26737258356</v>
      </c>
      <c r="D15" s="11">
        <f>RAB!T16</f>
        <v>7043526</v>
      </c>
      <c r="E15" s="11">
        <f>ABS(Depreciation!T16)</f>
        <v>321543.46490800695</v>
      </c>
      <c r="F15" s="11">
        <f>'Asset cost and Total cost'!T12</f>
        <v>503020.64338405069</v>
      </c>
    </row>
    <row r="16" spans="1:6" x14ac:dyDescent="0.35">
      <c r="A16" t="s">
        <v>34</v>
      </c>
      <c r="B16" s="11">
        <f>Opex!T17</f>
        <v>88659</v>
      </c>
      <c r="C16" s="11">
        <f>Capex!T19</f>
        <v>176942.66473517107</v>
      </c>
      <c r="D16" s="11">
        <f>RAB!T17</f>
        <v>3313196</v>
      </c>
      <c r="E16" s="11">
        <f>ABS(Depreciation!T17)</f>
        <v>193098.56142334425</v>
      </c>
      <c r="F16" s="11">
        <f>'Asset cost and Total cost'!T13</f>
        <v>285779.65594084503</v>
      </c>
    </row>
    <row r="17" spans="1:6" x14ac:dyDescent="0.35">
      <c r="A17" t="s">
        <v>28</v>
      </c>
      <c r="B17" s="11">
        <f>Opex!T18</f>
        <v>32583</v>
      </c>
      <c r="C17" s="11">
        <f>Capex!T20</f>
        <v>55235.091672685157</v>
      </c>
      <c r="D17" s="11">
        <f>RAB!T18</f>
        <v>1511866</v>
      </c>
      <c r="E17" s="11">
        <f>ABS(Depreciation!T18)</f>
        <v>66237.804374470899</v>
      </c>
      <c r="F17" s="11">
        <f>'Asset cost and Total cost'!T14</f>
        <v>103781.86425334486</v>
      </c>
    </row>
    <row r="18" spans="1:6" x14ac:dyDescent="0.35">
      <c r="A18" t="s">
        <v>37</v>
      </c>
      <c r="B18" s="11">
        <f>Opex!T19</f>
        <v>178576</v>
      </c>
      <c r="C18" s="11">
        <f>Capex!T21</f>
        <v>300570.16704534803</v>
      </c>
      <c r="D18" s="11">
        <f>RAB!T19</f>
        <v>6846291</v>
      </c>
      <c r="E18" s="11">
        <f>ABS(Depreciation!T19)</f>
        <v>298834.15990417905</v>
      </c>
      <c r="F18" s="11">
        <f>'Asset cost and Total cost'!T15</f>
        <v>456935.6823094053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8"/>
  <sheetViews>
    <sheetView topLeftCell="A122" zoomScale="70" zoomScaleNormal="70" workbookViewId="0">
      <selection activeCell="P128" sqref="P128"/>
    </sheetView>
  </sheetViews>
  <sheetFormatPr defaultRowHeight="14.5" x14ac:dyDescent="0.35"/>
  <cols>
    <col min="21" max="21" width="9.1796875" customWidth="1"/>
  </cols>
  <sheetData>
    <row r="1" spans="1:15" ht="21" x14ac:dyDescent="0.5">
      <c r="A1" s="10" t="s">
        <v>85</v>
      </c>
      <c r="O1" s="16" t="s">
        <v>126</v>
      </c>
    </row>
    <row r="2" spans="1:15" ht="21" x14ac:dyDescent="0.5">
      <c r="A2" s="16" t="s">
        <v>123</v>
      </c>
    </row>
    <row r="27" spans="1:16" ht="21" x14ac:dyDescent="0.5">
      <c r="A27" s="16" t="s">
        <v>124</v>
      </c>
      <c r="P27" s="16" t="s">
        <v>141</v>
      </c>
    </row>
    <row r="53" spans="1:16" ht="26" x14ac:dyDescent="0.6">
      <c r="A53" s="16" t="s">
        <v>125</v>
      </c>
      <c r="J53" s="9"/>
      <c r="P53" s="16" t="s">
        <v>131</v>
      </c>
    </row>
    <row r="74" spans="1:16" ht="21" x14ac:dyDescent="0.5">
      <c r="P74" s="16" t="s">
        <v>127</v>
      </c>
    </row>
    <row r="76" spans="1:16" ht="21" x14ac:dyDescent="0.5">
      <c r="P76" s="16"/>
    </row>
    <row r="78" spans="1:16" ht="26" x14ac:dyDescent="0.6">
      <c r="A78" s="16" t="s">
        <v>128</v>
      </c>
      <c r="K78" s="9"/>
    </row>
    <row r="100" spans="16:16" ht="21" x14ac:dyDescent="0.5">
      <c r="P100" s="16" t="s">
        <v>129</v>
      </c>
    </row>
    <row r="128" spans="16:16" x14ac:dyDescent="0.35">
      <c r="P128" t="s">
        <v>130</v>
      </c>
    </row>
  </sheetData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7"/>
  <sheetViews>
    <sheetView zoomScale="80" zoomScaleNormal="80" workbookViewId="0">
      <pane xSplit="2" topLeftCell="C1" activePane="topRight" state="frozen"/>
      <selection pane="topRight" activeCell="I2" sqref="I2"/>
    </sheetView>
  </sheetViews>
  <sheetFormatPr defaultColWidth="9.1796875" defaultRowHeight="14.5" x14ac:dyDescent="0.35"/>
  <cols>
    <col min="1" max="1" width="56.1796875" customWidth="1"/>
    <col min="2" max="2" width="21.26953125" customWidth="1"/>
    <col min="3" max="3" width="13.81640625" bestFit="1" customWidth="1"/>
    <col min="4" max="4" width="14.81640625" bestFit="1" customWidth="1"/>
    <col min="5" max="5" width="14.453125" customWidth="1"/>
    <col min="6" max="6" width="15.453125" customWidth="1"/>
    <col min="7" max="8" width="15.54296875" bestFit="1" customWidth="1"/>
    <col min="9" max="18" width="16.1796875" bestFit="1" customWidth="1"/>
    <col min="19" max="20" width="16.1796875" customWidth="1"/>
    <col min="21" max="21" width="19.81640625" bestFit="1" customWidth="1"/>
    <col min="22" max="23" width="27.7265625" bestFit="1" customWidth="1"/>
    <col min="24" max="24" width="30.54296875" customWidth="1"/>
    <col min="25" max="27" width="25.453125" customWidth="1"/>
    <col min="28" max="28" width="14.81640625" customWidth="1"/>
    <col min="29" max="29" width="14.54296875" customWidth="1"/>
    <col min="30" max="30" width="19.81640625" customWidth="1"/>
    <col min="31" max="32" width="21" customWidth="1"/>
    <col min="33" max="33" width="12.81640625" customWidth="1"/>
    <col min="34" max="34" width="16" customWidth="1"/>
    <col min="35" max="35" width="21.1796875" customWidth="1"/>
    <col min="36" max="37" width="18.54296875" customWidth="1"/>
  </cols>
  <sheetData>
    <row r="1" spans="1:27" x14ac:dyDescent="0.35">
      <c r="A1" s="10" t="s">
        <v>84</v>
      </c>
      <c r="B1" s="10" t="s">
        <v>84</v>
      </c>
    </row>
    <row r="2" spans="1:27" s="13" customFormat="1" ht="43.5" x14ac:dyDescent="0.35">
      <c r="A2" s="10" t="s">
        <v>145</v>
      </c>
      <c r="B2" s="10" t="s">
        <v>119</v>
      </c>
      <c r="C2" s="10"/>
      <c r="D2" s="13" t="s">
        <v>71</v>
      </c>
      <c r="E2" s="13" t="s">
        <v>32</v>
      </c>
      <c r="F2" s="13" t="s">
        <v>102</v>
      </c>
      <c r="G2" s="13" t="s">
        <v>107</v>
      </c>
    </row>
    <row r="3" spans="1:27" s="13" customFormat="1" x14ac:dyDescent="0.35">
      <c r="A3" s="10"/>
      <c r="B3" s="10"/>
      <c r="C3" s="10"/>
      <c r="D3" s="24" t="s">
        <v>120</v>
      </c>
      <c r="E3" s="24" t="s">
        <v>121</v>
      </c>
      <c r="F3" s="73" t="s">
        <v>146</v>
      </c>
      <c r="G3" s="13" t="s">
        <v>122</v>
      </c>
    </row>
    <row r="4" spans="1:27" x14ac:dyDescent="0.35">
      <c r="A4" s="27" t="s">
        <v>36</v>
      </c>
      <c r="B4" s="27" t="s">
        <v>90</v>
      </c>
      <c r="C4" s="27"/>
      <c r="D4" s="20">
        <f>$U13</f>
        <v>89360.232985702925</v>
      </c>
      <c r="E4" s="20">
        <f>U21</f>
        <v>23.062612868364873</v>
      </c>
      <c r="F4" s="20">
        <f>U29</f>
        <v>333.35851740988585</v>
      </c>
      <c r="G4" s="20">
        <f>U45</f>
        <v>55108.64758026685</v>
      </c>
      <c r="H4" s="54"/>
    </row>
    <row r="5" spans="1:27" x14ac:dyDescent="0.35">
      <c r="A5" s="27" t="s">
        <v>20</v>
      </c>
      <c r="B5" s="27" t="s">
        <v>91</v>
      </c>
      <c r="C5" s="27"/>
      <c r="D5" s="20">
        <f>$U14</f>
        <v>58055.991776386196</v>
      </c>
      <c r="E5" s="20">
        <f t="shared" ref="E5:E8" si="0">U22</f>
        <v>13.606042995818328</v>
      </c>
      <c r="F5" s="20">
        <f t="shared" ref="F5:F8" si="1">U30</f>
        <v>316.42709680432176</v>
      </c>
      <c r="G5" s="20">
        <f t="shared" ref="G5:G8" si="2">U46</f>
        <v>49650.080229353043</v>
      </c>
      <c r="H5" s="54"/>
    </row>
    <row r="6" spans="1:27" x14ac:dyDescent="0.35">
      <c r="A6" s="27" t="s">
        <v>34</v>
      </c>
      <c r="B6" s="27" t="s">
        <v>92</v>
      </c>
      <c r="C6" s="27"/>
      <c r="D6" s="20">
        <f t="shared" ref="D6:D8" si="3">$U15</f>
        <v>38301.868142300176</v>
      </c>
      <c r="E6" s="20">
        <f t="shared" si="0"/>
        <v>8.9019349605241409</v>
      </c>
      <c r="F6" s="20">
        <f t="shared" si="1"/>
        <v>123.07443348846519</v>
      </c>
      <c r="G6" s="20">
        <f t="shared" si="2"/>
        <v>56136.442562433447</v>
      </c>
      <c r="H6" s="54"/>
    </row>
    <row r="7" spans="1:27" x14ac:dyDescent="0.35">
      <c r="A7" s="27" t="s">
        <v>28</v>
      </c>
      <c r="B7" s="27" t="s">
        <v>93</v>
      </c>
      <c r="C7" s="27"/>
      <c r="D7" s="20">
        <f t="shared" si="3"/>
        <v>55765.081211049226</v>
      </c>
      <c r="E7" s="20">
        <f t="shared" si="0"/>
        <v>10.705602987236851</v>
      </c>
      <c r="F7" s="20">
        <f t="shared" si="1"/>
        <v>464.70065930089703</v>
      </c>
      <c r="G7" s="20">
        <f t="shared" si="2"/>
        <v>39650.497088172997</v>
      </c>
      <c r="H7" s="54"/>
    </row>
    <row r="8" spans="1:27" x14ac:dyDescent="0.35">
      <c r="A8" s="27" t="s">
        <v>37</v>
      </c>
      <c r="B8" s="27" t="s">
        <v>94</v>
      </c>
      <c r="C8" s="27"/>
      <c r="D8" s="20">
        <f t="shared" si="3"/>
        <v>34208.506997226723</v>
      </c>
      <c r="E8" s="20">
        <f t="shared" si="0"/>
        <v>8.741030516750234</v>
      </c>
      <c r="F8" s="20">
        <f t="shared" si="1"/>
        <v>161.71808554076901</v>
      </c>
      <c r="G8" s="20">
        <f t="shared" si="2"/>
        <v>48657.349962584878</v>
      </c>
      <c r="H8" s="54"/>
    </row>
    <row r="10" spans="1:27" x14ac:dyDescent="0.35">
      <c r="A10" s="10" t="s">
        <v>31</v>
      </c>
      <c r="B10" s="10" t="s">
        <v>31</v>
      </c>
      <c r="C10" s="10"/>
    </row>
    <row r="12" spans="1:27" s="10" customFormat="1" ht="43.5" x14ac:dyDescent="0.35">
      <c r="A12" s="29" t="s">
        <v>47</v>
      </c>
      <c r="B12" s="29" t="s">
        <v>47</v>
      </c>
      <c r="C12" s="29"/>
      <c r="D12" s="30">
        <v>2006</v>
      </c>
      <c r="E12" s="30">
        <v>2007</v>
      </c>
      <c r="F12" s="30">
        <v>2008</v>
      </c>
      <c r="G12" s="30">
        <v>2009</v>
      </c>
      <c r="H12" s="30">
        <v>2010</v>
      </c>
      <c r="I12" s="30">
        <v>2011</v>
      </c>
      <c r="J12" s="30">
        <v>2012</v>
      </c>
      <c r="K12" s="30">
        <v>2013</v>
      </c>
      <c r="L12" s="30">
        <v>2014</v>
      </c>
      <c r="M12" s="30">
        <v>2015</v>
      </c>
      <c r="N12" s="30">
        <v>2016</v>
      </c>
      <c r="O12" s="30">
        <v>2017</v>
      </c>
      <c r="P12" s="30">
        <v>2018</v>
      </c>
      <c r="Q12" s="30">
        <v>2019</v>
      </c>
      <c r="R12" s="30">
        <v>2020</v>
      </c>
      <c r="S12" s="30">
        <v>2021</v>
      </c>
      <c r="T12" s="30">
        <v>2022</v>
      </c>
      <c r="U12" s="30" t="s">
        <v>23</v>
      </c>
      <c r="V12" s="10" t="s">
        <v>115</v>
      </c>
      <c r="X12" s="13" t="s">
        <v>143</v>
      </c>
      <c r="AA12" s="10" t="s">
        <v>111</v>
      </c>
    </row>
    <row r="13" spans="1:27" x14ac:dyDescent="0.35">
      <c r="A13" s="27" t="s">
        <v>36</v>
      </c>
      <c r="B13" s="27" t="s">
        <v>90</v>
      </c>
      <c r="C13" s="27" t="s">
        <v>140</v>
      </c>
      <c r="D13" s="20">
        <f>D53/'Physical data'!D11</f>
        <v>55167.367574147727</v>
      </c>
      <c r="E13" s="20">
        <f>E53/'Physical data'!E11</f>
        <v>60148.121048545145</v>
      </c>
      <c r="F13" s="20">
        <f>F53/'Physical data'!F11</f>
        <v>47698.832807111976</v>
      </c>
      <c r="G13" s="20">
        <f>G53/'Physical data'!G11</f>
        <v>62836.267907071575</v>
      </c>
      <c r="H13" s="20">
        <f>H53/'Physical data'!H11</f>
        <v>59790.940184897234</v>
      </c>
      <c r="I13" s="20">
        <f>I53/'Physical data'!I11</f>
        <v>60995.294764672617</v>
      </c>
      <c r="J13" s="20">
        <f>J53/'Physical data'!J11</f>
        <v>74082.76622833556</v>
      </c>
      <c r="K13" s="20">
        <f>K53/'Physical data'!K11</f>
        <v>65170.446136185834</v>
      </c>
      <c r="L13" s="20">
        <f>L53/'Physical data'!L11</f>
        <v>75981.627659248319</v>
      </c>
      <c r="M13" s="20">
        <f>M53/'Physical data'!M11</f>
        <v>104914.01989856764</v>
      </c>
      <c r="N13" s="20">
        <f>N53/'Physical data'!N11</f>
        <v>98157.240512746197</v>
      </c>
      <c r="O13" s="20">
        <f>O53/'Physical data'!O11</f>
        <v>90495.876151816643</v>
      </c>
      <c r="P13" s="20">
        <f>P53/'Physical data'!P11</f>
        <v>94261.428805712756</v>
      </c>
      <c r="Q13" s="20">
        <f>Q53/'Physical data'!Q11</f>
        <v>86056.42391055284</v>
      </c>
      <c r="R13" s="20">
        <f>R53/'Physical data'!R11</f>
        <v>92503.142955159594</v>
      </c>
      <c r="S13" s="20">
        <f>S53/'Physical data'!S11</f>
        <v>96769.998788433368</v>
      </c>
      <c r="T13" s="20">
        <f>T53/'Physical data'!T11</f>
        <v>77210.170468656041</v>
      </c>
      <c r="U13" s="20">
        <f>AVERAGE(P13:T13)</f>
        <v>89360.232985702925</v>
      </c>
      <c r="V13" s="52">
        <f>$T13/$D13-1</f>
        <v>0.39956234752150666</v>
      </c>
      <c r="W13" s="52">
        <f>T13/S13-1</f>
        <v>-0.20212698733768364</v>
      </c>
      <c r="X13" s="42">
        <f>T13/T15</f>
        <v>2.7316630121738945</v>
      </c>
      <c r="Y13" s="65">
        <f>S13/U13-1</f>
        <v>8.2920171033080914E-2</v>
      </c>
      <c r="Z13" s="11">
        <f>S13-R13</f>
        <v>4266.8558332737739</v>
      </c>
      <c r="AA13" s="65">
        <f>Z13/R13</f>
        <v>4.6126603885687532E-2</v>
      </c>
    </row>
    <row r="14" spans="1:27" x14ac:dyDescent="0.35">
      <c r="A14" s="27" t="s">
        <v>20</v>
      </c>
      <c r="B14" s="27" t="s">
        <v>91</v>
      </c>
      <c r="C14" s="27" t="s">
        <v>140</v>
      </c>
      <c r="D14" s="20">
        <f>D54/'Physical data'!D12</f>
        <v>52264.91482980513</v>
      </c>
      <c r="E14" s="20">
        <f>E54/'Physical data'!E12</f>
        <v>53047.043619783981</v>
      </c>
      <c r="F14" s="20">
        <f>F54/'Physical data'!F12</f>
        <v>51762.581470030782</v>
      </c>
      <c r="G14" s="20">
        <f>G54/'Physical data'!G12</f>
        <v>67281.213598037866</v>
      </c>
      <c r="H14" s="20">
        <f>H54/'Physical data'!H12</f>
        <v>65775.824887959854</v>
      </c>
      <c r="I14" s="20">
        <f>I54/'Physical data'!I12</f>
        <v>71559.621928996188</v>
      </c>
      <c r="J14" s="20">
        <f>J54/'Physical data'!J12</f>
        <v>87460.031388074203</v>
      </c>
      <c r="K14" s="20">
        <f>K54/'Physical data'!K12</f>
        <v>71904.815637906868</v>
      </c>
      <c r="L14" s="20">
        <f>L54/'Physical data'!L12</f>
        <v>66372.49627550102</v>
      </c>
      <c r="M14" s="20">
        <f>M54/'Physical data'!M12</f>
        <v>84846.889355049643</v>
      </c>
      <c r="N14" s="20">
        <f>N54/'Physical data'!N12</f>
        <v>77624.057258842688</v>
      </c>
      <c r="O14" s="20">
        <f>O54/'Physical data'!O12</f>
        <v>68574.464972929869</v>
      </c>
      <c r="P14" s="20">
        <f>P54/'Physical data'!P12</f>
        <v>62619.271438557946</v>
      </c>
      <c r="Q14" s="20">
        <f>Q54/'Physical data'!Q12</f>
        <v>63902.156424052955</v>
      </c>
      <c r="R14" s="20">
        <f>R54/'Physical data'!R12</f>
        <v>59977.066291499526</v>
      </c>
      <c r="S14" s="20">
        <f>S54/'Physical data'!S12</f>
        <v>62703.674808792122</v>
      </c>
      <c r="T14" s="20">
        <f>T54/'Physical data'!T12</f>
        <v>41077.789919028401</v>
      </c>
      <c r="U14" s="20">
        <f t="shared" ref="U14:U17" si="4">AVERAGE(P14:T14)</f>
        <v>58055.991776386196</v>
      </c>
      <c r="V14" s="52">
        <f t="shared" ref="V14:V17" si="5">$T14/$D14-1</f>
        <v>-0.21404655393022942</v>
      </c>
      <c r="W14" s="52">
        <f t="shared" ref="W14:W17" si="6">T14/S14-1</f>
        <v>-0.34489023100654703</v>
      </c>
      <c r="X14" s="42">
        <f>T13/T17</f>
        <v>2.9273397699806765</v>
      </c>
    </row>
    <row r="15" spans="1:27" x14ac:dyDescent="0.35">
      <c r="A15" s="27" t="s">
        <v>34</v>
      </c>
      <c r="B15" s="27" t="s">
        <v>92</v>
      </c>
      <c r="C15" s="27" t="s">
        <v>140</v>
      </c>
      <c r="D15" s="20">
        <f>D55/'Physical data'!D13</f>
        <v>46662.015430746011</v>
      </c>
      <c r="E15" s="20">
        <f>E55/'Physical data'!E13</f>
        <v>36351.211374278522</v>
      </c>
      <c r="F15" s="20">
        <f>F55/'Physical data'!F13</f>
        <v>38397.225974673624</v>
      </c>
      <c r="G15" s="20">
        <f>G55/'Physical data'!G13</f>
        <v>39682.196080562557</v>
      </c>
      <c r="H15" s="20">
        <f>H55/'Physical data'!H13</f>
        <v>47204.916482096472</v>
      </c>
      <c r="I15" s="20">
        <f>I55/'Physical data'!I13</f>
        <v>46468.695492931591</v>
      </c>
      <c r="J15" s="20">
        <f>J55/'Physical data'!J13</f>
        <v>48233.241568201869</v>
      </c>
      <c r="K15" s="20">
        <f>K55/'Physical data'!K13</f>
        <v>45702.595803385098</v>
      </c>
      <c r="L15" s="20">
        <f>L55/'Physical data'!L13</f>
        <v>36472.349414097851</v>
      </c>
      <c r="M15" s="20">
        <f>M55/'Physical data'!M13</f>
        <v>47319.304170422874</v>
      </c>
      <c r="N15" s="20">
        <f>N55/'Physical data'!N13</f>
        <v>42104.103576378388</v>
      </c>
      <c r="O15" s="20">
        <f>O55/'Physical data'!O13</f>
        <v>45756.399595249844</v>
      </c>
      <c r="P15" s="20">
        <f>P55/'Physical data'!P13</f>
        <v>40251.555327378512</v>
      </c>
      <c r="Q15" s="20">
        <f>Q55/'Physical data'!Q13</f>
        <v>41168.244371675282</v>
      </c>
      <c r="R15" s="20">
        <f>R55/'Physical data'!R13</f>
        <v>39039.55353198661</v>
      </c>
      <c r="S15" s="20">
        <f>S55/'Physical data'!S13</f>
        <v>42785.091655257216</v>
      </c>
      <c r="T15" s="20">
        <f>T55/'Physical data'!T13</f>
        <v>28264.89582520325</v>
      </c>
      <c r="U15" s="20">
        <f t="shared" si="4"/>
        <v>38301.868142300176</v>
      </c>
      <c r="V15" s="52">
        <f t="shared" si="5"/>
        <v>-0.39426328750945328</v>
      </c>
      <c r="W15" s="52">
        <f t="shared" si="6"/>
        <v>-0.33937512503306277</v>
      </c>
    </row>
    <row r="16" spans="1:27" x14ac:dyDescent="0.35">
      <c r="A16" s="27" t="s">
        <v>28</v>
      </c>
      <c r="B16" s="27" t="s">
        <v>93</v>
      </c>
      <c r="C16" s="27" t="s">
        <v>140</v>
      </c>
      <c r="D16" s="20">
        <f>D56/'Physical data'!D14</f>
        <v>60047.316129133556</v>
      </c>
      <c r="E16" s="20">
        <f>E56/'Physical data'!E14</f>
        <v>56428.186704336375</v>
      </c>
      <c r="F16" s="20">
        <f>F56/'Physical data'!F14</f>
        <v>69382.780086416169</v>
      </c>
      <c r="G16" s="20">
        <f>G56/'Physical data'!G14</f>
        <v>64539.651223520385</v>
      </c>
      <c r="H16" s="20">
        <f>H56/'Physical data'!H14</f>
        <v>74211.747545040271</v>
      </c>
      <c r="I16" s="20">
        <f>I56/'Physical data'!I14</f>
        <v>76930.846793375458</v>
      </c>
      <c r="J16" s="20">
        <f>J56/'Physical data'!J14</f>
        <v>91746.670306918924</v>
      </c>
      <c r="K16" s="20">
        <f>K56/'Physical data'!K14</f>
        <v>78381.773544085852</v>
      </c>
      <c r="L16" s="20">
        <f>L56/'Physical data'!L14</f>
        <v>72629.401382214695</v>
      </c>
      <c r="M16" s="20">
        <f>M56/'Physical data'!M14</f>
        <v>75714.66078171847</v>
      </c>
      <c r="N16" s="20">
        <f>N56/'Physical data'!N14</f>
        <v>70213.875401611425</v>
      </c>
      <c r="O16" s="20">
        <f>O56/'Physical data'!O14</f>
        <v>69543.216588144802</v>
      </c>
      <c r="P16" s="20">
        <f>P56/'Physical data'!P14</f>
        <v>61580.108298716659</v>
      </c>
      <c r="Q16" s="20">
        <f>Q56/'Physical data'!Q14</f>
        <v>66237.605637382207</v>
      </c>
      <c r="R16" s="20">
        <f>R56/'Physical data'!R14</f>
        <v>54328.030379762669</v>
      </c>
      <c r="S16" s="20">
        <f>S56/'Physical data'!S14</f>
        <v>56092.996009184069</v>
      </c>
      <c r="T16" s="20">
        <f>T56/'Physical data'!T14</f>
        <v>40586.665730200504</v>
      </c>
      <c r="U16" s="20">
        <f t="shared" si="4"/>
        <v>55765.081211049226</v>
      </c>
      <c r="V16" s="52">
        <f t="shared" si="5"/>
        <v>-0.32408859635095666</v>
      </c>
      <c r="W16" s="52">
        <f t="shared" si="6"/>
        <v>-0.27643968734429381</v>
      </c>
    </row>
    <row r="17" spans="1:36" x14ac:dyDescent="0.35">
      <c r="A17" s="27" t="s">
        <v>37</v>
      </c>
      <c r="B17" s="27" t="s">
        <v>94</v>
      </c>
      <c r="C17" s="27" t="s">
        <v>140</v>
      </c>
      <c r="D17" s="20">
        <f>D57/'Physical data'!D15</f>
        <v>31742.944148208851</v>
      </c>
      <c r="E17" s="20">
        <f>E57/'Physical data'!E15</f>
        <v>32416.060752451311</v>
      </c>
      <c r="F17" s="20">
        <f>F57/'Physical data'!F15</f>
        <v>28591.411300758664</v>
      </c>
      <c r="G17" s="20">
        <f>G57/'Physical data'!G15</f>
        <v>37378.192208116925</v>
      </c>
      <c r="H17" s="20">
        <f>H57/'Physical data'!H15</f>
        <v>38392.435447819662</v>
      </c>
      <c r="I17" s="20">
        <f>I57/'Physical data'!I15</f>
        <v>37651.763394418333</v>
      </c>
      <c r="J17" s="20">
        <f>J57/'Physical data'!J15</f>
        <v>47932.465841343459</v>
      </c>
      <c r="K17" s="20">
        <f>K57/'Physical data'!K15</f>
        <v>41821.845677345969</v>
      </c>
      <c r="L17" s="20">
        <f>L57/'Physical data'!L15</f>
        <v>41251.437949834377</v>
      </c>
      <c r="M17" s="20">
        <f>M57/'Physical data'!M15</f>
        <v>50193.134141019247</v>
      </c>
      <c r="N17" s="20">
        <f>N57/'Physical data'!N15</f>
        <v>42908.081048650507</v>
      </c>
      <c r="O17" s="20">
        <f>O57/'Physical data'!O15</f>
        <v>42655.994876672361</v>
      </c>
      <c r="P17" s="20">
        <f>P57/'Physical data'!P15</f>
        <v>37539.693925460138</v>
      </c>
      <c r="Q17" s="20">
        <f>Q57/'Physical data'!Q15</f>
        <v>36493.836481286089</v>
      </c>
      <c r="R17" s="20">
        <f>R57/'Physical data'!R15</f>
        <v>34713.842816095683</v>
      </c>
      <c r="S17" s="20">
        <f>S57/'Physical data'!S15</f>
        <v>35919.620645573828</v>
      </c>
      <c r="T17" s="20">
        <f>T57/'Physical data'!T15</f>
        <v>26375.54111771785</v>
      </c>
      <c r="U17" s="20">
        <f t="shared" si="4"/>
        <v>34208.506997226723</v>
      </c>
      <c r="V17" s="52">
        <f t="shared" si="5"/>
        <v>-0.16908964100590107</v>
      </c>
      <c r="W17" s="52">
        <f t="shared" si="6"/>
        <v>-0.26570657919885465</v>
      </c>
    </row>
    <row r="19" spans="1:36" x14ac:dyDescent="0.35"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s="10" customFormat="1" ht="43.5" x14ac:dyDescent="0.35">
      <c r="A20" s="29" t="s">
        <v>54</v>
      </c>
      <c r="B20" s="29" t="s">
        <v>54</v>
      </c>
      <c r="C20" s="29"/>
      <c r="D20" s="30">
        <v>2006</v>
      </c>
      <c r="E20" s="30">
        <v>2007</v>
      </c>
      <c r="F20" s="30">
        <v>2008</v>
      </c>
      <c r="G20" s="30">
        <v>2009</v>
      </c>
      <c r="H20" s="30">
        <v>2010</v>
      </c>
      <c r="I20" s="30">
        <v>2011</v>
      </c>
      <c r="J20" s="30">
        <v>2012</v>
      </c>
      <c r="K20" s="30">
        <v>2013</v>
      </c>
      <c r="L20" s="30">
        <v>2014</v>
      </c>
      <c r="M20" s="30">
        <v>2015</v>
      </c>
      <c r="N20" s="30">
        <v>2016</v>
      </c>
      <c r="O20" s="30">
        <v>2017</v>
      </c>
      <c r="P20" s="30">
        <v>2018</v>
      </c>
      <c r="Q20" s="30">
        <v>2019</v>
      </c>
      <c r="R20" s="30">
        <v>2020</v>
      </c>
      <c r="S20" s="30">
        <v>2021</v>
      </c>
      <c r="T20" s="30">
        <v>2022</v>
      </c>
      <c r="U20" s="30" t="s">
        <v>23</v>
      </c>
      <c r="V20" s="10" t="s">
        <v>115</v>
      </c>
      <c r="W20" s="10" t="s">
        <v>116</v>
      </c>
    </row>
    <row r="21" spans="1:36" x14ac:dyDescent="0.35">
      <c r="A21" s="27" t="s">
        <v>36</v>
      </c>
      <c r="B21" s="27" t="s">
        <v>90</v>
      </c>
      <c r="C21" s="27" t="s">
        <v>140</v>
      </c>
      <c r="D21" s="31">
        <f>D53/'Physical data'!D3</f>
        <v>14.533893882206431</v>
      </c>
      <c r="E21" s="31">
        <f>E53/'Physical data'!E3</f>
        <v>17.096313978850489</v>
      </c>
      <c r="F21" s="31">
        <f>F53/'Physical data'!F3</f>
        <v>15.395351704320305</v>
      </c>
      <c r="G21" s="31">
        <f>G53/'Physical data'!G3</f>
        <v>19.832910493103419</v>
      </c>
      <c r="H21" s="31">
        <f>H53/'Physical data'!H3</f>
        <v>18.504148362680731</v>
      </c>
      <c r="I21" s="31">
        <f>I53/'Physical data'!I3</f>
        <v>19.230066525672473</v>
      </c>
      <c r="J21" s="31">
        <f>J53/'Physical data'!J3</f>
        <v>22.278235119098465</v>
      </c>
      <c r="K21" s="31">
        <f>K53/'Physical data'!K3</f>
        <v>20.090630050949301</v>
      </c>
      <c r="L21" s="31">
        <f>L53/'Physical data'!L3</f>
        <v>18.670292434349925</v>
      </c>
      <c r="M21" s="31">
        <f>M53/'Physical data'!M3</f>
        <v>24.758589942279016</v>
      </c>
      <c r="N21" s="31">
        <f>N53/'Physical data'!N3</f>
        <v>22.538694914041727</v>
      </c>
      <c r="O21" s="31">
        <f>O53/'Physical data'!O3</f>
        <v>21.479484261431303</v>
      </c>
      <c r="P21" s="31">
        <f>P53/'Physical data'!P3</f>
        <v>27.403367513506982</v>
      </c>
      <c r="Q21" s="31">
        <f>Q53/'Physical data'!Q3</f>
        <v>23.006416004862384</v>
      </c>
      <c r="R21" s="31">
        <f>R53/'Physical data'!R3</f>
        <v>23.447523695213174</v>
      </c>
      <c r="S21" s="31">
        <f>S53/'Physical data'!S3</f>
        <v>23.564341833361592</v>
      </c>
      <c r="T21" s="31">
        <f>T53/'Physical data'!T3</f>
        <v>17.891415294880233</v>
      </c>
      <c r="U21" s="20">
        <f>AVERAGE(P21:T21)</f>
        <v>23.062612868364873</v>
      </c>
      <c r="V21" s="52">
        <f>$T21/$D21-1</f>
        <v>0.23101320540012682</v>
      </c>
      <c r="W21" s="52">
        <f>T21/S21-1</f>
        <v>-0.24074198968077365</v>
      </c>
      <c r="X21">
        <f>T21/T23</f>
        <v>2.893218098395776</v>
      </c>
    </row>
    <row r="22" spans="1:36" x14ac:dyDescent="0.35">
      <c r="A22" s="27" t="s">
        <v>20</v>
      </c>
      <c r="B22" s="27" t="s">
        <v>91</v>
      </c>
      <c r="C22" s="27" t="s">
        <v>140</v>
      </c>
      <c r="D22" s="31">
        <f>D54/'Physical data'!D4</f>
        <v>11.293973345041119</v>
      </c>
      <c r="E22" s="31">
        <f>E54/'Physical data'!E4</f>
        <v>11.981908563191274</v>
      </c>
      <c r="F22" s="31">
        <f>F54/'Physical data'!F4</f>
        <v>11.742821744467552</v>
      </c>
      <c r="G22" s="31">
        <f>G54/'Physical data'!G4</f>
        <v>15.557920087944151</v>
      </c>
      <c r="H22" s="31">
        <f>H54/'Physical data'!H4</f>
        <v>15.243249074488553</v>
      </c>
      <c r="I22" s="31">
        <f>I54/'Physical data'!I4</f>
        <v>16.454178690366561</v>
      </c>
      <c r="J22" s="31">
        <f>J54/'Physical data'!J4</f>
        <v>20.068676181519994</v>
      </c>
      <c r="K22" s="31">
        <f>K54/'Physical data'!K4</f>
        <v>17.001666191407061</v>
      </c>
      <c r="L22" s="31">
        <f>L54/'Physical data'!L4</f>
        <v>16.047820077471627</v>
      </c>
      <c r="M22" s="31">
        <f>M54/'Physical data'!M4</f>
        <v>18.910923807922444</v>
      </c>
      <c r="N22" s="31">
        <f>N54/'Physical data'!N4</f>
        <v>17.610781351851575</v>
      </c>
      <c r="O22" s="31">
        <f>O54/'Physical data'!O4</f>
        <v>15.659246655169875</v>
      </c>
      <c r="P22" s="31">
        <f>P54/'Physical data'!P4</f>
        <v>14.066454305577201</v>
      </c>
      <c r="Q22" s="31">
        <f>Q54/'Physical data'!Q4</f>
        <v>14.852899666731995</v>
      </c>
      <c r="R22" s="31">
        <f>R54/'Physical data'!R4</f>
        <v>14.219484390114596</v>
      </c>
      <c r="S22" s="31">
        <f>S54/'Physical data'!S4</f>
        <v>14.547875325712349</v>
      </c>
      <c r="T22" s="31">
        <f>T54/'Physical data'!T4</f>
        <v>10.343501290955498</v>
      </c>
      <c r="U22" s="20">
        <f>AVERAGE(P22:T22)</f>
        <v>13.606042995818328</v>
      </c>
      <c r="V22" s="52">
        <f t="shared" ref="V22:V25" si="7">$T22/$D22-1</f>
        <v>-8.4157455046850016E-2</v>
      </c>
      <c r="W22" s="52">
        <f t="shared" ref="W22:W25" si="8">T22/S22-1</f>
        <v>-0.2890026165763131</v>
      </c>
      <c r="X22">
        <f>T21/T25</f>
        <v>2.5418873803101993</v>
      </c>
    </row>
    <row r="23" spans="1:36" x14ac:dyDescent="0.35">
      <c r="A23" s="27" t="s">
        <v>34</v>
      </c>
      <c r="B23" s="27" t="s">
        <v>92</v>
      </c>
      <c r="C23" s="27" t="s">
        <v>140</v>
      </c>
      <c r="D23" s="31">
        <f>D55/'Physical data'!D5</f>
        <v>8.3095905489652981</v>
      </c>
      <c r="E23" s="31">
        <f>E55/'Physical data'!E5</f>
        <v>7.5288447130203577</v>
      </c>
      <c r="F23" s="31">
        <f>F55/'Physical data'!F5</f>
        <v>8.3719504865207686</v>
      </c>
      <c r="G23" s="31">
        <f>G55/'Physical data'!G5</f>
        <v>8.5682551033625494</v>
      </c>
      <c r="H23" s="31">
        <f>H55/'Physical data'!H5</f>
        <v>9.5181438043490534</v>
      </c>
      <c r="I23" s="31">
        <f>I55/'Physical data'!I5</f>
        <v>9.2968690324519248</v>
      </c>
      <c r="J23" s="31">
        <f>J55/'Physical data'!J5</f>
        <v>9.0648922239227154</v>
      </c>
      <c r="K23" s="31">
        <f>K55/'Physical data'!K5</f>
        <v>8.9156747952905437</v>
      </c>
      <c r="L23" s="31">
        <f>L55/'Physical data'!L5</f>
        <v>7.7136404592546199</v>
      </c>
      <c r="M23" s="31">
        <f>M55/'Physical data'!M5</f>
        <v>8.9752574835245422</v>
      </c>
      <c r="N23" s="31">
        <f>N55/'Physical data'!N5</f>
        <v>8.5234656251596519</v>
      </c>
      <c r="O23" s="31">
        <f>O55/'Physical data'!O5</f>
        <v>9.4206884673056184</v>
      </c>
      <c r="P23" s="31">
        <f>P55/'Physical data'!P5</f>
        <v>9.9036306229558022</v>
      </c>
      <c r="Q23" s="31">
        <f>Q55/'Physical data'!Q5</f>
        <v>9.8354522141615206</v>
      </c>
      <c r="R23" s="31">
        <f>R55/'Physical data'!R5</f>
        <v>9.531651639532269</v>
      </c>
      <c r="S23" s="31">
        <f>S55/'Physical data'!S5</f>
        <v>9.0550251538654773</v>
      </c>
      <c r="T23" s="31">
        <f>T55/'Physical data'!T5</f>
        <v>6.1839151721056274</v>
      </c>
      <c r="U23" s="20">
        <f t="shared" ref="U23:U25" si="9">AVERAGE(P23:T23)</f>
        <v>8.9019349605241409</v>
      </c>
      <c r="V23" s="52">
        <f t="shared" si="7"/>
        <v>-0.25580988188694298</v>
      </c>
      <c r="W23" s="52">
        <f t="shared" si="8"/>
        <v>-0.31707366163794792</v>
      </c>
    </row>
    <row r="24" spans="1:36" x14ac:dyDescent="0.35">
      <c r="A24" s="27" t="s">
        <v>28</v>
      </c>
      <c r="B24" s="27" t="s">
        <v>93</v>
      </c>
      <c r="C24" s="27" t="s">
        <v>140</v>
      </c>
      <c r="D24" s="31">
        <f>D56/'Physical data'!D6</f>
        <v>15.306740993571685</v>
      </c>
      <c r="E24" s="31">
        <f>E56/'Physical data'!E6</f>
        <v>11.835080194419914</v>
      </c>
      <c r="F24" s="31">
        <f>F56/'Physical data'!F6</f>
        <v>13.486966527956945</v>
      </c>
      <c r="G24" s="31">
        <f>G56/'Physical data'!G6</f>
        <v>12.780945155431748</v>
      </c>
      <c r="H24" s="31">
        <f>H56/'Physical data'!H6</f>
        <v>15.004277704919341</v>
      </c>
      <c r="I24" s="31">
        <f>I56/'Physical data'!I6</f>
        <v>15.245455458387617</v>
      </c>
      <c r="J24" s="31">
        <f>J56/'Physical data'!J6</f>
        <v>18.869843679494998</v>
      </c>
      <c r="K24" s="31">
        <f>K56/'Physical data'!K6</f>
        <v>15.502787856122717</v>
      </c>
      <c r="L24" s="31">
        <f>L56/'Physical data'!L6</f>
        <v>13.639795042963929</v>
      </c>
      <c r="M24" s="31">
        <f>M56/'Physical data'!M6</f>
        <v>14.467006503126774</v>
      </c>
      <c r="N24" s="31">
        <f>N56/'Physical data'!N6</f>
        <v>15.178921215089707</v>
      </c>
      <c r="O24" s="31">
        <f>O56/'Physical data'!O6</f>
        <v>14.123010725037522</v>
      </c>
      <c r="P24" s="31">
        <f>P56/'Physical data'!P6</f>
        <v>12.556139268250407</v>
      </c>
      <c r="Q24" s="31">
        <f>Q56/'Physical data'!Q6</f>
        <v>12.307200638370757</v>
      </c>
      <c r="R24" s="31">
        <f>R56/'Physical data'!R6</f>
        <v>10.768155714875768</v>
      </c>
      <c r="S24" s="31">
        <f>S56/'Physical data'!S6</f>
        <v>10.473581474238562</v>
      </c>
      <c r="T24" s="31">
        <f>T56/'Physical data'!T6</f>
        <v>7.4229378404487587</v>
      </c>
      <c r="U24" s="20">
        <f t="shared" si="9"/>
        <v>10.705602987236851</v>
      </c>
      <c r="V24" s="52">
        <f t="shared" si="7"/>
        <v>-0.51505432517828953</v>
      </c>
      <c r="W24" s="52">
        <f t="shared" si="8"/>
        <v>-0.29127033969166582</v>
      </c>
    </row>
    <row r="25" spans="1:36" x14ac:dyDescent="0.35">
      <c r="A25" s="27" t="s">
        <v>37</v>
      </c>
      <c r="B25" s="27" t="s">
        <v>94</v>
      </c>
      <c r="C25" s="27" t="s">
        <v>140</v>
      </c>
      <c r="D25" s="31">
        <f>D57/'Physical data'!D7</f>
        <v>7.0886083864711793</v>
      </c>
      <c r="E25" s="31">
        <f>E57/'Physical data'!E7</f>
        <v>7.2643220481396913</v>
      </c>
      <c r="F25" s="31">
        <f>F57/'Physical data'!F7</f>
        <v>6.4460636387164989</v>
      </c>
      <c r="G25" s="31">
        <f>G57/'Physical data'!G7</f>
        <v>8.6186460455214124</v>
      </c>
      <c r="H25" s="31">
        <f>H57/'Physical data'!H7</f>
        <v>9.0026926794515081</v>
      </c>
      <c r="I25" s="31">
        <f>I57/'Physical data'!I7</f>
        <v>9.1534362136806475</v>
      </c>
      <c r="J25" s="31">
        <f>J57/'Physical data'!J7</f>
        <v>11.263503722508906</v>
      </c>
      <c r="K25" s="31">
        <f>K57/'Physical data'!K7</f>
        <v>10.234882064498169</v>
      </c>
      <c r="L25" s="31">
        <f>L57/'Physical data'!L7</f>
        <v>10.343280849081513</v>
      </c>
      <c r="M25" s="31">
        <f>M57/'Physical data'!M7</f>
        <v>11.13154184579056</v>
      </c>
      <c r="N25" s="31">
        <f>N57/'Physical data'!N7</f>
        <v>10.697305524594309</v>
      </c>
      <c r="O25" s="31">
        <f>O57/'Physical data'!O7</f>
        <v>10.635561389250309</v>
      </c>
      <c r="P25" s="31">
        <f>P57/'Physical data'!P7</f>
        <v>9.1741656224704435</v>
      </c>
      <c r="Q25" s="31">
        <f>Q57/'Physical data'!Q7</f>
        <v>9.172509975807122</v>
      </c>
      <c r="R25" s="31">
        <f>R57/'Physical data'!R7</f>
        <v>8.9998851745433246</v>
      </c>
      <c r="S25" s="31">
        <f>S57/'Physical data'!S7</f>
        <v>9.3199576710114425</v>
      </c>
      <c r="T25" s="31">
        <f>T57/'Physical data'!T7</f>
        <v>7.0386341399188392</v>
      </c>
      <c r="U25" s="20">
        <f t="shared" si="9"/>
        <v>8.741030516750234</v>
      </c>
      <c r="V25" s="52">
        <f t="shared" si="7"/>
        <v>-7.0499375657029351E-3</v>
      </c>
      <c r="W25" s="52">
        <f t="shared" si="8"/>
        <v>-0.24477831462565258</v>
      </c>
    </row>
    <row r="26" spans="1:36" x14ac:dyDescent="0.35">
      <c r="U26" s="53"/>
    </row>
    <row r="28" spans="1:36" s="10" customFormat="1" ht="29" x14ac:dyDescent="0.35">
      <c r="A28" s="29" t="s">
        <v>89</v>
      </c>
      <c r="B28" s="29" t="s">
        <v>89</v>
      </c>
      <c r="C28" s="29"/>
      <c r="D28" s="30">
        <v>2006</v>
      </c>
      <c r="E28" s="30">
        <v>2007</v>
      </c>
      <c r="F28" s="30">
        <v>2008</v>
      </c>
      <c r="G28" s="30">
        <v>2009</v>
      </c>
      <c r="H28" s="30">
        <v>2010</v>
      </c>
      <c r="I28" s="30">
        <v>2011</v>
      </c>
      <c r="J28" s="30">
        <v>2012</v>
      </c>
      <c r="K28" s="30">
        <v>2013</v>
      </c>
      <c r="L28" s="30">
        <v>2014</v>
      </c>
      <c r="M28" s="30">
        <v>2015</v>
      </c>
      <c r="N28" s="30">
        <v>2016</v>
      </c>
      <c r="O28" s="30">
        <v>2017</v>
      </c>
      <c r="P28" s="30">
        <v>2018</v>
      </c>
      <c r="Q28" s="30">
        <v>2019</v>
      </c>
      <c r="R28" s="30">
        <v>2020</v>
      </c>
      <c r="S28" s="30">
        <v>2021</v>
      </c>
      <c r="T28" s="30">
        <v>2022</v>
      </c>
      <c r="U28" s="30" t="s">
        <v>23</v>
      </c>
      <c r="V28" s="10" t="s">
        <v>115</v>
      </c>
      <c r="W28" s="10" t="s">
        <v>116</v>
      </c>
    </row>
    <row r="29" spans="1:36" x14ac:dyDescent="0.35">
      <c r="A29" s="27" t="s">
        <v>36</v>
      </c>
      <c r="B29" s="27" t="s">
        <v>90</v>
      </c>
      <c r="C29" s="27" t="s">
        <v>140</v>
      </c>
      <c r="D29" s="20">
        <f>D53/'Physical data'!D48</f>
        <v>281.80074543803784</v>
      </c>
      <c r="E29" s="20">
        <f>E53/'Physical data'!E48</f>
        <v>306.85499970704927</v>
      </c>
      <c r="F29" s="20">
        <f>F53/'Physical data'!F48</f>
        <v>257.86687339697619</v>
      </c>
      <c r="G29" s="20">
        <f>G53/'Physical data'!G48</f>
        <v>329.06645542315454</v>
      </c>
      <c r="H29" s="20">
        <f>H53/'Physical data'!H48</f>
        <v>309.83395690385169</v>
      </c>
      <c r="I29" s="20">
        <f>I53/'Physical data'!I48</f>
        <v>319.28866440214233</v>
      </c>
      <c r="J29" s="20">
        <f>J53/'Physical data'!J48</f>
        <v>371.13668352246879</v>
      </c>
      <c r="K29" s="20">
        <f>K53/'Physical data'!K48</f>
        <v>338.49719368291852</v>
      </c>
      <c r="L29" s="20">
        <f>L53/'Physical data'!L48</f>
        <v>305.93040640389347</v>
      </c>
      <c r="M29" s="20">
        <f>M53/'Physical data'!M48</f>
        <v>390.11568479769539</v>
      </c>
      <c r="N29" s="20">
        <f>N53/'Physical data'!N48</f>
        <v>373.99656793613622</v>
      </c>
      <c r="O29" s="20">
        <f>O53/'Physical data'!O48</f>
        <v>355.22046310500309</v>
      </c>
      <c r="P29" s="20">
        <f>P53/'Physical data'!P48</f>
        <v>350.65742510073278</v>
      </c>
      <c r="Q29" s="20">
        <f>Q53/'Physical data'!Q48</f>
        <v>350.01519365494022</v>
      </c>
      <c r="R29" s="20">
        <f>R53/'Physical data'!R48</f>
        <v>355.23715445161923</v>
      </c>
      <c r="S29" s="20">
        <f>S53/'Physical data'!S48</f>
        <v>348.58137407974112</v>
      </c>
      <c r="T29" s="20">
        <f>T53/'Physical data'!T48</f>
        <v>262.30143976239577</v>
      </c>
      <c r="U29" s="20">
        <f>AVERAGE(P29:T29)</f>
        <v>333.35851740988585</v>
      </c>
      <c r="V29" s="52">
        <f>$T29/$D29-1</f>
        <v>-6.9195365843805257E-2</v>
      </c>
      <c r="W29" s="52">
        <f>T29/S29-1</f>
        <v>-0.24751733951684995</v>
      </c>
      <c r="X29" s="26"/>
    </row>
    <row r="30" spans="1:36" x14ac:dyDescent="0.35">
      <c r="A30" s="27" t="s">
        <v>20</v>
      </c>
      <c r="B30" s="27" t="s">
        <v>91</v>
      </c>
      <c r="C30" s="27" t="s">
        <v>140</v>
      </c>
      <c r="D30" s="20">
        <f>D54/'Physical data'!D49</f>
        <v>313.97112065017558</v>
      </c>
      <c r="E30" s="20">
        <f>E54/'Physical data'!E49</f>
        <v>332.74128809563456</v>
      </c>
      <c r="F30" s="20">
        <f>F54/'Physical data'!F49</f>
        <v>314.4578587529744</v>
      </c>
      <c r="G30" s="20">
        <f>G54/'Physical data'!G49</f>
        <v>416.27019688132776</v>
      </c>
      <c r="H30" s="20">
        <f>H54/'Physical data'!H49</f>
        <v>405.93466602616849</v>
      </c>
      <c r="I30" s="20">
        <f>I54/'Physical data'!I49</f>
        <v>423.83687925742709</v>
      </c>
      <c r="J30" s="20">
        <f>J54/'Physical data'!J49</f>
        <v>499.75598006834105</v>
      </c>
      <c r="K30" s="20">
        <f>K54/'Physical data'!K49</f>
        <v>405.16976835479863</v>
      </c>
      <c r="L30" s="20">
        <f>L54/'Physical data'!L49</f>
        <v>364.12955309222912</v>
      </c>
      <c r="M30" s="20">
        <f>M54/'Physical data'!M49</f>
        <v>472.3329123675864</v>
      </c>
      <c r="N30" s="20">
        <f>N54/'Physical data'!N49</f>
        <v>430.90129776416012</v>
      </c>
      <c r="O30" s="20">
        <f>O54/'Physical data'!O49</f>
        <v>387.26681774122596</v>
      </c>
      <c r="P30" s="20">
        <f>P54/'Physical data'!P49</f>
        <v>345.37521671143315</v>
      </c>
      <c r="Q30" s="20">
        <f>Q54/'Physical data'!Q49</f>
        <v>352.99975584492427</v>
      </c>
      <c r="R30" s="20">
        <f>R54/'Physical data'!R49</f>
        <v>331.23470173385675</v>
      </c>
      <c r="S30" s="20">
        <f>S54/'Physical data'!S49</f>
        <v>327.11334275428266</v>
      </c>
      <c r="T30" s="20">
        <f>T54/'Physical data'!T49</f>
        <v>225.41246697711208</v>
      </c>
      <c r="U30" s="20">
        <f>AVERAGE(P30:T30)</f>
        <v>316.42709680432176</v>
      </c>
      <c r="V30" s="52">
        <f t="shared" ref="V30:V33" si="10">$T30/$D30-1</f>
        <v>-0.28205987063292659</v>
      </c>
      <c r="W30" s="52">
        <f t="shared" ref="W30:W33" si="11">T30/S30-1</f>
        <v>-0.31090408884227361</v>
      </c>
      <c r="X30" s="26"/>
    </row>
    <row r="31" spans="1:36" x14ac:dyDescent="0.35">
      <c r="A31" s="27" t="s">
        <v>34</v>
      </c>
      <c r="B31" s="27" t="s">
        <v>92</v>
      </c>
      <c r="C31" s="27" t="s">
        <v>140</v>
      </c>
      <c r="D31" s="20">
        <f>D55/'Physical data'!D50</f>
        <v>152.00069725766633</v>
      </c>
      <c r="E31" s="20">
        <f>E55/'Physical data'!E50</f>
        <v>137.86315971627195</v>
      </c>
      <c r="F31" s="20">
        <f>F55/'Physical data'!F50</f>
        <v>148.1387086531565</v>
      </c>
      <c r="G31" s="20">
        <f>G55/'Physical data'!G50</f>
        <v>157.54361195580819</v>
      </c>
      <c r="H31" s="20">
        <f>H55/'Physical data'!H50</f>
        <v>178.29981081772624</v>
      </c>
      <c r="I31" s="20">
        <f>I55/'Physical data'!I50</f>
        <v>168.64823279971213</v>
      </c>
      <c r="J31" s="20">
        <f>J55/'Physical data'!J50</f>
        <v>160.06922907442123</v>
      </c>
      <c r="K31" s="20">
        <f>K55/'Physical data'!K50</f>
        <v>159.97159009010846</v>
      </c>
      <c r="L31" s="20">
        <f>L55/'Physical data'!L50</f>
        <v>135.5222707447343</v>
      </c>
      <c r="M31" s="20">
        <f>M55/'Physical data'!M50</f>
        <v>153.3011474679854</v>
      </c>
      <c r="N31" s="20">
        <f>N55/'Physical data'!N50</f>
        <v>142.58692202637562</v>
      </c>
      <c r="O31" s="20">
        <f>O55/'Physical data'!O50</f>
        <v>151.3902164719058</v>
      </c>
      <c r="P31" s="20">
        <f>P55/'Physical data'!P50</f>
        <v>139.64967953891491</v>
      </c>
      <c r="Q31" s="20">
        <f>Q55/'Physical data'!Q50</f>
        <v>135.12727177305837</v>
      </c>
      <c r="R31" s="20">
        <f>R55/'Physical data'!R50</f>
        <v>129.49592671230442</v>
      </c>
      <c r="S31" s="20">
        <f>S55/'Physical data'!S50</f>
        <v>124.08780153221974</v>
      </c>
      <c r="T31" s="20">
        <f>T55/'Physical data'!T50</f>
        <v>87.011487885828501</v>
      </c>
      <c r="U31" s="20">
        <f t="shared" ref="U31:U33" si="12">AVERAGE(P31:T31)</f>
        <v>123.07443348846519</v>
      </c>
      <c r="V31" s="52">
        <f t="shared" si="10"/>
        <v>-0.42755862666649724</v>
      </c>
      <c r="W31" s="52">
        <f t="shared" si="11"/>
        <v>-0.29879096243609626</v>
      </c>
      <c r="X31" s="26"/>
    </row>
    <row r="32" spans="1:36" x14ac:dyDescent="0.35">
      <c r="A32" s="27" t="s">
        <v>28</v>
      </c>
      <c r="B32" s="27" t="s">
        <v>93</v>
      </c>
      <c r="C32" s="27" t="s">
        <v>140</v>
      </c>
      <c r="D32" s="20">
        <f>D56/'Physical data'!D51</f>
        <v>643.0738301465525</v>
      </c>
      <c r="E32" s="20">
        <f>E56/'Physical data'!E51</f>
        <v>594.26819043019987</v>
      </c>
      <c r="F32" s="20">
        <f>F56/'Physical data'!F51</f>
        <v>699.16141306808549</v>
      </c>
      <c r="G32" s="20">
        <f>G56/'Physical data'!G51</f>
        <v>645.76379311492326</v>
      </c>
      <c r="H32" s="20">
        <f>H56/'Physical data'!H51</f>
        <v>722.48547146588965</v>
      </c>
      <c r="I32" s="20">
        <f>I56/'Physical data'!I51</f>
        <v>724.46160943303005</v>
      </c>
      <c r="J32" s="20">
        <f>J56/'Physical data'!J51</f>
        <v>853.35918187086145</v>
      </c>
      <c r="K32" s="20">
        <f>K56/'Physical data'!K51</f>
        <v>712.69949790972521</v>
      </c>
      <c r="L32" s="20">
        <f>L56/'Physical data'!L51</f>
        <v>649.07272686723661</v>
      </c>
      <c r="M32" s="20">
        <f>M56/'Physical data'!M51</f>
        <v>670.02644979358854</v>
      </c>
      <c r="N32" s="20">
        <f>N56/'Physical data'!N51</f>
        <v>620.00826802544464</v>
      </c>
      <c r="O32" s="20">
        <f>O56/'Physical data'!O51</f>
        <v>610.1216830637477</v>
      </c>
      <c r="P32" s="20">
        <f>P56/'Physical data'!P51</f>
        <v>542.22858715023233</v>
      </c>
      <c r="Q32" s="20">
        <f>Q56/'Physical data'!Q51</f>
        <v>545.9634981748078</v>
      </c>
      <c r="R32" s="20">
        <f>R56/'Physical data'!R51</f>
        <v>454.71805658162504</v>
      </c>
      <c r="S32" s="20">
        <f>S56/'Physical data'!S51</f>
        <v>454.23445152337212</v>
      </c>
      <c r="T32" s="20">
        <f>T56/'Physical data'!T51</f>
        <v>326.35870307444782</v>
      </c>
      <c r="U32" s="20">
        <f>AVERAGE(P32:T32)</f>
        <v>464.70065930089703</v>
      </c>
      <c r="V32" s="52">
        <f t="shared" si="10"/>
        <v>-0.49250196824200931</v>
      </c>
      <c r="W32" s="52">
        <f t="shared" si="11"/>
        <v>-0.28151926393972471</v>
      </c>
      <c r="X32" s="26"/>
    </row>
    <row r="33" spans="1:25" x14ac:dyDescent="0.35">
      <c r="A33" s="27" t="s">
        <v>37</v>
      </c>
      <c r="B33" s="27" t="s">
        <v>94</v>
      </c>
      <c r="C33" s="27" t="s">
        <v>140</v>
      </c>
      <c r="D33" s="20">
        <f>D57/'Physical data'!D52</f>
        <v>172.49123592526371</v>
      </c>
      <c r="E33" s="20">
        <f>E57/'Physical data'!E52</f>
        <v>178.23204080228768</v>
      </c>
      <c r="F33" s="20">
        <f>F57/'Physical data'!F52</f>
        <v>155.62034694654983</v>
      </c>
      <c r="G33" s="20">
        <f>G57/'Physical data'!G52</f>
        <v>202.75224723432447</v>
      </c>
      <c r="H33" s="20">
        <f>H57/'Physical data'!H52</f>
        <v>208.92628446467154</v>
      </c>
      <c r="I33" s="20">
        <f>I57/'Physical data'!I52</f>
        <v>208.27128422538291</v>
      </c>
      <c r="J33" s="20">
        <f>J57/'Physical data'!J52</f>
        <v>243.93276606594142</v>
      </c>
      <c r="K33" s="20">
        <f>K57/'Physical data'!K52</f>
        <v>203.49918143743022</v>
      </c>
      <c r="L33" s="20">
        <f>L57/'Physical data'!L52</f>
        <v>193.50151309381769</v>
      </c>
      <c r="M33" s="20">
        <f>M57/'Physical data'!M52</f>
        <v>225.40335882161784</v>
      </c>
      <c r="N33" s="20">
        <f>N57/'Physical data'!N52</f>
        <v>207.58279388743443</v>
      </c>
      <c r="O33" s="20">
        <f>O57/'Physical data'!O52</f>
        <v>211.32720366277849</v>
      </c>
      <c r="P33" s="20">
        <f>P57/'Physical data'!P52</f>
        <v>181.02675310470167</v>
      </c>
      <c r="Q33" s="20">
        <f>Q57/'Physical data'!Q52</f>
        <v>175.48890024926948</v>
      </c>
      <c r="R33" s="20">
        <f>R57/'Physical data'!R52</f>
        <v>166.33300241851617</v>
      </c>
      <c r="S33" s="20">
        <f>S57/'Physical data'!S52</f>
        <v>166.57648197671807</v>
      </c>
      <c r="T33" s="20">
        <f>T57/'Physical data'!T52</f>
        <v>119.16528995463976</v>
      </c>
      <c r="U33" s="20">
        <f t="shared" si="12"/>
        <v>161.71808554076901</v>
      </c>
      <c r="V33" s="52">
        <f t="shared" si="10"/>
        <v>-0.30915162549898356</v>
      </c>
      <c r="W33" s="52">
        <f t="shared" si="11"/>
        <v>-0.28462116296047624</v>
      </c>
      <c r="X33" s="26"/>
    </row>
    <row r="34" spans="1:25" ht="15" customHeight="1" x14ac:dyDescent="0.35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8"/>
      <c r="O34" s="11"/>
      <c r="P34" s="38"/>
      <c r="Q34" s="51">
        <f>Q32/Q31</f>
        <v>4.0403649908046306</v>
      </c>
      <c r="R34" s="51">
        <f>R32/R31</f>
        <v>3.5114467931632531</v>
      </c>
      <c r="S34" s="51">
        <f>S32/S31</f>
        <v>3.6605890822026441</v>
      </c>
      <c r="T34" s="51">
        <f>T32/T31</f>
        <v>3.7507541935459954</v>
      </c>
    </row>
    <row r="35" spans="1:25" ht="15" customHeight="1" x14ac:dyDescent="0.35">
      <c r="B35" s="10" t="s">
        <v>38</v>
      </c>
      <c r="D35" s="27" t="s">
        <v>117</v>
      </c>
      <c r="E35" s="27" t="s">
        <v>117</v>
      </c>
      <c r="F35" s="27" t="s">
        <v>117</v>
      </c>
      <c r="P35" s="38"/>
      <c r="Q35" s="45"/>
    </row>
    <row r="36" spans="1:25" s="10" customFormat="1" ht="15" customHeight="1" x14ac:dyDescent="0.35">
      <c r="A36" s="30"/>
      <c r="B36" s="30"/>
      <c r="C36" s="30"/>
      <c r="D36" s="30" t="s">
        <v>24</v>
      </c>
      <c r="E36" s="30" t="s">
        <v>22</v>
      </c>
      <c r="F36" s="30" t="s">
        <v>33</v>
      </c>
      <c r="P36" s="38"/>
      <c r="Q36" s="45"/>
    </row>
    <row r="37" spans="1:25" ht="15" customHeight="1" x14ac:dyDescent="0.35">
      <c r="A37" s="27" t="s">
        <v>36</v>
      </c>
      <c r="B37" s="27" t="s">
        <v>90</v>
      </c>
      <c r="C37" s="27"/>
      <c r="D37" s="20">
        <f>Opex!T15</f>
        <v>105549</v>
      </c>
      <c r="E37" s="82">
        <f>ABS(Depreciation!T15)</f>
        <v>131817.14670340117</v>
      </c>
      <c r="F37" s="20">
        <f>RAB!T15*'Asset cost and Total cost'!$B$2</f>
        <v>53259.130282455735</v>
      </c>
      <c r="P37" s="38"/>
      <c r="Q37" s="45"/>
    </row>
    <row r="38" spans="1:25" ht="15" customHeight="1" x14ac:dyDescent="0.35">
      <c r="A38" s="27" t="s">
        <v>20</v>
      </c>
      <c r="B38" s="27" t="s">
        <v>91</v>
      </c>
      <c r="C38" s="27"/>
      <c r="D38" s="20">
        <f>Opex!T16</f>
        <v>218389</v>
      </c>
      <c r="E38" s="82">
        <f>ABS(Depreciation!T16)</f>
        <v>321543.46490800695</v>
      </c>
      <c r="F38" s="20">
        <f>RAB!T16*'Asset cost and Total cost'!$B$2</f>
        <v>143458.22509499875</v>
      </c>
      <c r="P38" s="38"/>
      <c r="Q38" s="45"/>
    </row>
    <row r="39" spans="1:25" ht="15" customHeight="1" x14ac:dyDescent="0.35">
      <c r="A39" s="27" t="s">
        <v>34</v>
      </c>
      <c r="B39" s="27" t="s">
        <v>92</v>
      </c>
      <c r="C39" s="27"/>
      <c r="D39" s="20">
        <f>Opex!T17</f>
        <v>88659</v>
      </c>
      <c r="E39" s="82">
        <f>ABS(Depreciation!T17)</f>
        <v>193098.56142334425</v>
      </c>
      <c r="F39" s="20">
        <f>RAB!T17*'Asset cost and Total cost'!$B$2</f>
        <v>67481.147588842505</v>
      </c>
      <c r="P39" s="38"/>
    </row>
    <row r="40" spans="1:25" ht="15" customHeight="1" x14ac:dyDescent="0.35">
      <c r="A40" s="27" t="s">
        <v>28</v>
      </c>
      <c r="B40" s="27" t="s">
        <v>93</v>
      </c>
      <c r="C40" s="27"/>
      <c r="D40" s="20">
        <f>Opex!T18</f>
        <v>32583</v>
      </c>
      <c r="E40" s="82">
        <f>ABS(Depreciation!T18)</f>
        <v>66237.804374470899</v>
      </c>
      <c r="F40" s="20">
        <f>RAB!T18*'Asset cost and Total cost'!$B$2</f>
        <v>30792.761032113089</v>
      </c>
      <c r="P40" s="38"/>
    </row>
    <row r="41" spans="1:25" ht="15" customHeight="1" x14ac:dyDescent="0.35">
      <c r="A41" s="27" t="s">
        <v>37</v>
      </c>
      <c r="B41" s="27" t="s">
        <v>94</v>
      </c>
      <c r="C41" s="27"/>
      <c r="D41" s="20">
        <f>Opex!T19</f>
        <v>178576</v>
      </c>
      <c r="E41" s="82">
        <f>ABS(Depreciation!T19)</f>
        <v>298834.15990417905</v>
      </c>
      <c r="F41" s="20">
        <f>RAB!T19*'Asset cost and Total cost'!$B$2</f>
        <v>139441.06337420549</v>
      </c>
      <c r="P41" s="38"/>
    </row>
    <row r="42" spans="1:25" ht="15" customHeight="1" x14ac:dyDescent="0.35"/>
    <row r="43" spans="1:25" ht="15" customHeight="1" x14ac:dyDescent="0.3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25" s="10" customFormat="1" ht="15" customHeight="1" x14ac:dyDescent="0.35">
      <c r="A44" s="29" t="s">
        <v>48</v>
      </c>
      <c r="B44" s="29" t="s">
        <v>48</v>
      </c>
      <c r="C44" s="29"/>
      <c r="D44" s="30">
        <v>2006</v>
      </c>
      <c r="E44" s="30">
        <v>2007</v>
      </c>
      <c r="F44" s="30">
        <v>2008</v>
      </c>
      <c r="G44" s="30">
        <v>2009</v>
      </c>
      <c r="H44" s="30">
        <v>2010</v>
      </c>
      <c r="I44" s="30">
        <v>2011</v>
      </c>
      <c r="J44" s="30">
        <v>2012</v>
      </c>
      <c r="K44" s="30">
        <v>2013</v>
      </c>
      <c r="L44" s="30">
        <v>2014</v>
      </c>
      <c r="M44" s="86">
        <v>2015</v>
      </c>
      <c r="N44" s="68">
        <v>2016</v>
      </c>
      <c r="O44" s="30">
        <v>2017</v>
      </c>
      <c r="P44" s="30">
        <v>2018</v>
      </c>
      <c r="Q44" s="30">
        <v>2019</v>
      </c>
      <c r="R44" s="30">
        <v>2020</v>
      </c>
      <c r="S44" s="30">
        <v>2021</v>
      </c>
      <c r="T44" s="30">
        <v>2022</v>
      </c>
      <c r="U44" s="30" t="s">
        <v>23</v>
      </c>
      <c r="V44" s="10" t="s">
        <v>115</v>
      </c>
      <c r="W44" s="10" t="s">
        <v>116</v>
      </c>
      <c r="X44" s="10" t="s">
        <v>109</v>
      </c>
      <c r="Y44" s="10" t="s">
        <v>110</v>
      </c>
    </row>
    <row r="45" spans="1:25" x14ac:dyDescent="0.35">
      <c r="A45" s="27" t="s">
        <v>36</v>
      </c>
      <c r="B45" s="27" t="s">
        <v>90</v>
      </c>
      <c r="C45" s="27" t="s">
        <v>140</v>
      </c>
      <c r="D45" s="20">
        <f>D53/'Physical data'!D33</f>
        <v>39188.622876515277</v>
      </c>
      <c r="E45" s="20">
        <f>E53/'Physical data'!E33</f>
        <v>43338.487052161785</v>
      </c>
      <c r="F45" s="20">
        <f>F53/'Physical data'!F33</f>
        <v>36498.364638124171</v>
      </c>
      <c r="G45" s="20">
        <f>G53/'Physical data'!G33</f>
        <v>48697.290616338018</v>
      </c>
      <c r="H45" s="20">
        <f>H53/'Physical data'!H33</f>
        <v>46571.600061188125</v>
      </c>
      <c r="I45" s="20">
        <f>I53/'Physical data'!I33</f>
        <v>48493.902960692663</v>
      </c>
      <c r="J45" s="20">
        <f>J53/'Physical data'!J33</f>
        <v>56694.215147429859</v>
      </c>
      <c r="K45" s="20">
        <f>K53/'Physical data'!K33</f>
        <v>51917.548882799529</v>
      </c>
      <c r="L45" s="20">
        <f>L53/'Physical data'!L33</f>
        <v>47126.474406259091</v>
      </c>
      <c r="M45" s="82">
        <f>M53/'Physical data'!M33</f>
        <v>60335.797965399252</v>
      </c>
      <c r="N45" s="69">
        <f>N53/'Physical data'!N33</f>
        <v>58130.079050106273</v>
      </c>
      <c r="O45" s="20">
        <f>O53/'Physical data'!O33</f>
        <v>56524.33281201715</v>
      </c>
      <c r="P45" s="20">
        <f>P53/'Physical data'!P33</f>
        <v>56794.15987410384</v>
      </c>
      <c r="Q45" s="20">
        <f>Q53/'Physical data'!Q33</f>
        <v>57537.082936073741</v>
      </c>
      <c r="R45" s="20">
        <f>R53/'Physical data'!R33</f>
        <v>58863.360262243594</v>
      </c>
      <c r="S45" s="20">
        <f>S53/'Physical data'!S33</f>
        <v>58201.256775026508</v>
      </c>
      <c r="T45" s="20">
        <f>T53/'Physical data'!T33</f>
        <v>44147.378053886547</v>
      </c>
      <c r="U45" s="20">
        <f>AVERAGE(P45:T45)</f>
        <v>55108.64758026685</v>
      </c>
      <c r="V45" s="52">
        <f>$T45/$D45-1</f>
        <v>0.12653558133431941</v>
      </c>
      <c r="W45" s="52">
        <f>T45/S45-1</f>
        <v>-0.24147036507243125</v>
      </c>
      <c r="X45" s="46">
        <f>T45-T48</f>
        <v>14913.149307329713</v>
      </c>
      <c r="Y45" s="46">
        <f>L47-L45</f>
        <v>9794.3615529222006</v>
      </c>
    </row>
    <row r="46" spans="1:25" x14ac:dyDescent="0.35">
      <c r="A46" s="27" t="s">
        <v>20</v>
      </c>
      <c r="B46" s="27" t="s">
        <v>91</v>
      </c>
      <c r="C46" s="27" t="s">
        <v>140</v>
      </c>
      <c r="D46" s="20">
        <f>D54/'Physical data'!D34</f>
        <v>49271.139623904499</v>
      </c>
      <c r="E46" s="20">
        <f>E54/'Physical data'!E34</f>
        <v>52353.817125613547</v>
      </c>
      <c r="F46" s="20">
        <f>F54/'Physical data'!F34</f>
        <v>48362.163967893997</v>
      </c>
      <c r="G46" s="20">
        <f>G54/'Physical data'!G34</f>
        <v>63116.350457287575</v>
      </c>
      <c r="H46" s="20">
        <f>H54/'Physical data'!H34</f>
        <v>60474.22233342634</v>
      </c>
      <c r="I46" s="20">
        <f>I54/'Physical data'!I34</f>
        <v>62179.931176346836</v>
      </c>
      <c r="J46" s="20">
        <f>J54/'Physical data'!J34</f>
        <v>74517.287914748842</v>
      </c>
      <c r="K46" s="20">
        <f>K54/'Physical data'!K34</f>
        <v>58599.165625906993</v>
      </c>
      <c r="L46" s="20">
        <f>L54/'Physical data'!L34</f>
        <v>51724.094628053739</v>
      </c>
      <c r="M46" s="82">
        <f>M54/'Physical data'!M34</f>
        <v>68042.622052826337</v>
      </c>
      <c r="N46" s="69">
        <f>N54/'Physical data'!N34</f>
        <v>63103.524601455618</v>
      </c>
      <c r="O46" s="20">
        <f>O54/'Physical data'!O34</f>
        <v>58459.714907013862</v>
      </c>
      <c r="P46" s="20">
        <f>P54/'Physical data'!P34</f>
        <v>53109.139338669542</v>
      </c>
      <c r="Q46" s="20">
        <f>Q54/'Physical data'!Q34</f>
        <v>54974.495784332954</v>
      </c>
      <c r="R46" s="20">
        <f>R54/'Physical data'!R34</f>
        <v>51948.527631454293</v>
      </c>
      <c r="S46" s="20">
        <f>S54/'Physical data'!S34</f>
        <v>51831.987136291369</v>
      </c>
      <c r="T46" s="20">
        <f>T54/'Physical data'!T34</f>
        <v>36386.25125601708</v>
      </c>
      <c r="U46" s="20">
        <f>AVERAGE(P46:T46)</f>
        <v>49650.080229353043</v>
      </c>
      <c r="V46" s="52">
        <f>$T46/$D46-1</f>
        <v>-0.26150985072072819</v>
      </c>
      <c r="W46" s="52">
        <f t="shared" ref="W46:W49" si="13">T46/S46-1</f>
        <v>-0.29799621302690904</v>
      </c>
    </row>
    <row r="47" spans="1:25" x14ac:dyDescent="0.35">
      <c r="A47" s="27" t="s">
        <v>34</v>
      </c>
      <c r="B47" s="27" t="s">
        <v>92</v>
      </c>
      <c r="C47" s="27" t="s">
        <v>140</v>
      </c>
      <c r="D47" s="20">
        <f>D55/'Physical data'!D35</f>
        <v>57124.547201071015</v>
      </c>
      <c r="E47" s="20">
        <f>E55/'Physical data'!E35</f>
        <v>52639.415531995262</v>
      </c>
      <c r="F47" s="20">
        <f>F55/'Physical data'!F35</f>
        <v>57375.459140998784</v>
      </c>
      <c r="G47" s="20">
        <f>G55/'Physical data'!G35</f>
        <v>61813.422008801135</v>
      </c>
      <c r="H47" s="20">
        <f>H55/'Physical data'!H35</f>
        <v>70921.44634050371</v>
      </c>
      <c r="I47" s="20">
        <f>I55/'Physical data'!I35</f>
        <v>67959.180525227697</v>
      </c>
      <c r="J47" s="20">
        <f>J55/'Physical data'!J35</f>
        <v>65548.233278348736</v>
      </c>
      <c r="K47" s="20">
        <f>K55/'Physical data'!K35</f>
        <v>66540.569442827502</v>
      </c>
      <c r="L47" s="20">
        <f>L55/'Physical data'!L35</f>
        <v>56920.835959181291</v>
      </c>
      <c r="M47" s="82">
        <f>M55/'Physical data'!M35</f>
        <v>65495.780893586765</v>
      </c>
      <c r="N47" s="69">
        <f>N55/'Physical data'!N35</f>
        <v>62124.716253946572</v>
      </c>
      <c r="O47" s="20">
        <f>O55/'Physical data'!O35</f>
        <v>67250.935869577457</v>
      </c>
      <c r="P47" s="20">
        <f>P55/'Physical data'!P35</f>
        <v>62386.240321576217</v>
      </c>
      <c r="Q47" s="20">
        <f>Q55/'Physical data'!Q35</f>
        <v>61555.319856103139</v>
      </c>
      <c r="R47" s="20">
        <f>R55/'Physical data'!R35</f>
        <v>58805.878028316314</v>
      </c>
      <c r="S47" s="20">
        <f>S55/'Physical data'!S35</f>
        <v>56823.973283441112</v>
      </c>
      <c r="T47" s="20">
        <f>T55/'Physical data'!T35</f>
        <v>41110.80132273052</v>
      </c>
      <c r="U47" s="20">
        <f>AVERAGE(P47:T47)</f>
        <v>56136.442562433447</v>
      </c>
      <c r="V47" s="52">
        <f t="shared" ref="V47:V49" si="14">$T47/$D47-1</f>
        <v>-0.28033037744656741</v>
      </c>
      <c r="W47" s="52">
        <f t="shared" si="13"/>
        <v>-0.27652364051229616</v>
      </c>
      <c r="X47" s="52"/>
    </row>
    <row r="48" spans="1:25" x14ac:dyDescent="0.35">
      <c r="A48" s="27" t="s">
        <v>28</v>
      </c>
      <c r="B48" s="27" t="s">
        <v>93</v>
      </c>
      <c r="C48" s="27" t="s">
        <v>140</v>
      </c>
      <c r="D48" s="20">
        <f>D56/'Physical data'!D36</f>
        <v>45006.463584656398</v>
      </c>
      <c r="E48" s="20">
        <f>E56/'Physical data'!E36</f>
        <v>41914.320577686689</v>
      </c>
      <c r="F48" s="20">
        <f>F56/'Physical data'!F36</f>
        <v>50266.016960256929</v>
      </c>
      <c r="G48" s="20">
        <f>G56/'Physical data'!G36</f>
        <v>48696.737118045654</v>
      </c>
      <c r="H48" s="20">
        <f>H56/'Physical data'!H36</f>
        <v>56159.74475109081</v>
      </c>
      <c r="I48" s="20">
        <f>I56/'Physical data'!I36</f>
        <v>57207.850423757744</v>
      </c>
      <c r="J48" s="20">
        <f>J56/'Physical data'!J36</f>
        <v>68006.861523311571</v>
      </c>
      <c r="K48" s="20">
        <f>K56/'Physical data'!K36</f>
        <v>56937.186701546831</v>
      </c>
      <c r="L48" s="20">
        <f>L56/'Physical data'!L36</f>
        <v>52008.438857234054</v>
      </c>
      <c r="M48" s="82">
        <f>M56/'Physical data'!M36</f>
        <v>53219.130917900882</v>
      </c>
      <c r="N48" s="69">
        <f>N56/'Physical data'!N36</f>
        <v>49640.50258842214</v>
      </c>
      <c r="O48" s="20">
        <f>O56/'Physical data'!O36</f>
        <v>49247.247909987876</v>
      </c>
      <c r="P48" s="20">
        <f>P56/'Physical data'!P36</f>
        <v>44039.019087693021</v>
      </c>
      <c r="Q48" s="20">
        <f>Q56/'Physical data'!Q36</f>
        <v>44728.905052149443</v>
      </c>
      <c r="R48" s="20">
        <f>R56/'Physical data'!R36</f>
        <v>39893.280018556761</v>
      </c>
      <c r="S48" s="20">
        <f>S56/'Physical data'!S36</f>
        <v>40357.05253590893</v>
      </c>
      <c r="T48" s="20">
        <f>T56/'Physical data'!T36</f>
        <v>29234.228746556833</v>
      </c>
      <c r="U48" s="20">
        <f>AVERAGE(P48:T48)</f>
        <v>39650.497088172997</v>
      </c>
      <c r="V48" s="52">
        <f t="shared" si="14"/>
        <v>-0.35044377144701133</v>
      </c>
      <c r="W48" s="52">
        <f t="shared" si="13"/>
        <v>-0.2756104098398966</v>
      </c>
      <c r="X48" s="52"/>
    </row>
    <row r="49" spans="1:24" x14ac:dyDescent="0.35">
      <c r="A49" s="27" t="s">
        <v>37</v>
      </c>
      <c r="B49" s="27" t="s">
        <v>94</v>
      </c>
      <c r="C49" s="27" t="s">
        <v>140</v>
      </c>
      <c r="D49" s="20">
        <f>D57/'Physical data'!D37</f>
        <v>46154.104170275445</v>
      </c>
      <c r="E49" s="20">
        <f>E57/'Physical data'!E37</f>
        <v>48133.079375250105</v>
      </c>
      <c r="F49" s="20">
        <f>F57/'Physical data'!F37</f>
        <v>42464.139872731488</v>
      </c>
      <c r="G49" s="20">
        <f>G57/'Physical data'!G37</f>
        <v>55813.520352406238</v>
      </c>
      <c r="H49" s="20">
        <f>H57/'Physical data'!H37</f>
        <v>57214.222412529911</v>
      </c>
      <c r="I49" s="20">
        <f>I57/'Physical data'!I37</f>
        <v>57597.547761848211</v>
      </c>
      <c r="J49" s="20">
        <f>J57/'Physical data'!J37</f>
        <v>67950.722166235631</v>
      </c>
      <c r="K49" s="20">
        <f>K57/'Physical data'!K37</f>
        <v>56438.787873551679</v>
      </c>
      <c r="L49" s="20">
        <f>L57/'Physical data'!L37</f>
        <v>54237.630356977839</v>
      </c>
      <c r="M49" s="82">
        <f>M57/'Physical data'!M37</f>
        <v>63585.541278870318</v>
      </c>
      <c r="N49" s="69">
        <f>N57/'Physical data'!N37</f>
        <v>59232.602846702517</v>
      </c>
      <c r="O49" s="20">
        <f>O57/'Physical data'!O37</f>
        <v>60992.520859495962</v>
      </c>
      <c r="P49" s="20">
        <f>P57/'Physical data'!P37</f>
        <v>53056.619350124151</v>
      </c>
      <c r="Q49" s="20">
        <f>Q57/'Physical data'!Q37</f>
        <v>52284.333748486286</v>
      </c>
      <c r="R49" s="20">
        <f>R57/'Physical data'!R37</f>
        <v>50265.778714037464</v>
      </c>
      <c r="S49" s="20">
        <f>S57/'Physical data'!S37</f>
        <v>50965.630810888062</v>
      </c>
      <c r="T49" s="20">
        <f>T57/'Physical data'!T37</f>
        <v>36714.387189388421</v>
      </c>
      <c r="U49" s="20">
        <f t="shared" ref="U49" si="15">AVERAGE(P49:T49)</f>
        <v>48657.349962584878</v>
      </c>
      <c r="V49" s="52">
        <f t="shared" si="14"/>
        <v>-0.20452605787908396</v>
      </c>
      <c r="W49" s="52">
        <f t="shared" si="13"/>
        <v>-0.2796245900375488</v>
      </c>
      <c r="X49" s="52"/>
    </row>
    <row r="50" spans="1:24" x14ac:dyDescent="0.35">
      <c r="C50" s="56"/>
      <c r="D50" s="11">
        <f>MAX(D45:D49)-MIN(D45:D49)</f>
        <v>17935.924324555737</v>
      </c>
      <c r="E50" s="11">
        <f t="shared" ref="E50:R50" si="16">MAX(E45:E49)-MIN(E45:E49)</f>
        <v>10725.094954308574</v>
      </c>
      <c r="F50" s="11">
        <f t="shared" si="16"/>
        <v>20877.094502874614</v>
      </c>
      <c r="G50" s="11">
        <f t="shared" si="16"/>
        <v>14419.613339241921</v>
      </c>
      <c r="H50" s="11">
        <f t="shared" si="16"/>
        <v>24349.846279315585</v>
      </c>
      <c r="I50" s="11">
        <f t="shared" si="16"/>
        <v>19465.277564535034</v>
      </c>
      <c r="J50" s="11">
        <f t="shared" si="16"/>
        <v>17823.072767318983</v>
      </c>
      <c r="K50" s="11">
        <f t="shared" si="16"/>
        <v>14623.020560027973</v>
      </c>
      <c r="L50" s="11">
        <f t="shared" si="16"/>
        <v>9794.3615529222006</v>
      </c>
      <c r="M50" s="87">
        <f t="shared" si="16"/>
        <v>14823.491134925454</v>
      </c>
      <c r="N50" s="70">
        <f t="shared" si="16"/>
        <v>13463.022013033478</v>
      </c>
      <c r="O50" s="11">
        <f t="shared" si="16"/>
        <v>18003.687959589581</v>
      </c>
      <c r="P50" s="11">
        <f t="shared" si="16"/>
        <v>18347.221233883196</v>
      </c>
      <c r="Q50" s="11">
        <f t="shared" si="16"/>
        <v>16826.414803953696</v>
      </c>
      <c r="R50" s="11">
        <f t="shared" si="16"/>
        <v>18970.080243686833</v>
      </c>
      <c r="S50" s="11">
        <f t="shared" ref="S50:T50" si="17">MAX(S45:S49)-MIN(S45:S49)</f>
        <v>17844.204239117578</v>
      </c>
      <c r="T50" s="11">
        <f t="shared" si="17"/>
        <v>14913.149307329713</v>
      </c>
    </row>
    <row r="51" spans="1:24" x14ac:dyDescent="0.35">
      <c r="C51" s="5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24" x14ac:dyDescent="0.35">
      <c r="A52" s="29" t="s">
        <v>42</v>
      </c>
      <c r="B52" s="29" t="s">
        <v>42</v>
      </c>
      <c r="C52" s="57"/>
      <c r="D52" s="30">
        <v>2006</v>
      </c>
      <c r="E52" s="30">
        <v>2007</v>
      </c>
      <c r="F52" s="30">
        <v>2008</v>
      </c>
      <c r="G52" s="30">
        <v>2009</v>
      </c>
      <c r="H52" s="30">
        <v>2010</v>
      </c>
      <c r="I52" s="30">
        <v>2011</v>
      </c>
      <c r="J52" s="30">
        <v>2012</v>
      </c>
      <c r="K52" s="30">
        <v>2013</v>
      </c>
      <c r="L52" s="30">
        <v>2014</v>
      </c>
      <c r="M52" s="30">
        <v>2015</v>
      </c>
      <c r="N52" s="30">
        <v>2016</v>
      </c>
      <c r="O52" s="30">
        <v>2017</v>
      </c>
      <c r="P52" s="30">
        <v>2018</v>
      </c>
      <c r="Q52" s="30">
        <v>2019</v>
      </c>
      <c r="R52" s="30">
        <v>2020</v>
      </c>
      <c r="S52" s="30">
        <v>2021</v>
      </c>
      <c r="T52" s="30">
        <v>2022</v>
      </c>
      <c r="U52" s="30" t="s">
        <v>23</v>
      </c>
    </row>
    <row r="53" spans="1:24" x14ac:dyDescent="0.35">
      <c r="A53" s="27" t="s">
        <v>36</v>
      </c>
      <c r="B53" s="27" t="s">
        <v>90</v>
      </c>
      <c r="C53" s="58" t="s">
        <v>135</v>
      </c>
      <c r="D53" s="31">
        <f>'Asset cost and Total cost'!C19</f>
        <v>219477410.77621597</v>
      </c>
      <c r="E53" s="31">
        <f>'Asset cost and Total cost'!D19</f>
        <v>239170765.00166661</v>
      </c>
      <c r="F53" s="31">
        <f>'Asset cost and Total cost'!E19</f>
        <v>201422393.47911209</v>
      </c>
      <c r="G53" s="31">
        <f>'Asset cost and Total cost'!F19</f>
        <v>268013768.74913043</v>
      </c>
      <c r="H53" s="31">
        <f>'Asset cost and Total cost'!G19</f>
        <v>256221528.33703682</v>
      </c>
      <c r="I53" s="31">
        <f>'Asset cost and Total cost'!H19</f>
        <v>266942884.31673312</v>
      </c>
      <c r="J53" s="31">
        <f>'Asset cost and Total cost'!I19</f>
        <v>313296144.80554259</v>
      </c>
      <c r="K53" s="31">
        <f>'Asset cost and Total cost'!J19</f>
        <v>286966411.89979309</v>
      </c>
      <c r="L53" s="31">
        <f>'Asset cost and Total cost'!K19</f>
        <v>260581271.50622192</v>
      </c>
      <c r="M53" s="31">
        <f>'Asset cost and Total cost'!L19</f>
        <v>333134997.76045918</v>
      </c>
      <c r="N53" s="31">
        <f>'Asset cost and Total cost'!M19</f>
        <v>321130844.07037556</v>
      </c>
      <c r="O53" s="31">
        <f>'Asset cost and Total cost'!N19</f>
        <v>311989955.13489264</v>
      </c>
      <c r="P53" s="31">
        <f>'Asset cost and Total cost'!O19</f>
        <v>313626949.0378201</v>
      </c>
      <c r="Q53" s="31">
        <f>'Asset cost and Total cost'!P19</f>
        <v>317182893.45212269</v>
      </c>
      <c r="R53" s="31">
        <f>'Asset cost and Total cost'!Q19</f>
        <v>324900967.17291421</v>
      </c>
      <c r="S53" s="31">
        <f>'Asset cost and Total cost'!R19</f>
        <v>320988021.08896291</v>
      </c>
      <c r="T53" s="31">
        <f>'Asset cost and Total cost'!S19</f>
        <v>243606953.84909004</v>
      </c>
      <c r="U53" s="20">
        <f>AVERAGE(P53:T53)</f>
        <v>304061156.92018205</v>
      </c>
    </row>
    <row r="54" spans="1:24" x14ac:dyDescent="0.35">
      <c r="A54" s="27" t="s">
        <v>20</v>
      </c>
      <c r="B54" s="27" t="s">
        <v>91</v>
      </c>
      <c r="C54" s="58" t="s">
        <v>135</v>
      </c>
      <c r="D54" s="31">
        <f>'Asset cost and Total cost'!C20</f>
        <v>576511750.51138175</v>
      </c>
      <c r="E54" s="31">
        <f>'Asset cost and Total cost'!D20</f>
        <v>622633476.31149673</v>
      </c>
      <c r="F54" s="31">
        <f>'Asset cost and Total cost'!E20</f>
        <v>601083663.52416086</v>
      </c>
      <c r="G54" s="31">
        <f>'Asset cost and Total cost'!F20</f>
        <v>811998160.26805043</v>
      </c>
      <c r="H54" s="31">
        <f>'Asset cost and Total cost'!G20</f>
        <v>805583163.12580562</v>
      </c>
      <c r="I54" s="31">
        <f>'Asset cost and Total cost'!H20</f>
        <v>854252766.47312331</v>
      </c>
      <c r="J54" s="31">
        <f>'Asset cost and Total cost'!I20</f>
        <v>1021065685.9230546</v>
      </c>
      <c r="K54" s="31">
        <f>'Asset cost and Total cost'!J20</f>
        <v>838759157.18641973</v>
      </c>
      <c r="L54" s="31">
        <f>'Asset cost and Total cost'!K20</f>
        <v>764094187.89292383</v>
      </c>
      <c r="M54" s="31">
        <f>'Asset cost and Total cost'!L20</f>
        <v>1003934867.0784261</v>
      </c>
      <c r="N54" s="31">
        <f>'Asset cost and Total cost'!M20</f>
        <v>931124057.25677836</v>
      </c>
      <c r="O54" s="31">
        <f>'Asset cost and Total cost'!N20</f>
        <v>849565806.88617897</v>
      </c>
      <c r="P54" s="31">
        <f>'Asset cost and Total cost'!O20</f>
        <v>771543021.74252176</v>
      </c>
      <c r="Q54" s="31">
        <f>'Asset cost and Total cost'!P20</f>
        <v>798570520.66237736</v>
      </c>
      <c r="R54" s="31">
        <f>'Asset cost and Total cost'!Q20</f>
        <v>754718599.13529432</v>
      </c>
      <c r="S54" s="31">
        <f>'Asset cost and Total cost'!R20</f>
        <v>753336467.43628609</v>
      </c>
      <c r="T54" s="31">
        <f>'Asset cost and Total cost'!S20</f>
        <v>528881439.25645947</v>
      </c>
      <c r="U54" s="20">
        <f t="shared" ref="U54:U57" si="18">AVERAGE(P54:T54)</f>
        <v>721410009.64658773</v>
      </c>
    </row>
    <row r="55" spans="1:24" x14ac:dyDescent="0.35">
      <c r="A55" s="27" t="s">
        <v>34</v>
      </c>
      <c r="B55" s="27" t="s">
        <v>92</v>
      </c>
      <c r="C55" s="58" t="s">
        <v>135</v>
      </c>
      <c r="D55" s="31">
        <f>'Asset cost and Total cost'!C21</f>
        <v>375479648.75263977</v>
      </c>
      <c r="E55" s="31">
        <f>'Asset cost and Total cost'!D21</f>
        <v>345998878.29180485</v>
      </c>
      <c r="F55" s="31">
        <f>'Asset cost and Total cost'!E21</f>
        <v>377128892.93378502</v>
      </c>
      <c r="G55" s="31">
        <f>'Asset cost and Total cost'!F21</f>
        <v>406299622.86384988</v>
      </c>
      <c r="H55" s="31">
        <f>'Asset cost and Total cost'!G21</f>
        <v>466166666.7961309</v>
      </c>
      <c r="I55" s="31">
        <f>'Asset cost and Total cost'!H21</f>
        <v>446695693.59232163</v>
      </c>
      <c r="J55" s="31">
        <f>'Asset cost and Total cost'!I21</f>
        <v>430848537.33858627</v>
      </c>
      <c r="K55" s="31">
        <f>'Asset cost and Total cost'!J21</f>
        <v>437371162.94770515</v>
      </c>
      <c r="L55" s="31">
        <f>'Asset cost and Total cost'!K21</f>
        <v>374140654.75969863</v>
      </c>
      <c r="M55" s="31">
        <f>'Asset cost and Total cost'!L21</f>
        <v>430516866.96972454</v>
      </c>
      <c r="N55" s="31">
        <f>'Asset cost and Total cost'!M21</f>
        <v>407466369.46711278</v>
      </c>
      <c r="O55" s="31">
        <f>'Asset cost and Total cost'!N21</f>
        <v>441164261.74796653</v>
      </c>
      <c r="P55" s="31">
        <f>'Asset cost and Total cost'!O21</f>
        <v>413228987.74283081</v>
      </c>
      <c r="Q55" s="31">
        <f>'Asset cost and Total cost'!P21</f>
        <v>407974502.2826848</v>
      </c>
      <c r="R55" s="31">
        <f>'Asset cost and Total cost'!Q21</f>
        <v>395828904.22223383</v>
      </c>
      <c r="S55" s="31">
        <f>'Asset cost and Total cost'!R21</f>
        <v>382653772.57015812</v>
      </c>
      <c r="T55" s="31">
        <f>'Asset cost and Total cost'!S21</f>
        <v>272504796.55377877</v>
      </c>
      <c r="U55" s="20">
        <f t="shared" si="18"/>
        <v>374438192.67433721</v>
      </c>
    </row>
    <row r="56" spans="1:24" x14ac:dyDescent="0.35">
      <c r="A56" s="27" t="s">
        <v>28</v>
      </c>
      <c r="B56" s="27" t="s">
        <v>93</v>
      </c>
      <c r="C56" s="58" t="s">
        <v>135</v>
      </c>
      <c r="D56" s="31">
        <f>'Asset cost and Total cost'!C22</f>
        <v>161181648.03572997</v>
      </c>
      <c r="E56" s="31">
        <f>'Asset cost and Total cost'!D22</f>
        <v>151826243.42855451</v>
      </c>
      <c r="F56" s="31">
        <f>'Asset cost and Total cost'!E22</f>
        <v>182078593.23513868</v>
      </c>
      <c r="G56" s="31">
        <f>'Asset cost and Total cost'!F22</f>
        <v>171427123.67665613</v>
      </c>
      <c r="H56" s="31">
        <f>'Asset cost and Total cost'!G22</f>
        <v>195508919.40197244</v>
      </c>
      <c r="I56" s="31">
        <f>'Asset cost and Total cost'!H22</f>
        <v>199844183.88531294</v>
      </c>
      <c r="J56" s="31">
        <f>'Asset cost and Total cost'!I22</f>
        <v>237568369.35938433</v>
      </c>
      <c r="K56" s="31">
        <f>'Asset cost and Total cost'!J22</f>
        <v>199461783.08099183</v>
      </c>
      <c r="L56" s="31">
        <f>'Asset cost and Total cost'!K22</f>
        <v>182227168.06797668</v>
      </c>
      <c r="M56" s="31">
        <f>'Asset cost and Total cost'!L22</f>
        <v>189657016.85212338</v>
      </c>
      <c r="N56" s="31">
        <f>'Asset cost and Total cost'!M22</f>
        <v>176903859.07435998</v>
      </c>
      <c r="O56" s="31">
        <f>'Asset cost and Total cost'!N22</f>
        <v>175502417.37682378</v>
      </c>
      <c r="P56" s="31">
        <f>'Asset cost and Total cost'!O22</f>
        <v>156127130.46968928</v>
      </c>
      <c r="Q56" s="31">
        <f>'Asset cost and Total cost'!P22</f>
        <v>158572914.19088021</v>
      </c>
      <c r="R56" s="31">
        <f>'Asset cost and Total cost'!Q22</f>
        <v>133663918.0141121</v>
      </c>
      <c r="S56" s="31">
        <f>'Asset cost and Total cost'!R22</f>
        <v>135205609.90264085</v>
      </c>
      <c r="T56" s="31">
        <f>'Asset cost and Total cost'!S22</f>
        <v>98254693.403053969</v>
      </c>
      <c r="U56" s="20">
        <f>AVERAGE(P56:T56)</f>
        <v>136364853.19607529</v>
      </c>
    </row>
    <row r="57" spans="1:24" x14ac:dyDescent="0.35">
      <c r="A57" s="27" t="s">
        <v>37</v>
      </c>
      <c r="B57" s="27" t="s">
        <v>94</v>
      </c>
      <c r="C57" s="58" t="s">
        <v>135</v>
      </c>
      <c r="D57" s="31">
        <f>'Asset cost and Total cost'!C23</f>
        <v>577721583.49740112</v>
      </c>
      <c r="E57" s="31">
        <f>'Asset cost and Total cost'!D23</f>
        <v>602938729.99559438</v>
      </c>
      <c r="F57" s="31">
        <f>'Asset cost and Total cost'!E23</f>
        <v>531800250.19411117</v>
      </c>
      <c r="G57" s="31">
        <f>'Asset cost and Total cost'!F23</f>
        <v>698972194.29178655</v>
      </c>
      <c r="H57" s="31">
        <f>'Asset cost and Total cost'!G23</f>
        <v>725617029.96379161</v>
      </c>
      <c r="I57" s="31">
        <f>'Asset cost and Total cost'!H23</f>
        <v>730444209.85171568</v>
      </c>
      <c r="J57" s="31">
        <f>'Asset cost and Total cost'!I23</f>
        <v>862784385.14418221</v>
      </c>
      <c r="K57" s="31">
        <f>'Asset cost and Total cost'!J23</f>
        <v>727700114.78581989</v>
      </c>
      <c r="L57" s="31">
        <f>'Asset cost and Total cost'!K23</f>
        <v>701274445.14718437</v>
      </c>
      <c r="M57" s="31">
        <f>'Asset cost and Total cost'!L23</f>
        <v>828186713.32681763</v>
      </c>
      <c r="N57" s="31">
        <f>'Asset cost and Total cost'!M23</f>
        <v>772345458.87570918</v>
      </c>
      <c r="O57" s="31">
        <f>'Asset cost and Total cost'!N23</f>
        <v>797667104.19377315</v>
      </c>
      <c r="P57" s="31">
        <f>'Asset cost and Total cost'!O23</f>
        <v>694484337.62101257</v>
      </c>
      <c r="Q57" s="31">
        <f>'Asset cost and Total cost'!P23</f>
        <v>682434742.20004988</v>
      </c>
      <c r="R57" s="31">
        <f>'Asset cost and Total cost'!Q23</f>
        <v>656091629.22420835</v>
      </c>
      <c r="S57" s="31">
        <f>'Asset cost and Total cost'!R23</f>
        <v>664512981.94311583</v>
      </c>
      <c r="T57" s="31">
        <f>'Asset cost and Total cost'!S23</f>
        <v>480034848.34246486</v>
      </c>
      <c r="U57" s="20">
        <f t="shared" si="18"/>
        <v>635511707.86617029</v>
      </c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1"/>
  <sheetViews>
    <sheetView zoomScaleNormal="100" workbookViewId="0">
      <selection activeCell="R22" sqref="R22"/>
    </sheetView>
  </sheetViews>
  <sheetFormatPr defaultColWidth="9.1796875" defaultRowHeight="14.5" x14ac:dyDescent="0.35"/>
  <cols>
    <col min="1" max="1" width="46.453125" bestFit="1" customWidth="1"/>
    <col min="2" max="11" width="14" customWidth="1"/>
    <col min="12" max="12" width="12.7265625" bestFit="1" customWidth="1"/>
    <col min="13" max="15" width="14.1796875" customWidth="1"/>
    <col min="16" max="17" width="11.1796875" bestFit="1" customWidth="1"/>
    <col min="18" max="19" width="11.1796875" customWidth="1"/>
    <col min="20" max="20" width="10.81640625" bestFit="1" customWidth="1"/>
  </cols>
  <sheetData>
    <row r="1" spans="1:20" x14ac:dyDescent="0.35">
      <c r="A1" s="10" t="s">
        <v>80</v>
      </c>
      <c r="B1" t="s">
        <v>132</v>
      </c>
      <c r="D1" t="s">
        <v>118</v>
      </c>
      <c r="E1" t="s">
        <v>95</v>
      </c>
    </row>
    <row r="2" spans="1:20" x14ac:dyDescent="0.35">
      <c r="A2" t="s">
        <v>30</v>
      </c>
      <c r="B2" s="28">
        <v>2.0367387739464404E-2</v>
      </c>
      <c r="D2" s="28">
        <v>2.5094977542418646E-2</v>
      </c>
      <c r="E2" s="28">
        <v>3.3527858038188293E-2</v>
      </c>
      <c r="G2" s="28">
        <v>2.9744598129268912E-2</v>
      </c>
    </row>
    <row r="3" spans="1:20" x14ac:dyDescent="0.35">
      <c r="B3" s="28"/>
      <c r="C3" s="28"/>
      <c r="D3" s="28"/>
      <c r="E3" s="28"/>
      <c r="G3" s="28"/>
    </row>
    <row r="4" spans="1:20" x14ac:dyDescent="0.35">
      <c r="A4" s="10" t="s">
        <v>41</v>
      </c>
      <c r="B4" s="28" t="str">
        <f>"Real $"&amp;Real_year&amp;""</f>
        <v>Real $2022</v>
      </c>
      <c r="C4">
        <v>2006</v>
      </c>
      <c r="D4">
        <v>2007</v>
      </c>
      <c r="E4">
        <v>2008</v>
      </c>
      <c r="F4">
        <v>2009</v>
      </c>
      <c r="G4">
        <v>2010</v>
      </c>
      <c r="H4">
        <v>2011</v>
      </c>
      <c r="I4">
        <v>2012</v>
      </c>
      <c r="J4">
        <v>2013</v>
      </c>
      <c r="K4">
        <v>2014</v>
      </c>
      <c r="L4">
        <v>2015</v>
      </c>
      <c r="M4">
        <v>2016</v>
      </c>
      <c r="N4">
        <v>2017</v>
      </c>
      <c r="O4">
        <v>2018</v>
      </c>
      <c r="P4">
        <v>2019</v>
      </c>
      <c r="Q4">
        <v>2020</v>
      </c>
      <c r="R4">
        <v>2021</v>
      </c>
      <c r="S4">
        <v>2022</v>
      </c>
    </row>
    <row r="5" spans="1:20" x14ac:dyDescent="0.35">
      <c r="A5" t="s">
        <v>56</v>
      </c>
      <c r="B5" s="28"/>
      <c r="C5" s="17">
        <f>CPI!F13</f>
        <v>1.5119904076738608</v>
      </c>
      <c r="D5" s="17">
        <f>CPI!G13</f>
        <v>1.4544405997693193</v>
      </c>
      <c r="E5" s="17">
        <f>CPI!H13</f>
        <v>1.4280860702151754</v>
      </c>
      <c r="F5" s="17">
        <f>CPI!I13</f>
        <v>1.3603020496224378</v>
      </c>
      <c r="G5" s="17">
        <f>CPI!J13</f>
        <v>1.3443496801705757</v>
      </c>
      <c r="H5" s="17">
        <f>CPI!K13</f>
        <v>1.3067357512953368</v>
      </c>
      <c r="I5" s="17">
        <f>CPI!L13</f>
        <v>1.2635270541082164</v>
      </c>
      <c r="J5" s="17">
        <f>CPI!M13</f>
        <v>1.2387033398821219</v>
      </c>
      <c r="K5" s="17">
        <f>CPI!N13</f>
        <v>1.2124999999999999</v>
      </c>
      <c r="L5" s="17">
        <f>CPI!O13</f>
        <v>1.1851503759398494</v>
      </c>
      <c r="M5" s="17">
        <f>CPI!P13</f>
        <v>1.1675925925925925</v>
      </c>
      <c r="N5" s="17">
        <f>CPI!Q13</f>
        <v>1.1526508226691041</v>
      </c>
      <c r="O5" s="17">
        <f>CPI!R13</f>
        <v>1.1319569120287252</v>
      </c>
      <c r="P5" s="17">
        <f>CPI!S13</f>
        <v>1.1110132158590307</v>
      </c>
      <c r="Q5" s="17">
        <f>CPI!T13</f>
        <v>1.0927209705372616</v>
      </c>
      <c r="R5" s="17">
        <f>CPI!U13</f>
        <v>1.0851979345955249</v>
      </c>
      <c r="S5" s="17">
        <f>CPI!V13</f>
        <v>1.0534670008354219</v>
      </c>
    </row>
    <row r="6" spans="1:20" x14ac:dyDescent="0.35">
      <c r="A6" t="s">
        <v>55</v>
      </c>
      <c r="B6" s="28"/>
      <c r="C6" s="17">
        <f>CPI!F12</f>
        <v>1.5047732696897373</v>
      </c>
      <c r="D6" s="17">
        <f>CPI!G12</f>
        <v>1.456120092378753</v>
      </c>
      <c r="E6" s="17">
        <f>CPI!H12</f>
        <v>1.415263748597082</v>
      </c>
      <c r="F6" s="17">
        <f>CPI!I12</f>
        <v>1.3647186147186146</v>
      </c>
      <c r="G6" s="17">
        <f>CPI!J12</f>
        <v>1.3372216330858961</v>
      </c>
      <c r="H6" s="17">
        <f>CPI!K12</f>
        <v>1.3013415892672857</v>
      </c>
      <c r="I6" s="17">
        <f>CPI!L12</f>
        <v>1.2635270541082164</v>
      </c>
      <c r="J6" s="17">
        <f>CPI!M12</f>
        <v>1.2362745098039216</v>
      </c>
      <c r="K6" s="17">
        <f>CPI!N12</f>
        <v>1.2032442748091603</v>
      </c>
      <c r="L6" s="17">
        <f>CPI!O12</f>
        <v>1.1829268292682926</v>
      </c>
      <c r="M6" s="17">
        <f>CPI!P12</f>
        <v>1.1632841328413284</v>
      </c>
      <c r="N6" s="17">
        <f>CPI!Q12</f>
        <v>1.1463636363636363</v>
      </c>
      <c r="O6" s="17">
        <f>CPI!R12</f>
        <v>1.1248884924174845</v>
      </c>
      <c r="P6" s="17">
        <f>CPI!S12</f>
        <v>1.105170902716915</v>
      </c>
      <c r="Q6" s="17">
        <f>CPI!T12</f>
        <v>1.0851979345955249</v>
      </c>
      <c r="R6" s="17">
        <f>CPI!U12</f>
        <v>1.0759385665529009</v>
      </c>
      <c r="S6" s="17">
        <f>CPI!V12</f>
        <v>1.0395713107996702</v>
      </c>
    </row>
    <row r="9" spans="1:20" x14ac:dyDescent="0.35">
      <c r="A9" s="10" t="s">
        <v>51</v>
      </c>
      <c r="B9" s="10" t="str">
        <f>IF(Depreciation!A14=RAB!A14,"valid","invalid")</f>
        <v>valid</v>
      </c>
    </row>
    <row r="10" spans="1:20" x14ac:dyDescent="0.35">
      <c r="A10" s="10" t="str">
        <f>Depreciation!A14</f>
        <v>Real $2022</v>
      </c>
      <c r="B10" s="10"/>
      <c r="C10">
        <v>2006</v>
      </c>
      <c r="D10">
        <v>2007</v>
      </c>
      <c r="E10">
        <v>2008</v>
      </c>
      <c r="F10">
        <v>2009</v>
      </c>
      <c r="G10">
        <v>2010</v>
      </c>
      <c r="H10">
        <v>2011</v>
      </c>
      <c r="I10">
        <v>2012</v>
      </c>
      <c r="J10">
        <v>2013</v>
      </c>
      <c r="K10">
        <v>2014</v>
      </c>
      <c r="L10">
        <v>2015</v>
      </c>
      <c r="M10">
        <v>2016</v>
      </c>
      <c r="N10">
        <v>2017</v>
      </c>
      <c r="O10">
        <v>2018</v>
      </c>
      <c r="P10">
        <v>2019</v>
      </c>
      <c r="Q10">
        <v>2020</v>
      </c>
      <c r="R10">
        <v>2021</v>
      </c>
      <c r="S10">
        <v>2022</v>
      </c>
      <c r="T10" t="s">
        <v>137</v>
      </c>
    </row>
    <row r="11" spans="1:20" x14ac:dyDescent="0.35">
      <c r="A11" s="27" t="s">
        <v>36</v>
      </c>
      <c r="B11" s="27" t="s">
        <v>117</v>
      </c>
      <c r="C11" s="20">
        <f>C27*C$6</f>
        <v>146599.73655187231</v>
      </c>
      <c r="D11" s="20">
        <f>D27*D$6</f>
        <v>162098.32851205923</v>
      </c>
      <c r="E11" s="20">
        <f t="shared" ref="E11:Q11" si="0">E27*E$6</f>
        <v>131445.19258573386</v>
      </c>
      <c r="F11" s="20">
        <f t="shared" si="0"/>
        <v>193154.85857597025</v>
      </c>
      <c r="G11" s="20">
        <f t="shared" si="0"/>
        <v>179241.69058518103</v>
      </c>
      <c r="H11" s="20">
        <f t="shared" si="0"/>
        <v>183175.52621559796</v>
      </c>
      <c r="I11" s="20">
        <f t="shared" si="0"/>
        <v>221584.29711015182</v>
      </c>
      <c r="J11" s="20">
        <f t="shared" si="0"/>
        <v>199775.67954685193</v>
      </c>
      <c r="K11" s="20">
        <f t="shared" si="0"/>
        <v>171348.74106156544</v>
      </c>
      <c r="L11" s="20">
        <f t="shared" si="0"/>
        <v>238967.10519899576</v>
      </c>
      <c r="M11" s="20">
        <f t="shared" si="0"/>
        <v>222125.82659897333</v>
      </c>
      <c r="N11" s="20">
        <f t="shared" si="0"/>
        <v>209230.33948671084</v>
      </c>
      <c r="O11" s="20">
        <f t="shared" si="0"/>
        <v>208868.98370151321</v>
      </c>
      <c r="P11" s="20">
        <f t="shared" si="0"/>
        <v>214023.52930313058</v>
      </c>
      <c r="Q11" s="20">
        <f t="shared" si="0"/>
        <v>216519.67900162333</v>
      </c>
      <c r="R11" s="20">
        <f>R27*R$6</f>
        <v>213668.72390036224</v>
      </c>
      <c r="S11" s="20">
        <f>S27*S$6</f>
        <v>139479.83799393749</v>
      </c>
      <c r="T11" s="20">
        <f>AVERAGE(O11:S11)</f>
        <v>198512.15078011336</v>
      </c>
    </row>
    <row r="12" spans="1:20" x14ac:dyDescent="0.35">
      <c r="A12" s="27" t="s">
        <v>20</v>
      </c>
      <c r="B12" s="27" t="s">
        <v>117</v>
      </c>
      <c r="C12" s="20">
        <f>C28*C$6</f>
        <v>397773.27676436503</v>
      </c>
      <c r="D12" s="20">
        <f t="shared" ref="D12:Q12" si="1">D28*D$6</f>
        <v>435864.23266253591</v>
      </c>
      <c r="E12" s="20">
        <f t="shared" si="1"/>
        <v>397127.17418633815</v>
      </c>
      <c r="F12" s="20">
        <f t="shared" si="1"/>
        <v>617121.80096069106</v>
      </c>
      <c r="G12" s="20">
        <f t="shared" si="1"/>
        <v>602456.52261679189</v>
      </c>
      <c r="H12" s="20">
        <f t="shared" si="1"/>
        <v>657712.44758767448</v>
      </c>
      <c r="I12" s="20">
        <f t="shared" si="1"/>
        <v>818416.16287696233</v>
      </c>
      <c r="J12" s="20">
        <f t="shared" si="1"/>
        <v>631834.50088633143</v>
      </c>
      <c r="K12" s="20">
        <f t="shared" si="1"/>
        <v>546283.17196421942</v>
      </c>
      <c r="L12" s="20">
        <f t="shared" si="1"/>
        <v>754028.56970053585</v>
      </c>
      <c r="M12" s="20">
        <f t="shared" si="1"/>
        <v>677922.46961840196</v>
      </c>
      <c r="N12" s="20">
        <f t="shared" si="1"/>
        <v>590188.25335072447</v>
      </c>
      <c r="O12" s="20">
        <f t="shared" si="1"/>
        <v>560497.92858723179</v>
      </c>
      <c r="P12" s="20">
        <f t="shared" si="1"/>
        <v>578235.96865016699</v>
      </c>
      <c r="Q12" s="20">
        <f t="shared" si="1"/>
        <v>535398.91151739412</v>
      </c>
      <c r="R12" s="20">
        <f t="shared" ref="R12:S12" si="2">R28*R$6</f>
        <v>526669.699494806</v>
      </c>
      <c r="S12" s="20">
        <f t="shared" si="2"/>
        <v>314300.70867065422</v>
      </c>
      <c r="T12" s="20">
        <f t="shared" ref="T12:T15" si="3">AVERAGE(O12:S12)</f>
        <v>503020.64338405069</v>
      </c>
    </row>
    <row r="13" spans="1:20" x14ac:dyDescent="0.35">
      <c r="A13" s="27" t="s">
        <v>34</v>
      </c>
      <c r="B13" s="27" t="s">
        <v>117</v>
      </c>
      <c r="C13" s="20">
        <f>C29*C$5</f>
        <v>282092.12866942864</v>
      </c>
      <c r="D13" s="20">
        <f t="shared" ref="D13:Q13" si="4">D29*D$5</f>
        <v>256088.85946796232</v>
      </c>
      <c r="E13" s="20">
        <f t="shared" si="4"/>
        <v>293915.18946889264</v>
      </c>
      <c r="F13" s="20">
        <f t="shared" si="4"/>
        <v>300753.11892533855</v>
      </c>
      <c r="G13" s="20">
        <f t="shared" si="4"/>
        <v>358533.4740562588</v>
      </c>
      <c r="H13" s="20">
        <f t="shared" si="4"/>
        <v>348562.95000786567</v>
      </c>
      <c r="I13" s="20">
        <f t="shared" si="4"/>
        <v>338937.19514720357</v>
      </c>
      <c r="J13" s="20">
        <f t="shared" si="4"/>
        <v>343068.91055870708</v>
      </c>
      <c r="K13" s="20">
        <f t="shared" si="4"/>
        <v>273825.35483417171</v>
      </c>
      <c r="L13" s="20">
        <f t="shared" si="4"/>
        <v>330199.84087047656</v>
      </c>
      <c r="M13" s="20">
        <f t="shared" si="4"/>
        <v>303094.9781981734</v>
      </c>
      <c r="N13" s="20">
        <f t="shared" si="4"/>
        <v>340143.37438706332</v>
      </c>
      <c r="O13" s="20">
        <f t="shared" si="4"/>
        <v>320628.59584308736</v>
      </c>
      <c r="P13" s="20">
        <f t="shared" si="4"/>
        <v>311416.57254838524</v>
      </c>
      <c r="Q13" s="20">
        <f t="shared" si="4"/>
        <v>308822.57484520593</v>
      </c>
      <c r="R13" s="20">
        <f t="shared" ref="R13:S13" si="5">R29*R$5</f>
        <v>304353.30048091733</v>
      </c>
      <c r="S13" s="20">
        <f t="shared" si="5"/>
        <v>183677.23598662898</v>
      </c>
      <c r="T13" s="20">
        <f t="shared" si="3"/>
        <v>285779.65594084503</v>
      </c>
    </row>
    <row r="14" spans="1:20" x14ac:dyDescent="0.35">
      <c r="A14" s="27" t="s">
        <v>28</v>
      </c>
      <c r="B14" s="27" t="s">
        <v>117</v>
      </c>
      <c r="C14" s="20">
        <f>C30*C$6</f>
        <v>107873.47795458439</v>
      </c>
      <c r="D14" s="20">
        <f t="shared" ref="D14:Q14" si="6">D30*D$6</f>
        <v>96993.67661100252</v>
      </c>
      <c r="E14" s="20">
        <f t="shared" si="6"/>
        <v>116503.58438440916</v>
      </c>
      <c r="F14" s="20">
        <f t="shared" si="6"/>
        <v>107773.04326431849</v>
      </c>
      <c r="G14" s="20">
        <f t="shared" si="6"/>
        <v>131617.12768617179</v>
      </c>
      <c r="H14" s="20">
        <f t="shared" si="6"/>
        <v>139256.87133835733</v>
      </c>
      <c r="I14" s="20">
        <f t="shared" si="6"/>
        <v>178279.7125056769</v>
      </c>
      <c r="J14" s="20">
        <f t="shared" si="6"/>
        <v>143858.37998001144</v>
      </c>
      <c r="K14" s="20">
        <f t="shared" si="6"/>
        <v>127361.63562522861</v>
      </c>
      <c r="L14" s="20">
        <f t="shared" si="6"/>
        <v>148602.69217297705</v>
      </c>
      <c r="M14" s="20">
        <f t="shared" si="6"/>
        <v>133160.42081019879</v>
      </c>
      <c r="N14" s="20">
        <f t="shared" si="6"/>
        <v>138763.53616291014</v>
      </c>
      <c r="O14" s="20">
        <f t="shared" si="6"/>
        <v>123533.61230308011</v>
      </c>
      <c r="P14" s="20">
        <f t="shared" si="6"/>
        <v>124185.16798637334</v>
      </c>
      <c r="Q14" s="20">
        <f t="shared" si="6"/>
        <v>104122.02124887597</v>
      </c>
      <c r="R14" s="20">
        <f t="shared" ref="R14:S14" si="7">R30*R$6</f>
        <v>102145.85852784742</v>
      </c>
      <c r="S14" s="20">
        <f t="shared" si="7"/>
        <v>64922.661200547365</v>
      </c>
      <c r="T14" s="20">
        <f>AVERAGE(O14:S14)</f>
        <v>103781.86425334486</v>
      </c>
    </row>
    <row r="15" spans="1:20" x14ac:dyDescent="0.35">
      <c r="A15" s="27" t="s">
        <v>37</v>
      </c>
      <c r="B15" s="27" t="s">
        <v>117</v>
      </c>
      <c r="C15" s="20">
        <f>C31*C$6</f>
        <v>396050.30664775916</v>
      </c>
      <c r="D15" s="20">
        <f t="shared" ref="D15:Q15" si="8">D31*D$6</f>
        <v>423704.90782469371</v>
      </c>
      <c r="E15" s="20">
        <f t="shared" si="8"/>
        <v>362379.02684955444</v>
      </c>
      <c r="F15" s="20">
        <f t="shared" si="8"/>
        <v>529556.02546061773</v>
      </c>
      <c r="G15" s="20">
        <f t="shared" si="8"/>
        <v>534073.40324056789</v>
      </c>
      <c r="H15" s="20">
        <f t="shared" si="8"/>
        <v>551158.37909836182</v>
      </c>
      <c r="I15" s="20">
        <f t="shared" si="8"/>
        <v>670589.28494378144</v>
      </c>
      <c r="J15" s="20">
        <f t="shared" si="8"/>
        <v>550851.04615836893</v>
      </c>
      <c r="K15" s="20">
        <f t="shared" si="8"/>
        <v>489939.02720825316</v>
      </c>
      <c r="L15" s="20">
        <f t="shared" si="8"/>
        <v>629184.58538779325</v>
      </c>
      <c r="M15" s="20">
        <f t="shared" si="8"/>
        <v>575128.67978369817</v>
      </c>
      <c r="N15" s="20">
        <f t="shared" si="8"/>
        <v>602364.90647634503</v>
      </c>
      <c r="O15" s="20">
        <f t="shared" si="8"/>
        <v>521750.17961798835</v>
      </c>
      <c r="P15" s="20">
        <f t="shared" si="8"/>
        <v>511743.47774189099</v>
      </c>
      <c r="Q15" s="20">
        <f t="shared" si="8"/>
        <v>480884.4053008004</v>
      </c>
      <c r="R15" s="20">
        <f t="shared" ref="R15:S15" si="9">R31*R$6</f>
        <v>483172.18171700666</v>
      </c>
      <c r="S15" s="20">
        <f t="shared" si="9"/>
        <v>287128.16716934042</v>
      </c>
      <c r="T15" s="20">
        <f t="shared" si="3"/>
        <v>456935.6823094053</v>
      </c>
    </row>
    <row r="17" spans="1:20" x14ac:dyDescent="0.35">
      <c r="A17" s="10" t="s">
        <v>42</v>
      </c>
      <c r="B17" s="10"/>
      <c r="C17" s="10" t="str">
        <f>IF(A10=A18,"valid","invalid")</f>
        <v>valid</v>
      </c>
      <c r="D17" s="11"/>
      <c r="E17" s="11"/>
      <c r="F17" s="11"/>
      <c r="G17" s="11"/>
      <c r="H17" s="11"/>
      <c r="I17" s="11"/>
      <c r="J17" s="11"/>
      <c r="K17" s="11"/>
    </row>
    <row r="18" spans="1:20" x14ac:dyDescent="0.35">
      <c r="A18" s="10" t="str">
        <f>Opex!A14</f>
        <v>Real $2022</v>
      </c>
      <c r="B18" s="10"/>
      <c r="C18">
        <v>2006</v>
      </c>
      <c r="D18">
        <v>2007</v>
      </c>
      <c r="E18">
        <v>2008</v>
      </c>
      <c r="F18">
        <v>2009</v>
      </c>
      <c r="G18">
        <v>2010</v>
      </c>
      <c r="H18">
        <v>2011</v>
      </c>
      <c r="I18">
        <v>2012</v>
      </c>
      <c r="J18">
        <v>2013</v>
      </c>
      <c r="K18">
        <v>2014</v>
      </c>
      <c r="L18">
        <v>2015</v>
      </c>
      <c r="M18">
        <v>2016</v>
      </c>
      <c r="N18">
        <v>2017</v>
      </c>
      <c r="O18">
        <v>2018</v>
      </c>
      <c r="P18">
        <v>2019</v>
      </c>
      <c r="Q18">
        <v>2020</v>
      </c>
      <c r="R18">
        <v>2021</v>
      </c>
      <c r="S18">
        <v>2022</v>
      </c>
    </row>
    <row r="19" spans="1:20" x14ac:dyDescent="0.35">
      <c r="A19" s="27" t="s">
        <v>36</v>
      </c>
      <c r="B19" s="44" t="s">
        <v>135</v>
      </c>
      <c r="C19" s="20">
        <f>(C11+Opex!C15)*1000</f>
        <v>219477410.77621597</v>
      </c>
      <c r="D19" s="20">
        <f>(D11+Opex!D15)*1000</f>
        <v>239170765.00166661</v>
      </c>
      <c r="E19" s="20">
        <f>(E11+Opex!E15)*1000</f>
        <v>201422393.47911209</v>
      </c>
      <c r="F19" s="20">
        <f>(F11+Opex!F15)*1000</f>
        <v>268013768.74913043</v>
      </c>
      <c r="G19" s="20">
        <f>(G11+Opex!G15)*1000</f>
        <v>256221528.33703682</v>
      </c>
      <c r="H19" s="20">
        <f>(H11+Opex!H15)*1000</f>
        <v>266942884.31673312</v>
      </c>
      <c r="I19" s="20">
        <f>(I11+Opex!I15)*1000</f>
        <v>313296144.80554259</v>
      </c>
      <c r="J19" s="20">
        <f>(J11+Opex!J15)*1000</f>
        <v>286966411.89979309</v>
      </c>
      <c r="K19" s="20">
        <f>(K11+Opex!K15)*1000</f>
        <v>260581271.50622192</v>
      </c>
      <c r="L19" s="20">
        <f>(L11+Opex!L15)*1000</f>
        <v>333134997.76045918</v>
      </c>
      <c r="M19" s="20">
        <f>(M11+Opex!M15)*1000</f>
        <v>321130844.07037556</v>
      </c>
      <c r="N19" s="20">
        <f>(N11+Opex!N15)*1000</f>
        <v>311989955.13489264</v>
      </c>
      <c r="O19" s="20">
        <f>(O11+Opex!O15)*1000</f>
        <v>313626949.0378201</v>
      </c>
      <c r="P19" s="20">
        <f>(P11+Opex!P15)*1000</f>
        <v>317182893.45212269</v>
      </c>
      <c r="Q19" s="20">
        <f>(Q11+Opex!Q15)*1000</f>
        <v>324900967.17291421</v>
      </c>
      <c r="R19" s="20">
        <f>(R11+Opex!R15)*1000</f>
        <v>320988021.08896291</v>
      </c>
      <c r="S19" s="20">
        <f>(S11+Opex!S15)*1000</f>
        <v>243606953.84909004</v>
      </c>
    </row>
    <row r="20" spans="1:20" x14ac:dyDescent="0.35">
      <c r="A20" s="27" t="s">
        <v>20</v>
      </c>
      <c r="B20" s="44" t="s">
        <v>135</v>
      </c>
      <c r="C20" s="20">
        <f>(C12+Opex!C16)*1000</f>
        <v>576511750.51138175</v>
      </c>
      <c r="D20" s="20">
        <f>(D12+Opex!D16)*1000</f>
        <v>622633476.31149673</v>
      </c>
      <c r="E20" s="20">
        <f>(E12+Opex!E16)*1000</f>
        <v>601083663.52416086</v>
      </c>
      <c r="F20" s="20">
        <f>(F12+Opex!F16)*1000</f>
        <v>811998160.26805043</v>
      </c>
      <c r="G20" s="20">
        <f>(G12+Opex!G16)*1000</f>
        <v>805583163.12580562</v>
      </c>
      <c r="H20" s="20">
        <f>(H12+Opex!H16)*1000</f>
        <v>854252766.47312331</v>
      </c>
      <c r="I20" s="20">
        <f>(I12+Opex!I16)*1000</f>
        <v>1021065685.9230546</v>
      </c>
      <c r="J20" s="20">
        <f>(J12+Opex!J16)*1000</f>
        <v>838759157.18641973</v>
      </c>
      <c r="K20" s="20">
        <f>(K12+Opex!K16)*1000</f>
        <v>764094187.89292383</v>
      </c>
      <c r="L20" s="20">
        <f>(L12+Opex!L16)*1000</f>
        <v>1003934867.0784261</v>
      </c>
      <c r="M20" s="20">
        <f>(M12+Opex!M16)*1000</f>
        <v>931124057.25677836</v>
      </c>
      <c r="N20" s="20">
        <f>(N12+Opex!N16)*1000</f>
        <v>849565806.88617897</v>
      </c>
      <c r="O20" s="20">
        <f>(O12+Opex!O16)*1000</f>
        <v>771543021.74252176</v>
      </c>
      <c r="P20" s="20">
        <f>(P12+Opex!P16)*1000</f>
        <v>798570520.66237736</v>
      </c>
      <c r="Q20" s="20">
        <f>(Q12+Opex!Q16)*1000</f>
        <v>754718599.13529432</v>
      </c>
      <c r="R20" s="20">
        <f>(R12+Opex!R16)*1000</f>
        <v>753336467.43628609</v>
      </c>
      <c r="S20" s="20">
        <f>(S12+Opex!S16)*1000</f>
        <v>528881439.25645947</v>
      </c>
    </row>
    <row r="21" spans="1:20" x14ac:dyDescent="0.35">
      <c r="A21" s="27" t="s">
        <v>34</v>
      </c>
      <c r="B21" s="44" t="s">
        <v>135</v>
      </c>
      <c r="C21" s="20">
        <f>(C13+Opex!C17)*1000</f>
        <v>375479648.75263977</v>
      </c>
      <c r="D21" s="20">
        <f>(D13+Opex!D17)*1000</f>
        <v>345998878.29180485</v>
      </c>
      <c r="E21" s="20">
        <f>(E13+Opex!E17)*1000</f>
        <v>377128892.93378502</v>
      </c>
      <c r="F21" s="20">
        <f>(F13+Opex!F17)*1000</f>
        <v>406299622.86384988</v>
      </c>
      <c r="G21" s="20">
        <f>(G13+Opex!G17)*1000</f>
        <v>466166666.7961309</v>
      </c>
      <c r="H21" s="20">
        <f>(H13+Opex!H17)*1000</f>
        <v>446695693.59232163</v>
      </c>
      <c r="I21" s="20">
        <f>(I13+Opex!I17)*1000</f>
        <v>430848537.33858627</v>
      </c>
      <c r="J21" s="20">
        <f>(J13+Opex!J17)*1000</f>
        <v>437371162.94770515</v>
      </c>
      <c r="K21" s="20">
        <f>(K13+Opex!K17)*1000</f>
        <v>374140654.75969863</v>
      </c>
      <c r="L21" s="20">
        <f>(L13+Opex!L17)*1000</f>
        <v>430516866.96972454</v>
      </c>
      <c r="M21" s="20">
        <f>(M13+Opex!M17)*1000</f>
        <v>407466369.46711278</v>
      </c>
      <c r="N21" s="20">
        <f>(N13+Opex!N17)*1000</f>
        <v>441164261.74796653</v>
      </c>
      <c r="O21" s="20">
        <f>(O13+Opex!O17)*1000</f>
        <v>413228987.74283081</v>
      </c>
      <c r="P21" s="20">
        <f>(P13+Opex!P17)*1000</f>
        <v>407974502.2826848</v>
      </c>
      <c r="Q21" s="20">
        <f>(Q13+Opex!Q17)*1000</f>
        <v>395828904.22223383</v>
      </c>
      <c r="R21" s="20">
        <f>(R13+Opex!R17)*1000</f>
        <v>382653772.57015812</v>
      </c>
      <c r="S21" s="20">
        <f>(S13+Opex!S17)*1000</f>
        <v>272504796.55377877</v>
      </c>
    </row>
    <row r="22" spans="1:20" x14ac:dyDescent="0.35">
      <c r="A22" s="27" t="s">
        <v>28</v>
      </c>
      <c r="B22" s="44" t="s">
        <v>135</v>
      </c>
      <c r="C22" s="20">
        <f>(C14+Opex!C18)*1000</f>
        <v>161181648.03572997</v>
      </c>
      <c r="D22" s="20">
        <f>(D14+Opex!D18)*1000</f>
        <v>151826243.42855451</v>
      </c>
      <c r="E22" s="20">
        <f>(E14+Opex!E18)*1000</f>
        <v>182078593.23513868</v>
      </c>
      <c r="F22" s="20">
        <f>(F14+Opex!F18)*1000</f>
        <v>171427123.67665613</v>
      </c>
      <c r="G22" s="20">
        <f>(G14+Opex!G18)*1000</f>
        <v>195508919.40197244</v>
      </c>
      <c r="H22" s="20">
        <f>(H14+Opex!H18)*1000</f>
        <v>199844183.88531294</v>
      </c>
      <c r="I22" s="20">
        <f>(I14+Opex!I18)*1000</f>
        <v>237568369.35938433</v>
      </c>
      <c r="J22" s="20">
        <f>(J14+Opex!J18)*1000</f>
        <v>199461783.08099183</v>
      </c>
      <c r="K22" s="20">
        <f>(K14+Opex!K18)*1000</f>
        <v>182227168.06797668</v>
      </c>
      <c r="L22" s="20">
        <f>(L14+Opex!L18)*1000</f>
        <v>189657016.85212338</v>
      </c>
      <c r="M22" s="20">
        <f>(M14+Opex!M18)*1000</f>
        <v>176903859.07435998</v>
      </c>
      <c r="N22" s="20">
        <f>(N14+Opex!N18)*1000</f>
        <v>175502417.37682378</v>
      </c>
      <c r="O22" s="20">
        <f>(O14+Opex!O18)*1000</f>
        <v>156127130.46968928</v>
      </c>
      <c r="P22" s="20">
        <f>(P14+Opex!P18)*1000</f>
        <v>158572914.19088021</v>
      </c>
      <c r="Q22" s="20">
        <f>(Q14+Opex!Q18)*1000</f>
        <v>133663918.0141121</v>
      </c>
      <c r="R22" s="20">
        <f>(R14+Opex!R18)*1000</f>
        <v>135205609.90264085</v>
      </c>
      <c r="S22" s="20">
        <f>(S14+Opex!S18)*1000</f>
        <v>98254693.403053969</v>
      </c>
    </row>
    <row r="23" spans="1:20" x14ac:dyDescent="0.35">
      <c r="A23" s="27" t="s">
        <v>37</v>
      </c>
      <c r="B23" s="44" t="s">
        <v>135</v>
      </c>
      <c r="C23" s="20">
        <f>(C15+Opex!C19)*1000</f>
        <v>577721583.49740112</v>
      </c>
      <c r="D23" s="20">
        <f>(D15+Opex!D19)*1000</f>
        <v>602938729.99559438</v>
      </c>
      <c r="E23" s="20">
        <f>(E15+Opex!E19)*1000</f>
        <v>531800250.19411117</v>
      </c>
      <c r="F23" s="20">
        <f>(F15+Opex!F19)*1000</f>
        <v>698972194.29178655</v>
      </c>
      <c r="G23" s="20">
        <f>(G15+Opex!G19)*1000</f>
        <v>725617029.96379161</v>
      </c>
      <c r="H23" s="20">
        <f>(H15+Opex!H19)*1000</f>
        <v>730444209.85171568</v>
      </c>
      <c r="I23" s="20">
        <f>(I15+Opex!I19)*1000</f>
        <v>862784385.14418221</v>
      </c>
      <c r="J23" s="20">
        <f>(J15+Opex!J19)*1000</f>
        <v>727700114.78581989</v>
      </c>
      <c r="K23" s="20">
        <f>(K15+Opex!K19)*1000</f>
        <v>701274445.14718437</v>
      </c>
      <c r="L23" s="20">
        <f>(L15+Opex!L19)*1000</f>
        <v>828186713.32681763</v>
      </c>
      <c r="M23" s="20">
        <f>(M15+Opex!M19)*1000</f>
        <v>772345458.87570918</v>
      </c>
      <c r="N23" s="20">
        <f>(N15+Opex!N19)*1000</f>
        <v>797667104.19377315</v>
      </c>
      <c r="O23" s="20">
        <f>(O15+Opex!O19)*1000</f>
        <v>694484337.62101257</v>
      </c>
      <c r="P23" s="20">
        <f>(P15+Opex!P19)*1000</f>
        <v>682434742.20004988</v>
      </c>
      <c r="Q23" s="20">
        <f>(Q15+Opex!Q19)*1000</f>
        <v>656091629.22420835</v>
      </c>
      <c r="R23" s="20">
        <f>(R15+Opex!R19)*1000</f>
        <v>664512981.94311583</v>
      </c>
      <c r="S23" s="20">
        <f>(S15+Opex!S19)*1000</f>
        <v>480034848.34246486</v>
      </c>
    </row>
    <row r="25" spans="1:20" x14ac:dyDescent="0.35">
      <c r="A25" s="10" t="s">
        <v>51</v>
      </c>
      <c r="C25" s="26"/>
      <c r="D25" s="26"/>
      <c r="E25" s="26"/>
      <c r="F25" s="26"/>
      <c r="G25" s="26"/>
      <c r="H25" s="26"/>
      <c r="I25" s="26"/>
      <c r="J25" s="26"/>
      <c r="K25" s="26"/>
    </row>
    <row r="26" spans="1:20" x14ac:dyDescent="0.35">
      <c r="A26" s="10" t="s">
        <v>60</v>
      </c>
    </row>
    <row r="27" spans="1:20" x14ac:dyDescent="0.35">
      <c r="A27" s="27" t="s">
        <v>36</v>
      </c>
      <c r="B27" s="55" t="s">
        <v>105</v>
      </c>
      <c r="C27" s="19">
        <v>97423.139754535296</v>
      </c>
      <c r="D27" s="19">
        <v>111322.08762208032</v>
      </c>
      <c r="E27" s="19">
        <v>92876.817283020515</v>
      </c>
      <c r="F27" s="19">
        <v>141534.56726740408</v>
      </c>
      <c r="G27" s="19">
        <v>134040.37606806163</v>
      </c>
      <c r="H27" s="19">
        <v>140758.98882070932</v>
      </c>
      <c r="I27" s="19">
        <v>175369.64989368082</v>
      </c>
      <c r="J27" s="19">
        <v>161594.91922108561</v>
      </c>
      <c r="K27" s="19">
        <v>142405.61509319633</v>
      </c>
      <c r="L27" s="19">
        <v>202013.4291372954</v>
      </c>
      <c r="M27" s="19">
        <v>190947.18162830063</v>
      </c>
      <c r="N27" s="19">
        <v>182516.55308119109</v>
      </c>
      <c r="O27" s="19">
        <v>185679.72302093281</v>
      </c>
      <c r="P27" s="19">
        <v>193656.50034486281</v>
      </c>
      <c r="Q27" s="19">
        <v>199520.90959546893</v>
      </c>
      <c r="R27" s="19">
        <v>198588.21920001949</v>
      </c>
      <c r="S27" s="19">
        <v>134170.53408933082</v>
      </c>
      <c r="T27" s="15"/>
    </row>
    <row r="28" spans="1:20" x14ac:dyDescent="0.35">
      <c r="A28" s="27" t="s">
        <v>20</v>
      </c>
      <c r="B28" s="27" t="s">
        <v>105</v>
      </c>
      <c r="C28" s="19">
        <v>264341.00390843611</v>
      </c>
      <c r="D28" s="19">
        <v>299332.61339076614</v>
      </c>
      <c r="E28" s="19">
        <v>280602.94385410566</v>
      </c>
      <c r="F28" s="19">
        <v>452197.10078325029</v>
      </c>
      <c r="G28" s="19">
        <v>450528.54942714889</v>
      </c>
      <c r="H28" s="19">
        <v>505411.07193692046</v>
      </c>
      <c r="I28" s="19">
        <v>647723.49766154517</v>
      </c>
      <c r="J28" s="19">
        <v>511079.4535321634</v>
      </c>
      <c r="K28" s="19">
        <v>454008.53625575092</v>
      </c>
      <c r="L28" s="19">
        <v>637426.21356127772</v>
      </c>
      <c r="M28" s="19">
        <v>582766.02463627898</v>
      </c>
      <c r="N28" s="19">
        <v>514835.1139459135</v>
      </c>
      <c r="O28" s="19">
        <v>498269.76839515206</v>
      </c>
      <c r="P28" s="19">
        <v>523209.54816006386</v>
      </c>
      <c r="Q28" s="19">
        <v>493365.21426107211</v>
      </c>
      <c r="R28" s="19">
        <v>489497.92847574363</v>
      </c>
      <c r="S28" s="19">
        <v>302336.84347145405</v>
      </c>
      <c r="T28" s="15"/>
    </row>
    <row r="29" spans="1:20" x14ac:dyDescent="0.35">
      <c r="A29" s="27" t="s">
        <v>34</v>
      </c>
      <c r="B29" s="27" t="s">
        <v>105</v>
      </c>
      <c r="C29" s="19">
        <v>186570.05179246905</v>
      </c>
      <c r="D29" s="19">
        <v>176073.78363102567</v>
      </c>
      <c r="E29" s="19">
        <v>205810.55693975594</v>
      </c>
      <c r="F29" s="19">
        <v>221092.89551450347</v>
      </c>
      <c r="G29" s="19">
        <v>266696.58894906484</v>
      </c>
      <c r="H29" s="19">
        <v>266743.25674670131</v>
      </c>
      <c r="I29" s="19">
        <v>268246.88402609766</v>
      </c>
      <c r="J29" s="19">
        <v>276958.08957078808</v>
      </c>
      <c r="K29" s="19">
        <v>225835.34419313134</v>
      </c>
      <c r="L29" s="19">
        <v>278614.29872021184</v>
      </c>
      <c r="M29" s="19">
        <v>259589.67204918899</v>
      </c>
      <c r="N29" s="19">
        <v>295096.63091153634</v>
      </c>
      <c r="O29" s="19">
        <v>283251.59061792179</v>
      </c>
      <c r="P29" s="19">
        <v>280299.61129454186</v>
      </c>
      <c r="Q29" s="19">
        <v>282617.9630224962</v>
      </c>
      <c r="R29" s="19">
        <v>280458.79076829972</v>
      </c>
      <c r="S29" s="19">
        <v>174354.9972053885</v>
      </c>
    </row>
    <row r="30" spans="1:20" x14ac:dyDescent="0.35">
      <c r="A30" s="27" t="s">
        <v>28</v>
      </c>
      <c r="B30" s="27" t="s">
        <v>105</v>
      </c>
      <c r="C30" s="19">
        <v>71687.52936236457</v>
      </c>
      <c r="D30" s="19">
        <v>66611.041986620286</v>
      </c>
      <c r="E30" s="19">
        <v>82319.344715708605</v>
      </c>
      <c r="F30" s="19">
        <v>78970.889751173905</v>
      </c>
      <c r="G30" s="19">
        <v>98425.813963568595</v>
      </c>
      <c r="H30" s="19">
        <v>107010.23657959419</v>
      </c>
      <c r="I30" s="19">
        <v>141096.87000845801</v>
      </c>
      <c r="J30" s="19">
        <v>116364.43107027093</v>
      </c>
      <c r="K30" s="19">
        <v>105848.52825950799</v>
      </c>
      <c r="L30" s="19">
        <v>125622.89441426928</v>
      </c>
      <c r="M30" s="19">
        <v>114469.38632692743</v>
      </c>
      <c r="N30" s="19">
        <v>121046.70085582964</v>
      </c>
      <c r="O30" s="19">
        <v>109818.54035824964</v>
      </c>
      <c r="P30" s="19">
        <v>112367.38832073909</v>
      </c>
      <c r="Q30" s="19">
        <v>95947.493014428139</v>
      </c>
      <c r="R30" s="19">
        <v>94936.515618268983</v>
      </c>
      <c r="S30" s="19">
        <v>62451.378299971417</v>
      </c>
    </row>
    <row r="31" spans="1:20" x14ac:dyDescent="0.35">
      <c r="A31" s="27" t="s">
        <v>37</v>
      </c>
      <c r="B31" s="27" t="s">
        <v>105</v>
      </c>
      <c r="C31" s="19">
        <v>263196.00076988281</v>
      </c>
      <c r="D31" s="19">
        <v>290982.11750688718</v>
      </c>
      <c r="E31" s="19">
        <v>256050.52571209596</v>
      </c>
      <c r="F31" s="19">
        <v>388033.12254211801</v>
      </c>
      <c r="G31" s="19">
        <v>399390.34040908446</v>
      </c>
      <c r="H31" s="19">
        <v>423530.90352602117</v>
      </c>
      <c r="I31" s="19">
        <v>530728.07801260415</v>
      </c>
      <c r="J31" s="19">
        <v>445573.40767766559</v>
      </c>
      <c r="K31" s="19">
        <v>407181.68161320325</v>
      </c>
      <c r="L31" s="19">
        <v>531888.00001854694</v>
      </c>
      <c r="M31" s="19">
        <v>494400.86350953917</v>
      </c>
      <c r="N31" s="19">
        <v>525457.09526088787</v>
      </c>
      <c r="O31" s="19">
        <v>463823.9106675376</v>
      </c>
      <c r="P31" s="19">
        <v>463044.653531719</v>
      </c>
      <c r="Q31" s="19">
        <v>443130.59394094377</v>
      </c>
      <c r="R31" s="19">
        <v>449070.41790034249</v>
      </c>
      <c r="S31" s="19">
        <v>276198.62551658205</v>
      </c>
    </row>
  </sheetData>
  <phoneticPr fontId="15" type="noConversion"/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300-00000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cost'!C23:L23</xm:f>
              <xm:sqref>T23</xm:sqref>
            </x14:sparkline>
          </x14:sparklines>
        </x14:sparklineGroup>
        <x14:sparklineGroup displayEmptyCellsAs="gap" xr2:uid="{00000000-0003-0000-0300-00000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cost'!C22:L22</xm:f>
              <xm:sqref>T22</xm:sqref>
            </x14:sparkline>
          </x14:sparklines>
        </x14:sparklineGroup>
        <x14:sparklineGroup displayEmptyCellsAs="gap" xr2:uid="{00000000-0003-0000-0300-000002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cost'!C21:L21</xm:f>
              <xm:sqref>T21</xm:sqref>
            </x14:sparkline>
          </x14:sparklines>
        </x14:sparklineGroup>
        <x14:sparklineGroup displayEmptyCellsAs="gap" xr2:uid="{00000000-0003-0000-0300-00000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cost'!C20:L20</xm:f>
              <xm:sqref>T20</xm:sqref>
            </x14:sparkline>
          </x14:sparklines>
        </x14:sparklineGroup>
        <x14:sparklineGroup displayEmptyCellsAs="gap" xr2:uid="{00000000-0003-0000-03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cost'!C19:L19</xm:f>
              <xm:sqref>T19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T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30" sqref="I30"/>
    </sheetView>
  </sheetViews>
  <sheetFormatPr defaultColWidth="9.1796875" defaultRowHeight="14.5" x14ac:dyDescent="0.35"/>
  <cols>
    <col min="1" max="1" width="23.54296875" customWidth="1"/>
    <col min="2" max="15" width="12.1796875" customWidth="1"/>
    <col min="16" max="17" width="11" bestFit="1" customWidth="1"/>
    <col min="18" max="19" width="11" customWidth="1"/>
  </cols>
  <sheetData>
    <row r="1" spans="1:20" x14ac:dyDescent="0.35">
      <c r="A1" s="10" t="s">
        <v>24</v>
      </c>
    </row>
    <row r="2" spans="1:20" x14ac:dyDescent="0.35">
      <c r="B2" s="10" t="str">
        <f>"Real $"&amp;Real_year&amp;""</f>
        <v>Real $2022</v>
      </c>
      <c r="C2">
        <v>2006</v>
      </c>
      <c r="D2">
        <v>2007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  <c r="R2">
        <v>2021</v>
      </c>
      <c r="S2">
        <v>2022</v>
      </c>
    </row>
    <row r="3" spans="1:20" x14ac:dyDescent="0.35">
      <c r="A3" t="s">
        <v>56</v>
      </c>
      <c r="C3" s="17">
        <f>CPI!F13</f>
        <v>1.5119904076738608</v>
      </c>
      <c r="D3" s="17">
        <f>CPI!G13</f>
        <v>1.4544405997693193</v>
      </c>
      <c r="E3" s="17">
        <f>CPI!H13</f>
        <v>1.4280860702151754</v>
      </c>
      <c r="F3" s="17">
        <f>CPI!I13</f>
        <v>1.3603020496224378</v>
      </c>
      <c r="G3" s="17">
        <f>CPI!J13</f>
        <v>1.3443496801705757</v>
      </c>
      <c r="H3" s="17">
        <f>CPI!K13</f>
        <v>1.3067357512953368</v>
      </c>
      <c r="I3" s="17">
        <f>CPI!L13</f>
        <v>1.2635270541082164</v>
      </c>
      <c r="J3" s="17">
        <f>CPI!M13</f>
        <v>1.2387033398821219</v>
      </c>
      <c r="K3" s="17">
        <f>CPI!N13</f>
        <v>1.2124999999999999</v>
      </c>
      <c r="L3" s="17">
        <f>CPI!O13</f>
        <v>1.1851503759398494</v>
      </c>
      <c r="M3" s="17">
        <f>CPI!P13</f>
        <v>1.1675925925925925</v>
      </c>
      <c r="N3" s="17">
        <f>CPI!Q13</f>
        <v>1.1526508226691041</v>
      </c>
      <c r="O3" s="17">
        <f>CPI!R13</f>
        <v>1.1319569120287252</v>
      </c>
      <c r="P3" s="17">
        <f>CPI!S13</f>
        <v>1.1110132158590307</v>
      </c>
      <c r="Q3" s="17">
        <f>CPI!T13</f>
        <v>1.0927209705372616</v>
      </c>
      <c r="R3" s="17">
        <f>CPI!U13</f>
        <v>1.0851979345955249</v>
      </c>
      <c r="S3" s="17">
        <f>CPI!V13</f>
        <v>1.0534670008354219</v>
      </c>
    </row>
    <row r="4" spans="1:20" x14ac:dyDescent="0.35">
      <c r="A4" t="s">
        <v>55</v>
      </c>
      <c r="C4" s="17">
        <f>CPI!F12</f>
        <v>1.5047732696897373</v>
      </c>
      <c r="D4" s="17">
        <f>CPI!G12</f>
        <v>1.456120092378753</v>
      </c>
      <c r="E4" s="17">
        <f>CPI!H12</f>
        <v>1.415263748597082</v>
      </c>
      <c r="F4" s="17">
        <f>CPI!I12</f>
        <v>1.3647186147186146</v>
      </c>
      <c r="G4" s="17">
        <f>CPI!J12</f>
        <v>1.3372216330858961</v>
      </c>
      <c r="H4" s="17">
        <f>CPI!K12</f>
        <v>1.3013415892672857</v>
      </c>
      <c r="I4" s="17">
        <f>CPI!L12</f>
        <v>1.2635270541082164</v>
      </c>
      <c r="J4" s="17">
        <f>CPI!M12</f>
        <v>1.2362745098039216</v>
      </c>
      <c r="K4" s="17">
        <f>CPI!N12</f>
        <v>1.2032442748091603</v>
      </c>
      <c r="L4" s="17">
        <f>CPI!O12</f>
        <v>1.1829268292682926</v>
      </c>
      <c r="M4" s="17">
        <f>CPI!P12</f>
        <v>1.1632841328413284</v>
      </c>
      <c r="N4" s="17">
        <f>CPI!Q12</f>
        <v>1.1463636363636363</v>
      </c>
      <c r="O4" s="17">
        <f>CPI!R12</f>
        <v>1.1248884924174845</v>
      </c>
      <c r="P4" s="17">
        <f>CPI!S12</f>
        <v>1.105170902716915</v>
      </c>
      <c r="Q4" s="17">
        <f>CPI!T12</f>
        <v>1.0851979345955249</v>
      </c>
      <c r="R4" s="17">
        <f>CPI!U12</f>
        <v>1.0759385665529009</v>
      </c>
      <c r="S4" s="17">
        <f>CPI!V12</f>
        <v>1.0395713107996702</v>
      </c>
    </row>
    <row r="5" spans="1:20" x14ac:dyDescent="0.35"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20" x14ac:dyDescent="0.35">
      <c r="A6" s="10" t="s">
        <v>50</v>
      </c>
    </row>
    <row r="7" spans="1:20" x14ac:dyDescent="0.35">
      <c r="A7" s="10" t="s">
        <v>60</v>
      </c>
      <c r="B7" s="10"/>
      <c r="C7">
        <v>2006</v>
      </c>
      <c r="D7">
        <v>2007</v>
      </c>
      <c r="E7">
        <v>2008</v>
      </c>
      <c r="F7">
        <v>2009</v>
      </c>
      <c r="G7">
        <v>2010</v>
      </c>
      <c r="H7">
        <v>2011</v>
      </c>
      <c r="I7">
        <v>2012</v>
      </c>
      <c r="J7">
        <v>2013</v>
      </c>
      <c r="K7">
        <v>2014</v>
      </c>
      <c r="L7">
        <v>2015</v>
      </c>
      <c r="M7">
        <v>2016</v>
      </c>
      <c r="N7">
        <v>2017</v>
      </c>
      <c r="O7">
        <v>2018</v>
      </c>
      <c r="P7">
        <v>2019</v>
      </c>
      <c r="Q7">
        <v>2020</v>
      </c>
      <c r="R7">
        <v>2021</v>
      </c>
      <c r="S7">
        <v>2022</v>
      </c>
    </row>
    <row r="8" spans="1:20" x14ac:dyDescent="0.35">
      <c r="A8" s="27" t="s">
        <v>36</v>
      </c>
      <c r="B8" s="27" t="s">
        <v>61</v>
      </c>
      <c r="C8" s="19">
        <v>48431</v>
      </c>
      <c r="D8" s="19">
        <v>52930</v>
      </c>
      <c r="E8" s="19">
        <v>49444.635999999999</v>
      </c>
      <c r="F8" s="19">
        <v>54853</v>
      </c>
      <c r="G8" s="19">
        <v>57567</v>
      </c>
      <c r="H8" s="19">
        <v>64370</v>
      </c>
      <c r="I8" s="19">
        <v>72584</v>
      </c>
      <c r="J8" s="19">
        <v>70527</v>
      </c>
      <c r="K8" s="19">
        <v>74159.945999999996</v>
      </c>
      <c r="L8" s="19">
        <v>79605.847320000015</v>
      </c>
      <c r="M8" s="19">
        <v>85108.198999999993</v>
      </c>
      <c r="N8" s="19">
        <v>89639.633000000002</v>
      </c>
      <c r="O8" s="19">
        <v>93127.422000000006</v>
      </c>
      <c r="P8" s="19">
        <v>93342.453999999998</v>
      </c>
      <c r="Q8" s="19">
        <v>99872.368640000001</v>
      </c>
      <c r="R8" s="19">
        <v>99744.818639999983</v>
      </c>
      <c r="S8" s="19">
        <v>100163.51430000002</v>
      </c>
    </row>
    <row r="9" spans="1:20" x14ac:dyDescent="0.35">
      <c r="A9" s="27" t="s">
        <v>20</v>
      </c>
      <c r="B9" s="27" t="s">
        <v>61</v>
      </c>
      <c r="C9" s="19">
        <v>118781</v>
      </c>
      <c r="D9" s="19">
        <v>128265</v>
      </c>
      <c r="E9" s="19">
        <v>144112</v>
      </c>
      <c r="F9" s="19">
        <v>142796</v>
      </c>
      <c r="G9" s="19">
        <v>151902</v>
      </c>
      <c r="H9" s="19">
        <v>151029</v>
      </c>
      <c r="I9" s="19">
        <v>160384</v>
      </c>
      <c r="J9" s="19">
        <v>167377.59669000003</v>
      </c>
      <c r="K9" s="19">
        <v>181019.7816758781</v>
      </c>
      <c r="L9" s="19">
        <v>211260.9936596599</v>
      </c>
      <c r="M9" s="19">
        <v>217661</v>
      </c>
      <c r="N9" s="19">
        <v>226261.149</v>
      </c>
      <c r="O9" s="19">
        <v>187614.23428</v>
      </c>
      <c r="P9" s="19">
        <v>199366.94991747182</v>
      </c>
      <c r="Q9" s="19">
        <v>202101.092</v>
      </c>
      <c r="R9" s="19">
        <v>210668.87551737879</v>
      </c>
      <c r="S9" s="19">
        <v>206412.70912020755</v>
      </c>
    </row>
    <row r="10" spans="1:20" x14ac:dyDescent="0.35">
      <c r="A10" s="27" t="s">
        <v>34</v>
      </c>
      <c r="B10" s="27" t="s">
        <v>61</v>
      </c>
      <c r="C10" s="19">
        <v>61764.624702139656</v>
      </c>
      <c r="D10" s="19">
        <v>61817.594227019435</v>
      </c>
      <c r="E10" s="19">
        <v>58269.389500000005</v>
      </c>
      <c r="F10" s="19">
        <v>77590.490999999995</v>
      </c>
      <c r="G10" s="19">
        <v>80063.390000000014</v>
      </c>
      <c r="H10" s="19">
        <v>75097.619000000006</v>
      </c>
      <c r="I10" s="19">
        <v>72741.886999999988</v>
      </c>
      <c r="J10" s="19">
        <v>76129.812000000005</v>
      </c>
      <c r="K10" s="19">
        <v>82734.26797981601</v>
      </c>
      <c r="L10" s="19">
        <v>84644.97681966683</v>
      </c>
      <c r="M10" s="19">
        <v>89390.247875063069</v>
      </c>
      <c r="N10" s="19">
        <v>87642.229003035784</v>
      </c>
      <c r="O10" s="19">
        <v>81805.580155681397</v>
      </c>
      <c r="P10" s="19">
        <v>86909.794011443286</v>
      </c>
      <c r="Q10" s="19">
        <v>79623.555988176173</v>
      </c>
      <c r="R10" s="19">
        <v>72153.170949800013</v>
      </c>
      <c r="S10" s="19">
        <v>84319.262489197703</v>
      </c>
    </row>
    <row r="11" spans="1:20" x14ac:dyDescent="0.35">
      <c r="A11" s="27" t="s">
        <v>28</v>
      </c>
      <c r="B11" s="27" t="s">
        <v>61</v>
      </c>
      <c r="C11" s="19">
        <v>35426.048000000003</v>
      </c>
      <c r="D11" s="19">
        <v>37656.624000000003</v>
      </c>
      <c r="E11" s="19">
        <v>46334.126000000004</v>
      </c>
      <c r="F11" s="19">
        <v>46642.640999999996</v>
      </c>
      <c r="G11" s="19">
        <v>47779.507999999994</v>
      </c>
      <c r="H11" s="19">
        <v>46557.578000000001</v>
      </c>
      <c r="I11" s="19">
        <v>46923.140000000007</v>
      </c>
      <c r="J11" s="19">
        <v>44976.582999999999</v>
      </c>
      <c r="K11" s="19">
        <v>45598</v>
      </c>
      <c r="L11" s="19">
        <v>34705.717769999996</v>
      </c>
      <c r="M11" s="19">
        <v>37603.399744925264</v>
      </c>
      <c r="N11" s="19">
        <v>32048.191384064245</v>
      </c>
      <c r="O11" s="19">
        <v>28974.888076739793</v>
      </c>
      <c r="P11" s="19">
        <v>31115.319920176305</v>
      </c>
      <c r="Q11" s="19">
        <v>27222.588454563338</v>
      </c>
      <c r="R11" s="19">
        <v>30726.430302345703</v>
      </c>
      <c r="S11" s="19">
        <v>32063.247471562656</v>
      </c>
    </row>
    <row r="12" spans="1:20" x14ac:dyDescent="0.35">
      <c r="A12" s="27" t="s">
        <v>37</v>
      </c>
      <c r="B12" s="27" t="s">
        <v>61</v>
      </c>
      <c r="C12" s="19">
        <v>120730</v>
      </c>
      <c r="D12" s="19">
        <v>123090</v>
      </c>
      <c r="E12" s="19">
        <v>119710</v>
      </c>
      <c r="F12" s="19">
        <v>124140</v>
      </c>
      <c r="G12" s="19">
        <v>143240</v>
      </c>
      <c r="H12" s="19">
        <v>137770</v>
      </c>
      <c r="I12" s="19">
        <v>152110</v>
      </c>
      <c r="J12" s="19">
        <v>143050</v>
      </c>
      <c r="K12" s="19">
        <v>175638</v>
      </c>
      <c r="L12" s="19">
        <v>168228.603</v>
      </c>
      <c r="M12" s="19">
        <v>169534.48734000002</v>
      </c>
      <c r="N12" s="19">
        <v>170366.70697000079</v>
      </c>
      <c r="O12" s="19">
        <v>153556.69399000015</v>
      </c>
      <c r="P12" s="19">
        <v>154447.8451599995</v>
      </c>
      <c r="Q12" s="19">
        <v>161451.859</v>
      </c>
      <c r="R12" s="19">
        <v>168541.965</v>
      </c>
      <c r="S12" s="19">
        <v>185563.68299999999</v>
      </c>
    </row>
    <row r="14" spans="1:20" x14ac:dyDescent="0.35">
      <c r="A14" s="10" t="str">
        <f>CONCATENATE(B2)</f>
        <v>Real $2022</v>
      </c>
      <c r="B14" s="10"/>
      <c r="C14">
        <v>2006</v>
      </c>
      <c r="D14">
        <v>2007</v>
      </c>
      <c r="E14">
        <v>2008</v>
      </c>
      <c r="F14">
        <v>2009</v>
      </c>
      <c r="G14">
        <v>2010</v>
      </c>
      <c r="H14">
        <v>2011</v>
      </c>
      <c r="I14">
        <v>2012</v>
      </c>
      <c r="J14">
        <v>2013</v>
      </c>
      <c r="K14">
        <v>2014</v>
      </c>
      <c r="L14">
        <v>2015</v>
      </c>
      <c r="M14">
        <v>2016</v>
      </c>
      <c r="N14">
        <v>2017</v>
      </c>
      <c r="O14">
        <v>2018</v>
      </c>
      <c r="P14">
        <v>2019</v>
      </c>
      <c r="Q14">
        <v>2020</v>
      </c>
      <c r="R14">
        <v>2021</v>
      </c>
      <c r="S14">
        <v>2022</v>
      </c>
      <c r="T14" t="s">
        <v>114</v>
      </c>
    </row>
    <row r="15" spans="1:20" x14ac:dyDescent="0.35">
      <c r="A15" s="27" t="s">
        <v>36</v>
      </c>
      <c r="B15" s="27" t="s">
        <v>117</v>
      </c>
      <c r="C15" s="20">
        <f t="shared" ref="C15:N15" si="0">C8*C$4</f>
        <v>72877.674224343675</v>
      </c>
      <c r="D15" s="20">
        <f t="shared" si="0"/>
        <v>77072.436489607397</v>
      </c>
      <c r="E15" s="20">
        <f t="shared" si="0"/>
        <v>69977.200893378234</v>
      </c>
      <c r="F15" s="20">
        <f t="shared" si="0"/>
        <v>74858.91017316017</v>
      </c>
      <c r="G15" s="20">
        <f t="shared" si="0"/>
        <v>76979.837751855783</v>
      </c>
      <c r="H15" s="20">
        <f t="shared" si="0"/>
        <v>83767.358101135178</v>
      </c>
      <c r="I15" s="20">
        <f t="shared" si="0"/>
        <v>91711.847695390781</v>
      </c>
      <c r="J15" s="20">
        <f t="shared" si="0"/>
        <v>87190.732352941181</v>
      </c>
      <c r="K15" s="20">
        <f t="shared" si="0"/>
        <v>89232.530444656484</v>
      </c>
      <c r="L15" s="20">
        <f t="shared" si="0"/>
        <v>94167.892561463421</v>
      </c>
      <c r="M15" s="20">
        <f>M8*M$4</f>
        <v>99005.0174714022</v>
      </c>
      <c r="N15" s="20">
        <f t="shared" si="0"/>
        <v>102759.6156481818</v>
      </c>
      <c r="O15" s="20">
        <f t="shared" ref="O15" si="1">O8*O$4</f>
        <v>104757.96533630688</v>
      </c>
      <c r="P15" s="20">
        <f>P8*P$4</f>
        <v>103159.36414899211</v>
      </c>
      <c r="Q15" s="20">
        <f>Q8*Q$4</f>
        <v>108381.28817129087</v>
      </c>
      <c r="R15" s="20">
        <f>R8*R$4</f>
        <v>107319.29718860066</v>
      </c>
      <c r="S15" s="20">
        <f>S8*S$4</f>
        <v>104127.11585515254</v>
      </c>
      <c r="T15" s="11">
        <f>ROUND(AVERAGE(O15:S15),0)</f>
        <v>105549</v>
      </c>
    </row>
    <row r="16" spans="1:20" x14ac:dyDescent="0.35">
      <c r="A16" s="27" t="s">
        <v>20</v>
      </c>
      <c r="B16" s="27" t="s">
        <v>117</v>
      </c>
      <c r="C16" s="20">
        <f t="shared" ref="C16:N16" si="2">C9*C$4</f>
        <v>178738.47374701669</v>
      </c>
      <c r="D16" s="20">
        <f t="shared" si="2"/>
        <v>186769.24364896075</v>
      </c>
      <c r="E16" s="20">
        <f t="shared" si="2"/>
        <v>203956.48933782268</v>
      </c>
      <c r="F16" s="20">
        <f t="shared" si="2"/>
        <v>194876.35930735929</v>
      </c>
      <c r="G16" s="20">
        <f t="shared" si="2"/>
        <v>203126.64050901379</v>
      </c>
      <c r="H16" s="20">
        <f t="shared" si="2"/>
        <v>196540.31888544888</v>
      </c>
      <c r="I16" s="20">
        <f t="shared" si="2"/>
        <v>202649.52304609219</v>
      </c>
      <c r="J16" s="20">
        <f t="shared" si="2"/>
        <v>206924.65630008827</v>
      </c>
      <c r="K16" s="20">
        <f t="shared" si="2"/>
        <v>217811.01592870447</v>
      </c>
      <c r="L16" s="20">
        <f t="shared" si="2"/>
        <v>249906.29737789035</v>
      </c>
      <c r="M16" s="20">
        <f t="shared" ref="M16" si="3">M9*M$4</f>
        <v>253201.58763837637</v>
      </c>
      <c r="N16" s="20">
        <f t="shared" si="2"/>
        <v>259377.55353545453</v>
      </c>
      <c r="O16" s="20">
        <f t="shared" ref="O16:P16" si="4">O9*O$4</f>
        <v>211045.09315528994</v>
      </c>
      <c r="P16" s="20">
        <f t="shared" si="4"/>
        <v>220334.5520122103</v>
      </c>
      <c r="Q16" s="20">
        <f t="shared" ref="Q16:R16" si="5">Q9*Q$4</f>
        <v>219319.68761790017</v>
      </c>
      <c r="R16" s="20">
        <f t="shared" si="5"/>
        <v>226666.76794148007</v>
      </c>
      <c r="S16" s="20">
        <f t="shared" ref="S16" si="6">S9*S$4</f>
        <v>214580.73058580523</v>
      </c>
      <c r="T16" s="11">
        <f t="shared" ref="T16:T19" si="7">ROUND(AVERAGE(O16:S16),0)</f>
        <v>218389</v>
      </c>
    </row>
    <row r="17" spans="1:20" x14ac:dyDescent="0.35">
      <c r="A17" s="27" t="s">
        <v>34</v>
      </c>
      <c r="B17" s="27" t="s">
        <v>117</v>
      </c>
      <c r="C17" s="20">
        <f t="shared" ref="C17:N17" si="8">C10*C$3</f>
        <v>93387.520083211159</v>
      </c>
      <c r="D17" s="20">
        <f t="shared" si="8"/>
        <v>89910.018823842562</v>
      </c>
      <c r="E17" s="20">
        <f t="shared" si="8"/>
        <v>83213.703464892416</v>
      </c>
      <c r="F17" s="20">
        <f t="shared" si="8"/>
        <v>105546.50393851131</v>
      </c>
      <c r="G17" s="20">
        <f t="shared" si="8"/>
        <v>107633.19273987209</v>
      </c>
      <c r="H17" s="20">
        <f t="shared" si="8"/>
        <v>98132.743584455966</v>
      </c>
      <c r="I17" s="20">
        <f t="shared" si="8"/>
        <v>91911.342191382748</v>
      </c>
      <c r="J17" s="20">
        <f t="shared" si="8"/>
        <v>94302.252388998051</v>
      </c>
      <c r="K17" s="20">
        <f t="shared" si="8"/>
        <v>100315.29992552691</v>
      </c>
      <c r="L17" s="20">
        <f t="shared" si="8"/>
        <v>100317.02609924799</v>
      </c>
      <c r="M17" s="20">
        <f t="shared" ref="M17" si="9">M10*M$3</f>
        <v>104371.39126893938</v>
      </c>
      <c r="N17" s="20">
        <f t="shared" si="8"/>
        <v>101020.88736090322</v>
      </c>
      <c r="O17" s="20">
        <f t="shared" ref="O17:P17" si="10">O10*O$3</f>
        <v>92600.391899743467</v>
      </c>
      <c r="P17" s="20">
        <f t="shared" si="10"/>
        <v>96557.929734299527</v>
      </c>
      <c r="Q17" s="20">
        <f t="shared" ref="Q17:R17" si="11">Q10*Q$3</f>
        <v>87006.329377027854</v>
      </c>
      <c r="R17" s="20">
        <f t="shared" si="11"/>
        <v>78300.472089240808</v>
      </c>
      <c r="S17" s="20">
        <f t="shared" ref="S17" si="12">S10*S$3</f>
        <v>88827.560567149791</v>
      </c>
      <c r="T17" s="11">
        <f t="shared" si="7"/>
        <v>88659</v>
      </c>
    </row>
    <row r="18" spans="1:20" x14ac:dyDescent="0.35">
      <c r="A18" s="27" t="s">
        <v>28</v>
      </c>
      <c r="B18" s="27" t="s">
        <v>117</v>
      </c>
      <c r="C18" s="20">
        <f t="shared" ref="C18:N18" si="13">C11*C$4</f>
        <v>53308.170081145581</v>
      </c>
      <c r="D18" s="20">
        <f t="shared" si="13"/>
        <v>54832.566817551968</v>
      </c>
      <c r="E18" s="20">
        <f t="shared" si="13"/>
        <v>65575.00885072953</v>
      </c>
      <c r="F18" s="20">
        <f t="shared" si="13"/>
        <v>63654.080412337651</v>
      </c>
      <c r="G18" s="20">
        <f t="shared" si="13"/>
        <v>63891.791715800631</v>
      </c>
      <c r="H18" s="20">
        <f t="shared" si="13"/>
        <v>60587.312546955618</v>
      </c>
      <c r="I18" s="20">
        <f t="shared" si="13"/>
        <v>59288.65685370742</v>
      </c>
      <c r="J18" s="20">
        <f t="shared" si="13"/>
        <v>55603.403100980395</v>
      </c>
      <c r="K18" s="20">
        <f t="shared" si="13"/>
        <v>54865.532442748088</v>
      </c>
      <c r="L18" s="20">
        <f t="shared" si="13"/>
        <v>41054.324679146332</v>
      </c>
      <c r="M18" s="20">
        <f t="shared" ref="M18" si="14">M11*M$4</f>
        <v>43743.438264161217</v>
      </c>
      <c r="N18" s="20">
        <f t="shared" si="13"/>
        <v>36738.881213913643</v>
      </c>
      <c r="O18" s="20">
        <f t="shared" ref="O18:P18" si="15">O11*O$4</f>
        <v>32593.51816660917</v>
      </c>
      <c r="P18" s="20">
        <f t="shared" si="15"/>
        <v>34387.746204506853</v>
      </c>
      <c r="Q18" s="20">
        <f t="shared" ref="Q18:R18" si="16">Q11*Q$4</f>
        <v>29541.896765236117</v>
      </c>
      <c r="R18" s="20">
        <f t="shared" si="16"/>
        <v>33059.75137479345</v>
      </c>
      <c r="S18" s="20">
        <f t="shared" ref="S18" si="17">S11*S$4</f>
        <v>33332.032202506605</v>
      </c>
      <c r="T18" s="11">
        <f t="shared" si="7"/>
        <v>32583</v>
      </c>
    </row>
    <row r="19" spans="1:20" x14ac:dyDescent="0.35">
      <c r="A19" s="27" t="s">
        <v>37</v>
      </c>
      <c r="B19" s="27" t="s">
        <v>117</v>
      </c>
      <c r="C19" s="20">
        <f t="shared" ref="C19:N19" si="18">C12*C$4</f>
        <v>181671.27684964199</v>
      </c>
      <c r="D19" s="20">
        <f t="shared" si="18"/>
        <v>179233.8221709007</v>
      </c>
      <c r="E19" s="20">
        <f t="shared" si="18"/>
        <v>169421.2233445567</v>
      </c>
      <c r="F19" s="20">
        <f t="shared" si="18"/>
        <v>169416.16883116882</v>
      </c>
      <c r="G19" s="20">
        <f t="shared" si="18"/>
        <v>191543.62672322377</v>
      </c>
      <c r="H19" s="20">
        <f t="shared" si="18"/>
        <v>179285.83075335395</v>
      </c>
      <c r="I19" s="20">
        <f t="shared" si="18"/>
        <v>192195.1002004008</v>
      </c>
      <c r="J19" s="20">
        <f t="shared" si="18"/>
        <v>176849.06862745099</v>
      </c>
      <c r="K19" s="20">
        <f t="shared" si="18"/>
        <v>211335.41793893129</v>
      </c>
      <c r="L19" s="20">
        <f t="shared" si="18"/>
        <v>199002.12793902439</v>
      </c>
      <c r="M19" s="20">
        <f t="shared" ref="M19" si="19">M12*M$4</f>
        <v>197216.7790920111</v>
      </c>
      <c r="N19" s="20">
        <f t="shared" si="18"/>
        <v>195302.19771742815</v>
      </c>
      <c r="O19" s="20">
        <f t="shared" ref="O19:P19" si="20">O12*O$4</f>
        <v>172734.15800302426</v>
      </c>
      <c r="P19" s="20">
        <f t="shared" si="20"/>
        <v>170691.26445815896</v>
      </c>
      <c r="Q19" s="20">
        <f t="shared" ref="Q19:R19" si="21">Q12*Q$4</f>
        <v>175207.2239234079</v>
      </c>
      <c r="R19" s="20">
        <f t="shared" si="21"/>
        <v>181340.80022610919</v>
      </c>
      <c r="S19" s="20">
        <f t="shared" ref="S19" si="22">S12*S$4</f>
        <v>192906.68117312447</v>
      </c>
      <c r="T19" s="11">
        <f t="shared" si="7"/>
        <v>178576</v>
      </c>
    </row>
    <row r="21" spans="1:20" x14ac:dyDescent="0.35">
      <c r="C21" s="26"/>
      <c r="D21" s="26"/>
      <c r="E21" s="26"/>
      <c r="F21" s="26"/>
      <c r="G21" s="26"/>
      <c r="H21" s="26"/>
      <c r="I21" s="26"/>
      <c r="J21" s="26"/>
      <c r="K21" s="2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400-000005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Opex!C8:P8</xm:f>
              <xm:sqref>T8</xm:sqref>
            </x14:sparkline>
            <x14:sparkline>
              <xm:f>Opex!C9:P9</xm:f>
              <xm:sqref>T9</xm:sqref>
            </x14:sparkline>
            <x14:sparkline>
              <xm:f>Opex!C10:P10</xm:f>
              <xm:sqref>T10</xm:sqref>
            </x14:sparkline>
            <x14:sparkline>
              <xm:f>Opex!C11:P11</xm:f>
              <xm:sqref>T11</xm:sqref>
            </x14:sparkline>
            <x14:sparkline>
              <xm:f>Opex!C12:P12</xm:f>
              <xm:sqref>T12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T26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T24" sqref="T24"/>
    </sheetView>
  </sheetViews>
  <sheetFormatPr defaultColWidth="9.1796875" defaultRowHeight="14.5" x14ac:dyDescent="0.35"/>
  <cols>
    <col min="1" max="1" width="45.81640625" customWidth="1"/>
    <col min="2" max="2" width="11.81640625" customWidth="1"/>
    <col min="3" max="12" width="12" customWidth="1"/>
    <col min="13" max="15" width="14.1796875" customWidth="1"/>
    <col min="16" max="16" width="17.81640625" bestFit="1" customWidth="1"/>
    <col min="17" max="17" width="17" bestFit="1" customWidth="1"/>
    <col min="18" max="19" width="17" customWidth="1"/>
    <col min="20" max="20" width="17.1796875" bestFit="1" customWidth="1"/>
  </cols>
  <sheetData>
    <row r="1" spans="1:20" x14ac:dyDescent="0.35">
      <c r="A1" s="10" t="s">
        <v>26</v>
      </c>
    </row>
    <row r="2" spans="1:20" x14ac:dyDescent="0.35">
      <c r="A2" s="10" t="s">
        <v>41</v>
      </c>
      <c r="B2" s="10" t="str">
        <f>"Real $"&amp;Real_year&amp;""</f>
        <v>Real $2022</v>
      </c>
      <c r="C2">
        <v>2006</v>
      </c>
      <c r="D2">
        <v>2007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  <c r="R2">
        <v>2021</v>
      </c>
      <c r="S2">
        <v>2022</v>
      </c>
    </row>
    <row r="3" spans="1:20" x14ac:dyDescent="0.35">
      <c r="A3" t="s">
        <v>56</v>
      </c>
      <c r="C3" s="17">
        <f>CPI!F13</f>
        <v>1.5119904076738608</v>
      </c>
      <c r="D3" s="17">
        <f>CPI!G13</f>
        <v>1.4544405997693193</v>
      </c>
      <c r="E3" s="17">
        <f>CPI!H13</f>
        <v>1.4280860702151754</v>
      </c>
      <c r="F3" s="17">
        <f>CPI!I13</f>
        <v>1.3603020496224378</v>
      </c>
      <c r="G3" s="17">
        <f>CPI!J13</f>
        <v>1.3443496801705757</v>
      </c>
      <c r="H3" s="17">
        <f>CPI!K13</f>
        <v>1.3067357512953368</v>
      </c>
      <c r="I3" s="17">
        <f>CPI!L13</f>
        <v>1.2635270541082164</v>
      </c>
      <c r="J3" s="17">
        <f>CPI!M13</f>
        <v>1.2387033398821219</v>
      </c>
      <c r="K3" s="17">
        <f>CPI!N13</f>
        <v>1.2124999999999999</v>
      </c>
      <c r="L3" s="17">
        <f>CPI!O13</f>
        <v>1.1851503759398494</v>
      </c>
      <c r="M3" s="17">
        <f>CPI!P13</f>
        <v>1.1675925925925925</v>
      </c>
      <c r="N3" s="17">
        <f>CPI!Q13</f>
        <v>1.1526508226691041</v>
      </c>
      <c r="O3" s="17">
        <f>CPI!R13</f>
        <v>1.1319569120287252</v>
      </c>
      <c r="P3" s="17">
        <f>CPI!S13</f>
        <v>1.1110132158590307</v>
      </c>
      <c r="Q3" s="17">
        <f>CPI!T13</f>
        <v>1.0927209705372616</v>
      </c>
      <c r="R3" s="17">
        <f>CPI!U13</f>
        <v>1.0851979345955249</v>
      </c>
      <c r="S3" s="17">
        <f>CPI!V13</f>
        <v>1.0534670008354219</v>
      </c>
    </row>
    <row r="4" spans="1:20" x14ac:dyDescent="0.35">
      <c r="A4" t="s">
        <v>55</v>
      </c>
      <c r="C4" s="17">
        <f>CPI!F12</f>
        <v>1.5047732696897373</v>
      </c>
      <c r="D4" s="17">
        <f>CPI!G12</f>
        <v>1.456120092378753</v>
      </c>
      <c r="E4" s="17">
        <f>CPI!H12</f>
        <v>1.415263748597082</v>
      </c>
      <c r="F4" s="17">
        <f>CPI!I12</f>
        <v>1.3647186147186146</v>
      </c>
      <c r="G4" s="17">
        <f>CPI!J12</f>
        <v>1.3372216330858961</v>
      </c>
      <c r="H4" s="17">
        <f>CPI!K12</f>
        <v>1.3013415892672857</v>
      </c>
      <c r="I4" s="17">
        <f>CPI!L12</f>
        <v>1.2635270541082164</v>
      </c>
      <c r="J4" s="17">
        <f>CPI!M12</f>
        <v>1.2362745098039216</v>
      </c>
      <c r="K4" s="17">
        <f>CPI!N12</f>
        <v>1.2032442748091603</v>
      </c>
      <c r="L4" s="17">
        <f>CPI!O12</f>
        <v>1.1829268292682926</v>
      </c>
      <c r="M4" s="17">
        <f>CPI!P12</f>
        <v>1.1632841328413284</v>
      </c>
      <c r="N4" s="17">
        <f>CPI!Q12</f>
        <v>1.1463636363636363</v>
      </c>
      <c r="O4" s="17">
        <f>CPI!R12</f>
        <v>1.1248884924174845</v>
      </c>
      <c r="P4" s="17">
        <f>CPI!S12</f>
        <v>1.105170902716915</v>
      </c>
      <c r="Q4" s="17">
        <f>CPI!T12</f>
        <v>1.0851979345955249</v>
      </c>
      <c r="R4" s="17">
        <f>CPI!U12</f>
        <v>1.0759385665529009</v>
      </c>
      <c r="S4" s="17">
        <f>CPI!V12</f>
        <v>1.0395713107996702</v>
      </c>
    </row>
    <row r="6" spans="1:20" x14ac:dyDescent="0.35">
      <c r="A6" s="10" t="s">
        <v>29</v>
      </c>
    </row>
    <row r="7" spans="1:20" x14ac:dyDescent="0.35">
      <c r="A7" s="10" t="s">
        <v>60</v>
      </c>
      <c r="C7">
        <v>2006</v>
      </c>
      <c r="D7">
        <v>2007</v>
      </c>
      <c r="E7">
        <v>2008</v>
      </c>
      <c r="F7">
        <v>2009</v>
      </c>
      <c r="G7">
        <v>2010</v>
      </c>
      <c r="H7">
        <v>2011</v>
      </c>
      <c r="I7">
        <v>2012</v>
      </c>
      <c r="J7">
        <v>2013</v>
      </c>
      <c r="K7">
        <v>2014</v>
      </c>
      <c r="L7">
        <v>2015</v>
      </c>
      <c r="M7">
        <v>2016</v>
      </c>
      <c r="N7">
        <v>2017</v>
      </c>
      <c r="O7">
        <v>2018</v>
      </c>
      <c r="P7">
        <v>2019</v>
      </c>
      <c r="Q7">
        <v>2020</v>
      </c>
      <c r="R7">
        <v>2021</v>
      </c>
      <c r="S7">
        <v>2022</v>
      </c>
    </row>
    <row r="8" spans="1:20" x14ac:dyDescent="0.35">
      <c r="A8" s="27" t="s">
        <v>36</v>
      </c>
      <c r="B8" s="27" t="s">
        <v>18</v>
      </c>
      <c r="C8" s="20">
        <v>1008498.0744489165</v>
      </c>
      <c r="D8" s="20">
        <v>1072410.1977797956</v>
      </c>
      <c r="E8" s="20">
        <v>1180457.0630350162</v>
      </c>
      <c r="F8" s="20">
        <v>1278429.4831257048</v>
      </c>
      <c r="G8" s="20">
        <v>1294892.6529556361</v>
      </c>
      <c r="H8" s="20">
        <v>1331479.0051210094</v>
      </c>
      <c r="I8" s="20">
        <v>1504540.6896702116</v>
      </c>
      <c r="J8" s="20">
        <v>1712893.4299247104</v>
      </c>
      <c r="K8" s="20">
        <v>1890087.8232150995</v>
      </c>
      <c r="L8" s="20">
        <v>2013147.9935692761</v>
      </c>
      <c r="M8" s="20">
        <v>2066967.4263843338</v>
      </c>
      <c r="N8" s="20">
        <v>2157003.2621017266</v>
      </c>
      <c r="O8" s="20">
        <v>2283322.8842957737</v>
      </c>
      <c r="P8" s="20">
        <v>2410576.8957586112</v>
      </c>
      <c r="Q8" s="47">
        <v>2447259.4160000002</v>
      </c>
      <c r="R8" s="47">
        <v>2408066.1732518435</v>
      </c>
      <c r="S8" s="47">
        <v>2496543.8947986625</v>
      </c>
    </row>
    <row r="9" spans="1:20" x14ac:dyDescent="0.35">
      <c r="A9" s="27" t="s">
        <v>20</v>
      </c>
      <c r="B9" s="27" t="s">
        <v>18</v>
      </c>
      <c r="C9" s="20">
        <v>2906163.8020416386</v>
      </c>
      <c r="D9" s="20">
        <v>3110944.766611123</v>
      </c>
      <c r="E9" s="20">
        <v>3568307.0443376545</v>
      </c>
      <c r="F9" s="20">
        <v>4186908.5814354168</v>
      </c>
      <c r="G9" s="20">
        <v>4681557.1948703378</v>
      </c>
      <c r="H9" s="20">
        <v>5093089.0531193521</v>
      </c>
      <c r="I9" s="20">
        <v>5477581.7371609155</v>
      </c>
      <c r="J9" s="20">
        <v>5819506.0639425004</v>
      </c>
      <c r="K9" s="20">
        <v>6301890.3431227049</v>
      </c>
      <c r="L9" s="20">
        <v>6604013.1766181048</v>
      </c>
      <c r="M9" s="20">
        <v>6605068.5105675301</v>
      </c>
      <c r="N9" s="20">
        <v>6644060.9068036843</v>
      </c>
      <c r="O9" s="20">
        <v>6541355.9075110834</v>
      </c>
      <c r="P9" s="20">
        <v>6556115.4742665607</v>
      </c>
      <c r="Q9" s="47">
        <v>6525242.2384730373</v>
      </c>
      <c r="R9" s="47">
        <v>6404622.1417386746</v>
      </c>
      <c r="S9" s="47">
        <v>6388735.0077023748</v>
      </c>
    </row>
    <row r="10" spans="1:20" x14ac:dyDescent="0.35">
      <c r="A10" s="27" t="s">
        <v>34</v>
      </c>
      <c r="B10" s="27" t="s">
        <v>18</v>
      </c>
      <c r="C10" s="20">
        <v>1889957.733</v>
      </c>
      <c r="D10" s="20">
        <v>1929607.6654999999</v>
      </c>
      <c r="E10" s="20">
        <v>2007291.2560000001</v>
      </c>
      <c r="F10" s="20">
        <v>2181178.4835000001</v>
      </c>
      <c r="G10" s="20">
        <v>2198049.1735</v>
      </c>
      <c r="H10" s="20">
        <v>2232904.4265000001</v>
      </c>
      <c r="I10" s="20">
        <v>2292941.9665000001</v>
      </c>
      <c r="J10" s="20">
        <v>2370849.6140000001</v>
      </c>
      <c r="K10" s="20">
        <v>2476349.311010506</v>
      </c>
      <c r="L10" s="20">
        <v>2790207.8150309501</v>
      </c>
      <c r="M10" s="20">
        <v>2857110.3028806783</v>
      </c>
      <c r="N10" s="20">
        <v>2903023.4716057549</v>
      </c>
      <c r="O10" s="20">
        <v>2948642.8739125249</v>
      </c>
      <c r="P10" s="20">
        <v>2944146.1043232437</v>
      </c>
      <c r="Q10" s="47">
        <v>2991255.196152173</v>
      </c>
      <c r="R10" s="81">
        <v>3029409.7461631317</v>
      </c>
      <c r="S10" s="47">
        <v>3228520.8813418695</v>
      </c>
    </row>
    <row r="11" spans="1:20" x14ac:dyDescent="0.35">
      <c r="A11" s="27" t="s">
        <v>28</v>
      </c>
      <c r="B11" s="27" t="s">
        <v>18</v>
      </c>
      <c r="C11" s="20">
        <v>666396.5</v>
      </c>
      <c r="D11" s="20">
        <v>728278.5</v>
      </c>
      <c r="E11" s="20">
        <v>787887</v>
      </c>
      <c r="F11" s="20">
        <v>845035</v>
      </c>
      <c r="G11" s="20">
        <v>895293</v>
      </c>
      <c r="H11" s="20">
        <v>1006943.5</v>
      </c>
      <c r="I11" s="20">
        <v>1139787</v>
      </c>
      <c r="J11" s="20">
        <v>1204832</v>
      </c>
      <c r="K11" s="20">
        <v>1310583.1592409625</v>
      </c>
      <c r="L11" s="20">
        <v>1386261.7283497157</v>
      </c>
      <c r="M11" s="20">
        <v>1382762.1991195932</v>
      </c>
      <c r="N11" s="20">
        <v>1371712.8989775274</v>
      </c>
      <c r="O11" s="20">
        <v>1371065.4063185384</v>
      </c>
      <c r="P11" s="20">
        <v>1390069.5081462832</v>
      </c>
      <c r="Q11" s="60">
        <v>1389808.4450801625</v>
      </c>
      <c r="R11" s="88">
        <v>1400273.2265098309</v>
      </c>
      <c r="S11" s="60">
        <v>1410143.1969039633</v>
      </c>
    </row>
    <row r="12" spans="1:20" x14ac:dyDescent="0.35">
      <c r="A12" s="27" t="s">
        <v>37</v>
      </c>
      <c r="B12" s="27" t="s">
        <v>18</v>
      </c>
      <c r="C12" s="20">
        <v>3166374.415412093</v>
      </c>
      <c r="D12" s="20">
        <v>3313367.6045614304</v>
      </c>
      <c r="E12" s="20">
        <v>3566600.1045614304</v>
      </c>
      <c r="F12" s="20">
        <v>3976405.905427468</v>
      </c>
      <c r="G12" s="20">
        <v>4305989.6381644513</v>
      </c>
      <c r="H12" s="20">
        <v>4559614.3380024452</v>
      </c>
      <c r="I12" s="20">
        <v>4853368.9664179208</v>
      </c>
      <c r="J12" s="20">
        <v>5135315.116477563</v>
      </c>
      <c r="K12" s="20">
        <v>5576508.2256924072</v>
      </c>
      <c r="L12" s="20">
        <v>5908508.5172999017</v>
      </c>
      <c r="M12" s="20">
        <v>6033054.789736486</v>
      </c>
      <c r="N12" s="20">
        <v>6056226.9784158589</v>
      </c>
      <c r="O12" s="20">
        <v>6041537.9813804002</v>
      </c>
      <c r="P12" s="20">
        <v>6258956.0859821215</v>
      </c>
      <c r="Q12" s="47">
        <v>6345244.6040000003</v>
      </c>
      <c r="R12" s="81">
        <v>6357791.2060000002</v>
      </c>
      <c r="S12" s="47">
        <v>6533214.1509999996</v>
      </c>
    </row>
    <row r="13" spans="1:20" x14ac:dyDescent="0.3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8"/>
    </row>
    <row r="14" spans="1:20" x14ac:dyDescent="0.35">
      <c r="A14" s="10" t="str">
        <f>CONCATENATE(B2)</f>
        <v>Real $2022</v>
      </c>
      <c r="C14">
        <v>2006</v>
      </c>
      <c r="D14">
        <v>2007</v>
      </c>
      <c r="E14">
        <v>2008</v>
      </c>
      <c r="F14">
        <v>2009</v>
      </c>
      <c r="G14">
        <v>2010</v>
      </c>
      <c r="H14">
        <v>2011</v>
      </c>
      <c r="I14">
        <v>2012</v>
      </c>
      <c r="J14">
        <v>2013</v>
      </c>
      <c r="K14">
        <v>2014</v>
      </c>
      <c r="L14">
        <v>2015</v>
      </c>
      <c r="M14">
        <v>2016</v>
      </c>
      <c r="N14">
        <v>2017</v>
      </c>
      <c r="O14">
        <v>2018</v>
      </c>
      <c r="P14">
        <v>2019</v>
      </c>
      <c r="Q14">
        <v>2020</v>
      </c>
      <c r="R14">
        <v>2021</v>
      </c>
      <c r="S14">
        <v>2022</v>
      </c>
      <c r="T14" t="s">
        <v>114</v>
      </c>
    </row>
    <row r="15" spans="1:20" x14ac:dyDescent="0.35">
      <c r="A15" s="27" t="s">
        <v>36</v>
      </c>
      <c r="B15" s="27" t="s">
        <v>117</v>
      </c>
      <c r="C15" s="20">
        <f>C8*C$4</f>
        <v>1517560.9449643001</v>
      </c>
      <c r="D15" s="20">
        <f t="shared" ref="D15:L15" si="0">D8*D$4</f>
        <v>1561558.0362590328</v>
      </c>
      <c r="E15" s="20">
        <f t="shared" si="0"/>
        <v>1670658.0880888388</v>
      </c>
      <c r="F15" s="20">
        <f t="shared" si="0"/>
        <v>1744696.5132267463</v>
      </c>
      <c r="G15" s="20">
        <f t="shared" si="0"/>
        <v>1731558.4680562643</v>
      </c>
      <c r="H15" s="20">
        <f t="shared" si="0"/>
        <v>1732709.0046001989</v>
      </c>
      <c r="I15" s="20">
        <f t="shared" si="0"/>
        <v>1901027.8654049467</v>
      </c>
      <c r="J15" s="20">
        <f t="shared" si="0"/>
        <v>2117606.4854265293</v>
      </c>
      <c r="K15" s="20">
        <f t="shared" si="0"/>
        <v>2274237.3521700767</v>
      </c>
      <c r="L15" s="20">
        <f t="shared" si="0"/>
        <v>2381406.7728807288</v>
      </c>
      <c r="M15" s="20">
        <f t="shared" ref="M15:O16" si="1">M8*M$4</f>
        <v>2404470.410212772</v>
      </c>
      <c r="N15" s="20">
        <f t="shared" si="1"/>
        <v>2472710.1031911611</v>
      </c>
      <c r="O15" s="20">
        <f t="shared" si="1"/>
        <v>2568483.6370178154</v>
      </c>
      <c r="P15" s="20">
        <f t="shared" ref="P15:Q15" si="2">P8*P$4</f>
        <v>2664099.4439540831</v>
      </c>
      <c r="Q15" s="20">
        <f t="shared" si="2"/>
        <v>2655760.8636626508</v>
      </c>
      <c r="R15" s="20">
        <f>R8*R$4</f>
        <v>2590931.2666131179</v>
      </c>
      <c r="S15" s="20">
        <f>S8*S$4</f>
        <v>2595335.4091847595</v>
      </c>
      <c r="T15" s="11">
        <f>ROUND(AVERAGE(O15:S15),0)</f>
        <v>2614922</v>
      </c>
    </row>
    <row r="16" spans="1:20" x14ac:dyDescent="0.35">
      <c r="A16" s="27" t="s">
        <v>20</v>
      </c>
      <c r="B16" s="27" t="s">
        <v>117</v>
      </c>
      <c r="C16" s="20">
        <f>C9*C$4</f>
        <v>4373117.6066521555</v>
      </c>
      <c r="D16" s="20">
        <f t="shared" ref="D16:L16" si="3">D9*D$4</f>
        <v>4529909.1809429862</v>
      </c>
      <c r="E16" s="20">
        <f t="shared" si="3"/>
        <v>5050095.6037146831</v>
      </c>
      <c r="F16" s="20">
        <f t="shared" si="3"/>
        <v>5713952.0792100215</v>
      </c>
      <c r="G16" s="20">
        <f t="shared" si="3"/>
        <v>6260279.5575095396</v>
      </c>
      <c r="H16" s="20">
        <f t="shared" si="3"/>
        <v>6627848.6026661526</v>
      </c>
      <c r="I16" s="20">
        <f t="shared" si="3"/>
        <v>6921072.7159918984</v>
      </c>
      <c r="J16" s="20">
        <f t="shared" si="3"/>
        <v>7194507.0065014642</v>
      </c>
      <c r="K16" s="20">
        <f t="shared" si="3"/>
        <v>7582713.4758375296</v>
      </c>
      <c r="L16" s="20">
        <f t="shared" si="3"/>
        <v>7812064.36746288</v>
      </c>
      <c r="M16" s="20">
        <f t="shared" si="1"/>
        <v>7683571.3946731137</v>
      </c>
      <c r="N16" s="20">
        <f t="shared" si="1"/>
        <v>7616509.8213449502</v>
      </c>
      <c r="O16" s="20">
        <f t="shared" si="1"/>
        <v>7358295.9851663485</v>
      </c>
      <c r="P16" s="20">
        <f t="shared" ref="P16:Q16" si="4">P9*P$4</f>
        <v>7245628.0570115102</v>
      </c>
      <c r="Q16" s="20">
        <f t="shared" si="4"/>
        <v>7081179.3999264194</v>
      </c>
      <c r="R16" s="20">
        <f>R9*R$4</f>
        <v>6890979.9664952792</v>
      </c>
      <c r="S16" s="20">
        <f t="shared" ref="S16" si="5">S9*S$4</f>
        <v>6641545.6263088994</v>
      </c>
      <c r="T16" s="11">
        <f t="shared" ref="T16:T17" si="6">ROUND(AVERAGE(O16:S16),0)</f>
        <v>7043526</v>
      </c>
    </row>
    <row r="17" spans="1:20" x14ac:dyDescent="0.35">
      <c r="A17" s="27" t="s">
        <v>34</v>
      </c>
      <c r="B17" s="27" t="s">
        <v>117</v>
      </c>
      <c r="C17" s="20">
        <f>C10*C$3</f>
        <v>2857597.9632050358</v>
      </c>
      <c r="D17" s="20">
        <f t="shared" ref="D17:L17" si="7">D10*D$3</f>
        <v>2806499.7303292956</v>
      </c>
      <c r="E17" s="20">
        <f t="shared" si="7"/>
        <v>2866584.6815583236</v>
      </c>
      <c r="F17" s="20">
        <f t="shared" si="7"/>
        <v>2967061.5616974109</v>
      </c>
      <c r="G17" s="20">
        <f t="shared" si="7"/>
        <v>2954946.7033939231</v>
      </c>
      <c r="H17" s="20">
        <f t="shared" si="7"/>
        <v>2917816.0433331607</v>
      </c>
      <c r="I17" s="20">
        <f t="shared" si="7"/>
        <v>2897194.2081728457</v>
      </c>
      <c r="J17" s="20">
        <f t="shared" si="7"/>
        <v>2936779.3352200394</v>
      </c>
      <c r="K17" s="20">
        <f t="shared" si="7"/>
        <v>3002573.5396002382</v>
      </c>
      <c r="L17" s="20">
        <f t="shared" si="7"/>
        <v>3306815.8409342365</v>
      </c>
      <c r="M17" s="20">
        <f t="shared" ref="M17:Q17" si="8">M10*M$3</f>
        <v>3335940.8258634587</v>
      </c>
      <c r="N17" s="20">
        <f t="shared" si="8"/>
        <v>3346172.392774092</v>
      </c>
      <c r="O17" s="20">
        <f t="shared" si="8"/>
        <v>3337736.6822295273</v>
      </c>
      <c r="P17" s="20">
        <f t="shared" si="8"/>
        <v>3270985.2313230042</v>
      </c>
      <c r="Q17" s="20">
        <f t="shared" si="8"/>
        <v>3268607.2810640293</v>
      </c>
      <c r="R17" s="20">
        <f>R10*R$3</f>
        <v>3287509.1995797842</v>
      </c>
      <c r="S17" s="20">
        <f>S10*S$3</f>
        <v>3401140.2100017522</v>
      </c>
      <c r="T17" s="11">
        <f t="shared" si="6"/>
        <v>3313196</v>
      </c>
    </row>
    <row r="18" spans="1:20" x14ac:dyDescent="0.35">
      <c r="A18" s="27" t="s">
        <v>28</v>
      </c>
      <c r="B18" s="27" t="s">
        <v>117</v>
      </c>
      <c r="C18" s="20">
        <f>C11*C$4</f>
        <v>1002775.6402147971</v>
      </c>
      <c r="D18" s="20">
        <f t="shared" ref="D18:L18" si="9">D11*D$4</f>
        <v>1060460.9566974596</v>
      </c>
      <c r="E18" s="20">
        <f t="shared" si="9"/>
        <v>1115067.9090909092</v>
      </c>
      <c r="F18" s="20">
        <f t="shared" si="9"/>
        <v>1153234.9945887444</v>
      </c>
      <c r="G18" s="20">
        <f t="shared" si="9"/>
        <v>1197205.1675503713</v>
      </c>
      <c r="H18" s="20">
        <f t="shared" si="9"/>
        <v>1310377.4545923632</v>
      </c>
      <c r="I18" s="20">
        <f t="shared" si="9"/>
        <v>1440151.7104208416</v>
      </c>
      <c r="J18" s="20">
        <f t="shared" si="9"/>
        <v>1489503.0901960784</v>
      </c>
      <c r="K18" s="20">
        <f t="shared" si="9"/>
        <v>1576951.6830179901</v>
      </c>
      <c r="L18" s="20">
        <f t="shared" si="9"/>
        <v>1639846.1908527124</v>
      </c>
      <c r="M18" s="20">
        <f t="shared" ref="M18:O19" si="10">M11*M$4</f>
        <v>1608545.3257286043</v>
      </c>
      <c r="N18" s="20">
        <f t="shared" si="10"/>
        <v>1572481.7869187836</v>
      </c>
      <c r="O18" s="20">
        <f t="shared" si="10"/>
        <v>1542295.6979194265</v>
      </c>
      <c r="P18" s="20">
        <f t="shared" ref="P18" si="11">P11*P$4</f>
        <v>1536264.3731572859</v>
      </c>
      <c r="Q18" s="20">
        <f>Q11*Q$4</f>
        <v>1508217.2540844104</v>
      </c>
      <c r="R18" s="20">
        <f t="shared" ref="R18:S18" si="12">R11*R$4</f>
        <v>1506607.9681133931</v>
      </c>
      <c r="S18" s="20">
        <f t="shared" si="12"/>
        <v>1465944.4116206907</v>
      </c>
      <c r="T18" s="11">
        <f>ROUND(AVERAGE(O18:S18),0)</f>
        <v>1511866</v>
      </c>
    </row>
    <row r="19" spans="1:20" x14ac:dyDescent="0.35">
      <c r="A19" s="27" t="s">
        <v>37</v>
      </c>
      <c r="B19" s="27" t="s">
        <v>117</v>
      </c>
      <c r="C19" s="20">
        <f>C12*C$4</f>
        <v>4764675.5821415856</v>
      </c>
      <c r="D19" s="20">
        <f t="shared" ref="D19:L19" si="13">D12*D$4</f>
        <v>4824661.1424387572</v>
      </c>
      <c r="E19" s="20">
        <f t="shared" si="13"/>
        <v>5047679.8337283544</v>
      </c>
      <c r="F19" s="20">
        <f t="shared" si="13"/>
        <v>5426675.1588138919</v>
      </c>
      <c r="G19" s="20">
        <f t="shared" si="13"/>
        <v>5758062.4959972147</v>
      </c>
      <c r="H19" s="20">
        <f t="shared" si="13"/>
        <v>5933615.769062005</v>
      </c>
      <c r="I19" s="20">
        <f t="shared" si="13"/>
        <v>6132362.992638275</v>
      </c>
      <c r="J19" s="20">
        <f t="shared" si="13"/>
        <v>6348659.1783119682</v>
      </c>
      <c r="K19" s="20">
        <f t="shared" si="13"/>
        <v>6709901.5959905777</v>
      </c>
      <c r="L19" s="20">
        <f t="shared" si="13"/>
        <v>6989333.2460742733</v>
      </c>
      <c r="M19" s="20">
        <f t="shared" si="10"/>
        <v>7018156.909462831</v>
      </c>
      <c r="N19" s="20">
        <f t="shared" si="10"/>
        <v>6942638.3816203615</v>
      </c>
      <c r="O19" s="20">
        <f t="shared" si="10"/>
        <v>6796056.5517579708</v>
      </c>
      <c r="P19" s="20">
        <f t="shared" ref="P19:Q19" si="14">P12*P$4</f>
        <v>6917216.1476103906</v>
      </c>
      <c r="Q19" s="20">
        <f t="shared" si="14"/>
        <v>6885846.3387642</v>
      </c>
      <c r="R19" s="20">
        <f t="shared" ref="R19:S19" si="15">R12*R$4</f>
        <v>6840592.7566262791</v>
      </c>
      <c r="S19" s="20">
        <f t="shared" si="15"/>
        <v>6791741.998690024</v>
      </c>
      <c r="T19" s="11">
        <f>ROUND(AVERAGE(O19:S19),0)</f>
        <v>6846291</v>
      </c>
    </row>
    <row r="21" spans="1:20" x14ac:dyDescent="0.35"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20" x14ac:dyDescent="0.35">
      <c r="P22" s="46"/>
      <c r="R22" s="84"/>
      <c r="S22" s="83"/>
      <c r="T22" s="85"/>
    </row>
    <row r="23" spans="1:20" x14ac:dyDescent="0.35">
      <c r="R23" s="84"/>
      <c r="S23" s="83"/>
      <c r="T23" s="85"/>
    </row>
    <row r="25" spans="1:20" x14ac:dyDescent="0.3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20" x14ac:dyDescent="0.35"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500-000006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RAB!C8:P8</xm:f>
              <xm:sqref>T8</xm:sqref>
            </x14:sparkline>
            <x14:sparkline>
              <xm:f>RAB!C9:P9</xm:f>
              <xm:sqref>T9</xm:sqref>
            </x14:sparkline>
            <x14:sparkline>
              <xm:f>RAB!C10:P10</xm:f>
              <xm:sqref>T10</xm:sqref>
            </x14:sparkline>
            <x14:sparkline>
              <xm:f>RAB!C11:P11</xm:f>
              <xm:sqref>T11</xm:sqref>
            </x14:sparkline>
            <x14:sparkline>
              <xm:f>RAB!C12:P12</xm:f>
              <xm:sqref>T12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3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"/>
    </sheetView>
  </sheetViews>
  <sheetFormatPr defaultRowHeight="14.5" x14ac:dyDescent="0.35"/>
  <cols>
    <col min="1" max="1" width="45.1796875" customWidth="1"/>
    <col min="2" max="2" width="11.1796875" style="12" customWidth="1"/>
    <col min="3" max="9" width="12.1796875" style="12" customWidth="1"/>
    <col min="10" max="15" width="12.1796875" customWidth="1"/>
    <col min="16" max="16" width="11.81640625" bestFit="1" customWidth="1"/>
    <col min="19" max="19" width="12.453125" bestFit="1" customWidth="1"/>
  </cols>
  <sheetData>
    <row r="1" spans="1:20" x14ac:dyDescent="0.35">
      <c r="A1" s="10" t="s">
        <v>22</v>
      </c>
      <c r="B1" s="32"/>
      <c r="C1" s="32"/>
      <c r="D1" s="32"/>
      <c r="E1" s="32"/>
      <c r="F1" s="32"/>
      <c r="G1" s="32"/>
      <c r="H1" s="32"/>
      <c r="I1" s="32"/>
      <c r="J1" s="32"/>
    </row>
    <row r="2" spans="1:20" x14ac:dyDescent="0.35">
      <c r="B2" s="10" t="str">
        <f>"Real $"&amp;Real_year&amp;""</f>
        <v>Real $2022</v>
      </c>
      <c r="C2">
        <v>2006</v>
      </c>
      <c r="D2">
        <v>2007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  <c r="R2">
        <v>2021</v>
      </c>
      <c r="S2">
        <v>2022</v>
      </c>
    </row>
    <row r="3" spans="1:20" x14ac:dyDescent="0.35">
      <c r="A3" t="s">
        <v>56</v>
      </c>
      <c r="B3"/>
      <c r="C3" s="17">
        <f>CPI!F13</f>
        <v>1.5119904076738608</v>
      </c>
      <c r="D3" s="17">
        <f>CPI!G13</f>
        <v>1.4544405997693193</v>
      </c>
      <c r="E3" s="17">
        <f>CPI!H13</f>
        <v>1.4280860702151754</v>
      </c>
      <c r="F3" s="17">
        <f>CPI!I13</f>
        <v>1.3603020496224378</v>
      </c>
      <c r="G3" s="17">
        <f>CPI!J13</f>
        <v>1.3443496801705757</v>
      </c>
      <c r="H3" s="17">
        <f>CPI!K13</f>
        <v>1.3067357512953368</v>
      </c>
      <c r="I3" s="17">
        <f>CPI!L13</f>
        <v>1.2635270541082164</v>
      </c>
      <c r="J3" s="17">
        <f>CPI!M13</f>
        <v>1.2387033398821219</v>
      </c>
      <c r="K3" s="17">
        <f>CPI!N13</f>
        <v>1.2124999999999999</v>
      </c>
      <c r="L3" s="17">
        <f>CPI!O13</f>
        <v>1.1851503759398494</v>
      </c>
      <c r="M3" s="17">
        <f>CPI!P13</f>
        <v>1.1675925925925925</v>
      </c>
      <c r="N3" s="17">
        <f>CPI!Q13</f>
        <v>1.1526508226691041</v>
      </c>
      <c r="O3" s="17">
        <f>CPI!R13</f>
        <v>1.1319569120287252</v>
      </c>
      <c r="P3" s="17">
        <f>CPI!S13</f>
        <v>1.1110132158590307</v>
      </c>
      <c r="Q3" s="17">
        <f>CPI!T13</f>
        <v>1.0927209705372616</v>
      </c>
      <c r="R3" s="17">
        <f>CPI!U13</f>
        <v>1.0851979345955249</v>
      </c>
      <c r="S3" s="17">
        <f>CPI!V13</f>
        <v>1.0534670008354219</v>
      </c>
    </row>
    <row r="4" spans="1:20" x14ac:dyDescent="0.35">
      <c r="A4" t="s">
        <v>55</v>
      </c>
      <c r="B4"/>
      <c r="C4" s="17">
        <f>CPI!F12</f>
        <v>1.5047732696897373</v>
      </c>
      <c r="D4" s="17">
        <f>CPI!G12</f>
        <v>1.456120092378753</v>
      </c>
      <c r="E4" s="17">
        <f>CPI!H12</f>
        <v>1.415263748597082</v>
      </c>
      <c r="F4" s="17">
        <f>CPI!I12</f>
        <v>1.3647186147186146</v>
      </c>
      <c r="G4" s="17">
        <f>CPI!J12</f>
        <v>1.3372216330858961</v>
      </c>
      <c r="H4" s="17">
        <f>CPI!K12</f>
        <v>1.3013415892672857</v>
      </c>
      <c r="I4" s="17">
        <f>CPI!L12</f>
        <v>1.2635270541082164</v>
      </c>
      <c r="J4" s="17">
        <f>CPI!M12</f>
        <v>1.2362745098039216</v>
      </c>
      <c r="K4" s="17">
        <f>CPI!N12</f>
        <v>1.2032442748091603</v>
      </c>
      <c r="L4" s="17">
        <f>CPI!O12</f>
        <v>1.1829268292682926</v>
      </c>
      <c r="M4" s="17">
        <f>CPI!P12</f>
        <v>1.1632841328413284</v>
      </c>
      <c r="N4" s="17">
        <f>CPI!Q12</f>
        <v>1.1463636363636363</v>
      </c>
      <c r="O4" s="17">
        <f>CPI!R12</f>
        <v>1.1248884924174845</v>
      </c>
      <c r="P4" s="17">
        <f>CPI!S12</f>
        <v>1.105170902716915</v>
      </c>
      <c r="Q4" s="17">
        <f>CPI!T12</f>
        <v>1.0851979345955249</v>
      </c>
      <c r="R4" s="17">
        <f>CPI!U12</f>
        <v>1.0759385665529009</v>
      </c>
      <c r="S4" s="17">
        <f>CPI!V12</f>
        <v>1.0395713107996702</v>
      </c>
    </row>
    <row r="5" spans="1:20" x14ac:dyDescent="0.35">
      <c r="B5"/>
      <c r="C5"/>
      <c r="D5"/>
      <c r="E5"/>
      <c r="F5"/>
      <c r="G5"/>
      <c r="H5"/>
      <c r="I5"/>
    </row>
    <row r="6" spans="1:20" x14ac:dyDescent="0.35">
      <c r="A6" s="10" t="s">
        <v>59</v>
      </c>
      <c r="B6" s="32"/>
      <c r="C6" s="32"/>
      <c r="D6" s="32"/>
      <c r="E6" s="32"/>
      <c r="F6" s="32"/>
      <c r="G6" s="32"/>
      <c r="H6" s="32"/>
      <c r="I6" s="32"/>
      <c r="J6" s="32"/>
    </row>
    <row r="7" spans="1:20" x14ac:dyDescent="0.35">
      <c r="A7" s="10" t="s">
        <v>60</v>
      </c>
      <c r="B7" s="32"/>
      <c r="C7">
        <v>2006</v>
      </c>
      <c r="D7">
        <v>2007</v>
      </c>
      <c r="E7">
        <v>2008</v>
      </c>
      <c r="F7">
        <v>2009</v>
      </c>
      <c r="G7">
        <v>2010</v>
      </c>
      <c r="H7">
        <v>2011</v>
      </c>
      <c r="I7">
        <v>2012</v>
      </c>
      <c r="J7">
        <v>2013</v>
      </c>
      <c r="K7">
        <v>2014</v>
      </c>
      <c r="L7">
        <v>2015</v>
      </c>
      <c r="M7">
        <v>2016</v>
      </c>
      <c r="N7">
        <v>2017</v>
      </c>
      <c r="O7">
        <v>2018</v>
      </c>
      <c r="P7">
        <v>2019</v>
      </c>
      <c r="Q7">
        <v>2020</v>
      </c>
      <c r="R7">
        <v>2021</v>
      </c>
      <c r="S7">
        <v>2022</v>
      </c>
    </row>
    <row r="8" spans="1:20" x14ac:dyDescent="0.35">
      <c r="A8" s="27" t="s">
        <v>36</v>
      </c>
      <c r="B8" s="27" t="s">
        <v>18</v>
      </c>
      <c r="C8" s="20">
        <v>-45791.849417636906</v>
      </c>
      <c r="D8" s="20">
        <v>-50958.501088076984</v>
      </c>
      <c r="E8" s="20">
        <v>-48204.850280116312</v>
      </c>
      <c r="F8" s="20">
        <v>-55008.877124563965</v>
      </c>
      <c r="G8" s="20">
        <v>-60040.104570401381</v>
      </c>
      <c r="H8" s="20">
        <v>-63337.177692221783</v>
      </c>
      <c r="I8" s="20">
        <v>-66722.89939335885</v>
      </c>
      <c r="J8" s="20">
        <v>-73303.01352783374</v>
      </c>
      <c r="K8" s="20">
        <v>-76094.486579693286</v>
      </c>
      <c r="L8" s="20">
        <v>-85643.071653748921</v>
      </c>
      <c r="M8" s="20">
        <v>-95982.674057186538</v>
      </c>
      <c r="N8" s="20">
        <v>-103289.94435068821</v>
      </c>
      <c r="O8" s="20">
        <v>-103984.56412373077</v>
      </c>
      <c r="P8" s="20">
        <v>-106385.24868914524</v>
      </c>
      <c r="Q8" s="27">
        <v>-126424.29</v>
      </c>
      <c r="R8" s="27">
        <v>-131173.97972722203</v>
      </c>
      <c r="S8" s="19">
        <v>-140644.79174180477</v>
      </c>
    </row>
    <row r="9" spans="1:20" x14ac:dyDescent="0.35">
      <c r="A9" s="27" t="s">
        <v>20</v>
      </c>
      <c r="B9" s="27" t="s">
        <v>18</v>
      </c>
      <c r="C9" s="20">
        <v>-132496.74622431587</v>
      </c>
      <c r="D9" s="20">
        <v>-140357.26629175912</v>
      </c>
      <c r="E9" s="20">
        <v>-156999.72982458232</v>
      </c>
      <c r="F9" s="20">
        <v>-182601.09296048834</v>
      </c>
      <c r="G9" s="20">
        <v>-191974.42283243482</v>
      </c>
      <c r="H9" s="20">
        <v>-209895.4904502311</v>
      </c>
      <c r="I9" s="20">
        <v>-224992.70041557745</v>
      </c>
      <c r="J9" s="20">
        <v>-212080.91622801078</v>
      </c>
      <c r="K9" s="20">
        <v>-234896.24841606364</v>
      </c>
      <c r="L9" s="20">
        <v>-261726.28652177399</v>
      </c>
      <c r="M9" s="20">
        <v>-277132.67885741114</v>
      </c>
      <c r="N9" s="20">
        <v>-273813.57027352898</v>
      </c>
      <c r="O9" s="20">
        <v>-261276.59177307546</v>
      </c>
      <c r="P9" s="20">
        <v>-286093.59674934688</v>
      </c>
      <c r="Q9" s="27">
        <v>-303179.94185928896</v>
      </c>
      <c r="R9" s="27">
        <v>-314468.95912751841</v>
      </c>
      <c r="S9" s="19">
        <v>-317696.76911903929</v>
      </c>
    </row>
    <row r="10" spans="1:20" x14ac:dyDescent="0.35">
      <c r="A10" s="27" t="s">
        <v>34</v>
      </c>
      <c r="B10" s="27" t="s">
        <v>18</v>
      </c>
      <c r="C10" s="20">
        <v>-86280.945999999996</v>
      </c>
      <c r="D10" s="20">
        <v>-91719.03</v>
      </c>
      <c r="E10" s="20">
        <v>-103392.598</v>
      </c>
      <c r="F10" s="20">
        <v>-107125.821</v>
      </c>
      <c r="G10" s="20">
        <v>-112873.439</v>
      </c>
      <c r="H10" s="20">
        <v>-118888.912</v>
      </c>
      <c r="I10" s="20">
        <v>-123748.05100000001</v>
      </c>
      <c r="J10" s="20">
        <v>-129632.00900000001</v>
      </c>
      <c r="K10" s="20">
        <v>-127428.17617868638</v>
      </c>
      <c r="L10" s="20">
        <v>-145677.73598860696</v>
      </c>
      <c r="M10" s="20">
        <v>-152613.9833679182</v>
      </c>
      <c r="N10" s="20">
        <v>-161231.0402391114</v>
      </c>
      <c r="O10" s="20">
        <v>-170906.18048810546</v>
      </c>
      <c r="P10" s="20">
        <v>-174346.82383437318</v>
      </c>
      <c r="Q10" s="27">
        <v>-182669.67724412392</v>
      </c>
      <c r="R10" s="27">
        <v>-186020.17268516027</v>
      </c>
      <c r="S10" s="19">
        <v>-167880.9635655687</v>
      </c>
    </row>
    <row r="11" spans="1:20" x14ac:dyDescent="0.35">
      <c r="A11" s="27" t="s">
        <v>28</v>
      </c>
      <c r="B11" s="27" t="s">
        <v>18</v>
      </c>
      <c r="C11" s="20">
        <v>-34117</v>
      </c>
      <c r="D11" s="20">
        <v>-33914</v>
      </c>
      <c r="E11" s="20">
        <v>-37777</v>
      </c>
      <c r="F11" s="20">
        <v>-41311</v>
      </c>
      <c r="G11" s="20">
        <v>-49841</v>
      </c>
      <c r="H11" s="20">
        <v>-54231</v>
      </c>
      <c r="I11" s="20">
        <v>-54880</v>
      </c>
      <c r="J11" s="20">
        <v>-54578</v>
      </c>
      <c r="K11" s="20">
        <v>-61434.606590000003</v>
      </c>
      <c r="L11" s="20">
        <v>-53237.514772859882</v>
      </c>
      <c r="M11" s="20">
        <v>-57207.430475358902</v>
      </c>
      <c r="N11" s="20">
        <v>-61304.04863066168</v>
      </c>
      <c r="O11" s="20">
        <v>-61390.494942420773</v>
      </c>
      <c r="P11" s="20">
        <v>-62790.62031208886</v>
      </c>
      <c r="Q11" s="27">
        <v>-56413.52930933053</v>
      </c>
      <c r="R11" s="89">
        <v>-58026.015771226463</v>
      </c>
      <c r="S11" s="19">
        <v>-66455.200904692145</v>
      </c>
    </row>
    <row r="12" spans="1:20" x14ac:dyDescent="0.35">
      <c r="A12" s="27" t="s">
        <v>37</v>
      </c>
      <c r="B12" s="27" t="s">
        <v>18</v>
      </c>
      <c r="C12" s="20">
        <v>-121720.69285763716</v>
      </c>
      <c r="D12" s="20">
        <v>-130837</v>
      </c>
      <c r="E12" s="20">
        <v>-138414</v>
      </c>
      <c r="F12" s="20">
        <v>-155347.27373057668</v>
      </c>
      <c r="G12" s="20">
        <v>-178956.02871101134</v>
      </c>
      <c r="H12" s="20">
        <v>-181714.94605466677</v>
      </c>
      <c r="I12" s="20">
        <v>-184338.2857749275</v>
      </c>
      <c r="J12" s="20">
        <v>-199415.56154466461</v>
      </c>
      <c r="K12" s="20">
        <v>-222310.25735920473</v>
      </c>
      <c r="L12" s="20">
        <v>-244163.23008389489</v>
      </c>
      <c r="M12" s="20">
        <v>-261875.0623888979</v>
      </c>
      <c r="N12" s="20">
        <v>-279708.00294541242</v>
      </c>
      <c r="O12" s="20">
        <v>-265038.9669400985</v>
      </c>
      <c r="P12" s="20">
        <v>-255967.76314920798</v>
      </c>
      <c r="Q12" s="27">
        <v>-274692.06699999998</v>
      </c>
      <c r="R12" s="89">
        <v>-289960.28600000002</v>
      </c>
      <c r="S12" s="19">
        <v>-291532.35600000003</v>
      </c>
    </row>
    <row r="13" spans="1:20" x14ac:dyDescent="0.35">
      <c r="B13" s="32"/>
      <c r="C13" s="32"/>
      <c r="D13" s="32"/>
      <c r="E13" s="32"/>
      <c r="F13" s="32"/>
      <c r="G13" s="32"/>
      <c r="H13" s="32"/>
      <c r="I13" s="32"/>
    </row>
    <row r="14" spans="1:20" x14ac:dyDescent="0.35">
      <c r="A14" s="10" t="str">
        <f>CONCATENATE(B2)</f>
        <v>Real $2022</v>
      </c>
      <c r="B14" s="33"/>
      <c r="C14">
        <v>2006</v>
      </c>
      <c r="D14">
        <v>2007</v>
      </c>
      <c r="E14">
        <v>2008</v>
      </c>
      <c r="F14">
        <v>2009</v>
      </c>
      <c r="G14">
        <v>2010</v>
      </c>
      <c r="H14">
        <v>2011</v>
      </c>
      <c r="I14">
        <v>2012</v>
      </c>
      <c r="J14">
        <v>2013</v>
      </c>
      <c r="K14">
        <v>2014</v>
      </c>
      <c r="L14">
        <v>2015</v>
      </c>
      <c r="M14">
        <v>2016</v>
      </c>
      <c r="N14">
        <v>2017</v>
      </c>
      <c r="O14">
        <v>2018</v>
      </c>
      <c r="P14">
        <v>2019</v>
      </c>
      <c r="Q14">
        <v>2020</v>
      </c>
      <c r="R14">
        <v>2021</v>
      </c>
      <c r="S14">
        <v>2022</v>
      </c>
      <c r="T14" t="s">
        <v>114</v>
      </c>
    </row>
    <row r="15" spans="1:20" x14ac:dyDescent="0.35">
      <c r="A15" s="27" t="s">
        <v>36</v>
      </c>
      <c r="B15" s="27" t="s">
        <v>117</v>
      </c>
      <c r="C15" s="20">
        <f>C8*C$4</f>
        <v>-68906.350973317589</v>
      </c>
      <c r="D15" s="20">
        <f t="shared" ref="D15:N15" si="0">D8*D$4</f>
        <v>-74201.697311853437</v>
      </c>
      <c r="E15" s="20">
        <f t="shared" si="0"/>
        <v>-68222.577107998513</v>
      </c>
      <c r="F15" s="20">
        <f t="shared" si="0"/>
        <v>-75071.638586661415</v>
      </c>
      <c r="G15" s="20">
        <f t="shared" si="0"/>
        <v>-80286.926684280115</v>
      </c>
      <c r="H15" s="20">
        <f t="shared" si="0"/>
        <v>-82423.303477700378</v>
      </c>
      <c r="I15" s="20">
        <f t="shared" si="0"/>
        <v>-84306.188512049601</v>
      </c>
      <c r="J15" s="20">
        <f t="shared" si="0"/>
        <v>-90622.647116272899</v>
      </c>
      <c r="K15" s="20">
        <f t="shared" si="0"/>
        <v>-91560.255321558434</v>
      </c>
      <c r="L15" s="20">
        <f t="shared" si="0"/>
        <v>-101309.4872001664</v>
      </c>
      <c r="M15" s="20">
        <f t="shared" si="0"/>
        <v>-111655.12175840611</v>
      </c>
      <c r="N15" s="20">
        <f t="shared" si="0"/>
        <v>-118407.83620565257</v>
      </c>
      <c r="O15" s="20">
        <f t="shared" ref="O15:Q16" si="1">O8*O$4</f>
        <v>-116971.03957183275</v>
      </c>
      <c r="P15" s="20">
        <f t="shared" si="1"/>
        <v>-117573.88132954614</v>
      </c>
      <c r="Q15" s="20">
        <f>Q8*Q$4</f>
        <v>-137195.37839070568</v>
      </c>
      <c r="R15" s="20">
        <f>R8*R$4</f>
        <v>-141135.14371674656</v>
      </c>
      <c r="S15" s="20">
        <f>S8*S$4</f>
        <v>-146210.29050817463</v>
      </c>
      <c r="T15" s="11">
        <f>AVERAGE(O15:S15)</f>
        <v>-131817.14670340117</v>
      </c>
    </row>
    <row r="16" spans="1:20" x14ac:dyDescent="0.35">
      <c r="A16" s="27" t="s">
        <v>20</v>
      </c>
      <c r="B16" s="27" t="s">
        <v>117</v>
      </c>
      <c r="C16" s="20">
        <f>C9*C$4</f>
        <v>-199377.56203921515</v>
      </c>
      <c r="D16" s="20">
        <f t="shared" ref="D16:N16" si="2">D9*D$4</f>
        <v>-204377.03555878552</v>
      </c>
      <c r="E16" s="20">
        <f t="shared" si="2"/>
        <v>-222196.02616026747</v>
      </c>
      <c r="F16" s="20">
        <f t="shared" si="2"/>
        <v>-249199.1106311426</v>
      </c>
      <c r="G16" s="20">
        <f t="shared" si="2"/>
        <v>-256712.35121071085</v>
      </c>
      <c r="H16" s="20">
        <f t="shared" si="2"/>
        <v>-273145.73112254014</v>
      </c>
      <c r="I16" s="20">
        <f t="shared" si="2"/>
        <v>-284284.36395194707</v>
      </c>
      <c r="J16" s="20">
        <f t="shared" si="2"/>
        <v>-262190.23074855062</v>
      </c>
      <c r="K16" s="20">
        <f t="shared" si="2"/>
        <v>-282637.56608077884</v>
      </c>
      <c r="L16" s="20">
        <f t="shared" si="2"/>
        <v>-309603.04625136679</v>
      </c>
      <c r="M16" s="20">
        <f t="shared" si="2"/>
        <v>-322384.04800663784</v>
      </c>
      <c r="N16" s="20">
        <f t="shared" si="2"/>
        <v>-313889.92010447272</v>
      </c>
      <c r="O16" s="20">
        <f t="shared" si="1"/>
        <v>-293907.03142359335</v>
      </c>
      <c r="P16" s="20">
        <f t="shared" si="1"/>
        <v>-316182.31858100474</v>
      </c>
      <c r="Q16" s="20">
        <f t="shared" si="1"/>
        <v>-329010.2467164917</v>
      </c>
      <c r="R16" s="20">
        <f t="shared" ref="R16:S16" si="3">R9*R$4</f>
        <v>-338349.28110904491</v>
      </c>
      <c r="S16" s="20">
        <f t="shared" si="3"/>
        <v>-330268.44670989987</v>
      </c>
      <c r="T16" s="11">
        <f>AVERAGE(O16:S16)</f>
        <v>-321543.46490800695</v>
      </c>
    </row>
    <row r="17" spans="1:20" x14ac:dyDescent="0.35">
      <c r="A17" s="27" t="s">
        <v>34</v>
      </c>
      <c r="B17" s="27" t="s">
        <v>117</v>
      </c>
      <c r="C17" s="20">
        <f>C10*C$3</f>
        <v>-130455.96271702637</v>
      </c>
      <c r="D17" s="20">
        <f t="shared" ref="D17:N17" si="4">D10*D$3</f>
        <v>-133399.88100346018</v>
      </c>
      <c r="E17" s="20">
        <f t="shared" si="4"/>
        <v>-147653.52896715741</v>
      </c>
      <c r="F17" s="20">
        <f t="shared" si="4"/>
        <v>-145723.4738737864</v>
      </c>
      <c r="G17" s="20">
        <f t="shared" si="4"/>
        <v>-151741.37161940298</v>
      </c>
      <c r="H17" s="20">
        <f t="shared" si="4"/>
        <v>-155356.39174300517</v>
      </c>
      <c r="I17" s="20">
        <f t="shared" si="4"/>
        <v>-156359.01033166333</v>
      </c>
      <c r="J17" s="20">
        <f t="shared" si="4"/>
        <v>-160575.60250392929</v>
      </c>
      <c r="K17" s="20">
        <f t="shared" si="4"/>
        <v>-154506.66361665723</v>
      </c>
      <c r="L17" s="20">
        <f t="shared" si="4"/>
        <v>-172650.02357296366</v>
      </c>
      <c r="M17" s="20">
        <f t="shared" si="4"/>
        <v>-178190.9565064304</v>
      </c>
      <c r="N17" s="20">
        <f t="shared" si="4"/>
        <v>-185843.0911714072</v>
      </c>
      <c r="O17" s="20">
        <f>O10*O$3</f>
        <v>-193458.4323119398</v>
      </c>
      <c r="P17" s="20">
        <f>P10*P$3</f>
        <v>-193701.62542303486</v>
      </c>
      <c r="Q17" s="20">
        <f>Q10*Q$3</f>
        <v>-199606.98700592743</v>
      </c>
      <c r="R17" s="20">
        <f>R10*R$3</f>
        <v>-201868.70719103882</v>
      </c>
      <c r="S17" s="20">
        <f>S10*S$3</f>
        <v>-176857.05518478039</v>
      </c>
      <c r="T17" s="11">
        <f>AVERAGE(O17:S17)</f>
        <v>-193098.56142334425</v>
      </c>
    </row>
    <row r="18" spans="1:20" x14ac:dyDescent="0.35">
      <c r="A18" s="27" t="s">
        <v>28</v>
      </c>
      <c r="B18" s="27" t="s">
        <v>117</v>
      </c>
      <c r="C18" s="20">
        <f>C11*C$4</f>
        <v>-51338.349642004767</v>
      </c>
      <c r="D18" s="20">
        <f t="shared" ref="D18:N18" si="5">D11*D$4</f>
        <v>-49382.856812933031</v>
      </c>
      <c r="E18" s="20">
        <f t="shared" si="5"/>
        <v>-53464.41863075197</v>
      </c>
      <c r="F18" s="20">
        <f t="shared" si="5"/>
        <v>-56377.890692640685</v>
      </c>
      <c r="G18" s="20">
        <f t="shared" si="5"/>
        <v>-66648.463414634156</v>
      </c>
      <c r="H18" s="20">
        <f t="shared" si="5"/>
        <v>-70573.055727554165</v>
      </c>
      <c r="I18" s="20">
        <f t="shared" si="5"/>
        <v>-69342.364729458917</v>
      </c>
      <c r="J18" s="20">
        <f t="shared" si="5"/>
        <v>-67473.390196078428</v>
      </c>
      <c r="K18" s="20">
        <f t="shared" si="5"/>
        <v>-73920.838654570616</v>
      </c>
      <c r="L18" s="20">
        <f t="shared" si="5"/>
        <v>-62976.084548383027</v>
      </c>
      <c r="M18" s="20">
        <f t="shared" si="5"/>
        <v>-66548.496152608466</v>
      </c>
      <c r="N18" s="20">
        <f t="shared" si="5"/>
        <v>-70276.732112058526</v>
      </c>
      <c r="O18" s="20">
        <f t="shared" ref="O18:Q19" si="6">O11*O$4</f>
        <v>-69057.461304542914</v>
      </c>
      <c r="P18" s="20">
        <f t="shared" si="6"/>
        <v>-69394.366532466302</v>
      </c>
      <c r="Q18" s="20">
        <f t="shared" si="6"/>
        <v>-61219.845489729603</v>
      </c>
      <c r="R18" s="20">
        <f t="shared" ref="R18:S18" si="7">R11*R$4</f>
        <v>-62432.428231669423</v>
      </c>
      <c r="S18" s="20">
        <f t="shared" si="7"/>
        <v>-69084.920313946248</v>
      </c>
      <c r="T18" s="11">
        <f>AVERAGE(O18:S18)</f>
        <v>-66237.804374470899</v>
      </c>
    </row>
    <row r="19" spans="1:20" x14ac:dyDescent="0.35">
      <c r="A19" s="27" t="s">
        <v>37</v>
      </c>
      <c r="B19" s="27" t="s">
        <v>117</v>
      </c>
      <c r="C19" s="20">
        <f>C12*C$4</f>
        <v>-183162.04498028691</v>
      </c>
      <c r="D19" s="20">
        <f t="shared" ref="D19:N19" si="8">D12*D$4</f>
        <v>-190514.38452655889</v>
      </c>
      <c r="E19" s="20">
        <f t="shared" si="8"/>
        <v>-195892.3164983165</v>
      </c>
      <c r="F19" s="20">
        <f t="shared" si="8"/>
        <v>-212005.31620590601</v>
      </c>
      <c r="G19" s="20">
        <f t="shared" si="8"/>
        <v>-239303.8729635051</v>
      </c>
      <c r="H19" s="20">
        <f t="shared" si="8"/>
        <v>-236473.21669239915</v>
      </c>
      <c r="I19" s="20">
        <f t="shared" si="8"/>
        <v>-232916.41118455268</v>
      </c>
      <c r="J19" s="20">
        <f t="shared" si="8"/>
        <v>-246532.37559590401</v>
      </c>
      <c r="K19" s="20">
        <f t="shared" si="8"/>
        <v>-267493.54439881409</v>
      </c>
      <c r="L19" s="20">
        <f t="shared" si="8"/>
        <v>-288827.23558704637</v>
      </c>
      <c r="M19" s="20">
        <f t="shared" si="8"/>
        <v>-304635.10486383789</v>
      </c>
      <c r="N19" s="20">
        <f t="shared" si="8"/>
        <v>-320647.08337651368</v>
      </c>
      <c r="O19" s="20">
        <f t="shared" si="6"/>
        <v>-298139.2839531349</v>
      </c>
      <c r="P19" s="20">
        <f t="shared" si="6"/>
        <v>-282888.12386603968</v>
      </c>
      <c r="Q19" s="20">
        <f t="shared" si="6"/>
        <v>-298095.26375817554</v>
      </c>
      <c r="R19" s="20">
        <f t="shared" ref="R19:S19" si="9">R12*R$4</f>
        <v>-311979.45447610918</v>
      </c>
      <c r="S19" s="20">
        <f t="shared" si="9"/>
        <v>-303068.67346743617</v>
      </c>
      <c r="T19" s="11">
        <f>AVERAGE(O19:S19)</f>
        <v>-298834.15990417905</v>
      </c>
    </row>
    <row r="20" spans="1:20" x14ac:dyDescent="0.35">
      <c r="B20" s="32"/>
      <c r="C20" s="32"/>
      <c r="D20" s="32"/>
      <c r="E20" s="32"/>
      <c r="F20" s="32"/>
      <c r="G20" s="32"/>
      <c r="H20" s="32"/>
      <c r="I20" s="32"/>
    </row>
    <row r="21" spans="1:20" x14ac:dyDescent="0.35">
      <c r="B21" s="32"/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20" x14ac:dyDescent="0.35">
      <c r="B22" s="32"/>
      <c r="C22" s="32"/>
      <c r="D22" s="32"/>
      <c r="E22" s="32"/>
      <c r="F22" s="32"/>
      <c r="G22" s="32"/>
      <c r="H22" s="32"/>
      <c r="I22" s="32"/>
    </row>
    <row r="23" spans="1:20" x14ac:dyDescent="0.35">
      <c r="B23" s="32"/>
      <c r="C23" s="32"/>
      <c r="D23" s="32"/>
      <c r="E23" s="32"/>
      <c r="F23" s="32"/>
      <c r="G23" s="32"/>
      <c r="H23" s="32"/>
      <c r="I23" s="3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600-000007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Depreciation!C8:P8</xm:f>
              <xm:sqref>T8</xm:sqref>
            </x14:sparkline>
            <x14:sparkline>
              <xm:f>Depreciation!C9:P9</xm:f>
              <xm:sqref>T9</xm:sqref>
            </x14:sparkline>
            <x14:sparkline>
              <xm:f>Depreciation!C10:P10</xm:f>
              <xm:sqref>T10</xm:sqref>
            </x14:sparkline>
            <x14:sparkline>
              <xm:f>Depreciation!C11:P11</xm:f>
              <xm:sqref>T11</xm:sqref>
            </x14:sparkline>
            <x14:sparkline>
              <xm:f>Depreciation!C12:P12</xm:f>
              <xm:sqref>T12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T21"/>
  <sheetViews>
    <sheetView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H28" sqref="H28"/>
    </sheetView>
  </sheetViews>
  <sheetFormatPr defaultRowHeight="14.5" x14ac:dyDescent="0.35"/>
  <cols>
    <col min="1" max="1" width="52.1796875" customWidth="1"/>
    <col min="2" max="12" width="12.81640625" customWidth="1"/>
    <col min="14" max="14" width="11.1796875" bestFit="1" customWidth="1"/>
    <col min="15" max="15" width="11.1796875" customWidth="1"/>
    <col min="17" max="17" width="11.54296875" bestFit="1" customWidth="1"/>
    <col min="18" max="19" width="11.54296875" customWidth="1"/>
  </cols>
  <sheetData>
    <row r="1" spans="1:20" x14ac:dyDescent="0.35">
      <c r="A1" s="10" t="s">
        <v>25</v>
      </c>
    </row>
    <row r="2" spans="1:20" x14ac:dyDescent="0.35">
      <c r="B2" s="10" t="str">
        <f>"Real $"&amp;Real_year&amp;""</f>
        <v>Real $2022</v>
      </c>
      <c r="C2">
        <v>2006</v>
      </c>
      <c r="D2">
        <v>2007</v>
      </c>
      <c r="E2">
        <v>2008</v>
      </c>
      <c r="F2">
        <v>2009</v>
      </c>
      <c r="G2">
        <v>2010</v>
      </c>
      <c r="H2">
        <v>2011</v>
      </c>
      <c r="I2">
        <v>2012</v>
      </c>
      <c r="J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>
        <v>2020</v>
      </c>
      <c r="R2">
        <v>2021</v>
      </c>
      <c r="S2">
        <v>2022</v>
      </c>
    </row>
    <row r="3" spans="1:20" x14ac:dyDescent="0.35">
      <c r="A3" t="s">
        <v>104</v>
      </c>
      <c r="B3" s="10"/>
      <c r="C3" s="17">
        <f>CPI!F11</f>
        <v>1.467986030267753</v>
      </c>
      <c r="D3" s="17">
        <f>CPI!G11</f>
        <v>1.4378563283922461</v>
      </c>
      <c r="E3" s="17">
        <f>CPI!H11</f>
        <v>1.3766375545851528</v>
      </c>
      <c r="F3" s="17">
        <f>CPI!I11</f>
        <v>1.3573735199138857</v>
      </c>
      <c r="G3" s="17">
        <f>CPI!J11</f>
        <v>1.3162839248434237</v>
      </c>
      <c r="H3" s="17">
        <f>CPI!K11</f>
        <v>1.2711693548387095</v>
      </c>
      <c r="I3" s="17">
        <f>CPI!L11</f>
        <v>1.2559760956175297</v>
      </c>
      <c r="J3" s="17">
        <f>CPI!M11</f>
        <v>1.2266536964980546</v>
      </c>
      <c r="K3" s="17">
        <f>CPI!N11</f>
        <v>1.190745986779981</v>
      </c>
      <c r="L3" s="17">
        <f>CPI!O11</f>
        <v>1.1730232558139535</v>
      </c>
      <c r="M3" s="17">
        <f>CPI!P11</f>
        <v>1.1611418047882136</v>
      </c>
      <c r="N3" s="17">
        <f>CPI!Q11</f>
        <v>1.1391147244805782</v>
      </c>
      <c r="O3" s="17">
        <f>CPI!R11</f>
        <v>1.1159292035398229</v>
      </c>
      <c r="P3" s="17">
        <f>CPI!S11</f>
        <v>1.0984320557491289</v>
      </c>
      <c r="Q3" s="17">
        <f>CPI!T11</f>
        <v>1.1022727272727271</v>
      </c>
      <c r="R3" s="17">
        <f>CPI!U11</f>
        <v>1.0614478114478114</v>
      </c>
      <c r="S3" s="17">
        <f>CPI!V11</f>
        <v>1</v>
      </c>
    </row>
    <row r="4" spans="1:20" x14ac:dyDescent="0.35">
      <c r="A4" t="s">
        <v>56</v>
      </c>
      <c r="C4" s="17">
        <f>CPI!F13</f>
        <v>1.5119904076738608</v>
      </c>
      <c r="D4" s="17">
        <f>CPI!G13</f>
        <v>1.4544405997693193</v>
      </c>
      <c r="E4" s="17">
        <f>CPI!H13</f>
        <v>1.4280860702151754</v>
      </c>
      <c r="F4" s="17">
        <f>CPI!I13</f>
        <v>1.3603020496224378</v>
      </c>
      <c r="G4" s="17">
        <f>CPI!J13</f>
        <v>1.3443496801705757</v>
      </c>
      <c r="H4" s="17">
        <f>CPI!K13</f>
        <v>1.3067357512953368</v>
      </c>
      <c r="I4" s="17">
        <f>CPI!L13</f>
        <v>1.2635270541082164</v>
      </c>
      <c r="J4" s="17">
        <f>CPI!M13</f>
        <v>1.2387033398821219</v>
      </c>
      <c r="K4" s="17">
        <f>CPI!N13</f>
        <v>1.2124999999999999</v>
      </c>
      <c r="L4" s="17">
        <f>CPI!O13</f>
        <v>1.1851503759398494</v>
      </c>
      <c r="M4" s="17">
        <f>CPI!P13</f>
        <v>1.1675925925925925</v>
      </c>
      <c r="N4" s="17">
        <f>CPI!Q13</f>
        <v>1.1526508226691041</v>
      </c>
      <c r="O4" s="17">
        <f>CPI!R13</f>
        <v>1.1319569120287252</v>
      </c>
      <c r="P4" s="17">
        <f>CPI!S13</f>
        <v>1.1110132158590307</v>
      </c>
      <c r="Q4" s="17">
        <f>CPI!T13</f>
        <v>1.0927209705372616</v>
      </c>
      <c r="R4" s="17">
        <f>CPI!U13</f>
        <v>1.0851979345955249</v>
      </c>
      <c r="S4" s="17">
        <f>CPI!V13</f>
        <v>1.0534670008354219</v>
      </c>
    </row>
    <row r="5" spans="1:20" x14ac:dyDescent="0.35">
      <c r="A5" t="s">
        <v>55</v>
      </c>
      <c r="C5" s="17">
        <f>CPI!F12</f>
        <v>1.5047732696897373</v>
      </c>
      <c r="D5" s="17">
        <f>CPI!G12</f>
        <v>1.456120092378753</v>
      </c>
      <c r="E5" s="17">
        <f>CPI!H12</f>
        <v>1.415263748597082</v>
      </c>
      <c r="F5" s="17">
        <f>CPI!I12</f>
        <v>1.3647186147186146</v>
      </c>
      <c r="G5" s="17">
        <f>CPI!J12</f>
        <v>1.3372216330858961</v>
      </c>
      <c r="H5" s="17">
        <f>CPI!K12</f>
        <v>1.3013415892672857</v>
      </c>
      <c r="I5" s="17">
        <f>CPI!L12</f>
        <v>1.2635270541082164</v>
      </c>
      <c r="J5" s="17">
        <f>CPI!M12</f>
        <v>1.2362745098039216</v>
      </c>
      <c r="K5" s="17">
        <f>CPI!N12</f>
        <v>1.2032442748091603</v>
      </c>
      <c r="L5" s="17">
        <f>CPI!O12</f>
        <v>1.1829268292682926</v>
      </c>
      <c r="M5" s="17">
        <f>CPI!P12</f>
        <v>1.1632841328413284</v>
      </c>
      <c r="N5" s="17">
        <f>CPI!Q12</f>
        <v>1.1463636363636363</v>
      </c>
      <c r="O5" s="17">
        <f>CPI!R12</f>
        <v>1.1248884924174845</v>
      </c>
      <c r="P5" s="17">
        <f>CPI!S12</f>
        <v>1.105170902716915</v>
      </c>
      <c r="Q5" s="17">
        <f>CPI!T12</f>
        <v>1.0851979345955249</v>
      </c>
      <c r="R5" s="17">
        <f>CPI!U12</f>
        <v>1.0759385665529009</v>
      </c>
      <c r="S5" s="17">
        <f>CPI!V12</f>
        <v>1.0395713107996702</v>
      </c>
    </row>
    <row r="6" spans="1:20" x14ac:dyDescent="0.35">
      <c r="R6" s="17"/>
      <c r="S6" s="17"/>
    </row>
    <row r="8" spans="1:20" x14ac:dyDescent="0.35">
      <c r="A8" s="10" t="s">
        <v>113</v>
      </c>
      <c r="B8" s="10" t="s">
        <v>103</v>
      </c>
    </row>
    <row r="9" spans="1:20" x14ac:dyDescent="0.35">
      <c r="A9" s="10" t="s">
        <v>62</v>
      </c>
      <c r="B9" s="10"/>
      <c r="C9">
        <f t="shared" ref="C9:M9" si="0">C2</f>
        <v>2006</v>
      </c>
      <c r="D9">
        <f t="shared" si="0"/>
        <v>2007</v>
      </c>
      <c r="E9">
        <f t="shared" si="0"/>
        <v>2008</v>
      </c>
      <c r="F9">
        <f t="shared" si="0"/>
        <v>2009</v>
      </c>
      <c r="G9">
        <f t="shared" si="0"/>
        <v>2010</v>
      </c>
      <c r="H9">
        <f t="shared" si="0"/>
        <v>2011</v>
      </c>
      <c r="I9">
        <f t="shared" si="0"/>
        <v>2012</v>
      </c>
      <c r="J9">
        <f t="shared" si="0"/>
        <v>2013</v>
      </c>
      <c r="K9">
        <f t="shared" si="0"/>
        <v>2014</v>
      </c>
      <c r="L9">
        <f t="shared" si="0"/>
        <v>2015</v>
      </c>
      <c r="M9">
        <f t="shared" si="0"/>
        <v>2016</v>
      </c>
      <c r="N9">
        <v>2017</v>
      </c>
      <c r="O9">
        <v>2018</v>
      </c>
      <c r="P9">
        <v>2019</v>
      </c>
      <c r="Q9">
        <v>2020</v>
      </c>
      <c r="R9">
        <v>2021</v>
      </c>
      <c r="S9">
        <v>2022</v>
      </c>
    </row>
    <row r="10" spans="1:20" x14ac:dyDescent="0.35">
      <c r="A10" s="27" t="s">
        <v>36</v>
      </c>
      <c r="B10" s="27" t="s">
        <v>61</v>
      </c>
      <c r="C10" s="20">
        <v>89258.11425374214</v>
      </c>
      <c r="D10" s="20">
        <v>80842.987365847715</v>
      </c>
      <c r="E10" s="20">
        <v>162293.47653741398</v>
      </c>
      <c r="F10" s="20">
        <v>59106.056239456964</v>
      </c>
      <c r="G10" s="20">
        <v>20345.625267704796</v>
      </c>
      <c r="H10" s="20">
        <v>97061.100193905717</v>
      </c>
      <c r="I10" s="20">
        <v>315713.09947788186</v>
      </c>
      <c r="J10" s="20">
        <v>178283.85468255344</v>
      </c>
      <c r="K10" s="20">
        <v>232198.0008218725</v>
      </c>
      <c r="L10" s="20">
        <v>96869.77632107136</v>
      </c>
      <c r="M10" s="20">
        <v>142117.46961331938</v>
      </c>
      <c r="N10" s="20">
        <v>169671.86470311059</v>
      </c>
      <c r="O10" s="20">
        <v>204289.22000560572</v>
      </c>
      <c r="P10" s="20">
        <v>177293.90200828851</v>
      </c>
      <c r="Q10" s="47">
        <v>49311.832000000002</v>
      </c>
      <c r="R10" s="47">
        <v>77797.344739000968</v>
      </c>
      <c r="S10" s="47">
        <v>272835.26611376967</v>
      </c>
    </row>
    <row r="11" spans="1:20" x14ac:dyDescent="0.35">
      <c r="A11" s="27" t="s">
        <v>20</v>
      </c>
      <c r="B11" s="27" t="s">
        <v>61</v>
      </c>
      <c r="C11" s="20">
        <v>269318.53261280397</v>
      </c>
      <c r="D11" s="20">
        <v>256570.90166529323</v>
      </c>
      <c r="E11" s="20">
        <v>678189.56935022678</v>
      </c>
      <c r="F11" s="20">
        <v>671491.83669466269</v>
      </c>
      <c r="G11" s="20">
        <v>473251.6947943017</v>
      </c>
      <c r="H11" s="20">
        <v>463875.87787008594</v>
      </c>
      <c r="I11" s="20">
        <v>503875.60955456615</v>
      </c>
      <c r="J11" s="20">
        <v>504179.01052687335</v>
      </c>
      <c r="K11" s="20">
        <v>593347.80624161765</v>
      </c>
      <c r="L11" s="20">
        <v>245700.20910001502</v>
      </c>
      <c r="M11" s="20">
        <v>124656.92009012518</v>
      </c>
      <c r="N11" s="20">
        <v>165717.78678948872</v>
      </c>
      <c r="O11" s="20">
        <v>124148.14240923422</v>
      </c>
      <c r="P11" s="20">
        <v>214676.63614106682</v>
      </c>
      <c r="Q11" s="47">
        <v>77521.510388175127</v>
      </c>
      <c r="R11" s="47">
        <v>127577.26012747781</v>
      </c>
      <c r="S11" s="47">
        <v>199743.55664884832</v>
      </c>
    </row>
    <row r="12" spans="1:20" x14ac:dyDescent="0.35">
      <c r="A12" s="27" t="s">
        <v>34</v>
      </c>
      <c r="B12" s="27" t="s">
        <v>61</v>
      </c>
      <c r="C12" s="20">
        <v>60055.487000000001</v>
      </c>
      <c r="D12" s="20">
        <v>81707.709000000003</v>
      </c>
      <c r="E12" s="20">
        <v>109142.72199999999</v>
      </c>
      <c r="F12" s="20">
        <v>41643.434000000001</v>
      </c>
      <c r="G12" s="20">
        <v>86552.108999999997</v>
      </c>
      <c r="H12" s="20">
        <v>110822.41800000001</v>
      </c>
      <c r="I12" s="20">
        <v>124792.08900000001</v>
      </c>
      <c r="J12" s="20">
        <v>166090.78399999999</v>
      </c>
      <c r="K12" s="20">
        <v>176329.54932170166</v>
      </c>
      <c r="L12" s="20">
        <v>192954.250261384</v>
      </c>
      <c r="M12" s="20">
        <v>133160.81765741587</v>
      </c>
      <c r="N12" s="20">
        <v>125721.37942957168</v>
      </c>
      <c r="O12" s="20">
        <v>113724.56413357373</v>
      </c>
      <c r="P12" s="20">
        <v>119668.70306964719</v>
      </c>
      <c r="Q12" s="47">
        <v>230006.49998383893</v>
      </c>
      <c r="R12" s="47">
        <v>148420.04715022445</v>
      </c>
      <c r="S12" s="47">
        <v>199940.24675008026</v>
      </c>
    </row>
    <row r="13" spans="1:20" x14ac:dyDescent="0.35">
      <c r="A13" s="27" t="s">
        <v>28</v>
      </c>
      <c r="B13" s="27" t="s">
        <v>61</v>
      </c>
      <c r="C13" s="20">
        <v>67649</v>
      </c>
      <c r="D13" s="20">
        <v>97870</v>
      </c>
      <c r="E13" s="20">
        <v>59619</v>
      </c>
      <c r="F13" s="20">
        <v>82109</v>
      </c>
      <c r="G13" s="20">
        <v>49873</v>
      </c>
      <c r="H13" s="20">
        <v>222178</v>
      </c>
      <c r="I13" s="20">
        <v>105301</v>
      </c>
      <c r="J13" s="20">
        <v>87448</v>
      </c>
      <c r="K13" s="20">
        <v>174694.62803962029</v>
      </c>
      <c r="L13" s="20">
        <v>31333.159254127593</v>
      </c>
      <c r="M13" s="20">
        <v>24922.723995073349</v>
      </c>
      <c r="N13" s="20">
        <v>27737.785856726568</v>
      </c>
      <c r="O13" s="20">
        <v>47336.276340199896</v>
      </c>
      <c r="P13" s="20">
        <v>64485.204634988841</v>
      </c>
      <c r="Q13" s="47">
        <v>59472.139368714496</v>
      </c>
      <c r="R13" s="81">
        <v>38111.489240591822</v>
      </c>
      <c r="S13" s="47">
        <v>44360.198887180661</v>
      </c>
    </row>
    <row r="14" spans="1:20" x14ac:dyDescent="0.35">
      <c r="A14" s="27" t="s">
        <v>37</v>
      </c>
      <c r="B14" s="27" t="s">
        <v>61</v>
      </c>
      <c r="C14" s="20">
        <v>162036</v>
      </c>
      <c r="D14" s="20">
        <v>225936</v>
      </c>
      <c r="E14" s="20">
        <v>337001</v>
      </c>
      <c r="F14" s="20">
        <v>549433.30268145294</v>
      </c>
      <c r="G14" s="20">
        <v>240632.34056820587</v>
      </c>
      <c r="H14" s="20">
        <v>370580.90669528913</v>
      </c>
      <c r="I14" s="20">
        <v>377519.62609399756</v>
      </c>
      <c r="J14" s="20">
        <v>386404.8127500806</v>
      </c>
      <c r="K14" s="20">
        <v>599025.85733420495</v>
      </c>
      <c r="L14" s="20">
        <v>299576.62671298435</v>
      </c>
      <c r="M14" s="20">
        <v>262567.9137873014</v>
      </c>
      <c r="N14" s="20">
        <v>139468.48002247565</v>
      </c>
      <c r="O14" s="20">
        <v>239882.38990682526</v>
      </c>
      <c r="P14" s="20">
        <v>265754.53729379684</v>
      </c>
      <c r="Q14" s="47">
        <v>217115.573</v>
      </c>
      <c r="R14" s="81">
        <v>208491.98199999999</v>
      </c>
      <c r="S14" s="47">
        <v>461120.63</v>
      </c>
    </row>
    <row r="16" spans="1:20" x14ac:dyDescent="0.35">
      <c r="A16" s="10" t="str">
        <f>CONCATENATE(B2)</f>
        <v>Real $2022</v>
      </c>
      <c r="B16" s="10"/>
      <c r="C16">
        <f t="shared" ref="C16:M16" si="1">C2</f>
        <v>2006</v>
      </c>
      <c r="D16">
        <f t="shared" si="1"/>
        <v>2007</v>
      </c>
      <c r="E16">
        <f t="shared" si="1"/>
        <v>2008</v>
      </c>
      <c r="F16">
        <f t="shared" si="1"/>
        <v>2009</v>
      </c>
      <c r="G16">
        <f t="shared" si="1"/>
        <v>2010</v>
      </c>
      <c r="H16">
        <f t="shared" si="1"/>
        <v>2011</v>
      </c>
      <c r="I16">
        <f t="shared" si="1"/>
        <v>2012</v>
      </c>
      <c r="J16">
        <f t="shared" si="1"/>
        <v>2013</v>
      </c>
      <c r="K16">
        <f t="shared" si="1"/>
        <v>2014</v>
      </c>
      <c r="L16">
        <f t="shared" si="1"/>
        <v>2015</v>
      </c>
      <c r="M16">
        <f t="shared" si="1"/>
        <v>2016</v>
      </c>
      <c r="N16">
        <v>2017</v>
      </c>
      <c r="O16">
        <v>2018</v>
      </c>
      <c r="P16">
        <v>2019</v>
      </c>
      <c r="Q16">
        <v>2020</v>
      </c>
      <c r="R16">
        <v>2021</v>
      </c>
      <c r="S16">
        <v>2022</v>
      </c>
      <c r="T16" t="s">
        <v>114</v>
      </c>
    </row>
    <row r="17" spans="1:20" x14ac:dyDescent="0.35">
      <c r="A17" s="27" t="s">
        <v>36</v>
      </c>
      <c r="B17" s="27" t="s">
        <v>117</v>
      </c>
      <c r="C17" s="20">
        <f t="shared" ref="C17:Q21" si="2">C10*C$5</f>
        <v>134313.2244319437</v>
      </c>
      <c r="D17" s="20">
        <f t="shared" si="2"/>
        <v>117717.09823133254</v>
      </c>
      <c r="E17" s="20">
        <f t="shared" si="2"/>
        <v>229688.0739771931</v>
      </c>
      <c r="F17" s="20">
        <f t="shared" si="2"/>
        <v>80663.135192592235</v>
      </c>
      <c r="G17" s="20">
        <f t="shared" si="2"/>
        <v>27206.610246633882</v>
      </c>
      <c r="H17" s="20">
        <f t="shared" si="2"/>
        <v>126309.64638236852</v>
      </c>
      <c r="I17" s="20">
        <f t="shared" si="2"/>
        <v>398912.04252666235</v>
      </c>
      <c r="J17" s="20">
        <f t="shared" si="2"/>
        <v>220407.78505362736</v>
      </c>
      <c r="K17" s="20">
        <f t="shared" si="2"/>
        <v>279390.91511105077</v>
      </c>
      <c r="L17" s="20">
        <f t="shared" si="2"/>
        <v>114589.85735541368</v>
      </c>
      <c r="M17" s="20">
        <f t="shared" si="2"/>
        <v>165322.99740073408</v>
      </c>
      <c r="N17" s="20">
        <f t="shared" si="2"/>
        <v>194505.65580965678</v>
      </c>
      <c r="O17" s="20">
        <f t="shared" si="2"/>
        <v>229802.59270924961</v>
      </c>
      <c r="P17" s="20">
        <f t="shared" si="2"/>
        <v>195940.06172870449</v>
      </c>
      <c r="Q17" s="20">
        <f t="shared" si="2"/>
        <v>53513.098237521517</v>
      </c>
      <c r="R17" s="20">
        <f>R10*R$5</f>
        <v>83705.16358010257</v>
      </c>
      <c r="S17" s="20">
        <f>S10*S$5</f>
        <v>283631.7152262684</v>
      </c>
      <c r="T17" s="11">
        <f>AVERAGE(O17:S17)</f>
        <v>169318.52629636932</v>
      </c>
    </row>
    <row r="18" spans="1:20" x14ac:dyDescent="0.35">
      <c r="A18" s="27" t="s">
        <v>20</v>
      </c>
      <c r="B18" s="27" t="s">
        <v>117</v>
      </c>
      <c r="C18" s="20">
        <f t="shared" si="2"/>
        <v>405263.3289078112</v>
      </c>
      <c r="D18" s="20">
        <f t="shared" si="2"/>
        <v>373598.04503456672</v>
      </c>
      <c r="E18" s="20">
        <f t="shared" si="2"/>
        <v>959817.11217804265</v>
      </c>
      <c r="F18" s="20">
        <f t="shared" si="2"/>
        <v>916397.40916879824</v>
      </c>
      <c r="G18" s="20">
        <f t="shared" si="2"/>
        <v>632842.40417350421</v>
      </c>
      <c r="H18" s="20">
        <f t="shared" si="2"/>
        <v>603660.97213021491</v>
      </c>
      <c r="I18" s="20">
        <f t="shared" si="2"/>
        <v>636660.46457746287</v>
      </c>
      <c r="J18" s="20">
        <f t="shared" si="2"/>
        <v>623303.65909253655</v>
      </c>
      <c r="K18" s="20">
        <f t="shared" si="2"/>
        <v>713942.35083080141</v>
      </c>
      <c r="L18" s="20">
        <f t="shared" si="2"/>
        <v>290645.36930123728</v>
      </c>
      <c r="M18" s="20">
        <f t="shared" si="2"/>
        <v>145011.41718971202</v>
      </c>
      <c r="N18" s="20">
        <f t="shared" si="2"/>
        <v>189972.84467413204</v>
      </c>
      <c r="O18" s="20">
        <f t="shared" si="2"/>
        <v>139652.81675115463</v>
      </c>
      <c r="P18" s="20">
        <f t="shared" si="2"/>
        <v>237254.3717562535</v>
      </c>
      <c r="Q18" s="20">
        <f t="shared" si="2"/>
        <v>84126.182959973172</v>
      </c>
      <c r="R18" s="20">
        <f t="shared" ref="R18:S21" si="3">R11*R$5</f>
        <v>137265.29438630503</v>
      </c>
      <c r="S18" s="20">
        <f t="shared" si="3"/>
        <v>207647.67100923145</v>
      </c>
      <c r="T18" s="11">
        <f t="shared" ref="T18:T21" si="4">AVERAGE(O18:S18)</f>
        <v>161189.26737258356</v>
      </c>
    </row>
    <row r="19" spans="1:20" x14ac:dyDescent="0.35">
      <c r="A19" s="27" t="s">
        <v>34</v>
      </c>
      <c r="B19" s="27" t="s">
        <v>117</v>
      </c>
      <c r="C19" s="20">
        <f t="shared" ref="C19:Q19" si="5">C12*C$4</f>
        <v>90803.320272182245</v>
      </c>
      <c r="D19" s="20">
        <f t="shared" si="5"/>
        <v>118839.009283737</v>
      </c>
      <c r="E19" s="20">
        <f t="shared" si="5"/>
        <v>155865.20095356737</v>
      </c>
      <c r="F19" s="20">
        <f t="shared" si="5"/>
        <v>56647.648623516718</v>
      </c>
      <c r="G19" s="20">
        <f t="shared" si="5"/>
        <v>116356.3000522388</v>
      </c>
      <c r="H19" s="20">
        <f t="shared" si="5"/>
        <v>144815.61564559586</v>
      </c>
      <c r="I19" s="20">
        <f t="shared" si="5"/>
        <v>157678.18059018036</v>
      </c>
      <c r="J19" s="20">
        <f t="shared" si="5"/>
        <v>205737.20886444006</v>
      </c>
      <c r="K19" s="20">
        <f t="shared" si="5"/>
        <v>213799.57855256324</v>
      </c>
      <c r="L19" s="20">
        <f t="shared" si="5"/>
        <v>228679.80223647103</v>
      </c>
      <c r="M19" s="20">
        <f t="shared" si="5"/>
        <v>155477.58432037168</v>
      </c>
      <c r="N19" s="20">
        <f t="shared" si="5"/>
        <v>144912.85142659038</v>
      </c>
      <c r="O19" s="20">
        <f t="shared" si="5"/>
        <v>128731.30643845284</v>
      </c>
      <c r="P19" s="20">
        <f>P12*P$4</f>
        <v>132953.51063508817</v>
      </c>
      <c r="Q19" s="20">
        <f t="shared" si="5"/>
        <v>251332.92589221912</v>
      </c>
      <c r="R19" s="20">
        <f>R12*R$4</f>
        <v>161065.12861999401</v>
      </c>
      <c r="S19" s="20">
        <f>S12*S$4</f>
        <v>210630.45209010126</v>
      </c>
      <c r="T19" s="11">
        <f t="shared" si="4"/>
        <v>176942.66473517107</v>
      </c>
    </row>
    <row r="20" spans="1:20" x14ac:dyDescent="0.35">
      <c r="A20" s="27" t="s">
        <v>28</v>
      </c>
      <c r="B20" s="27" t="s">
        <v>117</v>
      </c>
      <c r="C20" s="20">
        <f t="shared" si="2"/>
        <v>101796.40692124104</v>
      </c>
      <c r="D20" s="20">
        <f t="shared" si="2"/>
        <v>142510.47344110854</v>
      </c>
      <c r="E20" s="20">
        <f t="shared" si="2"/>
        <v>84376.609427609437</v>
      </c>
      <c r="F20" s="20">
        <f t="shared" si="2"/>
        <v>112055.68073593073</v>
      </c>
      <c r="G20" s="20">
        <f t="shared" si="2"/>
        <v>66691.254506892903</v>
      </c>
      <c r="H20" s="20">
        <f t="shared" si="2"/>
        <v>289129.47162022698</v>
      </c>
      <c r="I20" s="20">
        <f t="shared" si="2"/>
        <v>133050.66232464931</v>
      </c>
      <c r="J20" s="20">
        <f t="shared" si="2"/>
        <v>108109.73333333334</v>
      </c>
      <c r="K20" s="20">
        <f t="shared" si="2"/>
        <v>210200.31102858891</v>
      </c>
      <c r="L20" s="20">
        <f t="shared" si="2"/>
        <v>37064.834727443616</v>
      </c>
      <c r="M20" s="20">
        <f t="shared" si="2"/>
        <v>28992.209370652668</v>
      </c>
      <c r="N20" s="20">
        <f t="shared" si="2"/>
        <v>31797.589059392907</v>
      </c>
      <c r="O20" s="20">
        <f t="shared" si="2"/>
        <v>53248.032528984899</v>
      </c>
      <c r="P20" s="20">
        <f t="shared" si="2"/>
        <v>71267.171818335613</v>
      </c>
      <c r="Q20" s="20">
        <f t="shared" si="2"/>
        <v>64539.042808906175</v>
      </c>
      <c r="R20" s="20">
        <f t="shared" si="3"/>
        <v>41005.621102718673</v>
      </c>
      <c r="S20" s="20">
        <f t="shared" si="3"/>
        <v>46115.59010448047</v>
      </c>
      <c r="T20" s="11">
        <f t="shared" si="4"/>
        <v>55235.091672685157</v>
      </c>
    </row>
    <row r="21" spans="1:20" x14ac:dyDescent="0.35">
      <c r="A21" s="27" t="s">
        <v>37</v>
      </c>
      <c r="B21" s="27" t="s">
        <v>117</v>
      </c>
      <c r="C21" s="20">
        <f t="shared" si="2"/>
        <v>243827.44152744627</v>
      </c>
      <c r="D21" s="20">
        <f t="shared" si="2"/>
        <v>328989.94919168594</v>
      </c>
      <c r="E21" s="20">
        <f t="shared" si="2"/>
        <v>476945.29854096525</v>
      </c>
      <c r="F21" s="20">
        <f t="shared" si="2"/>
        <v>749821.85571570566</v>
      </c>
      <c r="G21" s="20">
        <f t="shared" si="2"/>
        <v>321778.77142789779</v>
      </c>
      <c r="H21" s="20">
        <f t="shared" si="2"/>
        <v>482252.34607095929</v>
      </c>
      <c r="I21" s="20">
        <f t="shared" si="2"/>
        <v>477006.26102658408</v>
      </c>
      <c r="J21" s="20">
        <f t="shared" si="2"/>
        <v>477702.42046848201</v>
      </c>
      <c r="K21" s="20">
        <f t="shared" si="2"/>
        <v>720774.433300031</v>
      </c>
      <c r="L21" s="20">
        <f t="shared" si="2"/>
        <v>354377.22916048148</v>
      </c>
      <c r="M21" s="20">
        <f t="shared" si="2"/>
        <v>305441.08790201758</v>
      </c>
      <c r="N21" s="20">
        <f t="shared" si="2"/>
        <v>159881.59391667435</v>
      </c>
      <c r="O21" s="20">
        <f t="shared" si="2"/>
        <v>269840.93993979186</v>
      </c>
      <c r="P21" s="20">
        <f t="shared" si="2"/>
        <v>293704.18188210152</v>
      </c>
      <c r="Q21" s="20">
        <f t="shared" si="2"/>
        <v>235613.37138812392</v>
      </c>
      <c r="R21" s="20">
        <f t="shared" si="3"/>
        <v>224324.5642508532</v>
      </c>
      <c r="S21" s="20">
        <f t="shared" si="3"/>
        <v>479367.77776586975</v>
      </c>
      <c r="T21" s="11">
        <f t="shared" si="4"/>
        <v>300570.16704534803</v>
      </c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V310"/>
  <sheetViews>
    <sheetView workbookViewId="0">
      <selection activeCell="E10" sqref="E10"/>
    </sheetView>
  </sheetViews>
  <sheetFormatPr defaultRowHeight="14.5" x14ac:dyDescent="0.35"/>
  <cols>
    <col min="1" max="1" width="24.81640625" style="5" customWidth="1"/>
    <col min="2" max="2" width="23.81640625" style="5" bestFit="1" customWidth="1"/>
    <col min="4" max="4" width="47" bestFit="1" customWidth="1"/>
    <col min="5" max="5" width="9.81640625" customWidth="1"/>
  </cols>
  <sheetData>
    <row r="1" spans="1:22" ht="34.5" customHeight="1" x14ac:dyDescent="0.35">
      <c r="A1" s="1"/>
      <c r="B1" s="6" t="s">
        <v>10</v>
      </c>
      <c r="D1" s="37" t="s">
        <v>81</v>
      </c>
      <c r="Q1" s="4"/>
    </row>
    <row r="2" spans="1:22" x14ac:dyDescent="0.35">
      <c r="A2" s="2" t="s">
        <v>1</v>
      </c>
      <c r="B2" s="7" t="s">
        <v>11</v>
      </c>
      <c r="F2">
        <v>2006</v>
      </c>
      <c r="G2">
        <v>2007</v>
      </c>
      <c r="H2">
        <v>2008</v>
      </c>
      <c r="I2">
        <v>2009</v>
      </c>
      <c r="J2">
        <v>2010</v>
      </c>
      <c r="K2">
        <v>2011</v>
      </c>
      <c r="L2">
        <v>2012</v>
      </c>
      <c r="M2">
        <v>2013</v>
      </c>
      <c r="N2">
        <v>2014</v>
      </c>
      <c r="O2">
        <v>2015</v>
      </c>
      <c r="P2">
        <v>2016</v>
      </c>
      <c r="Q2">
        <v>2017</v>
      </c>
      <c r="R2">
        <v>2018</v>
      </c>
      <c r="S2">
        <v>2019</v>
      </c>
      <c r="T2">
        <v>2020</v>
      </c>
      <c r="U2">
        <v>2021</v>
      </c>
      <c r="V2">
        <v>2022</v>
      </c>
    </row>
    <row r="3" spans="1:22" x14ac:dyDescent="0.35">
      <c r="A3" s="2" t="s">
        <v>2</v>
      </c>
      <c r="B3" s="7" t="s">
        <v>12</v>
      </c>
      <c r="D3" s="74" t="s">
        <v>108</v>
      </c>
      <c r="E3" s="74"/>
      <c r="F3" s="67">
        <f>B243</f>
        <v>85.9</v>
      </c>
      <c r="G3" s="67">
        <f>B247</f>
        <v>87.7</v>
      </c>
      <c r="H3" s="67">
        <f>B251</f>
        <v>91.6</v>
      </c>
      <c r="I3" s="67">
        <f>B255</f>
        <v>92.9</v>
      </c>
      <c r="J3" s="67">
        <f>B259</f>
        <v>95.8</v>
      </c>
      <c r="K3" s="67">
        <f>B263</f>
        <v>99.2</v>
      </c>
      <c r="L3" s="67">
        <f>B267</f>
        <v>100.4</v>
      </c>
      <c r="M3" s="67">
        <f>B271</f>
        <v>102.8</v>
      </c>
      <c r="N3" s="67">
        <f>B275</f>
        <v>105.9</v>
      </c>
      <c r="O3" s="67">
        <f>B279</f>
        <v>107.5</v>
      </c>
      <c r="P3" s="67">
        <f>B283</f>
        <v>108.6</v>
      </c>
      <c r="Q3" s="67">
        <f>B287</f>
        <v>110.7</v>
      </c>
      <c r="R3" s="67">
        <f>B291</f>
        <v>113</v>
      </c>
      <c r="S3" s="67">
        <f>B295</f>
        <v>114.8</v>
      </c>
      <c r="T3" s="67">
        <f>B299</f>
        <v>114.4</v>
      </c>
      <c r="U3" s="67">
        <f>B303</f>
        <v>118.8</v>
      </c>
      <c r="V3" s="67">
        <f>B307</f>
        <v>126.1</v>
      </c>
    </row>
    <row r="4" spans="1:22" x14ac:dyDescent="0.35">
      <c r="A4" s="2" t="s">
        <v>3</v>
      </c>
      <c r="B4" s="7" t="s">
        <v>13</v>
      </c>
      <c r="D4" s="74" t="s">
        <v>17</v>
      </c>
      <c r="E4" s="74"/>
      <c r="F4" s="67">
        <f>B243</f>
        <v>85.9</v>
      </c>
      <c r="G4" s="67">
        <f>B247</f>
        <v>87.7</v>
      </c>
      <c r="H4" s="67">
        <f>B251</f>
        <v>91.6</v>
      </c>
      <c r="I4" s="67">
        <f>B255</f>
        <v>92.9</v>
      </c>
      <c r="J4" s="67">
        <f>B259</f>
        <v>95.8</v>
      </c>
      <c r="K4" s="67">
        <f>B263</f>
        <v>99.2</v>
      </c>
      <c r="L4" s="67">
        <f>B267</f>
        <v>100.4</v>
      </c>
      <c r="M4" s="67">
        <f>B271</f>
        <v>102.8</v>
      </c>
      <c r="N4" s="67">
        <f>B275</f>
        <v>105.9</v>
      </c>
      <c r="O4" s="74">
        <f>B279</f>
        <v>107.5</v>
      </c>
      <c r="P4" s="74">
        <f>B283</f>
        <v>108.6</v>
      </c>
      <c r="Q4" s="74">
        <f>B287</f>
        <v>110.7</v>
      </c>
      <c r="R4" s="67">
        <f>B291</f>
        <v>113</v>
      </c>
      <c r="S4" s="67">
        <f>B295</f>
        <v>114.8</v>
      </c>
      <c r="T4" s="75">
        <f>B299</f>
        <v>114.4</v>
      </c>
      <c r="U4" s="75">
        <f>B303</f>
        <v>118.8</v>
      </c>
      <c r="V4" s="67">
        <f>B307</f>
        <v>126.1</v>
      </c>
    </row>
    <row r="5" spans="1:22" x14ac:dyDescent="0.35">
      <c r="A5" s="2" t="s">
        <v>4</v>
      </c>
      <c r="B5" s="7" t="s">
        <v>14</v>
      </c>
      <c r="D5" s="74" t="s">
        <v>16</v>
      </c>
      <c r="E5" s="74"/>
      <c r="F5" s="67">
        <f>B241</f>
        <v>83.8</v>
      </c>
      <c r="G5" s="67">
        <f>B245</f>
        <v>86.6</v>
      </c>
      <c r="H5" s="67">
        <f>B249</f>
        <v>89.1</v>
      </c>
      <c r="I5" s="67">
        <f>B253</f>
        <v>92.4</v>
      </c>
      <c r="J5" s="67">
        <f>B257</f>
        <v>94.3</v>
      </c>
      <c r="K5" s="67">
        <f>B261</f>
        <v>96.9</v>
      </c>
      <c r="L5" s="67">
        <f>B265</f>
        <v>99.8</v>
      </c>
      <c r="M5" s="67">
        <f>B269</f>
        <v>102</v>
      </c>
      <c r="N5" s="67">
        <f>B273</f>
        <v>104.8</v>
      </c>
      <c r="O5" s="67">
        <f>B277</f>
        <v>106.6</v>
      </c>
      <c r="P5" s="74">
        <f>B281</f>
        <v>108.4</v>
      </c>
      <c r="Q5" s="75">
        <f>B285</f>
        <v>110</v>
      </c>
      <c r="R5" s="67">
        <f>B289</f>
        <v>112.1</v>
      </c>
      <c r="S5" s="67">
        <f>B293</f>
        <v>114.1</v>
      </c>
      <c r="T5" s="75">
        <f>B297</f>
        <v>116.2</v>
      </c>
      <c r="U5" s="75">
        <f>B301</f>
        <v>117.2</v>
      </c>
      <c r="V5" s="75">
        <f>B305</f>
        <v>121.3</v>
      </c>
    </row>
    <row r="6" spans="1:22" x14ac:dyDescent="0.35">
      <c r="A6" s="2" t="s">
        <v>5</v>
      </c>
      <c r="B6" s="5">
        <v>3</v>
      </c>
      <c r="D6" s="74" t="s">
        <v>57</v>
      </c>
      <c r="E6" s="74"/>
      <c r="F6" s="67">
        <f>B240</f>
        <v>83.4</v>
      </c>
      <c r="G6" s="67">
        <f>B244</f>
        <v>86.7</v>
      </c>
      <c r="H6" s="67">
        <f>B248</f>
        <v>88.3</v>
      </c>
      <c r="I6" s="67">
        <f>B252</f>
        <v>92.7</v>
      </c>
      <c r="J6" s="67">
        <f>B256</f>
        <v>93.8</v>
      </c>
      <c r="K6" s="67">
        <f>B260</f>
        <v>96.5</v>
      </c>
      <c r="L6" s="67">
        <f>B264</f>
        <v>99.8</v>
      </c>
      <c r="M6" s="67">
        <f>B268</f>
        <v>101.8</v>
      </c>
      <c r="N6" s="67">
        <f>B272</f>
        <v>104</v>
      </c>
      <c r="O6" s="67">
        <f>B276</f>
        <v>106.4</v>
      </c>
      <c r="P6" s="67">
        <f>B280</f>
        <v>108</v>
      </c>
      <c r="Q6" s="74">
        <f>B284</f>
        <v>109.4</v>
      </c>
      <c r="R6" s="67">
        <f>B288</f>
        <v>111.4</v>
      </c>
      <c r="S6" s="67">
        <f>B292</f>
        <v>113.5</v>
      </c>
      <c r="T6" s="75">
        <f>B296</f>
        <v>115.4</v>
      </c>
      <c r="U6" s="75">
        <f>B300</f>
        <v>116.2</v>
      </c>
      <c r="V6" s="75">
        <f>B304</f>
        <v>119.7</v>
      </c>
    </row>
    <row r="7" spans="1:22" x14ac:dyDescent="0.35">
      <c r="A7" s="2"/>
      <c r="D7" s="74"/>
      <c r="E7" s="74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75"/>
      <c r="U7" s="75"/>
      <c r="V7" s="74"/>
    </row>
    <row r="8" spans="1:22" x14ac:dyDescent="0.35">
      <c r="A8" s="3" t="s">
        <v>6</v>
      </c>
      <c r="B8" s="8">
        <v>17777</v>
      </c>
      <c r="D8" s="76" t="str">
        <f>"Convert to real"</f>
        <v>Convert to real</v>
      </c>
      <c r="E8" s="77">
        <v>2022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</row>
    <row r="9" spans="1:22" x14ac:dyDescent="0.35">
      <c r="A9" s="3" t="s">
        <v>7</v>
      </c>
      <c r="B9" s="8">
        <v>41699</v>
      </c>
      <c r="D9" s="74"/>
      <c r="E9" s="74">
        <f>MATCH(Real_year,F2:V2)</f>
        <v>17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x14ac:dyDescent="0.35">
      <c r="A10" s="2" t="s">
        <v>8</v>
      </c>
      <c r="B10" s="5">
        <v>263</v>
      </c>
      <c r="D10" s="78" t="str">
        <f>CONCATENATE(D8, " ",Real_year)</f>
        <v>Convert to real 2022</v>
      </c>
      <c r="E10" s="74">
        <f>INDEX(F2:V6,2,$E$9)</f>
        <v>126.1</v>
      </c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</row>
    <row r="11" spans="1:22" x14ac:dyDescent="0.35">
      <c r="A11" s="2" t="s">
        <v>9</v>
      </c>
      <c r="B11" s="7" t="s">
        <v>15</v>
      </c>
      <c r="D11" s="74" t="s">
        <v>104</v>
      </c>
      <c r="E11" s="74"/>
      <c r="F11" s="79">
        <f t="shared" ref="F11:S11" si="0">$E$10/F4</f>
        <v>1.467986030267753</v>
      </c>
      <c r="G11" s="79">
        <f t="shared" si="0"/>
        <v>1.4378563283922461</v>
      </c>
      <c r="H11" s="79">
        <f t="shared" si="0"/>
        <v>1.3766375545851528</v>
      </c>
      <c r="I11" s="79">
        <f t="shared" si="0"/>
        <v>1.3573735199138857</v>
      </c>
      <c r="J11" s="79">
        <f t="shared" si="0"/>
        <v>1.3162839248434237</v>
      </c>
      <c r="K11" s="79">
        <f t="shared" si="0"/>
        <v>1.2711693548387095</v>
      </c>
      <c r="L11" s="79">
        <f t="shared" si="0"/>
        <v>1.2559760956175297</v>
      </c>
      <c r="M11" s="79">
        <f t="shared" si="0"/>
        <v>1.2266536964980546</v>
      </c>
      <c r="N11" s="79">
        <f t="shared" si="0"/>
        <v>1.190745986779981</v>
      </c>
      <c r="O11" s="79">
        <f t="shared" si="0"/>
        <v>1.1730232558139535</v>
      </c>
      <c r="P11" s="79">
        <f t="shared" si="0"/>
        <v>1.1611418047882136</v>
      </c>
      <c r="Q11" s="79">
        <f t="shared" si="0"/>
        <v>1.1391147244805782</v>
      </c>
      <c r="R11" s="79">
        <f t="shared" si="0"/>
        <v>1.1159292035398229</v>
      </c>
      <c r="S11" s="79">
        <f t="shared" si="0"/>
        <v>1.0984320557491289</v>
      </c>
      <c r="T11" s="79">
        <f t="shared" ref="T11" si="1">$E$10/T4</f>
        <v>1.1022727272727271</v>
      </c>
      <c r="U11" s="79">
        <f>$E$10/U4</f>
        <v>1.0614478114478114</v>
      </c>
      <c r="V11" s="79">
        <f>$E$10/V4</f>
        <v>1</v>
      </c>
    </row>
    <row r="12" spans="1:22" x14ac:dyDescent="0.35">
      <c r="A12" s="4">
        <v>17777</v>
      </c>
      <c r="B12" s="39">
        <v>3.7</v>
      </c>
      <c r="D12" s="74" t="s">
        <v>55</v>
      </c>
      <c r="E12" s="74"/>
      <c r="F12" s="79">
        <f t="shared" ref="F12:N12" si="2">currency_base/F5</f>
        <v>1.5047732696897373</v>
      </c>
      <c r="G12" s="79">
        <f t="shared" si="2"/>
        <v>1.456120092378753</v>
      </c>
      <c r="H12" s="79">
        <f t="shared" si="2"/>
        <v>1.415263748597082</v>
      </c>
      <c r="I12" s="79">
        <f t="shared" si="2"/>
        <v>1.3647186147186146</v>
      </c>
      <c r="J12" s="79">
        <f t="shared" si="2"/>
        <v>1.3372216330858961</v>
      </c>
      <c r="K12" s="79">
        <f t="shared" si="2"/>
        <v>1.3013415892672857</v>
      </c>
      <c r="L12" s="79">
        <f t="shared" si="2"/>
        <v>1.2635270541082164</v>
      </c>
      <c r="M12" s="79">
        <f t="shared" si="2"/>
        <v>1.2362745098039216</v>
      </c>
      <c r="N12" s="79">
        <f t="shared" si="2"/>
        <v>1.2032442748091603</v>
      </c>
      <c r="O12" s="79">
        <f t="shared" ref="O12" si="3">currency_base/O5</f>
        <v>1.1829268292682926</v>
      </c>
      <c r="P12" s="79">
        <f t="shared" ref="P12:R13" si="4">currency_base/P5</f>
        <v>1.1632841328413284</v>
      </c>
      <c r="Q12" s="79">
        <f t="shared" si="4"/>
        <v>1.1463636363636363</v>
      </c>
      <c r="R12" s="79">
        <f t="shared" si="4"/>
        <v>1.1248884924174845</v>
      </c>
      <c r="S12" s="79">
        <f t="shared" ref="S12:T12" si="5">currency_base/S5</f>
        <v>1.105170902716915</v>
      </c>
      <c r="T12" s="79">
        <f t="shared" si="5"/>
        <v>1.0851979345955249</v>
      </c>
      <c r="U12" s="79">
        <f>currency_base/U5</f>
        <v>1.0759385665529009</v>
      </c>
      <c r="V12" s="79">
        <f>currency_base/V5</f>
        <v>1.0395713107996702</v>
      </c>
    </row>
    <row r="13" spans="1:22" x14ac:dyDescent="0.35">
      <c r="A13" s="4">
        <v>17868</v>
      </c>
      <c r="B13" s="39">
        <v>3.8</v>
      </c>
      <c r="D13" s="74" t="s">
        <v>56</v>
      </c>
      <c r="E13" s="74"/>
      <c r="F13" s="79">
        <f t="shared" ref="F13:N13" si="6">currency_base/F6</f>
        <v>1.5119904076738608</v>
      </c>
      <c r="G13" s="79">
        <f t="shared" si="6"/>
        <v>1.4544405997693193</v>
      </c>
      <c r="H13" s="79">
        <f t="shared" si="6"/>
        <v>1.4280860702151754</v>
      </c>
      <c r="I13" s="79">
        <f t="shared" si="6"/>
        <v>1.3603020496224378</v>
      </c>
      <c r="J13" s="79">
        <f t="shared" si="6"/>
        <v>1.3443496801705757</v>
      </c>
      <c r="K13" s="79">
        <f t="shared" si="6"/>
        <v>1.3067357512953368</v>
      </c>
      <c r="L13" s="79">
        <f t="shared" si="6"/>
        <v>1.2635270541082164</v>
      </c>
      <c r="M13" s="79">
        <f t="shared" si="6"/>
        <v>1.2387033398821219</v>
      </c>
      <c r="N13" s="79">
        <f t="shared" si="6"/>
        <v>1.2124999999999999</v>
      </c>
      <c r="O13" s="79">
        <f t="shared" ref="O13" si="7">currency_base/O6</f>
        <v>1.1851503759398494</v>
      </c>
      <c r="P13" s="79">
        <f t="shared" ref="P13" si="8">currency_base/P6</f>
        <v>1.1675925925925925</v>
      </c>
      <c r="Q13" s="79">
        <f t="shared" si="4"/>
        <v>1.1526508226691041</v>
      </c>
      <c r="R13" s="79">
        <f t="shared" si="4"/>
        <v>1.1319569120287252</v>
      </c>
      <c r="S13" s="79">
        <f t="shared" ref="S13:T13" si="9">currency_base/S6</f>
        <v>1.1110132158590307</v>
      </c>
      <c r="T13" s="79">
        <f t="shared" si="9"/>
        <v>1.0927209705372616</v>
      </c>
      <c r="U13" s="79">
        <f>currency_base/U6</f>
        <v>1.0851979345955249</v>
      </c>
      <c r="V13" s="79">
        <f>currency_base/V6</f>
        <v>1.0534670008354219</v>
      </c>
    </row>
    <row r="14" spans="1:22" x14ac:dyDescent="0.35">
      <c r="A14" s="4">
        <v>17958</v>
      </c>
      <c r="B14" s="39">
        <v>3.9</v>
      </c>
      <c r="D14" s="80" t="s">
        <v>136</v>
      </c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</row>
    <row r="15" spans="1:22" x14ac:dyDescent="0.35">
      <c r="A15" s="4">
        <v>18050</v>
      </c>
      <c r="B15" s="39">
        <v>4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</row>
    <row r="16" spans="1:22" x14ac:dyDescent="0.35">
      <c r="A16" s="4">
        <v>18142</v>
      </c>
      <c r="B16" s="39">
        <v>4.0999999999999996</v>
      </c>
    </row>
    <row r="17" spans="1:16" x14ac:dyDescent="0.35">
      <c r="A17" s="4">
        <v>18233</v>
      </c>
      <c r="B17" s="39">
        <v>4.0999999999999996</v>
      </c>
    </row>
    <row r="18" spans="1:16" x14ac:dyDescent="0.35">
      <c r="A18" s="4">
        <v>18323</v>
      </c>
      <c r="B18" s="39">
        <v>4.2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5">
      <c r="A19" s="4">
        <v>18415</v>
      </c>
      <c r="B19" s="39">
        <v>4.3</v>
      </c>
    </row>
    <row r="20" spans="1:16" x14ac:dyDescent="0.35">
      <c r="A20" s="4">
        <v>18507</v>
      </c>
      <c r="B20" s="39">
        <v>4.4000000000000004</v>
      </c>
    </row>
    <row r="21" spans="1:16" x14ac:dyDescent="0.35">
      <c r="A21" s="4">
        <v>18598</v>
      </c>
      <c r="B21" s="39">
        <v>4.5999999999999996</v>
      </c>
    </row>
    <row r="22" spans="1:16" x14ac:dyDescent="0.35">
      <c r="A22" s="4">
        <v>18688</v>
      </c>
      <c r="B22" s="39">
        <v>4.8</v>
      </c>
    </row>
    <row r="23" spans="1:16" x14ac:dyDescent="0.35">
      <c r="A23" s="4">
        <v>18780</v>
      </c>
      <c r="B23" s="39">
        <v>5.0999999999999996</v>
      </c>
    </row>
    <row r="24" spans="1:16" x14ac:dyDescent="0.35">
      <c r="A24" s="4">
        <v>18872</v>
      </c>
      <c r="B24" s="39">
        <v>5.3</v>
      </c>
    </row>
    <row r="25" spans="1:16" x14ac:dyDescent="0.35">
      <c r="A25" s="4">
        <v>18963</v>
      </c>
      <c r="B25" s="39">
        <v>5.7</v>
      </c>
    </row>
    <row r="26" spans="1:16" x14ac:dyDescent="0.35">
      <c r="A26" s="4">
        <v>19054</v>
      </c>
      <c r="B26" s="39">
        <v>5.9</v>
      </c>
    </row>
    <row r="27" spans="1:16" x14ac:dyDescent="0.35">
      <c r="A27" s="4">
        <v>19146</v>
      </c>
      <c r="B27" s="39">
        <v>6.1</v>
      </c>
    </row>
    <row r="28" spans="1:16" x14ac:dyDescent="0.35">
      <c r="A28" s="4">
        <v>19238</v>
      </c>
      <c r="B28" s="39">
        <v>6.2</v>
      </c>
    </row>
    <row r="29" spans="1:16" x14ac:dyDescent="0.35">
      <c r="A29" s="4">
        <v>19329</v>
      </c>
      <c r="B29" s="39">
        <v>6.3</v>
      </c>
    </row>
    <row r="30" spans="1:16" x14ac:dyDescent="0.35">
      <c r="A30" s="4">
        <v>19419</v>
      </c>
      <c r="B30" s="39">
        <v>6.3</v>
      </c>
    </row>
    <row r="31" spans="1:16" x14ac:dyDescent="0.35">
      <c r="A31" s="4">
        <v>19511</v>
      </c>
      <c r="B31" s="39">
        <v>6.4</v>
      </c>
    </row>
    <row r="32" spans="1:16" x14ac:dyDescent="0.35">
      <c r="A32" s="4">
        <v>19603</v>
      </c>
      <c r="B32" s="39">
        <v>6.5</v>
      </c>
    </row>
    <row r="33" spans="1:2" x14ac:dyDescent="0.35">
      <c r="A33" s="4">
        <v>19694</v>
      </c>
      <c r="B33" s="39">
        <v>6.4</v>
      </c>
    </row>
    <row r="34" spans="1:2" x14ac:dyDescent="0.35">
      <c r="A34" s="4">
        <v>19784</v>
      </c>
      <c r="B34" s="39">
        <v>6.5</v>
      </c>
    </row>
    <row r="35" spans="1:2" x14ac:dyDescent="0.35">
      <c r="A35" s="4">
        <v>19876</v>
      </c>
      <c r="B35" s="39">
        <v>6.5</v>
      </c>
    </row>
    <row r="36" spans="1:2" x14ac:dyDescent="0.35">
      <c r="A36" s="4">
        <v>19968</v>
      </c>
      <c r="B36" s="39">
        <v>6.5</v>
      </c>
    </row>
    <row r="37" spans="1:2" x14ac:dyDescent="0.35">
      <c r="A37" s="4">
        <v>20059</v>
      </c>
      <c r="B37" s="39">
        <v>6.5</v>
      </c>
    </row>
    <row r="38" spans="1:2" x14ac:dyDescent="0.35">
      <c r="A38" s="4">
        <v>20149</v>
      </c>
      <c r="B38" s="39">
        <v>6.5</v>
      </c>
    </row>
    <row r="39" spans="1:2" x14ac:dyDescent="0.35">
      <c r="A39" s="4">
        <v>20241</v>
      </c>
      <c r="B39" s="39">
        <v>6.6</v>
      </c>
    </row>
    <row r="40" spans="1:2" x14ac:dyDescent="0.35">
      <c r="A40" s="4">
        <v>20333</v>
      </c>
      <c r="B40" s="39">
        <v>6.6</v>
      </c>
    </row>
    <row r="41" spans="1:2" x14ac:dyDescent="0.35">
      <c r="A41" s="4">
        <v>20424</v>
      </c>
      <c r="B41" s="39">
        <v>6.7</v>
      </c>
    </row>
    <row r="42" spans="1:2" x14ac:dyDescent="0.35">
      <c r="A42" s="4">
        <v>20515</v>
      </c>
      <c r="B42" s="39">
        <v>6.7</v>
      </c>
    </row>
    <row r="43" spans="1:2" x14ac:dyDescent="0.35">
      <c r="A43" s="4">
        <v>20607</v>
      </c>
      <c r="B43" s="39">
        <v>7</v>
      </c>
    </row>
    <row r="44" spans="1:2" x14ac:dyDescent="0.35">
      <c r="A44" s="4">
        <v>20699</v>
      </c>
      <c r="B44" s="39">
        <v>7.1</v>
      </c>
    </row>
    <row r="45" spans="1:2" x14ac:dyDescent="0.35">
      <c r="A45" s="4">
        <v>20790</v>
      </c>
      <c r="B45" s="39">
        <v>7.1</v>
      </c>
    </row>
    <row r="46" spans="1:2" x14ac:dyDescent="0.35">
      <c r="A46" s="4">
        <v>20880</v>
      </c>
      <c r="B46" s="39">
        <v>7.1</v>
      </c>
    </row>
    <row r="47" spans="1:2" x14ac:dyDescent="0.35">
      <c r="A47" s="4">
        <v>20972</v>
      </c>
      <c r="B47" s="39">
        <v>7.2</v>
      </c>
    </row>
    <row r="48" spans="1:2" x14ac:dyDescent="0.35">
      <c r="A48" s="4">
        <v>21064</v>
      </c>
      <c r="B48" s="39">
        <v>7.2</v>
      </c>
    </row>
    <row r="49" spans="1:2" x14ac:dyDescent="0.35">
      <c r="A49" s="4">
        <v>21155</v>
      </c>
      <c r="B49" s="39">
        <v>7.2</v>
      </c>
    </row>
    <row r="50" spans="1:2" x14ac:dyDescent="0.35">
      <c r="A50" s="4">
        <v>21245</v>
      </c>
      <c r="B50" s="39">
        <v>7.2</v>
      </c>
    </row>
    <row r="51" spans="1:2" x14ac:dyDescent="0.35">
      <c r="A51" s="4">
        <v>21337</v>
      </c>
      <c r="B51" s="39">
        <v>7.2</v>
      </c>
    </row>
    <row r="52" spans="1:2" x14ac:dyDescent="0.35">
      <c r="A52" s="4">
        <v>21429</v>
      </c>
      <c r="B52" s="39">
        <v>7.2</v>
      </c>
    </row>
    <row r="53" spans="1:2" x14ac:dyDescent="0.35">
      <c r="A53" s="4">
        <v>21520</v>
      </c>
      <c r="B53" s="39">
        <v>7.3</v>
      </c>
    </row>
    <row r="54" spans="1:2" x14ac:dyDescent="0.35">
      <c r="A54" s="4">
        <v>21610</v>
      </c>
      <c r="B54" s="39">
        <v>7.3</v>
      </c>
    </row>
    <row r="55" spans="1:2" x14ac:dyDescent="0.35">
      <c r="A55" s="4">
        <v>21702</v>
      </c>
      <c r="B55" s="39">
        <v>7.3</v>
      </c>
    </row>
    <row r="56" spans="1:2" x14ac:dyDescent="0.35">
      <c r="A56" s="4">
        <v>21794</v>
      </c>
      <c r="B56" s="39">
        <v>7.4</v>
      </c>
    </row>
    <row r="57" spans="1:2" x14ac:dyDescent="0.35">
      <c r="A57" s="4">
        <v>21885</v>
      </c>
      <c r="B57" s="39">
        <v>7.5</v>
      </c>
    </row>
    <row r="58" spans="1:2" x14ac:dyDescent="0.35">
      <c r="A58" s="4">
        <v>21976</v>
      </c>
      <c r="B58" s="39">
        <v>7.5</v>
      </c>
    </row>
    <row r="59" spans="1:2" x14ac:dyDescent="0.35">
      <c r="A59" s="4">
        <v>22068</v>
      </c>
      <c r="B59" s="39">
        <v>7.6</v>
      </c>
    </row>
    <row r="60" spans="1:2" x14ac:dyDescent="0.35">
      <c r="A60" s="4">
        <v>22160</v>
      </c>
      <c r="B60" s="39">
        <v>7.7</v>
      </c>
    </row>
    <row r="61" spans="1:2" x14ac:dyDescent="0.35">
      <c r="A61" s="4">
        <v>22251</v>
      </c>
      <c r="B61" s="39">
        <v>7.8</v>
      </c>
    </row>
    <row r="62" spans="1:2" x14ac:dyDescent="0.35">
      <c r="A62" s="4">
        <v>22341</v>
      </c>
      <c r="B62" s="39">
        <v>7.8</v>
      </c>
    </row>
    <row r="63" spans="1:2" x14ac:dyDescent="0.35">
      <c r="A63" s="4">
        <v>22433</v>
      </c>
      <c r="B63" s="39">
        <v>7.9</v>
      </c>
    </row>
    <row r="64" spans="1:2" x14ac:dyDescent="0.35">
      <c r="A64" s="4">
        <v>22525</v>
      </c>
      <c r="B64" s="39">
        <v>7.8</v>
      </c>
    </row>
    <row r="65" spans="1:2" x14ac:dyDescent="0.35">
      <c r="A65" s="4">
        <v>22616</v>
      </c>
      <c r="B65" s="39">
        <v>7.8</v>
      </c>
    </row>
    <row r="66" spans="1:2" x14ac:dyDescent="0.35">
      <c r="A66" s="4">
        <v>22706</v>
      </c>
      <c r="B66" s="39">
        <v>7.8</v>
      </c>
    </row>
    <row r="67" spans="1:2" x14ac:dyDescent="0.35">
      <c r="A67" s="4">
        <v>22798</v>
      </c>
      <c r="B67" s="39">
        <v>7.8</v>
      </c>
    </row>
    <row r="68" spans="1:2" x14ac:dyDescent="0.35">
      <c r="A68" s="4">
        <v>22890</v>
      </c>
      <c r="B68" s="39">
        <v>7.8</v>
      </c>
    </row>
    <row r="69" spans="1:2" x14ac:dyDescent="0.35">
      <c r="A69" s="4">
        <v>22981</v>
      </c>
      <c r="B69" s="39">
        <v>7.8</v>
      </c>
    </row>
    <row r="70" spans="1:2" x14ac:dyDescent="0.35">
      <c r="A70" s="4">
        <v>23071</v>
      </c>
      <c r="B70" s="39">
        <v>7.8</v>
      </c>
    </row>
    <row r="71" spans="1:2" x14ac:dyDescent="0.35">
      <c r="A71" s="4">
        <v>23163</v>
      </c>
      <c r="B71" s="39">
        <v>7.8</v>
      </c>
    </row>
    <row r="72" spans="1:2" x14ac:dyDescent="0.35">
      <c r="A72" s="4">
        <v>23255</v>
      </c>
      <c r="B72" s="39">
        <v>7.9</v>
      </c>
    </row>
    <row r="73" spans="1:2" x14ac:dyDescent="0.35">
      <c r="A73" s="4">
        <v>23346</v>
      </c>
      <c r="B73" s="39">
        <v>7.9</v>
      </c>
    </row>
    <row r="74" spans="1:2" x14ac:dyDescent="0.35">
      <c r="A74" s="4">
        <v>23437</v>
      </c>
      <c r="B74" s="39">
        <v>8</v>
      </c>
    </row>
    <row r="75" spans="1:2" x14ac:dyDescent="0.35">
      <c r="A75" s="4">
        <v>23529</v>
      </c>
      <c r="B75" s="39">
        <v>8</v>
      </c>
    </row>
    <row r="76" spans="1:2" x14ac:dyDescent="0.35">
      <c r="A76" s="4">
        <v>23621</v>
      </c>
      <c r="B76" s="39">
        <v>8.1</v>
      </c>
    </row>
    <row r="77" spans="1:2" x14ac:dyDescent="0.35">
      <c r="A77" s="4">
        <v>23712</v>
      </c>
      <c r="B77" s="39">
        <v>8.1999999999999993</v>
      </c>
    </row>
    <row r="78" spans="1:2" x14ac:dyDescent="0.35">
      <c r="A78" s="4">
        <v>23802</v>
      </c>
      <c r="B78" s="39">
        <v>8.1999999999999993</v>
      </c>
    </row>
    <row r="79" spans="1:2" x14ac:dyDescent="0.35">
      <c r="A79" s="4">
        <v>23894</v>
      </c>
      <c r="B79" s="39">
        <v>8.3000000000000007</v>
      </c>
    </row>
    <row r="80" spans="1:2" x14ac:dyDescent="0.35">
      <c r="A80" s="4">
        <v>23986</v>
      </c>
      <c r="B80" s="39">
        <v>8.4</v>
      </c>
    </row>
    <row r="81" spans="1:2" x14ac:dyDescent="0.35">
      <c r="A81" s="4">
        <v>24077</v>
      </c>
      <c r="B81" s="39">
        <v>8.5</v>
      </c>
    </row>
    <row r="82" spans="1:2" x14ac:dyDescent="0.35">
      <c r="A82" s="4">
        <v>24167</v>
      </c>
      <c r="B82" s="39">
        <v>8.6</v>
      </c>
    </row>
    <row r="83" spans="1:2" x14ac:dyDescent="0.35">
      <c r="A83" s="4">
        <v>24259</v>
      </c>
      <c r="B83" s="39">
        <v>8.6</v>
      </c>
    </row>
    <row r="84" spans="1:2" x14ac:dyDescent="0.35">
      <c r="A84" s="4">
        <v>24351</v>
      </c>
      <c r="B84" s="39">
        <v>8.6</v>
      </c>
    </row>
    <row r="85" spans="1:2" x14ac:dyDescent="0.35">
      <c r="A85" s="4">
        <v>24442</v>
      </c>
      <c r="B85" s="39">
        <v>8.6999999999999993</v>
      </c>
    </row>
    <row r="86" spans="1:2" x14ac:dyDescent="0.35">
      <c r="A86" s="4">
        <v>24532</v>
      </c>
      <c r="B86" s="39">
        <v>8.8000000000000007</v>
      </c>
    </row>
    <row r="87" spans="1:2" x14ac:dyDescent="0.35">
      <c r="A87" s="4">
        <v>24624</v>
      </c>
      <c r="B87" s="39">
        <v>8.9</v>
      </c>
    </row>
    <row r="88" spans="1:2" x14ac:dyDescent="0.35">
      <c r="A88" s="4">
        <v>24716</v>
      </c>
      <c r="B88" s="39">
        <v>9</v>
      </c>
    </row>
    <row r="89" spans="1:2" x14ac:dyDescent="0.35">
      <c r="A89" s="4">
        <v>24807</v>
      </c>
      <c r="B89" s="39">
        <v>9</v>
      </c>
    </row>
    <row r="90" spans="1:2" x14ac:dyDescent="0.35">
      <c r="A90" s="4">
        <v>24898</v>
      </c>
      <c r="B90" s="39">
        <v>9.1</v>
      </c>
    </row>
    <row r="91" spans="1:2" x14ac:dyDescent="0.35">
      <c r="A91" s="4">
        <v>24990</v>
      </c>
      <c r="B91" s="39">
        <v>9.1</v>
      </c>
    </row>
    <row r="92" spans="1:2" x14ac:dyDescent="0.35">
      <c r="A92" s="4">
        <v>25082</v>
      </c>
      <c r="B92" s="39">
        <v>9.1999999999999993</v>
      </c>
    </row>
    <row r="93" spans="1:2" x14ac:dyDescent="0.35">
      <c r="A93" s="4">
        <v>25173</v>
      </c>
      <c r="B93" s="39">
        <v>9.1999999999999993</v>
      </c>
    </row>
    <row r="94" spans="1:2" x14ac:dyDescent="0.35">
      <c r="A94" s="4">
        <v>25263</v>
      </c>
      <c r="B94" s="39">
        <v>9.4</v>
      </c>
    </row>
    <row r="95" spans="1:2" x14ac:dyDescent="0.35">
      <c r="A95" s="4">
        <v>25355</v>
      </c>
      <c r="B95" s="39">
        <v>9.4</v>
      </c>
    </row>
    <row r="96" spans="1:2" x14ac:dyDescent="0.35">
      <c r="A96" s="4">
        <v>25447</v>
      </c>
      <c r="B96" s="39">
        <v>9.5</v>
      </c>
    </row>
    <row r="97" spans="1:2" x14ac:dyDescent="0.35">
      <c r="A97" s="4">
        <v>25538</v>
      </c>
      <c r="B97" s="39">
        <v>9.5</v>
      </c>
    </row>
    <row r="98" spans="1:2" x14ac:dyDescent="0.35">
      <c r="A98" s="4">
        <v>25628</v>
      </c>
      <c r="B98" s="39">
        <v>9.6</v>
      </c>
    </row>
    <row r="99" spans="1:2" x14ac:dyDescent="0.35">
      <c r="A99" s="4">
        <v>25720</v>
      </c>
      <c r="B99" s="39">
        <v>9.6999999999999993</v>
      </c>
    </row>
    <row r="100" spans="1:2" x14ac:dyDescent="0.35">
      <c r="A100" s="4">
        <v>25812</v>
      </c>
      <c r="B100" s="39">
        <v>9.8000000000000007</v>
      </c>
    </row>
    <row r="101" spans="1:2" x14ac:dyDescent="0.35">
      <c r="A101" s="4">
        <v>25903</v>
      </c>
      <c r="B101" s="39">
        <v>10</v>
      </c>
    </row>
    <row r="102" spans="1:2" x14ac:dyDescent="0.35">
      <c r="A102" s="4">
        <v>25993</v>
      </c>
      <c r="B102" s="39">
        <v>10.1</v>
      </c>
    </row>
    <row r="103" spans="1:2" x14ac:dyDescent="0.35">
      <c r="A103" s="4">
        <v>26085</v>
      </c>
      <c r="B103" s="39">
        <v>10.199999999999999</v>
      </c>
    </row>
    <row r="104" spans="1:2" x14ac:dyDescent="0.35">
      <c r="A104" s="4">
        <v>26177</v>
      </c>
      <c r="B104" s="39">
        <v>10.5</v>
      </c>
    </row>
    <row r="105" spans="1:2" x14ac:dyDescent="0.35">
      <c r="A105" s="4">
        <v>26268</v>
      </c>
      <c r="B105" s="39">
        <v>10.7</v>
      </c>
    </row>
    <row r="106" spans="1:2" x14ac:dyDescent="0.35">
      <c r="A106" s="4">
        <v>26359</v>
      </c>
      <c r="B106" s="39">
        <v>10.8</v>
      </c>
    </row>
    <row r="107" spans="1:2" x14ac:dyDescent="0.35">
      <c r="A107" s="4">
        <v>26451</v>
      </c>
      <c r="B107" s="39">
        <v>10.9</v>
      </c>
    </row>
    <row r="108" spans="1:2" x14ac:dyDescent="0.35">
      <c r="A108" s="4">
        <v>26543</v>
      </c>
      <c r="B108" s="39">
        <v>11.1</v>
      </c>
    </row>
    <row r="109" spans="1:2" x14ac:dyDescent="0.35">
      <c r="A109" s="4">
        <v>26634</v>
      </c>
      <c r="B109" s="39">
        <v>11.2</v>
      </c>
    </row>
    <row r="110" spans="1:2" x14ac:dyDescent="0.35">
      <c r="A110" s="4">
        <v>26724</v>
      </c>
      <c r="B110" s="39">
        <v>11.4</v>
      </c>
    </row>
    <row r="111" spans="1:2" x14ac:dyDescent="0.35">
      <c r="A111" s="4">
        <v>26816</v>
      </c>
      <c r="B111" s="39">
        <v>11.8</v>
      </c>
    </row>
    <row r="112" spans="1:2" x14ac:dyDescent="0.35">
      <c r="A112" s="4">
        <v>26908</v>
      </c>
      <c r="B112" s="39">
        <v>12.2</v>
      </c>
    </row>
    <row r="113" spans="1:2" x14ac:dyDescent="0.35">
      <c r="A113" s="4">
        <v>26999</v>
      </c>
      <c r="B113" s="39">
        <v>12.6</v>
      </c>
    </row>
    <row r="114" spans="1:2" x14ac:dyDescent="0.35">
      <c r="A114" s="4">
        <v>27089</v>
      </c>
      <c r="B114" s="39">
        <v>13</v>
      </c>
    </row>
    <row r="115" spans="1:2" x14ac:dyDescent="0.35">
      <c r="A115" s="4">
        <v>27181</v>
      </c>
      <c r="B115" s="39">
        <v>13.5</v>
      </c>
    </row>
    <row r="116" spans="1:2" x14ac:dyDescent="0.35">
      <c r="A116" s="4">
        <v>27273</v>
      </c>
      <c r="B116" s="39">
        <v>14.2</v>
      </c>
    </row>
    <row r="117" spans="1:2" x14ac:dyDescent="0.35">
      <c r="A117" s="4">
        <v>27364</v>
      </c>
      <c r="B117" s="39">
        <v>14.7</v>
      </c>
    </row>
    <row r="118" spans="1:2" x14ac:dyDescent="0.35">
      <c r="A118" s="4">
        <v>27454</v>
      </c>
      <c r="B118" s="39">
        <v>15.3</v>
      </c>
    </row>
    <row r="119" spans="1:2" x14ac:dyDescent="0.35">
      <c r="A119" s="4">
        <v>27546</v>
      </c>
      <c r="B119" s="39">
        <v>15.8</v>
      </c>
    </row>
    <row r="120" spans="1:2" x14ac:dyDescent="0.35">
      <c r="A120" s="4">
        <v>27638</v>
      </c>
      <c r="B120" s="39">
        <v>15.9</v>
      </c>
    </row>
    <row r="121" spans="1:2" x14ac:dyDescent="0.35">
      <c r="A121" s="4">
        <v>27729</v>
      </c>
      <c r="B121" s="39">
        <v>16.8</v>
      </c>
    </row>
    <row r="122" spans="1:2" x14ac:dyDescent="0.35">
      <c r="A122" s="4">
        <v>27820</v>
      </c>
      <c r="B122" s="39">
        <v>17.3</v>
      </c>
    </row>
    <row r="123" spans="1:2" x14ac:dyDescent="0.35">
      <c r="A123" s="4">
        <v>27912</v>
      </c>
      <c r="B123" s="39">
        <v>17.7</v>
      </c>
    </row>
    <row r="124" spans="1:2" x14ac:dyDescent="0.35">
      <c r="A124" s="4">
        <v>28004</v>
      </c>
      <c r="B124" s="39">
        <v>18.100000000000001</v>
      </c>
    </row>
    <row r="125" spans="1:2" x14ac:dyDescent="0.35">
      <c r="A125" s="4">
        <v>28095</v>
      </c>
      <c r="B125" s="39">
        <v>19.2</v>
      </c>
    </row>
    <row r="126" spans="1:2" x14ac:dyDescent="0.35">
      <c r="A126" s="4">
        <v>28185</v>
      </c>
      <c r="B126" s="39">
        <v>19.600000000000001</v>
      </c>
    </row>
    <row r="127" spans="1:2" x14ac:dyDescent="0.35">
      <c r="A127" s="4">
        <v>28277</v>
      </c>
      <c r="B127" s="39">
        <v>20.100000000000001</v>
      </c>
    </row>
    <row r="128" spans="1:2" x14ac:dyDescent="0.35">
      <c r="A128" s="4">
        <v>28369</v>
      </c>
      <c r="B128" s="39">
        <v>20.5</v>
      </c>
    </row>
    <row r="129" spans="1:2" x14ac:dyDescent="0.35">
      <c r="A129" s="4">
        <v>28460</v>
      </c>
      <c r="B129" s="39">
        <v>21</v>
      </c>
    </row>
    <row r="130" spans="1:2" x14ac:dyDescent="0.35">
      <c r="A130" s="4">
        <v>28550</v>
      </c>
      <c r="B130" s="39">
        <v>21.3</v>
      </c>
    </row>
    <row r="131" spans="1:2" x14ac:dyDescent="0.35">
      <c r="A131" s="4">
        <v>28642</v>
      </c>
      <c r="B131" s="39">
        <v>21.7</v>
      </c>
    </row>
    <row r="132" spans="1:2" x14ac:dyDescent="0.35">
      <c r="A132" s="4">
        <v>28734</v>
      </c>
      <c r="B132" s="39">
        <v>22.1</v>
      </c>
    </row>
    <row r="133" spans="1:2" x14ac:dyDescent="0.35">
      <c r="A133" s="4">
        <v>28825</v>
      </c>
      <c r="B133" s="39">
        <v>22.6</v>
      </c>
    </row>
    <row r="134" spans="1:2" x14ac:dyDescent="0.35">
      <c r="A134" s="4">
        <v>28915</v>
      </c>
      <c r="B134" s="39">
        <v>23</v>
      </c>
    </row>
    <row r="135" spans="1:2" x14ac:dyDescent="0.35">
      <c r="A135" s="4">
        <v>29007</v>
      </c>
      <c r="B135" s="39">
        <v>23.6</v>
      </c>
    </row>
    <row r="136" spans="1:2" x14ac:dyDescent="0.35">
      <c r="A136" s="4">
        <v>29099</v>
      </c>
      <c r="B136" s="39">
        <v>24.2</v>
      </c>
    </row>
    <row r="137" spans="1:2" x14ac:dyDescent="0.35">
      <c r="A137" s="4">
        <v>29190</v>
      </c>
      <c r="B137" s="39">
        <v>24.9</v>
      </c>
    </row>
    <row r="138" spans="1:2" x14ac:dyDescent="0.35">
      <c r="A138" s="4">
        <v>29281</v>
      </c>
      <c r="B138" s="39">
        <v>25.4</v>
      </c>
    </row>
    <row r="139" spans="1:2" x14ac:dyDescent="0.35">
      <c r="A139" s="4">
        <v>29373</v>
      </c>
      <c r="B139" s="39">
        <v>26.2</v>
      </c>
    </row>
    <row r="140" spans="1:2" x14ac:dyDescent="0.35">
      <c r="A140" s="4">
        <v>29465</v>
      </c>
      <c r="B140" s="39">
        <v>26.6</v>
      </c>
    </row>
    <row r="141" spans="1:2" x14ac:dyDescent="0.35">
      <c r="A141" s="4">
        <v>29556</v>
      </c>
      <c r="B141" s="39">
        <v>27.2</v>
      </c>
    </row>
    <row r="142" spans="1:2" x14ac:dyDescent="0.35">
      <c r="A142" s="4">
        <v>29646</v>
      </c>
      <c r="B142" s="39">
        <v>27.8</v>
      </c>
    </row>
    <row r="143" spans="1:2" x14ac:dyDescent="0.35">
      <c r="A143" s="4">
        <v>29738</v>
      </c>
      <c r="B143" s="39">
        <v>28.4</v>
      </c>
    </row>
    <row r="144" spans="1:2" x14ac:dyDescent="0.35">
      <c r="A144" s="4">
        <v>29830</v>
      </c>
      <c r="B144" s="39">
        <v>29</v>
      </c>
    </row>
    <row r="145" spans="1:2" x14ac:dyDescent="0.35">
      <c r="A145" s="4">
        <v>29921</v>
      </c>
      <c r="B145" s="39">
        <v>30.2</v>
      </c>
    </row>
    <row r="146" spans="1:2" x14ac:dyDescent="0.35">
      <c r="A146" s="4">
        <v>30011</v>
      </c>
      <c r="B146" s="39">
        <v>30.8</v>
      </c>
    </row>
    <row r="147" spans="1:2" x14ac:dyDescent="0.35">
      <c r="A147" s="4">
        <v>30103</v>
      </c>
      <c r="B147" s="39">
        <v>31.5</v>
      </c>
    </row>
    <row r="148" spans="1:2" x14ac:dyDescent="0.35">
      <c r="A148" s="4">
        <v>30195</v>
      </c>
      <c r="B148" s="39">
        <v>32.6</v>
      </c>
    </row>
    <row r="149" spans="1:2" x14ac:dyDescent="0.35">
      <c r="A149" s="4">
        <v>30286</v>
      </c>
      <c r="B149" s="39">
        <v>33.6</v>
      </c>
    </row>
    <row r="150" spans="1:2" x14ac:dyDescent="0.35">
      <c r="A150" s="4">
        <v>30376</v>
      </c>
      <c r="B150" s="39">
        <v>34.299999999999997</v>
      </c>
    </row>
    <row r="151" spans="1:2" x14ac:dyDescent="0.35">
      <c r="A151" s="4">
        <v>30468</v>
      </c>
      <c r="B151" s="39">
        <v>35</v>
      </c>
    </row>
    <row r="152" spans="1:2" x14ac:dyDescent="0.35">
      <c r="A152" s="4">
        <v>30560</v>
      </c>
      <c r="B152" s="39">
        <v>35.6</v>
      </c>
    </row>
    <row r="153" spans="1:2" x14ac:dyDescent="0.35">
      <c r="A153" s="4">
        <v>30651</v>
      </c>
      <c r="B153" s="39">
        <v>36.5</v>
      </c>
    </row>
    <row r="154" spans="1:2" x14ac:dyDescent="0.35">
      <c r="A154" s="4">
        <v>30742</v>
      </c>
      <c r="B154" s="39">
        <v>36.299999999999997</v>
      </c>
    </row>
    <row r="155" spans="1:2" x14ac:dyDescent="0.35">
      <c r="A155" s="4">
        <v>30834</v>
      </c>
      <c r="B155" s="39">
        <v>36.4</v>
      </c>
    </row>
    <row r="156" spans="1:2" x14ac:dyDescent="0.35">
      <c r="A156" s="4">
        <v>30926</v>
      </c>
      <c r="B156" s="39">
        <v>36.9</v>
      </c>
    </row>
    <row r="157" spans="1:2" x14ac:dyDescent="0.35">
      <c r="A157" s="4">
        <v>31017</v>
      </c>
      <c r="B157" s="39">
        <v>37.4</v>
      </c>
    </row>
    <row r="158" spans="1:2" x14ac:dyDescent="0.35">
      <c r="A158" s="4">
        <v>31107</v>
      </c>
      <c r="B158" s="39">
        <v>37.9</v>
      </c>
    </row>
    <row r="159" spans="1:2" x14ac:dyDescent="0.35">
      <c r="A159" s="4">
        <v>31199</v>
      </c>
      <c r="B159" s="39">
        <v>38.799999999999997</v>
      </c>
    </row>
    <row r="160" spans="1:2" x14ac:dyDescent="0.35">
      <c r="A160" s="4">
        <v>31291</v>
      </c>
      <c r="B160" s="39">
        <v>39.700000000000003</v>
      </c>
    </row>
    <row r="161" spans="1:2" x14ac:dyDescent="0.35">
      <c r="A161" s="4">
        <v>31382</v>
      </c>
      <c r="B161" s="39">
        <v>40.5</v>
      </c>
    </row>
    <row r="162" spans="1:2" x14ac:dyDescent="0.35">
      <c r="A162" s="4">
        <v>31472</v>
      </c>
      <c r="B162" s="39">
        <v>41.4</v>
      </c>
    </row>
    <row r="163" spans="1:2" x14ac:dyDescent="0.35">
      <c r="A163" s="4">
        <v>31564</v>
      </c>
      <c r="B163" s="39">
        <v>42.1</v>
      </c>
    </row>
    <row r="164" spans="1:2" x14ac:dyDescent="0.35">
      <c r="A164" s="4">
        <v>31656</v>
      </c>
      <c r="B164" s="39">
        <v>43.2</v>
      </c>
    </row>
    <row r="165" spans="1:2" x14ac:dyDescent="0.35">
      <c r="A165" s="4">
        <v>31747</v>
      </c>
      <c r="B165" s="39">
        <v>44.4</v>
      </c>
    </row>
    <row r="166" spans="1:2" x14ac:dyDescent="0.35">
      <c r="A166" s="4">
        <v>31837</v>
      </c>
      <c r="B166" s="39">
        <v>45.3</v>
      </c>
    </row>
    <row r="167" spans="1:2" x14ac:dyDescent="0.35">
      <c r="A167" s="4">
        <v>31929</v>
      </c>
      <c r="B167" s="39">
        <v>46</v>
      </c>
    </row>
    <row r="168" spans="1:2" x14ac:dyDescent="0.35">
      <c r="A168" s="4">
        <v>32021</v>
      </c>
      <c r="B168" s="39">
        <v>46.8</v>
      </c>
    </row>
    <row r="169" spans="1:2" x14ac:dyDescent="0.35">
      <c r="A169" s="4">
        <v>32112</v>
      </c>
      <c r="B169" s="39">
        <v>47.6</v>
      </c>
    </row>
    <row r="170" spans="1:2" x14ac:dyDescent="0.35">
      <c r="A170" s="4">
        <v>32203</v>
      </c>
      <c r="B170" s="39">
        <v>48.4</v>
      </c>
    </row>
    <row r="171" spans="1:2" x14ac:dyDescent="0.35">
      <c r="A171" s="4">
        <v>32295</v>
      </c>
      <c r="B171" s="39">
        <v>49.3</v>
      </c>
    </row>
    <row r="172" spans="1:2" x14ac:dyDescent="0.35">
      <c r="A172" s="4">
        <v>32387</v>
      </c>
      <c r="B172" s="39">
        <v>50.2</v>
      </c>
    </row>
    <row r="173" spans="1:2" x14ac:dyDescent="0.35">
      <c r="A173" s="4">
        <v>32478</v>
      </c>
      <c r="B173" s="39">
        <v>51.2</v>
      </c>
    </row>
    <row r="174" spans="1:2" x14ac:dyDescent="0.35">
      <c r="A174" s="4">
        <v>32568</v>
      </c>
      <c r="B174" s="39">
        <v>51.7</v>
      </c>
    </row>
    <row r="175" spans="1:2" x14ac:dyDescent="0.35">
      <c r="A175" s="4">
        <v>32660</v>
      </c>
      <c r="B175" s="39">
        <v>53</v>
      </c>
    </row>
    <row r="176" spans="1:2" x14ac:dyDescent="0.35">
      <c r="A176" s="4">
        <v>32752</v>
      </c>
      <c r="B176" s="39">
        <v>54.2</v>
      </c>
    </row>
    <row r="177" spans="1:2" x14ac:dyDescent="0.35">
      <c r="A177" s="4">
        <v>32843</v>
      </c>
      <c r="B177" s="39">
        <v>55.2</v>
      </c>
    </row>
    <row r="178" spans="1:2" x14ac:dyDescent="0.35">
      <c r="A178" s="4">
        <v>32933</v>
      </c>
      <c r="B178" s="39">
        <v>56.2</v>
      </c>
    </row>
    <row r="179" spans="1:2" x14ac:dyDescent="0.35">
      <c r="A179" s="4">
        <v>33025</v>
      </c>
      <c r="B179" s="39">
        <v>57.1</v>
      </c>
    </row>
    <row r="180" spans="1:2" x14ac:dyDescent="0.35">
      <c r="A180" s="4">
        <v>33117</v>
      </c>
      <c r="B180" s="39">
        <v>57.5</v>
      </c>
    </row>
    <row r="181" spans="1:2" x14ac:dyDescent="0.35">
      <c r="A181" s="4">
        <v>33208</v>
      </c>
      <c r="B181" s="39">
        <v>59</v>
      </c>
    </row>
    <row r="182" spans="1:2" x14ac:dyDescent="0.35">
      <c r="A182" s="4">
        <v>33298</v>
      </c>
      <c r="B182" s="39">
        <v>58.9</v>
      </c>
    </row>
    <row r="183" spans="1:2" x14ac:dyDescent="0.35">
      <c r="A183" s="4">
        <v>33390</v>
      </c>
      <c r="B183" s="39">
        <v>59</v>
      </c>
    </row>
    <row r="184" spans="1:2" x14ac:dyDescent="0.35">
      <c r="A184" s="4">
        <v>33482</v>
      </c>
      <c r="B184" s="39">
        <v>59.3</v>
      </c>
    </row>
    <row r="185" spans="1:2" x14ac:dyDescent="0.35">
      <c r="A185" s="4">
        <v>33573</v>
      </c>
      <c r="B185" s="39">
        <v>59.9</v>
      </c>
    </row>
    <row r="186" spans="1:2" x14ac:dyDescent="0.35">
      <c r="A186" s="4">
        <v>33664</v>
      </c>
      <c r="B186" s="39">
        <v>59.9</v>
      </c>
    </row>
    <row r="187" spans="1:2" x14ac:dyDescent="0.35">
      <c r="A187" s="4">
        <v>33756</v>
      </c>
      <c r="B187" s="39">
        <v>59.7</v>
      </c>
    </row>
    <row r="188" spans="1:2" x14ac:dyDescent="0.35">
      <c r="A188" s="4">
        <v>33848</v>
      </c>
      <c r="B188" s="39">
        <v>59.8</v>
      </c>
    </row>
    <row r="189" spans="1:2" x14ac:dyDescent="0.35">
      <c r="A189" s="4">
        <v>33939</v>
      </c>
      <c r="B189" s="39">
        <v>60.1</v>
      </c>
    </row>
    <row r="190" spans="1:2" x14ac:dyDescent="0.35">
      <c r="A190" s="4">
        <v>34029</v>
      </c>
      <c r="B190" s="39">
        <v>60.6</v>
      </c>
    </row>
    <row r="191" spans="1:2" x14ac:dyDescent="0.35">
      <c r="A191" s="4">
        <v>34121</v>
      </c>
      <c r="B191" s="39">
        <v>60.8</v>
      </c>
    </row>
    <row r="192" spans="1:2" x14ac:dyDescent="0.35">
      <c r="A192" s="4">
        <v>34213</v>
      </c>
      <c r="B192" s="39">
        <v>61.1</v>
      </c>
    </row>
    <row r="193" spans="1:2" x14ac:dyDescent="0.35">
      <c r="A193" s="4">
        <v>34304</v>
      </c>
      <c r="B193" s="39">
        <v>61.2</v>
      </c>
    </row>
    <row r="194" spans="1:2" x14ac:dyDescent="0.35">
      <c r="A194" s="4">
        <v>34394</v>
      </c>
      <c r="B194" s="39">
        <v>61.5</v>
      </c>
    </row>
    <row r="195" spans="1:2" x14ac:dyDescent="0.35">
      <c r="A195" s="4">
        <v>34486</v>
      </c>
      <c r="B195" s="39">
        <v>61.9</v>
      </c>
    </row>
    <row r="196" spans="1:2" x14ac:dyDescent="0.35">
      <c r="A196" s="4">
        <v>34578</v>
      </c>
      <c r="B196" s="39">
        <v>62.3</v>
      </c>
    </row>
    <row r="197" spans="1:2" x14ac:dyDescent="0.35">
      <c r="A197" s="4">
        <v>34669</v>
      </c>
      <c r="B197" s="39">
        <v>62.8</v>
      </c>
    </row>
    <row r="198" spans="1:2" x14ac:dyDescent="0.35">
      <c r="A198" s="4">
        <v>34759</v>
      </c>
      <c r="B198" s="39">
        <v>63.8</v>
      </c>
    </row>
    <row r="199" spans="1:2" x14ac:dyDescent="0.35">
      <c r="A199" s="4">
        <v>34851</v>
      </c>
      <c r="B199" s="39">
        <v>64.7</v>
      </c>
    </row>
    <row r="200" spans="1:2" x14ac:dyDescent="0.35">
      <c r="A200" s="4">
        <v>34943</v>
      </c>
      <c r="B200" s="39">
        <v>65.5</v>
      </c>
    </row>
    <row r="201" spans="1:2" x14ac:dyDescent="0.35">
      <c r="A201" s="4">
        <v>35034</v>
      </c>
      <c r="B201" s="39">
        <v>66</v>
      </c>
    </row>
    <row r="202" spans="1:2" x14ac:dyDescent="0.35">
      <c r="A202" s="4">
        <v>35125</v>
      </c>
      <c r="B202" s="39">
        <v>66.2</v>
      </c>
    </row>
    <row r="203" spans="1:2" x14ac:dyDescent="0.35">
      <c r="A203" s="4">
        <v>35217</v>
      </c>
      <c r="B203" s="39">
        <v>66.7</v>
      </c>
    </row>
    <row r="204" spans="1:2" x14ac:dyDescent="0.35">
      <c r="A204" s="4">
        <v>35309</v>
      </c>
      <c r="B204" s="39">
        <v>66.900000000000006</v>
      </c>
    </row>
    <row r="205" spans="1:2" x14ac:dyDescent="0.35">
      <c r="A205" s="4">
        <v>35400</v>
      </c>
      <c r="B205" s="39">
        <v>67</v>
      </c>
    </row>
    <row r="206" spans="1:2" x14ac:dyDescent="0.35">
      <c r="A206" s="4">
        <v>35490</v>
      </c>
      <c r="B206" s="39">
        <v>67.099999999999994</v>
      </c>
    </row>
    <row r="207" spans="1:2" x14ac:dyDescent="0.35">
      <c r="A207" s="4">
        <v>35582</v>
      </c>
      <c r="B207" s="39">
        <v>66.900000000000006</v>
      </c>
    </row>
    <row r="208" spans="1:2" x14ac:dyDescent="0.35">
      <c r="A208" s="4">
        <v>35674</v>
      </c>
      <c r="B208" s="39">
        <v>66.599999999999994</v>
      </c>
    </row>
    <row r="209" spans="1:2" x14ac:dyDescent="0.35">
      <c r="A209" s="4">
        <v>35765</v>
      </c>
      <c r="B209" s="39">
        <v>66.8</v>
      </c>
    </row>
    <row r="210" spans="1:2" x14ac:dyDescent="0.35">
      <c r="A210" s="4">
        <v>35855</v>
      </c>
      <c r="B210" s="39">
        <v>67</v>
      </c>
    </row>
    <row r="211" spans="1:2" x14ac:dyDescent="0.35">
      <c r="A211" s="4">
        <v>35947</v>
      </c>
      <c r="B211" s="39">
        <v>67.400000000000006</v>
      </c>
    </row>
    <row r="212" spans="1:2" x14ac:dyDescent="0.35">
      <c r="A212" s="4">
        <v>36039</v>
      </c>
      <c r="B212" s="39">
        <v>67.5</v>
      </c>
    </row>
    <row r="213" spans="1:2" x14ac:dyDescent="0.35">
      <c r="A213" s="4">
        <v>36130</v>
      </c>
      <c r="B213" s="39">
        <v>67.8</v>
      </c>
    </row>
    <row r="214" spans="1:2" x14ac:dyDescent="0.35">
      <c r="A214" s="4">
        <v>36220</v>
      </c>
      <c r="B214" s="39">
        <v>67.8</v>
      </c>
    </row>
    <row r="215" spans="1:2" x14ac:dyDescent="0.35">
      <c r="A215" s="4">
        <v>36312</v>
      </c>
      <c r="B215" s="39">
        <v>68.099999999999994</v>
      </c>
    </row>
    <row r="216" spans="1:2" x14ac:dyDescent="0.35">
      <c r="A216" s="4">
        <v>36404</v>
      </c>
      <c r="B216" s="39">
        <v>68.7</v>
      </c>
    </row>
    <row r="217" spans="1:2" x14ac:dyDescent="0.35">
      <c r="A217" s="4">
        <v>36495</v>
      </c>
      <c r="B217" s="39">
        <v>69.099999999999994</v>
      </c>
    </row>
    <row r="218" spans="1:2" x14ac:dyDescent="0.35">
      <c r="A218" s="4">
        <v>36586</v>
      </c>
      <c r="B218" s="39">
        <v>69.7</v>
      </c>
    </row>
    <row r="219" spans="1:2" x14ac:dyDescent="0.35">
      <c r="A219" s="4">
        <v>36678</v>
      </c>
      <c r="B219" s="39">
        <v>70.2</v>
      </c>
    </row>
    <row r="220" spans="1:2" x14ac:dyDescent="0.35">
      <c r="A220" s="4">
        <v>36770</v>
      </c>
      <c r="B220" s="39">
        <v>72.900000000000006</v>
      </c>
    </row>
    <row r="221" spans="1:2" x14ac:dyDescent="0.35">
      <c r="A221" s="4">
        <v>36861</v>
      </c>
      <c r="B221" s="39">
        <v>73.099999999999994</v>
      </c>
    </row>
    <row r="222" spans="1:2" x14ac:dyDescent="0.35">
      <c r="A222" s="4">
        <v>36951</v>
      </c>
      <c r="B222" s="39">
        <v>73.900000000000006</v>
      </c>
    </row>
    <row r="223" spans="1:2" x14ac:dyDescent="0.35">
      <c r="A223" s="4">
        <v>37043</v>
      </c>
      <c r="B223" s="39">
        <v>74.5</v>
      </c>
    </row>
    <row r="224" spans="1:2" x14ac:dyDescent="0.35">
      <c r="A224" s="4">
        <v>37135</v>
      </c>
      <c r="B224" s="39">
        <v>74.7</v>
      </c>
    </row>
    <row r="225" spans="1:2" x14ac:dyDescent="0.35">
      <c r="A225" s="4">
        <v>37226</v>
      </c>
      <c r="B225" s="39">
        <v>75.400000000000006</v>
      </c>
    </row>
    <row r="226" spans="1:2" x14ac:dyDescent="0.35">
      <c r="A226" s="4">
        <v>37316</v>
      </c>
      <c r="B226" s="39">
        <v>76.099999999999994</v>
      </c>
    </row>
    <row r="227" spans="1:2" x14ac:dyDescent="0.35">
      <c r="A227" s="4">
        <v>37408</v>
      </c>
      <c r="B227" s="39">
        <v>76.599999999999994</v>
      </c>
    </row>
    <row r="228" spans="1:2" x14ac:dyDescent="0.35">
      <c r="A228" s="4">
        <v>37500</v>
      </c>
      <c r="B228" s="39">
        <v>77.099999999999994</v>
      </c>
    </row>
    <row r="229" spans="1:2" x14ac:dyDescent="0.35">
      <c r="A229" s="4">
        <v>37591</v>
      </c>
      <c r="B229" s="39">
        <v>77.599999999999994</v>
      </c>
    </row>
    <row r="230" spans="1:2" x14ac:dyDescent="0.35">
      <c r="A230" s="4">
        <v>37681</v>
      </c>
      <c r="B230" s="39">
        <v>78.599999999999994</v>
      </c>
    </row>
    <row r="231" spans="1:2" x14ac:dyDescent="0.35">
      <c r="A231" s="4">
        <v>37773</v>
      </c>
      <c r="B231" s="39">
        <v>78.599999999999994</v>
      </c>
    </row>
    <row r="232" spans="1:2" x14ac:dyDescent="0.35">
      <c r="A232" s="4">
        <v>37865</v>
      </c>
      <c r="B232" s="39">
        <v>79.099999999999994</v>
      </c>
    </row>
    <row r="233" spans="1:2" x14ac:dyDescent="0.35">
      <c r="A233" s="4">
        <v>37956</v>
      </c>
      <c r="B233" s="39">
        <v>79.5</v>
      </c>
    </row>
    <row r="234" spans="1:2" x14ac:dyDescent="0.35">
      <c r="A234" s="4">
        <v>38047</v>
      </c>
      <c r="B234" s="39">
        <v>80.2</v>
      </c>
    </row>
    <row r="235" spans="1:2" x14ac:dyDescent="0.35">
      <c r="A235" s="4">
        <v>38139</v>
      </c>
      <c r="B235" s="39">
        <v>80.599999999999994</v>
      </c>
    </row>
    <row r="236" spans="1:2" x14ac:dyDescent="0.35">
      <c r="A236" s="4">
        <v>38231</v>
      </c>
      <c r="B236" s="39">
        <v>80.900000000000006</v>
      </c>
    </row>
    <row r="237" spans="1:2" x14ac:dyDescent="0.35">
      <c r="A237" s="4">
        <v>38322</v>
      </c>
      <c r="B237" s="39">
        <v>81.5</v>
      </c>
    </row>
    <row r="238" spans="1:2" x14ac:dyDescent="0.35">
      <c r="A238" s="4">
        <v>38412</v>
      </c>
      <c r="B238" s="39">
        <v>82.1</v>
      </c>
    </row>
    <row r="239" spans="1:2" x14ac:dyDescent="0.35">
      <c r="A239" s="4">
        <v>38504</v>
      </c>
      <c r="B239" s="39">
        <v>82.6</v>
      </c>
    </row>
    <row r="240" spans="1:2" x14ac:dyDescent="0.35">
      <c r="A240" s="4">
        <v>38596</v>
      </c>
      <c r="B240" s="39">
        <v>83.4</v>
      </c>
    </row>
    <row r="241" spans="1:2" x14ac:dyDescent="0.35">
      <c r="A241" s="4">
        <v>38687</v>
      </c>
      <c r="B241" s="39">
        <v>83.8</v>
      </c>
    </row>
    <row r="242" spans="1:2" x14ac:dyDescent="0.35">
      <c r="A242" s="4">
        <v>38777</v>
      </c>
      <c r="B242" s="39">
        <v>84.5</v>
      </c>
    </row>
    <row r="243" spans="1:2" x14ac:dyDescent="0.35">
      <c r="A243" s="4">
        <v>38869</v>
      </c>
      <c r="B243" s="39">
        <v>85.9</v>
      </c>
    </row>
    <row r="244" spans="1:2" x14ac:dyDescent="0.35">
      <c r="A244" s="4">
        <v>38961</v>
      </c>
      <c r="B244" s="39">
        <v>86.7</v>
      </c>
    </row>
    <row r="245" spans="1:2" x14ac:dyDescent="0.35">
      <c r="A245" s="4">
        <v>39052</v>
      </c>
      <c r="B245" s="39">
        <v>86.6</v>
      </c>
    </row>
    <row r="246" spans="1:2" x14ac:dyDescent="0.35">
      <c r="A246" s="4">
        <v>39142</v>
      </c>
      <c r="B246" s="39">
        <v>86.6</v>
      </c>
    </row>
    <row r="247" spans="1:2" x14ac:dyDescent="0.35">
      <c r="A247" s="4">
        <v>39234</v>
      </c>
      <c r="B247" s="39">
        <v>87.7</v>
      </c>
    </row>
    <row r="248" spans="1:2" x14ac:dyDescent="0.35">
      <c r="A248" s="4">
        <v>39326</v>
      </c>
      <c r="B248" s="39">
        <v>88.3</v>
      </c>
    </row>
    <row r="249" spans="1:2" x14ac:dyDescent="0.35">
      <c r="A249" s="4">
        <v>39417</v>
      </c>
      <c r="B249" s="39">
        <v>89.1</v>
      </c>
    </row>
    <row r="250" spans="1:2" x14ac:dyDescent="0.35">
      <c r="A250" s="4">
        <v>39508</v>
      </c>
      <c r="B250" s="39">
        <v>90.3</v>
      </c>
    </row>
    <row r="251" spans="1:2" x14ac:dyDescent="0.35">
      <c r="A251" s="4">
        <v>39600</v>
      </c>
      <c r="B251" s="39">
        <v>91.6</v>
      </c>
    </row>
    <row r="252" spans="1:2" x14ac:dyDescent="0.35">
      <c r="A252" s="4">
        <v>39692</v>
      </c>
      <c r="B252" s="39">
        <v>92.7</v>
      </c>
    </row>
    <row r="253" spans="1:2" x14ac:dyDescent="0.35">
      <c r="A253" s="4">
        <v>39783</v>
      </c>
      <c r="B253" s="39">
        <v>92.4</v>
      </c>
    </row>
    <row r="254" spans="1:2" x14ac:dyDescent="0.35">
      <c r="A254" s="4">
        <v>39873</v>
      </c>
      <c r="B254" s="39">
        <v>92.5</v>
      </c>
    </row>
    <row r="255" spans="1:2" x14ac:dyDescent="0.35">
      <c r="A255" s="4">
        <v>39965</v>
      </c>
      <c r="B255" s="39">
        <v>92.9</v>
      </c>
    </row>
    <row r="256" spans="1:2" x14ac:dyDescent="0.35">
      <c r="A256" s="4">
        <v>40057</v>
      </c>
      <c r="B256" s="39">
        <v>93.8</v>
      </c>
    </row>
    <row r="257" spans="1:2" x14ac:dyDescent="0.35">
      <c r="A257" s="4">
        <v>40148</v>
      </c>
      <c r="B257" s="39">
        <v>94.3</v>
      </c>
    </row>
    <row r="258" spans="1:2" x14ac:dyDescent="0.35">
      <c r="A258" s="4">
        <v>40238</v>
      </c>
      <c r="B258" s="39">
        <v>95.2</v>
      </c>
    </row>
    <row r="259" spans="1:2" x14ac:dyDescent="0.35">
      <c r="A259" s="4">
        <v>40330</v>
      </c>
      <c r="B259" s="39">
        <v>95.8</v>
      </c>
    </row>
    <row r="260" spans="1:2" x14ac:dyDescent="0.35">
      <c r="A260" s="4">
        <v>40422</v>
      </c>
      <c r="B260" s="39">
        <v>96.5</v>
      </c>
    </row>
    <row r="261" spans="1:2" x14ac:dyDescent="0.35">
      <c r="A261" s="4">
        <v>40513</v>
      </c>
      <c r="B261" s="39">
        <v>96.9</v>
      </c>
    </row>
    <row r="262" spans="1:2" x14ac:dyDescent="0.35">
      <c r="A262" s="4">
        <v>40603</v>
      </c>
      <c r="B262" s="39">
        <v>98.3</v>
      </c>
    </row>
    <row r="263" spans="1:2" x14ac:dyDescent="0.35">
      <c r="A263" s="4">
        <v>40695</v>
      </c>
      <c r="B263" s="39">
        <v>99.2</v>
      </c>
    </row>
    <row r="264" spans="1:2" x14ac:dyDescent="0.35">
      <c r="A264" s="4">
        <v>40787</v>
      </c>
      <c r="B264" s="39">
        <v>99.8</v>
      </c>
    </row>
    <row r="265" spans="1:2" x14ac:dyDescent="0.35">
      <c r="A265" s="4">
        <v>40878</v>
      </c>
      <c r="B265" s="39">
        <v>99.8</v>
      </c>
    </row>
    <row r="266" spans="1:2" x14ac:dyDescent="0.35">
      <c r="A266" s="4">
        <v>40969</v>
      </c>
      <c r="B266" s="39">
        <v>99.9</v>
      </c>
    </row>
    <row r="267" spans="1:2" x14ac:dyDescent="0.35">
      <c r="A267" s="4">
        <v>41061</v>
      </c>
      <c r="B267" s="39">
        <v>100.4</v>
      </c>
    </row>
    <row r="268" spans="1:2" x14ac:dyDescent="0.35">
      <c r="A268" s="4">
        <v>41153</v>
      </c>
      <c r="B268" s="39">
        <v>101.8</v>
      </c>
    </row>
    <row r="269" spans="1:2" x14ac:dyDescent="0.35">
      <c r="A269" s="4">
        <v>41244</v>
      </c>
      <c r="B269" s="39">
        <v>102</v>
      </c>
    </row>
    <row r="270" spans="1:2" x14ac:dyDescent="0.35">
      <c r="A270" s="4">
        <v>41334</v>
      </c>
      <c r="B270" s="39">
        <v>102.4</v>
      </c>
    </row>
    <row r="271" spans="1:2" x14ac:dyDescent="0.35">
      <c r="A271" s="4">
        <v>41426</v>
      </c>
      <c r="B271" s="39">
        <v>102.8</v>
      </c>
    </row>
    <row r="272" spans="1:2" x14ac:dyDescent="0.35">
      <c r="A272" s="4">
        <v>41518</v>
      </c>
      <c r="B272" s="39">
        <v>104</v>
      </c>
    </row>
    <row r="273" spans="1:2" x14ac:dyDescent="0.35">
      <c r="A273" s="4">
        <v>41609</v>
      </c>
      <c r="B273" s="39">
        <v>104.8</v>
      </c>
    </row>
    <row r="274" spans="1:2" x14ac:dyDescent="0.35">
      <c r="A274" s="4">
        <v>41699</v>
      </c>
      <c r="B274" s="39">
        <v>105.4</v>
      </c>
    </row>
    <row r="275" spans="1:2" x14ac:dyDescent="0.35">
      <c r="A275" s="4">
        <v>41791</v>
      </c>
      <c r="B275" s="39">
        <v>105.9</v>
      </c>
    </row>
    <row r="276" spans="1:2" x14ac:dyDescent="0.35">
      <c r="A276" s="4">
        <v>41883</v>
      </c>
      <c r="B276" s="39">
        <v>106.4</v>
      </c>
    </row>
    <row r="277" spans="1:2" x14ac:dyDescent="0.35">
      <c r="A277" s="4">
        <v>41974</v>
      </c>
      <c r="B277" s="39">
        <v>106.6</v>
      </c>
    </row>
    <row r="278" spans="1:2" x14ac:dyDescent="0.35">
      <c r="A278" s="4">
        <v>42064</v>
      </c>
      <c r="B278" s="39">
        <v>106.8</v>
      </c>
    </row>
    <row r="279" spans="1:2" x14ac:dyDescent="0.35">
      <c r="A279" s="4">
        <v>42156</v>
      </c>
      <c r="B279" s="39">
        <v>107.5</v>
      </c>
    </row>
    <row r="280" spans="1:2" x14ac:dyDescent="0.35">
      <c r="A280" s="4">
        <v>42248</v>
      </c>
      <c r="B280" s="39">
        <v>108</v>
      </c>
    </row>
    <row r="281" spans="1:2" x14ac:dyDescent="0.35">
      <c r="A281" s="4">
        <v>42339</v>
      </c>
      <c r="B281" s="39">
        <v>108.4</v>
      </c>
    </row>
    <row r="282" spans="1:2" x14ac:dyDescent="0.35">
      <c r="A282" s="4">
        <v>42430</v>
      </c>
      <c r="B282" s="39">
        <v>108.2</v>
      </c>
    </row>
    <row r="283" spans="1:2" x14ac:dyDescent="0.35">
      <c r="A283" s="4">
        <v>42522</v>
      </c>
      <c r="B283" s="39">
        <v>108.6</v>
      </c>
    </row>
    <row r="284" spans="1:2" x14ac:dyDescent="0.35">
      <c r="A284" s="4">
        <v>42614</v>
      </c>
      <c r="B284" s="39">
        <v>109.4</v>
      </c>
    </row>
    <row r="285" spans="1:2" x14ac:dyDescent="0.35">
      <c r="A285" s="4">
        <v>42705</v>
      </c>
      <c r="B285" s="39">
        <v>110</v>
      </c>
    </row>
    <row r="286" spans="1:2" x14ac:dyDescent="0.35">
      <c r="A286" s="4">
        <v>42795</v>
      </c>
      <c r="B286" s="39">
        <v>110.5</v>
      </c>
    </row>
    <row r="287" spans="1:2" x14ac:dyDescent="0.35">
      <c r="A287" s="4">
        <v>42887</v>
      </c>
      <c r="B287" s="39">
        <v>110.7</v>
      </c>
    </row>
    <row r="288" spans="1:2" x14ac:dyDescent="0.35">
      <c r="A288" s="4">
        <v>42979</v>
      </c>
      <c r="B288" s="39">
        <v>111.4</v>
      </c>
    </row>
    <row r="289" spans="1:9" x14ac:dyDescent="0.35">
      <c r="A289" s="4">
        <v>43070</v>
      </c>
      <c r="B289" s="39">
        <v>112.1</v>
      </c>
    </row>
    <row r="290" spans="1:9" x14ac:dyDescent="0.35">
      <c r="A290" s="4">
        <v>43160</v>
      </c>
      <c r="B290" s="39">
        <v>112.6</v>
      </c>
    </row>
    <row r="291" spans="1:9" x14ac:dyDescent="0.35">
      <c r="A291" s="40">
        <v>43252</v>
      </c>
      <c r="B291" s="39">
        <v>113</v>
      </c>
    </row>
    <row r="292" spans="1:9" x14ac:dyDescent="0.35">
      <c r="A292" s="40">
        <v>43344</v>
      </c>
      <c r="B292" s="39">
        <v>113.5</v>
      </c>
    </row>
    <row r="293" spans="1:9" x14ac:dyDescent="0.35">
      <c r="A293" s="40">
        <v>43435</v>
      </c>
      <c r="B293" s="39">
        <v>114.1</v>
      </c>
    </row>
    <row r="294" spans="1:9" x14ac:dyDescent="0.35">
      <c r="A294" s="40">
        <v>43525</v>
      </c>
      <c r="B294" s="39">
        <v>114.1</v>
      </c>
    </row>
    <row r="295" spans="1:9" x14ac:dyDescent="0.35">
      <c r="A295" s="40">
        <v>43617</v>
      </c>
      <c r="B295" s="39">
        <v>114.8</v>
      </c>
    </row>
    <row r="296" spans="1:9" x14ac:dyDescent="0.35">
      <c r="A296" s="40">
        <v>43709</v>
      </c>
      <c r="B296" s="43">
        <v>115.4</v>
      </c>
    </row>
    <row r="297" spans="1:9" x14ac:dyDescent="0.35">
      <c r="A297" s="40">
        <v>43800</v>
      </c>
      <c r="B297" s="41">
        <v>116.2</v>
      </c>
      <c r="D297" t="s">
        <v>0</v>
      </c>
    </row>
    <row r="298" spans="1:9" x14ac:dyDescent="0.35">
      <c r="A298" s="40">
        <v>43891</v>
      </c>
      <c r="B298" s="41">
        <v>116.6</v>
      </c>
      <c r="D298" t="s">
        <v>17</v>
      </c>
    </row>
    <row r="299" spans="1:9" x14ac:dyDescent="0.35">
      <c r="A299" s="40">
        <v>43983</v>
      </c>
      <c r="B299" s="41">
        <v>114.4</v>
      </c>
      <c r="D299" t="s">
        <v>16</v>
      </c>
    </row>
    <row r="300" spans="1:9" x14ac:dyDescent="0.35">
      <c r="A300" s="40">
        <v>44075</v>
      </c>
      <c r="B300" s="41">
        <v>116.2</v>
      </c>
      <c r="D300" t="s">
        <v>57</v>
      </c>
    </row>
    <row r="301" spans="1:9" x14ac:dyDescent="0.35">
      <c r="A301" s="40">
        <v>44166</v>
      </c>
      <c r="B301" s="41">
        <v>117.2</v>
      </c>
    </row>
    <row r="302" spans="1:9" x14ac:dyDescent="0.35">
      <c r="A302" s="40">
        <v>44256</v>
      </c>
      <c r="B302" s="41">
        <v>117.9</v>
      </c>
    </row>
    <row r="303" spans="1:9" x14ac:dyDescent="0.35">
      <c r="A303" s="40">
        <v>44348</v>
      </c>
      <c r="B303" s="61">
        <v>118.8</v>
      </c>
      <c r="C303" s="49"/>
      <c r="D303" s="49"/>
      <c r="E303" s="49"/>
      <c r="F303" s="49"/>
      <c r="G303" s="49"/>
      <c r="H303" s="49"/>
      <c r="I303" s="49"/>
    </row>
    <row r="304" spans="1:9" x14ac:dyDescent="0.35">
      <c r="A304" s="40">
        <v>44440</v>
      </c>
      <c r="B304" s="61">
        <v>119.7</v>
      </c>
      <c r="C304" s="49"/>
      <c r="D304" s="49"/>
      <c r="E304" s="49"/>
      <c r="F304" s="49"/>
      <c r="G304" s="49"/>
      <c r="H304" s="49"/>
      <c r="I304" s="49"/>
    </row>
    <row r="305" spans="1:9" x14ac:dyDescent="0.35">
      <c r="A305" s="40">
        <v>44531</v>
      </c>
      <c r="B305" s="61">
        <v>121.3</v>
      </c>
      <c r="C305" s="49"/>
      <c r="D305" s="49"/>
      <c r="E305" s="49"/>
      <c r="F305" s="49"/>
      <c r="G305" s="49"/>
      <c r="H305" s="49"/>
      <c r="I305" s="49"/>
    </row>
    <row r="306" spans="1:9" x14ac:dyDescent="0.35">
      <c r="A306" s="50">
        <v>44651</v>
      </c>
      <c r="B306" s="61">
        <v>123.9</v>
      </c>
      <c r="C306" s="49"/>
      <c r="D306" s="49"/>
      <c r="E306" s="49"/>
      <c r="F306" s="49"/>
      <c r="G306" s="49"/>
      <c r="H306" s="49"/>
      <c r="I306" s="49"/>
    </row>
    <row r="307" spans="1:9" x14ac:dyDescent="0.35">
      <c r="A307" s="50">
        <v>44742</v>
      </c>
      <c r="B307" s="61">
        <v>126.1</v>
      </c>
      <c r="C307" s="49"/>
      <c r="D307" s="49"/>
      <c r="E307" s="49"/>
      <c r="F307" s="49"/>
      <c r="G307" s="49"/>
      <c r="H307" s="49"/>
      <c r="I307" s="49"/>
    </row>
    <row r="308" spans="1:9" x14ac:dyDescent="0.35">
      <c r="A308" s="50">
        <v>44834</v>
      </c>
      <c r="B308" s="61">
        <v>128.4307</v>
      </c>
      <c r="C308" s="49"/>
      <c r="D308" s="49"/>
      <c r="E308" s="49"/>
      <c r="F308" s="49"/>
      <c r="G308" s="49"/>
      <c r="H308" s="49"/>
      <c r="I308" s="49"/>
    </row>
    <row r="309" spans="1:9" x14ac:dyDescent="0.35">
      <c r="A309" s="50">
        <v>44926</v>
      </c>
      <c r="B309" s="61">
        <v>130.76140000000001</v>
      </c>
      <c r="C309" s="49"/>
      <c r="D309" s="49"/>
      <c r="E309" s="49"/>
      <c r="F309" s="49"/>
      <c r="G309" s="49"/>
      <c r="H309" s="49"/>
      <c r="I309" s="49"/>
    </row>
    <row r="310" spans="1:9" x14ac:dyDescent="0.35">
      <c r="A310" s="50">
        <v>45016</v>
      </c>
      <c r="B310" s="39">
        <v>132.6</v>
      </c>
    </row>
  </sheetData>
  <dataValidations count="1">
    <dataValidation type="list" allowBlank="1" showInputMessage="1" showErrorMessage="1" sqref="E8" xr:uid="{00000000-0002-0000-0800-000000000000}">
      <formula1>$F$2:$V$2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l O q V r u 2 6 W C l A A A A 9 g A A A B I A H A B D b 2 5 m a W c v U G F j a 2 F n Z S 5 4 b W w g o h g A K K A U A A A A A A A A A A A A A A A A A A A A A A A A A A A A h Y / B C o J A G I R f R f b u 7 m o Q J r 8 r 0 T U h i K L r s m 6 6 p L / h r u m 7 d e i R e o W M s r p 1 n J l v Y O Z + v U E 6 1 J V 3 0 a 0 1 D S Y k o J x 4 G l W T G y w S 0 r m j H 5 F U w E a q k y y 0 N 8 J o 4 8 G a h J T O n W P G + r 6 n / Y w 2 b c F C z g N 2 y N Z b V e p a + g a t k 6 g 0 + b T y / y 0 i Y P 8 a I 0 I a 8 I g u o j n l w C Y T M o N f I B z 3 P t M f E 1 Z d 5 b p W C 4 3 + c g d s k s D e H 8 Q D U E s D B B Q A A g A I A I 5 T q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U 6 p W K I p H u A 4 A A A A R A A A A E w A c A E Z v c m 1 1 b G F z L 1 N l Y 3 R p b 2 4 x L m 0 g o h g A K K A U A A A A A A A A A A A A A A A A A A A A A A A A A A A A K 0 5 N L s n M z 1 M I h t C G 1 g B Q S w E C L Q A U A A I A C A C O U 6 p W u 7 b p Y K U A A A D 2 A A A A E g A A A A A A A A A A A A A A A A A A A A A A Q 2 9 u Z m l n L 1 B h Y 2 t h Z 2 U u e G 1 s U E s B A i 0 A F A A C A A g A j l O q V g / K 6 a u k A A A A 6 Q A A A B M A A A A A A A A A A A A A A A A A 8 Q A A A F t D b 2 5 0 Z W 5 0 X 1 R 5 c G V z X S 5 4 b W x Q S w E C L Q A U A A I A C A C O U 6 p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U G D d u 6 E K f U K L k q j q O l P E A g A A A A A C A A A A A A A D Z g A A w A A A A B A A A A C F F V H S y Q 5 L H N J x p X B Z i 5 5 l A A A A A A S A A A C g A A A A E A A A A J 8 H 9 Y Q Y D V a C P Y F k g w Z 8 N v F Q A A A A t 3 j h L I 4 + j q q w v / t u Q q 1 V s m N d 3 P 5 7 0 A q h x s d N H T o R W 0 N H k t s u 0 l h N + a U B r v u q E t 6 R b N g f c 2 v G 7 l o X n H V c J I X h w Q + 7 V W F z B K b 9 V a l h + 9 U x b S g U A A A A I 4 R u L l z H Q w X W W F G e 1 g h z F d Z x 5 T E = < / D a t a M a s h u p > 
</file>

<file path=customXml/itemProps1.xml><?xml version="1.0" encoding="utf-8"?>
<ds:datastoreItem xmlns:ds="http://schemas.openxmlformats.org/officeDocument/2006/customXml" ds:itemID="{4FD61789-8058-49DF-AA70-8E6E01049E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Readme</vt:lpstr>
      <vt:lpstr>TNSP Charts-updated</vt:lpstr>
      <vt:lpstr>TNSP Analysis</vt:lpstr>
      <vt:lpstr>Asset cost and Total cost</vt:lpstr>
      <vt:lpstr>Opex</vt:lpstr>
      <vt:lpstr>RAB</vt:lpstr>
      <vt:lpstr>Depreciation</vt:lpstr>
      <vt:lpstr>Capex</vt:lpstr>
      <vt:lpstr>CPI</vt:lpstr>
      <vt:lpstr>Physical data</vt:lpstr>
      <vt:lpstr>Network characteristics charts</vt:lpstr>
      <vt:lpstr>Network size table</vt:lpstr>
      <vt:lpstr>'Physical data'!_Ref390772024</vt:lpstr>
      <vt:lpstr>currency_base</vt:lpstr>
      <vt:lpstr>Real_year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2015-11-26T04:54:25Z</dcterms:created>
  <dcterms:modified xsi:type="dcterms:W3CDTF">2023-11-23T22:40:09Z</dcterms:modified>
</cp:coreProperties>
</file>