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A643BF54-04B3-4081-86FB-BEDAAFAD024E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Coverpage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Output | Models" sheetId="10" r:id="rId6"/>
    <sheet name="Calc | CESS Revenue Increments" sheetId="4" r:id="rId7"/>
  </sheets>
  <definedNames>
    <definedName name="CIQWBGuid" hidden="1">"Base Case - PTRM capex inputs FY20-24 v1.xlsx"</definedName>
    <definedName name="dollars">#REF!</definedName>
    <definedName name="factor">#REF!</definedName>
    <definedName name="millions">#REF!</definedName>
    <definedName name="Nominal_to_Real">#REF!</definedName>
    <definedName name="number">#REF!</definedName>
    <definedName name="percent" localSheetId="5">#REF!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H13" i="2"/>
  <c r="G13" i="2"/>
  <c r="F13" i="2"/>
  <c r="E13" i="2"/>
  <c r="D13" i="2"/>
  <c r="D18" i="2"/>
  <c r="E18" i="2"/>
  <c r="F18" i="2"/>
  <c r="G18" i="2"/>
  <c r="H18" i="2"/>
  <c r="G7" i="13"/>
  <c r="F7" i="1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10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4" l="1"/>
  <c r="B1" i="13"/>
  <c r="B1" i="3"/>
  <c r="B1" i="5"/>
  <c r="L12" i="3" l="1"/>
  <c r="J12" i="3"/>
  <c r="H12" i="3"/>
  <c r="K12" i="3"/>
  <c r="I12" i="3"/>
  <c r="M14" i="13" l="1"/>
  <c r="N14" i="13" s="1"/>
  <c r="O14" i="13" s="1"/>
  <c r="P14" i="13" s="1"/>
  <c r="M9" i="13"/>
  <c r="N9" i="13" s="1"/>
  <c r="O9" i="13" s="1"/>
  <c r="P9" i="13" s="1"/>
  <c r="I23" i="3" l="1"/>
  <c r="H23" i="3" l="1"/>
  <c r="J23" i="3"/>
  <c r="I22" i="13" l="1"/>
  <c r="F9" i="4" s="1"/>
  <c r="F11" i="4" s="1"/>
  <c r="H22" i="13" l="1"/>
  <c r="E9" i="4" s="1"/>
  <c r="E11" i="4" s="1"/>
  <c r="H8" i="4" l="1"/>
  <c r="G8" i="4"/>
  <c r="K22" i="13"/>
  <c r="H9" i="4" s="1"/>
  <c r="G19" i="4" s="1"/>
  <c r="J22" i="13"/>
  <c r="G9" i="4" s="1"/>
  <c r="G10" i="13"/>
  <c r="H10" i="13" s="1"/>
  <c r="I10" i="13" s="1"/>
  <c r="J10" i="13" s="1"/>
  <c r="K10" i="13" s="1"/>
  <c r="G15" i="13"/>
  <c r="G22" i="13"/>
  <c r="D9" i="4" s="1"/>
  <c r="D11" i="4" s="1"/>
  <c r="F19" i="4" l="1"/>
  <c r="E19" i="4" s="1"/>
  <c r="D19" i="4" s="1"/>
  <c r="D21" i="4" s="1"/>
  <c r="D10" i="4"/>
  <c r="D12" i="4" s="1"/>
  <c r="H15" i="13"/>
  <c r="H30" i="3"/>
  <c r="L10" i="13"/>
  <c r="P22" i="13" l="1"/>
  <c r="H25" i="4" s="1"/>
  <c r="N22" i="13"/>
  <c r="F25" i="4" s="1"/>
  <c r="M22" i="13"/>
  <c r="E25" i="4" s="1"/>
  <c r="O22" i="13"/>
  <c r="G25" i="4" s="1"/>
  <c r="M10" i="13"/>
  <c r="I30" i="3"/>
  <c r="E10" i="4"/>
  <c r="E12" i="4" s="1"/>
  <c r="I15" i="13"/>
  <c r="G13" i="4"/>
  <c r="E13" i="4"/>
  <c r="E18" i="4" s="1"/>
  <c r="E21" i="4" s="1"/>
  <c r="H13" i="4"/>
  <c r="D20" i="4"/>
  <c r="F13" i="4"/>
  <c r="J30" i="3" l="1"/>
  <c r="N10" i="13"/>
  <c r="F10" i="4"/>
  <c r="F12" i="4" s="1"/>
  <c r="J15" i="13"/>
  <c r="F14" i="4"/>
  <c r="F18" i="4" s="1"/>
  <c r="F21" i="4" s="1"/>
  <c r="E20" i="4"/>
  <c r="H14" i="4"/>
  <c r="G14" i="4"/>
  <c r="L22" i="13" l="1"/>
  <c r="D25" i="4" s="1"/>
  <c r="D41" i="4"/>
  <c r="E41" i="4" s="1"/>
  <c r="F41" i="4" s="1"/>
  <c r="G41" i="4" s="1"/>
  <c r="H41" i="4" s="1"/>
  <c r="G10" i="4"/>
  <c r="K15" i="13"/>
  <c r="H15" i="4"/>
  <c r="F20" i="4"/>
  <c r="G15" i="4"/>
  <c r="G18" i="4" s="1"/>
  <c r="G21" i="4" s="1"/>
  <c r="O10" i="13"/>
  <c r="K30" i="3"/>
  <c r="D27" i="4" l="1"/>
  <c r="H27" i="4"/>
  <c r="F27" i="4"/>
  <c r="G27" i="4"/>
  <c r="E27" i="4"/>
  <c r="P10" i="13"/>
  <c r="L30" i="3"/>
  <c r="L15" i="13"/>
  <c r="H10" i="4"/>
  <c r="H31" i="3"/>
  <c r="D26" i="4" s="1"/>
  <c r="D28" i="4" s="1"/>
  <c r="M15" i="13" l="1"/>
  <c r="I31" i="3"/>
  <c r="E26" i="4" s="1"/>
  <c r="E28" i="4" s="1"/>
  <c r="N15" i="13" l="1"/>
  <c r="J31" i="3"/>
  <c r="F26" i="4" s="1"/>
  <c r="F28" i="4" s="1"/>
  <c r="K23" i="3" l="1"/>
  <c r="G11" i="4" s="1"/>
  <c r="G12" i="4" s="1"/>
  <c r="O15" i="13"/>
  <c r="K31" i="3"/>
  <c r="G26" i="4" s="1"/>
  <c r="G28" i="4" s="1"/>
  <c r="L23" i="3" l="1"/>
  <c r="H11" i="4" s="1"/>
  <c r="H12" i="4" s="1"/>
  <c r="H20" i="4" s="1"/>
  <c r="P15" i="13"/>
  <c r="L31" i="3"/>
  <c r="H26" i="4" s="1"/>
  <c r="H28" i="4" s="1"/>
  <c r="H16" i="4"/>
  <c r="H18" i="4" s="1"/>
  <c r="H21" i="4" s="1"/>
  <c r="D35" i="4" s="1"/>
  <c r="G20" i="4"/>
  <c r="D31" i="4" l="1"/>
  <c r="D33" i="4" l="1"/>
  <c r="D34" i="4"/>
  <c r="D36" i="4" s="1"/>
  <c r="D42" i="4" s="1"/>
  <c r="J8" i="10" l="1"/>
  <c r="E42" i="4"/>
  <c r="K8" i="10" l="1"/>
  <c r="F42" i="4"/>
  <c r="G42" i="4" l="1"/>
  <c r="L8" i="10"/>
  <c r="H42" i="4" l="1"/>
  <c r="M8" i="10"/>
  <c r="N8" i="10" l="1"/>
  <c r="O8" i="10" s="1"/>
  <c r="D44" i="4"/>
</calcChain>
</file>

<file path=xl/sharedStrings.xml><?xml version="1.0" encoding="utf-8"?>
<sst xmlns="http://schemas.openxmlformats.org/spreadsheetml/2006/main" count="202" uniqueCount="109">
  <si>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</si>
  <si>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</si>
  <si>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</si>
  <si>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</si>
  <si>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</si>
  <si>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</si>
  <si>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</si>
  <si>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</si>
  <si>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</si>
  <si>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</si>
  <si>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</si>
  <si>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</si>
  <si>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</si>
  <si>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</si>
  <si>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</si>
  <si>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</si>
  <si>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</si>
  <si>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</si>
  <si>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</si>
  <si>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</si>
  <si>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</si>
  <si>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</si>
  <si>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</si>
  <si>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</si>
  <si>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</si>
  <si>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</si>
  <si>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</si>
  <si>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</si>
  <si>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</si>
  <si>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</si>
  <si>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</si>
  <si>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</si>
  <si>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</si>
  <si>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</si>
  <si>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</si>
  <si>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</si>
  <si>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</si>
  <si>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</si>
  <si>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</si>
  <si>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</si>
  <si>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</si>
  <si>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</si>
  <si>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</si>
  <si>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</si>
  <si>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</si>
  <si>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</si>
  <si>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</si>
  <si>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</si>
  <si>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</si>
  <si>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</si>
  <si>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</si>
  <si>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</si>
  <si>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</si>
  <si>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</si>
  <si>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</si>
  <si>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</si>
  <si>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</si>
  <si>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</si>
  <si>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</si>
  <si>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</si>
  <si>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</si>
  <si>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</si>
  <si>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</si>
  <si>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</si>
  <si>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</si>
  <si>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</si>
  <si>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</si>
  <si>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</si>
  <si>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</si>
  <si>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</si>
  <si>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</si>
  <si>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</si>
  <si>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</si>
  <si>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</si>
  <si>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</si>
  <si>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</si>
  <si>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</si>
  <si>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</si>
  <si>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</si>
  <si>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</si>
  <si>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</si>
  <si>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</si>
  <si>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</si>
  <si>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</si>
  <si>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</si>
  <si>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</si>
  <si>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</si>
  <si>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</si>
  <si>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</si>
  <si>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</si>
  <si>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</si>
  <si>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</si>
  <si>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</si>
  <si>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</si>
  <si>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</si>
  <si>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</si>
  <si>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</si>
  <si>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</si>
  <si>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</si>
  <si>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</si>
  <si>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</si>
  <si>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</si>
  <si>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</si>
  <si>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</si>
  <si>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</si>
  <si>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Dx</t>
  </si>
  <si>
    <t>Revised Proposal</t>
  </si>
  <si>
    <t>Ausgrid’s 2024-29 Revised Proposal</t>
  </si>
  <si>
    <t>Attachment 4.12: CESS distribution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</si>
</sst>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[$-C09]d\ mmmm\ yyyy;@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6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0" fillId="0" borderId="0" xfId="265" applyFont="1" applyAlignment="1">
      <alignment horizontal="center" vertical="center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0" fontId="0" fillId="3" borderId="0" xfId="0" quotePrefix="1" applyFill="1" applyAlignment="1">
      <alignment vertical="center"/>
    </xf>
    <xf numFmtId="0" fontId="105" fillId="0" borderId="0" xfId="0" applyFont="1"/>
    <xf numFmtId="194" fontId="92" fillId="0" borderId="0" xfId="0" applyNumberFormat="1" applyFont="1" applyAlignment="1">
      <alignment horizontal="left" vertical="center"/>
    </xf>
    <xf numFmtId="0" fontId="106" fillId="0" borderId="0" xfId="0" applyFont="1" applyAlignment="1">
      <alignment horizontal="left" vertical="top" wrapText="1"/>
    </xf>
    <xf numFmtId="0" fontId="88" fillId="3" borderId="44" xfId="3" applyFont="1" applyFill="1" applyBorder="1" applyAlignment="1">
      <alignment horizont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6552C63B-76BD-4ABC-A577-1B9B3FFF4A62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E15D110A-2EDC-43FD-B379-88416D848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60989"/>
          <a:ext cx="4933950" cy="7483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D67F424-36C2-47E9-8D1D-B83DBA599EE2}"/>
            </a:ext>
          </a:extLst>
        </xdr:cNvPr>
        <xdr:cNvGrpSpPr>
          <a:grpSpLocks/>
        </xdr:cNvGrpSpPr>
      </xdr:nvGrpSpPr>
      <xdr:grpSpPr bwMode="auto">
        <a:xfrm>
          <a:off x="3564890" y="6885940"/>
          <a:ext cx="1185545" cy="3321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186F12B9-C01E-A990-2005-195699F75424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6DB031E-1F2D-9D8A-04F6-B1DD88B184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681A0C-9E34-484D-9142-C8E106F1F8D9}"/>
            </a:ext>
          </a:extLst>
        </xdr:cNvPr>
        <xdr:cNvSpPr txBox="1"/>
      </xdr:nvSpPr>
      <xdr:spPr>
        <a:xfrm>
          <a:off x="215900" y="6686551"/>
          <a:ext cx="225107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0A04A4C-3405-4AAE-910B-9CACB4A0A9E4}"/>
            </a:ext>
          </a:extLst>
        </xdr:cNvPr>
        <xdr:cNvSpPr/>
      </xdr:nvSpPr>
      <xdr:spPr>
        <a:xfrm flipH="1" flipV="1">
          <a:off x="321042" y="542747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D733A9-67A8-448D-9291-431CD9C327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25695" cy="4733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711F-3E35-42F2-BAD7-956FBD411A31}">
  <dimension ref="B27:H35"/>
  <sheetViews>
    <sheetView showGridLines="0" tabSelected="1" workbookViewId="0"/>
  </sheetViews>
  <sheetFormatPr defaultRowHeight="15"/>
  <cols>
    <col min="1" max="1" width="4.28515625" customWidth="1"/>
  </cols>
  <sheetData>
    <row r="27" spans="2:8">
      <c r="B27" s="183">
        <v>45260</v>
      </c>
      <c r="C27" s="183"/>
    </row>
    <row r="29" spans="2:8" ht="18">
      <c r="B29" s="182" t="s">
        <v>107</v>
      </c>
    </row>
    <row r="31" spans="2:8" ht="14.45" customHeight="1">
      <c r="B31" s="184" t="s">
        <v>108</v>
      </c>
      <c r="C31" s="184"/>
      <c r="D31" s="184"/>
      <c r="E31" s="184"/>
      <c r="F31" s="184"/>
      <c r="G31" s="184"/>
      <c r="H31" s="184"/>
    </row>
    <row r="32" spans="2:8" ht="14.45" customHeight="1">
      <c r="B32" s="184"/>
      <c r="C32" s="184"/>
      <c r="D32" s="184"/>
      <c r="E32" s="184"/>
      <c r="F32" s="184"/>
      <c r="G32" s="184"/>
      <c r="H32" s="184"/>
    </row>
    <row r="33" spans="2:8" ht="14.45" customHeight="1">
      <c r="B33" s="184"/>
      <c r="C33" s="184"/>
      <c r="D33" s="184"/>
      <c r="E33" s="184"/>
      <c r="F33" s="184"/>
      <c r="G33" s="184"/>
      <c r="H33" s="184"/>
    </row>
    <row r="34" spans="2:8" ht="14.45" customHeight="1">
      <c r="B34" s="184"/>
      <c r="C34" s="184"/>
      <c r="D34" s="184"/>
      <c r="E34" s="184"/>
      <c r="F34" s="184"/>
      <c r="G34" s="184"/>
      <c r="H34" s="184"/>
    </row>
    <row r="35" spans="2:8">
      <c r="B35" s="184"/>
      <c r="C35" s="184"/>
      <c r="D35" s="184"/>
      <c r="E35" s="184"/>
      <c r="F35" s="184"/>
      <c r="G35" s="184"/>
      <c r="H35" s="184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Ausgrid Dx 2024-29 Revised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79</v>
      </c>
      <c r="D8" s="26" t="s">
        <v>78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55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58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80</v>
      </c>
      <c r="D11" s="26" t="s">
        <v>54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0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Ausgrid Dx 2024-29 Revised Proposal - Capital expenditure sharing scheme model</v>
      </c>
      <c r="F1" s="92"/>
      <c r="G1" s="93" t="s">
        <v>47</v>
      </c>
      <c r="H1" s="131" t="s">
        <v>48</v>
      </c>
      <c r="I1" s="135" t="s">
        <v>36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2" t="s">
        <v>105</v>
      </c>
      <c r="J6" s="69"/>
      <c r="K6" s="69"/>
      <c r="L6" s="69"/>
      <c r="M6" s="69"/>
    </row>
    <row r="7" spans="1:13" s="60" customFormat="1" ht="11.25" customHeight="1">
      <c r="C7" s="59" t="s">
        <v>88</v>
      </c>
      <c r="D7" s="132" t="s">
        <v>106</v>
      </c>
      <c r="I7" s="69"/>
      <c r="J7" s="69"/>
      <c r="K7" s="69"/>
      <c r="L7" s="69"/>
    </row>
    <row r="8" spans="1:13" s="60" customFormat="1" ht="11.25" customHeight="1">
      <c r="C8" s="59" t="s">
        <v>89</v>
      </c>
      <c r="D8" s="132" t="s">
        <v>101</v>
      </c>
      <c r="J8" s="69"/>
      <c r="K8" s="69"/>
      <c r="L8" s="69"/>
      <c r="M8" s="69"/>
    </row>
    <row r="9" spans="1:13" s="60" customFormat="1" ht="11.25" customHeight="1">
      <c r="C9" s="160" t="s">
        <v>99</v>
      </c>
      <c r="D9" s="132" t="s">
        <v>102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87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63</v>
      </c>
      <c r="E12" s="61" t="s">
        <v>64</v>
      </c>
      <c r="F12" s="61" t="s">
        <v>65</v>
      </c>
      <c r="G12" s="61" t="s">
        <v>66</v>
      </c>
      <c r="H12" s="61" t="s">
        <v>67</v>
      </c>
      <c r="J12" s="69"/>
      <c r="K12" s="69"/>
      <c r="L12" s="69"/>
      <c r="M12" s="69"/>
    </row>
    <row r="13" spans="1:13" s="60" customFormat="1" ht="11.25" customHeight="1">
      <c r="C13" s="59" t="s">
        <v>61</v>
      </c>
      <c r="D13" s="159" t="str">
        <f t="shared" ref="D13:F13" si="0">IF(LEN(E13)&gt;4,CONCATENATE(LEFT(E13,4)-1&amp;"–"&amp;IF(RIGHT(E13,2)="00","99",IF(RIGHT(E13,2)-1&lt;10,"0","")&amp;RIGHT(E13,2)-1)),E13-1)</f>
        <v>2019–20</v>
      </c>
      <c r="E13" s="159" t="str">
        <f t="shared" si="0"/>
        <v>2020–21</v>
      </c>
      <c r="F13" s="159" t="str">
        <f t="shared" si="0"/>
        <v>2021–22</v>
      </c>
      <c r="G13" s="159" t="str">
        <f>IF(LEN(H13)&gt;4,CONCATENATE(LEFT(H13,4)-1&amp;"–"&amp;IF(RIGHT(H13,2)="00","99",IF(RIGHT(H13,2)-1&lt;10,"0","")&amp;RIGHT(H13,2)-1)),H13-1)</f>
        <v>2022–23</v>
      </c>
      <c r="H13" s="159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2" t="s">
        <v>8</v>
      </c>
      <c r="E14" s="132" t="s">
        <v>8</v>
      </c>
      <c r="F14" s="132" t="s">
        <v>8</v>
      </c>
      <c r="G14" s="132" t="s">
        <v>8</v>
      </c>
      <c r="H14" s="132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2" t="s">
        <v>7</v>
      </c>
      <c r="E15" s="132" t="s">
        <v>7</v>
      </c>
      <c r="F15" s="132" t="s">
        <v>7</v>
      </c>
      <c r="G15" s="132" t="s">
        <v>7</v>
      </c>
      <c r="H15" s="132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63</v>
      </c>
      <c r="E17" s="61" t="s">
        <v>64</v>
      </c>
      <c r="F17" s="61" t="s">
        <v>65</v>
      </c>
      <c r="G17" s="61" t="s">
        <v>66</v>
      </c>
      <c r="H17" s="61" t="s">
        <v>67</v>
      </c>
      <c r="J17" s="69"/>
      <c r="K17" s="69"/>
      <c r="L17" s="69"/>
      <c r="M17" s="69"/>
    </row>
    <row r="18" spans="1:13" s="60" customFormat="1" ht="11.25" customHeight="1">
      <c r="C18" s="59" t="s">
        <v>62</v>
      </c>
      <c r="D18" s="171" t="str">
        <f>D9</f>
        <v>2024-25</v>
      </c>
      <c r="E18" s="171" t="str">
        <f>IF(LEN(D18)&gt;4,CONCATENATE(LEFT(D18,4)+1&amp;"–"&amp;IF(RIGHT(D18,2)+1&gt;9,"","0")&amp;RIGHT(D18,2)+1),D18+1)</f>
        <v>2025–26</v>
      </c>
      <c r="F18" s="171" t="str">
        <f t="shared" ref="F18:H18" si="1">IF(LEN(E18)&gt;4,CONCATENATE(LEFT(E18,4)+1&amp;"–"&amp;IF(RIGHT(E18,2)+1&gt;9,"","0")&amp;RIGHT(E18,2)+1),E18+1)</f>
        <v>2026–27</v>
      </c>
      <c r="G18" s="171" t="str">
        <f t="shared" si="1"/>
        <v>2027–28</v>
      </c>
      <c r="H18" s="171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="86" zoomScaleNormal="86" workbookViewId="0"/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Ausgrid Dx 2024-29 Revised Proposal - Capital expenditure sharing scheme model</v>
      </c>
      <c r="D1" s="3"/>
      <c r="E1" s="3"/>
      <c r="F1" s="3"/>
      <c r="G1" s="92"/>
      <c r="H1" s="93" t="s">
        <v>47</v>
      </c>
      <c r="I1" s="131" t="s">
        <v>48</v>
      </c>
      <c r="J1" s="135" t="s">
        <v>36</v>
      </c>
      <c r="K1" s="128"/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90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52</v>
      </c>
      <c r="F6" s="65"/>
      <c r="N6" s="2"/>
    </row>
    <row r="7" spans="1:20" ht="11.25" customHeight="1">
      <c r="A7" s="2"/>
      <c r="B7" s="2"/>
      <c r="C7" s="13"/>
      <c r="D7" s="69"/>
      <c r="E7" s="69"/>
      <c r="F7" s="148" t="str">
        <f>IF(LEN(G7)&gt;4,CONCATENATE(LEFT(G7,4)-1&amp;"–"&amp;IF(RIGHT(G7,2)="00","99",IF(RIGHT(G7,2)-1&lt;10,"0","")&amp;RIGHT(G7,2)-1)),G7-1)</f>
        <v>2018–19</v>
      </c>
      <c r="G7" s="147" t="str">
        <f>'Input | General'!D13</f>
        <v>2019–20</v>
      </c>
      <c r="H7" s="147" t="str">
        <f>'Input | General'!E13</f>
        <v>2020–21</v>
      </c>
      <c r="I7" s="147" t="str">
        <f>'Input | General'!F13</f>
        <v>2021–22</v>
      </c>
      <c r="J7" s="147" t="str">
        <f>'Input | General'!G13</f>
        <v>2022–23</v>
      </c>
      <c r="K7" s="147" t="str">
        <f>'Input | General'!H13</f>
        <v>2023–24</v>
      </c>
      <c r="L7" s="147" t="str">
        <f>'Input | General'!D18</f>
        <v>2024-25</v>
      </c>
      <c r="M7" s="147" t="str">
        <f>'Input | General'!E18</f>
        <v>2025–26</v>
      </c>
      <c r="N7" s="147" t="str">
        <f>'Input | General'!F18</f>
        <v>2026–27</v>
      </c>
      <c r="O7" s="147" t="str">
        <f>'Input | General'!G18</f>
        <v>2027–28</v>
      </c>
      <c r="P7" s="147" t="str">
        <f>'Input | General'!H18</f>
        <v>2028–29</v>
      </c>
    </row>
    <row r="8" spans="1:20" ht="11.25" customHeight="1">
      <c r="A8" s="2"/>
      <c r="B8" s="2"/>
      <c r="C8" s="70" t="s">
        <v>81</v>
      </c>
      <c r="D8" s="68" t="s">
        <v>100</v>
      </c>
      <c r="E8" s="68" t="s">
        <v>51</v>
      </c>
      <c r="F8" s="68"/>
      <c r="G8" s="170">
        <v>1.84049079754602E-2</v>
      </c>
      <c r="H8" s="170">
        <v>8.6058519793459354E-3</v>
      </c>
      <c r="I8" s="170">
        <v>3.49829351535835E-2</v>
      </c>
      <c r="J8" s="170">
        <v>7.8318219291014124E-2</v>
      </c>
      <c r="K8" s="170">
        <v>4.1000000000000002E-2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82</v>
      </c>
      <c r="D9" s="68" t="s">
        <v>100</v>
      </c>
      <c r="E9" s="68" t="s">
        <v>51</v>
      </c>
      <c r="F9" s="68"/>
      <c r="G9" s="112"/>
      <c r="H9" s="112"/>
      <c r="I9" s="112"/>
      <c r="J9" s="112"/>
      <c r="K9" s="112"/>
      <c r="L9" s="170">
        <v>2.7997811278454687E-2</v>
      </c>
      <c r="M9" s="174">
        <f t="shared" ref="M9:P9" si="0">L9</f>
        <v>2.7997811278454687E-2</v>
      </c>
      <c r="N9" s="174">
        <f t="shared" si="0"/>
        <v>2.7997811278454687E-2</v>
      </c>
      <c r="O9" s="174">
        <f t="shared" si="0"/>
        <v>2.7997811278454687E-2</v>
      </c>
      <c r="P9" s="174">
        <f t="shared" si="0"/>
        <v>2.7997811278454687E-2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100</v>
      </c>
      <c r="E10" s="68" t="s">
        <v>30</v>
      </c>
      <c r="F10" s="172">
        <v>1</v>
      </c>
      <c r="G10" s="173">
        <f>IF(G7&lt;&gt;"",(F10*(1+G8)),"")</f>
        <v>1.0184049079754602</v>
      </c>
      <c r="H10" s="173">
        <f>IF(H7&lt;&gt;"",(G10*(1+H8)),"")</f>
        <v>1.0271691498685365</v>
      </c>
      <c r="I10" s="173">
        <f>IF(I7&lt;&gt;"",(H10*(1+I8)),"")</f>
        <v>1.0631025416301489</v>
      </c>
      <c r="J10" s="173">
        <f>IF(J7&lt;&gt;"",(I10*(1+J8)),"")</f>
        <v>1.1463628396143735</v>
      </c>
      <c r="K10" s="173">
        <f>IF(K7&lt;&gt;"",(J10*(1+K8)),"")</f>
        <v>1.1933637160385626</v>
      </c>
      <c r="L10" s="173">
        <f t="shared" ref="L10:P10" si="1">IF(L7&lt;&gt;"",(K10*(1+L9)),"")</f>
        <v>1.2267752881467657</v>
      </c>
      <c r="M10" s="173">
        <f t="shared" si="1"/>
        <v>1.2611223111453707</v>
      </c>
      <c r="N10" s="173">
        <f t="shared" si="1"/>
        <v>1.2964309756118673</v>
      </c>
      <c r="O10" s="173">
        <f t="shared" si="1"/>
        <v>1.3327282054025913</v>
      </c>
      <c r="P10" s="173">
        <f t="shared" si="1"/>
        <v>1.3700416781829265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81</v>
      </c>
      <c r="D13" s="68" t="s">
        <v>49</v>
      </c>
      <c r="E13" s="68" t="s">
        <v>51</v>
      </c>
      <c r="F13" s="68"/>
      <c r="G13" s="170">
        <v>1.84049079754602E-2</v>
      </c>
      <c r="H13" s="170">
        <v>8.6058519793459354E-3</v>
      </c>
      <c r="I13" s="170">
        <v>3.49829351535835E-2</v>
      </c>
      <c r="J13" s="170">
        <v>7.8318219291014124E-2</v>
      </c>
      <c r="K13" s="170">
        <v>4.1000000000000002E-2</v>
      </c>
      <c r="L13" s="162"/>
      <c r="M13" s="162"/>
      <c r="N13" s="162"/>
      <c r="O13" s="162"/>
      <c r="P13" s="162"/>
    </row>
    <row r="14" spans="1:20" ht="11.25" customHeight="1">
      <c r="A14" s="2"/>
      <c r="B14" s="2"/>
      <c r="C14" s="70" t="s">
        <v>82</v>
      </c>
      <c r="D14" s="68" t="s">
        <v>49</v>
      </c>
      <c r="E14" s="68" t="s">
        <v>51</v>
      </c>
      <c r="F14" s="68"/>
      <c r="G14" s="76"/>
      <c r="H14" s="76"/>
      <c r="I14" s="76"/>
      <c r="J14" s="113"/>
      <c r="K14" s="113"/>
      <c r="L14" s="170">
        <v>2.7997811278454687E-2</v>
      </c>
      <c r="M14" s="174">
        <f t="shared" ref="M14:P14" si="2">L14</f>
        <v>2.7997811278454687E-2</v>
      </c>
      <c r="N14" s="174">
        <f t="shared" si="2"/>
        <v>2.7997811278454687E-2</v>
      </c>
      <c r="O14" s="174">
        <f t="shared" si="2"/>
        <v>2.7997811278454687E-2</v>
      </c>
      <c r="P14" s="174">
        <f t="shared" si="2"/>
        <v>2.7997811278454687E-2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49</v>
      </c>
      <c r="E15" s="68" t="s">
        <v>30</v>
      </c>
      <c r="F15" s="172">
        <v>1</v>
      </c>
      <c r="G15" s="173">
        <f>IF(G7&lt;&gt;"",(F15*(1+G13)),"")</f>
        <v>1.0184049079754602</v>
      </c>
      <c r="H15" s="173">
        <f>IF(H7&lt;&gt;"",(G15*(1+H13)),"")</f>
        <v>1.0271691498685365</v>
      </c>
      <c r="I15" s="173">
        <f>IF(I7&lt;&gt;"",(H15*(1+I13)),"")</f>
        <v>1.0631025416301489</v>
      </c>
      <c r="J15" s="175">
        <f>IF(J7&lt;&gt;"",(I15*(1+J13)),"")</f>
        <v>1.1463628396143735</v>
      </c>
      <c r="K15" s="175">
        <f>IF(K7&lt;&gt;"",(J15*(1+K13)),"")</f>
        <v>1.1933637160385626</v>
      </c>
      <c r="L15" s="175">
        <f t="shared" ref="L15:P15" si="3">IF(L7&lt;&gt;"",(K15*(1+L14)),"")</f>
        <v>1.2267752881467657</v>
      </c>
      <c r="M15" s="175">
        <f t="shared" si="3"/>
        <v>1.2611223111453707</v>
      </c>
      <c r="N15" s="175">
        <f t="shared" si="3"/>
        <v>1.2964309756118673</v>
      </c>
      <c r="O15" s="175">
        <f t="shared" si="3"/>
        <v>1.3327282054025913</v>
      </c>
      <c r="P15" s="175">
        <f t="shared" si="3"/>
        <v>1.3700416781829265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3"/>
      <c r="L16" s="163"/>
      <c r="M16" s="163"/>
      <c r="N16" s="163"/>
      <c r="O16" s="163"/>
      <c r="P16" s="163"/>
    </row>
    <row r="17" spans="1:16" s="71" customFormat="1" ht="12.75" customHeight="1">
      <c r="C17" s="23" t="s">
        <v>68</v>
      </c>
      <c r="D17" s="72"/>
      <c r="E17" s="72"/>
      <c r="F17" s="72"/>
      <c r="J17" s="164"/>
      <c r="K17" s="164"/>
      <c r="L17" s="164"/>
      <c r="M17" s="165"/>
      <c r="N17" s="164"/>
      <c r="O17" s="164"/>
      <c r="P17" s="164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6"/>
      <c r="N18" s="11"/>
      <c r="O18" s="167"/>
      <c r="P18" s="167"/>
    </row>
    <row r="19" spans="1:16" ht="11.25" customHeight="1">
      <c r="C19" s="13"/>
      <c r="D19" s="65" t="s">
        <v>6</v>
      </c>
      <c r="E19" s="65" t="s">
        <v>52</v>
      </c>
      <c r="F19" s="69"/>
      <c r="G19" s="147" t="str">
        <f>G7</f>
        <v>2019–20</v>
      </c>
      <c r="H19" s="147" t="str">
        <f t="shared" ref="H19:P19" si="4">H7</f>
        <v>2020–21</v>
      </c>
      <c r="I19" s="147" t="str">
        <f t="shared" si="4"/>
        <v>2021–22</v>
      </c>
      <c r="J19" s="168" t="str">
        <f t="shared" si="4"/>
        <v>2022–23</v>
      </c>
      <c r="K19" s="168" t="str">
        <f t="shared" si="4"/>
        <v>2023–24</v>
      </c>
      <c r="L19" s="168" t="str">
        <f t="shared" si="4"/>
        <v>2024-25</v>
      </c>
      <c r="M19" s="168" t="str">
        <f t="shared" si="4"/>
        <v>2025–26</v>
      </c>
      <c r="N19" s="168" t="str">
        <f t="shared" si="4"/>
        <v>2026–27</v>
      </c>
      <c r="O19" s="168" t="str">
        <f t="shared" si="4"/>
        <v>2027–28</v>
      </c>
      <c r="P19" s="168" t="str">
        <f t="shared" si="4"/>
        <v>2028–29</v>
      </c>
    </row>
    <row r="20" spans="1:16" ht="11.25" customHeight="1">
      <c r="C20" s="70" t="s">
        <v>10</v>
      </c>
      <c r="D20" s="68" t="s">
        <v>49</v>
      </c>
      <c r="E20" s="68" t="s">
        <v>51</v>
      </c>
      <c r="F20" s="69"/>
      <c r="G20" s="170">
        <v>3.2190287615158963E-2</v>
      </c>
      <c r="H20" s="170">
        <v>3.0060653438764184E-2</v>
      </c>
      <c r="I20" s="170">
        <v>2.7489978671470627E-2</v>
      </c>
      <c r="J20" s="170">
        <v>2.5667411537982909E-2</v>
      </c>
      <c r="K20" s="170">
        <v>2.5804932184954055E-2</v>
      </c>
      <c r="L20" s="113"/>
      <c r="M20" s="113"/>
      <c r="N20" s="113"/>
      <c r="O20" s="113"/>
      <c r="P20" s="113"/>
    </row>
    <row r="21" spans="1:16" ht="11.25" customHeight="1">
      <c r="C21" s="127" t="s">
        <v>95</v>
      </c>
      <c r="D21" s="68" t="s">
        <v>49</v>
      </c>
      <c r="E21" s="68" t="s">
        <v>51</v>
      </c>
      <c r="F21" s="69"/>
      <c r="G21" s="69"/>
      <c r="H21" s="69"/>
      <c r="I21" s="69"/>
      <c r="J21" s="169"/>
      <c r="K21" s="169"/>
      <c r="L21" s="170">
        <v>2.9686652634159573E-2</v>
      </c>
      <c r="M21" s="170">
        <v>3.0252574304980673E-2</v>
      </c>
      <c r="N21" s="170">
        <v>3.1073452419933867E-2</v>
      </c>
      <c r="O21" s="170">
        <v>3.19205893135436E-2</v>
      </c>
      <c r="P21" s="170">
        <v>3.2898708137506019E-2</v>
      </c>
    </row>
    <row r="22" spans="1:16" ht="11.25" customHeight="1">
      <c r="C22" s="70" t="s">
        <v>69</v>
      </c>
      <c r="D22" s="68" t="s">
        <v>60</v>
      </c>
      <c r="E22" s="68" t="s">
        <v>51</v>
      </c>
      <c r="F22" s="69"/>
      <c r="G22" s="176">
        <f>IF(AND(G13&lt;&gt;"",G20&lt;&gt;""),((1+G20)*(1+G13)-1),"")</f>
        <v>5.1187654871879706E-2</v>
      </c>
      <c r="H22" s="176">
        <f>IF(AND(H13&lt;&gt;"",H20&lt;&gt;""),((1+H20)*(1+H13)-1),"")</f>
        <v>3.8925202952006632E-2</v>
      </c>
      <c r="I22" s="176">
        <f>IF(AND(I13&lt;&gt;"",I20&lt;&gt;""),((1+I20)*(1+I13)-1),"")</f>
        <v>6.3434593966291697E-2</v>
      </c>
      <c r="J22" s="176">
        <f>IF(AND(J13&lt;&gt;"",J20&lt;&gt;""),((1+J20)*(1+J13)-1),"")</f>
        <v>0.10599585679446144</v>
      </c>
      <c r="K22" s="176">
        <f>IF(AND(K13&lt;&gt;"",K20&lt;&gt;""),((1+K20)*(1+K13)-1),"")</f>
        <v>6.7862934404537167E-2</v>
      </c>
      <c r="L22" s="176">
        <f>IF(AND(L14&lt;&gt;"",L21&lt;&gt;""),((1+L21)*(1+L14)-1),"")</f>
        <v>5.8515625210554312E-2</v>
      </c>
      <c r="M22" s="176">
        <f t="shared" ref="M22:P22" si="5">IF(AND(M14&lt;&gt;"",M21&lt;&gt;""),((1+M21)*(1+M14)-1),"")</f>
        <v>5.9097391449513648E-2</v>
      </c>
      <c r="N22" s="176">
        <f t="shared" si="5"/>
        <v>5.9941252355011798E-2</v>
      </c>
      <c r="O22" s="176">
        <f t="shared" si="5"/>
        <v>6.0812107227496082E-2</v>
      </c>
      <c r="P22" s="176">
        <f t="shared" si="5"/>
        <v>6.1817611237699577E-2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/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15.8554687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Ausgrid Dx 2024-29 Revised Proposal - Capital expenditure sharing scheme model</v>
      </c>
      <c r="D1" s="3"/>
      <c r="E1" s="3"/>
      <c r="F1" s="3"/>
      <c r="G1" s="3"/>
      <c r="H1" s="92"/>
      <c r="I1" s="93" t="s">
        <v>47</v>
      </c>
      <c r="J1" s="131" t="s">
        <v>48</v>
      </c>
      <c r="K1" s="135" t="s">
        <v>36</v>
      </c>
      <c r="L1" s="69"/>
    </row>
    <row r="2" spans="2:14" ht="18" customHeight="1">
      <c r="B2" s="10" t="s">
        <v>37</v>
      </c>
      <c r="D2" s="10"/>
      <c r="E2" s="17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52</v>
      </c>
      <c r="F6" s="65" t="s">
        <v>4</v>
      </c>
      <c r="G6" s="55"/>
      <c r="H6" s="149" t="str">
        <f>IF('Input | General'!D14="Yes",'Input | General'!D13,"n/a")</f>
        <v>2019–20</v>
      </c>
      <c r="I6" s="149" t="str">
        <f>IF('Input | General'!E14="Yes",'Input | General'!E13,"n/a")</f>
        <v>2020–21</v>
      </c>
      <c r="J6" s="149" t="str">
        <f>IF('Input | General'!F14="Yes",'Input | General'!F13,"n/a")</f>
        <v>2021–22</v>
      </c>
      <c r="K6" s="149" t="str">
        <f>IF('Input | General'!G14="Yes",'Input | General'!G13,"n/a")</f>
        <v>2022–23</v>
      </c>
      <c r="L6" s="149" t="str">
        <f>IF('Input | General'!H14="Yes",'Input | General'!H13,"n/a")</f>
        <v>2023–24</v>
      </c>
    </row>
    <row r="7" spans="2:14" s="58" customFormat="1" ht="10.5" customHeight="1">
      <c r="H7" s="181"/>
    </row>
    <row r="8" spans="2:14" ht="10.5" customHeight="1">
      <c r="C8" s="70" t="s">
        <v>3</v>
      </c>
      <c r="D8" s="68" t="s">
        <v>49</v>
      </c>
      <c r="E8" s="68" t="s">
        <v>50</v>
      </c>
      <c r="F8" s="68" t="str">
        <f>'Input | Inflation and Disc Rate'!$F$7</f>
        <v>2018–19</v>
      </c>
      <c r="G8" s="58"/>
      <c r="H8" s="133">
        <v>711.95449133019326</v>
      </c>
      <c r="I8" s="133">
        <v>614.13039943713557</v>
      </c>
      <c r="J8" s="133">
        <v>617.43692349835317</v>
      </c>
      <c r="K8" s="133">
        <v>560.64322420249187</v>
      </c>
      <c r="L8" s="133">
        <v>526.03054928737822</v>
      </c>
    </row>
    <row r="9" spans="2:14" ht="10.5" customHeight="1">
      <c r="C9" s="70" t="s">
        <v>97</v>
      </c>
      <c r="D9" s="68" t="s">
        <v>49</v>
      </c>
      <c r="E9" s="68" t="s">
        <v>50</v>
      </c>
      <c r="F9" s="68" t="str">
        <f>'Input | Inflation and Disc Rate'!$F$7</f>
        <v>2018–19</v>
      </c>
      <c r="G9" s="58"/>
      <c r="H9" s="133">
        <v>136.51077985565058</v>
      </c>
      <c r="I9" s="133">
        <v>117.86355771756919</v>
      </c>
      <c r="J9" s="133">
        <v>138.98041933948491</v>
      </c>
      <c r="K9" s="133">
        <v>132.7216221518392</v>
      </c>
      <c r="L9" s="133">
        <v>108.21008257669659</v>
      </c>
    </row>
    <row r="10" spans="2:14" ht="10.5" customHeight="1">
      <c r="C10" s="70" t="s">
        <v>91</v>
      </c>
      <c r="D10" s="68" t="s">
        <v>49</v>
      </c>
      <c r="E10" s="68" t="s">
        <v>50</v>
      </c>
      <c r="F10" s="68" t="str">
        <f>'Input | Inflation and Disc Rate'!$F$7</f>
        <v>2018–19</v>
      </c>
      <c r="G10" s="58"/>
      <c r="H10" s="133">
        <v>-0.29392127771647658</v>
      </c>
      <c r="I10" s="133">
        <v>3.078966643080955</v>
      </c>
      <c r="J10" s="133">
        <v>38.857945781664142</v>
      </c>
      <c r="K10" s="133">
        <v>1.117052597797132</v>
      </c>
      <c r="L10" s="133">
        <v>1.2705646615391197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60</v>
      </c>
      <c r="E12" s="150" t="s">
        <v>50</v>
      </c>
      <c r="F12" s="180" t="str">
        <f>'Input | Inflation and Disc Rate'!$F$7</f>
        <v>2018–19</v>
      </c>
      <c r="G12" s="58"/>
      <c r="H12" s="178">
        <f>IF(H6="", "", H8-H9-H10)</f>
        <v>575.73763275225906</v>
      </c>
      <c r="I12" s="178">
        <f t="shared" ref="I12:L12" si="0">IF(I6="", "", I8-I9-I10)</f>
        <v>493.18787507648545</v>
      </c>
      <c r="J12" s="178">
        <f t="shared" si="0"/>
        <v>439.59855837720409</v>
      </c>
      <c r="K12" s="178">
        <f t="shared" si="0"/>
        <v>426.80454945285555</v>
      </c>
      <c r="L12" s="178">
        <f t="shared" si="0"/>
        <v>416.54990204914247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52</v>
      </c>
      <c r="F16" s="65" t="s">
        <v>4</v>
      </c>
      <c r="G16" s="55"/>
      <c r="H16" s="149" t="str">
        <f>H6</f>
        <v>2019–20</v>
      </c>
      <c r="I16" s="149" t="str">
        <f t="shared" ref="I16:L16" si="1">I6</f>
        <v>2020–21</v>
      </c>
      <c r="J16" s="149" t="str">
        <f t="shared" si="1"/>
        <v>2021–22</v>
      </c>
      <c r="K16" s="149" t="str">
        <f t="shared" si="1"/>
        <v>2022–23</v>
      </c>
      <c r="L16" s="149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H17" s="181"/>
      <c r="I17" s="58"/>
      <c r="J17" s="58"/>
      <c r="K17" s="58"/>
      <c r="L17" s="58"/>
      <c r="M17" s="58"/>
      <c r="N17" s="58"/>
    </row>
    <row r="18" spans="2:14" ht="10.5" customHeight="1">
      <c r="B18" s="63"/>
      <c r="C18" s="70" t="s">
        <v>77</v>
      </c>
      <c r="D18" s="68" t="s">
        <v>49</v>
      </c>
      <c r="E18" s="68" t="s">
        <v>50</v>
      </c>
      <c r="F18" s="68" t="s">
        <v>53</v>
      </c>
      <c r="G18" s="58"/>
      <c r="H18" s="133">
        <v>614.0511479999999</v>
      </c>
      <c r="I18" s="133">
        <v>499.42426251000001</v>
      </c>
      <c r="J18" s="133">
        <v>594.73243459999992</v>
      </c>
      <c r="K18" s="133">
        <v>797.823488</v>
      </c>
      <c r="L18" s="133">
        <v>805.23507462072826</v>
      </c>
    </row>
    <row r="19" spans="2:14" ht="10.5" customHeight="1">
      <c r="B19" s="63"/>
      <c r="C19" s="70" t="s">
        <v>97</v>
      </c>
      <c r="D19" s="68" t="s">
        <v>49</v>
      </c>
      <c r="E19" s="68" t="s">
        <v>50</v>
      </c>
      <c r="F19" s="68" t="s">
        <v>53</v>
      </c>
      <c r="G19" s="120"/>
      <c r="H19" s="133">
        <v>121.975572</v>
      </c>
      <c r="I19" s="133">
        <v>115.24768558999999</v>
      </c>
      <c r="J19" s="133">
        <v>121.88192549</v>
      </c>
      <c r="K19" s="133">
        <v>116.313085</v>
      </c>
      <c r="L19" s="133">
        <v>107.03218420072849</v>
      </c>
    </row>
    <row r="20" spans="2:14" ht="10.5" customHeight="1">
      <c r="B20" s="63"/>
      <c r="C20" s="119" t="s">
        <v>91</v>
      </c>
      <c r="D20" s="68" t="s">
        <v>49</v>
      </c>
      <c r="E20" s="68" t="s">
        <v>50</v>
      </c>
      <c r="F20" s="68" t="s">
        <v>53</v>
      </c>
      <c r="G20" s="120"/>
      <c r="H20" s="134">
        <v>7.0168099999999995</v>
      </c>
      <c r="I20" s="133">
        <v>61.819630090000004</v>
      </c>
      <c r="J20" s="133">
        <v>343.40842665000002</v>
      </c>
      <c r="K20" s="133">
        <v>129.22572400000001</v>
      </c>
      <c r="L20" s="133">
        <v>3.0912447074969847</v>
      </c>
    </row>
    <row r="21" spans="2:14" ht="10.5" customHeight="1">
      <c r="B21" s="63"/>
      <c r="C21" s="129" t="s">
        <v>96</v>
      </c>
      <c r="D21" s="68" t="s">
        <v>49</v>
      </c>
      <c r="E21" s="68" t="s">
        <v>50</v>
      </c>
      <c r="F21" s="68" t="s">
        <v>53</v>
      </c>
      <c r="G21" s="58"/>
      <c r="H21" s="134">
        <v>0</v>
      </c>
      <c r="I21" s="134">
        <v>0</v>
      </c>
      <c r="J21" s="134">
        <v>0</v>
      </c>
      <c r="K21" s="134">
        <v>0</v>
      </c>
      <c r="L21" s="134">
        <v>0</v>
      </c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76</v>
      </c>
      <c r="D23" s="66" t="s">
        <v>60</v>
      </c>
      <c r="E23" s="151" t="s">
        <v>50</v>
      </c>
      <c r="F23" s="151" t="s">
        <v>53</v>
      </c>
      <c r="G23" s="58"/>
      <c r="H23" s="178">
        <f>IF(H16="", "", H18-H19-H20-H21)</f>
        <v>485.05876599999988</v>
      </c>
      <c r="I23" s="178">
        <f t="shared" ref="I23:L23" si="2">IF(I16="", "", I18-I19-I20-I21)</f>
        <v>322.35694682999997</v>
      </c>
      <c r="J23" s="178">
        <f t="shared" si="2"/>
        <v>129.44208245999988</v>
      </c>
      <c r="K23" s="178">
        <f t="shared" si="2"/>
        <v>552.28467899999998</v>
      </c>
      <c r="L23" s="178">
        <f t="shared" si="2"/>
        <v>695.11164571250276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9" t="str">
        <f>'Input | General'!D18</f>
        <v>2024-25</v>
      </c>
      <c r="I27" s="149" t="str">
        <f>'Input | General'!E18</f>
        <v>2025–26</v>
      </c>
      <c r="J27" s="149" t="str">
        <f>'Input | General'!F18</f>
        <v>2026–27</v>
      </c>
      <c r="K27" s="149" t="str">
        <f>'Input | General'!G18</f>
        <v>2027–28</v>
      </c>
      <c r="L27" s="149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85</v>
      </c>
      <c r="D29" s="56" t="s">
        <v>100</v>
      </c>
      <c r="E29" s="68" t="s">
        <v>50</v>
      </c>
      <c r="F29" s="68" t="s">
        <v>103</v>
      </c>
      <c r="G29" s="58"/>
      <c r="H29" s="133">
        <v>0</v>
      </c>
      <c r="I29" s="133">
        <v>0</v>
      </c>
      <c r="J29" s="133">
        <v>0</v>
      </c>
      <c r="K29" s="133">
        <v>0</v>
      </c>
      <c r="L29" s="133">
        <v>0</v>
      </c>
    </row>
    <row r="30" spans="2:14" ht="11.25" customHeight="1">
      <c r="C30" s="74" t="s">
        <v>85</v>
      </c>
      <c r="D30" s="56" t="s">
        <v>60</v>
      </c>
      <c r="E30" s="68" t="s">
        <v>50</v>
      </c>
      <c r="F30" s="68" t="s">
        <v>104</v>
      </c>
      <c r="G30" s="58"/>
      <c r="H30" s="177">
        <f>IF(H29&lt;&gt;"",H29/('Input | Inflation and Disc Rate'!K10*(1+'Input | Inflation and Disc Rate'!L9)^0.5),"")</f>
        <v>0</v>
      </c>
      <c r="I30" s="177">
        <f>IF(I29&lt;&gt;"",I29/('Input | Inflation and Disc Rate'!L10*(1+'Input | Inflation and Disc Rate'!M9)^0.5),"")</f>
        <v>0</v>
      </c>
      <c r="J30" s="177">
        <f>IF(J29&lt;&gt;"",J29/('Input | Inflation and Disc Rate'!M10*(1+'Input | Inflation and Disc Rate'!N9)^0.5),"")</f>
        <v>0</v>
      </c>
      <c r="K30" s="177">
        <f>IF(K29&lt;&gt;"",K29/('Input | Inflation and Disc Rate'!N10*(1+'Input | Inflation and Disc Rate'!O9)^0.5),"")</f>
        <v>0</v>
      </c>
      <c r="L30" s="177">
        <f>IF(L29&lt;&gt;"",L29/('Input | Inflation and Disc Rate'!O10*(1+'Input | Inflation and Disc Rate'!P9)^0.5),"")</f>
        <v>0</v>
      </c>
    </row>
    <row r="31" spans="2:14" ht="11.25" customHeight="1">
      <c r="C31" s="74" t="s">
        <v>85</v>
      </c>
      <c r="D31" s="56" t="s">
        <v>49</v>
      </c>
      <c r="E31" s="68" t="s">
        <v>50</v>
      </c>
      <c r="F31" s="68" t="s">
        <v>103</v>
      </c>
      <c r="G31" s="58"/>
      <c r="H31" s="177">
        <f>IF(H29&lt;&gt;"",H30*'Input | Inflation and Disc Rate'!K15*(1+'Input | Inflation and Disc Rate'!L14)^0.5,"")</f>
        <v>0</v>
      </c>
      <c r="I31" s="177">
        <f>IF(I29&lt;&gt;"",I30*'Input | Inflation and Disc Rate'!L15*(1+'Input | Inflation and Disc Rate'!M14)^0.5,"")</f>
        <v>0</v>
      </c>
      <c r="J31" s="177">
        <f>IF(J29&lt;&gt;"",J30*'Input | Inflation and Disc Rate'!M15*(1+'Input | Inflation and Disc Rate'!N14)^0.5,"")</f>
        <v>0</v>
      </c>
      <c r="K31" s="177">
        <f>IF(K29&lt;&gt;"",K30*'Input | Inflation and Disc Rate'!N15*(1+'Input | Inflation and Disc Rate'!O14)^0.5,"")</f>
        <v>0</v>
      </c>
      <c r="L31" s="177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20:H21 I21:L21">
    <cfRule type="expression" dxfId="4" priority="4">
      <formula>IF($H$6&lt;&gt;"","FALSE","TRUE")</formula>
    </cfRule>
  </conditionalFormatting>
  <conditionalFormatting sqref="H8:L10">
    <cfRule type="expression" dxfId="3" priority="6">
      <formula>IF($H$6&lt;&gt;"","FALSE","TRUE")</formula>
    </cfRule>
  </conditionalFormatting>
  <conditionalFormatting sqref="H18:L19">
    <cfRule type="expression" dxfId="2" priority="5">
      <formula>IF($H$6&lt;&gt;"","FALSE","TRUE")</formula>
    </cfRule>
  </conditionalFormatting>
  <conditionalFormatting sqref="H29:L29">
    <cfRule type="expression" dxfId="1" priority="10">
      <formula>IF($H$6&lt;&gt;"","FALSE","TRUE")</formula>
    </cfRule>
  </conditionalFormatting>
  <conditionalFormatting sqref="I20:L20">
    <cfRule type="expression" dxfId="0" priority="3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Ausgrid Dx 2024-29 Revised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1" t="s">
        <v>48</v>
      </c>
      <c r="M1" s="135" t="s">
        <v>36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80</v>
      </c>
      <c r="C2" s="32"/>
      <c r="D2" s="32"/>
      <c r="E2" s="32"/>
      <c r="F2" s="33"/>
      <c r="G2" s="33"/>
      <c r="H2" s="33"/>
      <c r="I2" s="33"/>
    </row>
    <row r="3" spans="1:27" s="34" customFormat="1" ht="14.45" customHeight="1">
      <c r="D3" s="35"/>
      <c r="E3" s="35"/>
      <c r="F3" s="35"/>
      <c r="G3" s="35"/>
      <c r="H3" s="35"/>
      <c r="I3" s="35"/>
      <c r="J3" s="185"/>
      <c r="K3" s="185"/>
      <c r="L3" s="185"/>
      <c r="M3" s="35"/>
      <c r="N3" s="185"/>
      <c r="O3" s="185"/>
      <c r="P3" s="185"/>
      <c r="Q3" s="185"/>
      <c r="R3" s="185"/>
      <c r="S3" s="185"/>
      <c r="T3" s="185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56</v>
      </c>
      <c r="C4" s="37"/>
      <c r="D4" s="37"/>
      <c r="E4" s="37"/>
      <c r="F4" s="37"/>
      <c r="G4" s="39"/>
      <c r="H4" s="39"/>
      <c r="I4" s="39"/>
      <c r="J4" s="40" t="s">
        <v>57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59</v>
      </c>
      <c r="D6" s="48" t="s">
        <v>6</v>
      </c>
      <c r="E6" s="48" t="s">
        <v>52</v>
      </c>
      <c r="F6" s="48" t="s">
        <v>4</v>
      </c>
      <c r="H6" s="48"/>
      <c r="I6" s="48"/>
      <c r="J6" s="156" t="str">
        <f>'Calc | CESS Revenue Increments'!D40</f>
        <v>2024-25</v>
      </c>
      <c r="K6" s="156" t="str">
        <f>'Calc | CESS Revenue Increments'!E40</f>
        <v>2025–26</v>
      </c>
      <c r="L6" s="156" t="str">
        <f>'Calc | CESS Revenue Increments'!F40</f>
        <v>2026–27</v>
      </c>
      <c r="M6" s="156" t="str">
        <f>'Calc | CESS Revenue Increments'!G40</f>
        <v>2027–28</v>
      </c>
      <c r="N6" s="156" t="str">
        <f>'Calc | CESS Revenue Increments'!H40</f>
        <v>2028–29</v>
      </c>
      <c r="O6" s="49" t="s">
        <v>86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83</v>
      </c>
      <c r="D8" s="158" t="s">
        <v>58</v>
      </c>
      <c r="E8" s="45" t="s">
        <v>50</v>
      </c>
      <c r="F8" s="157" t="str">
        <f>IF(LEN(J6)&gt;4,CONCATENATE(LEFT(J6,4)-1&amp;"–"&amp;IF(RIGHT(J6,2)="00","99",IF(RIGHT(J6,2)-1&lt;10,"0","")&amp;RIGHT(J6,2)-1)),J6-1)</f>
        <v>2023–24</v>
      </c>
      <c r="H8" s="48"/>
      <c r="I8" s="48"/>
      <c r="J8" s="177">
        <f>'Calc | CESS Revenue Increments'!D42</f>
        <v>19.985505024363217</v>
      </c>
      <c r="K8" s="177">
        <f>'Calc | CESS Revenue Increments'!E42</f>
        <v>19.985505024363217</v>
      </c>
      <c r="L8" s="177">
        <f>'Calc | CESS Revenue Increments'!F42</f>
        <v>19.985505024363217</v>
      </c>
      <c r="M8" s="177">
        <f>'Calc | CESS Revenue Increments'!G42</f>
        <v>19.985505024363217</v>
      </c>
      <c r="N8" s="177">
        <f>'Calc | CESS Revenue Increments'!H42</f>
        <v>19.985505024363217</v>
      </c>
      <c r="O8" s="179">
        <f>SUM(J8:N8)</f>
        <v>99.927525121816089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75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2"/>
      <c r="N17" s="52"/>
      <c r="O17" s="52"/>
      <c r="P17" s="52"/>
      <c r="Q17" s="52"/>
      <c r="R17" s="52"/>
      <c r="S17" s="52"/>
      <c r="T17" s="52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Ausgrid Dx 2024-29 Revised Proposal - Capital expenditure sharing scheme model</v>
      </c>
      <c r="C1" s="2"/>
      <c r="J1" s="108"/>
      <c r="K1" s="93" t="s">
        <v>47</v>
      </c>
      <c r="L1" s="131" t="s">
        <v>48</v>
      </c>
      <c r="M1" s="135" t="s">
        <v>36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9" t="str">
        <f>IF('Input | General'!D14="Yes",'Input | General'!D13,"n/a")</f>
        <v>2019–20</v>
      </c>
      <c r="E7" s="149" t="str">
        <f>IF('Input | General'!E14="Yes",'Input | General'!E13,"n/a")</f>
        <v>2020–21</v>
      </c>
      <c r="F7" s="149" t="str">
        <f>IF('Input | General'!F14="Yes",'Input | General'!F13,"n/a")</f>
        <v>2021–22</v>
      </c>
      <c r="G7" s="149" t="str">
        <f>IF('Input | General'!G14="Yes",'Input | General'!G13,"n/a")</f>
        <v>2022–23</v>
      </c>
      <c r="H7" s="152" t="str">
        <f>IF('Input | General'!H14="Yes",'Input | General'!H13,"n/a")</f>
        <v>2023–24</v>
      </c>
      <c r="I7" s="84"/>
    </row>
    <row r="8" spans="2:23" ht="11.25" customHeight="1">
      <c r="C8" s="101" t="s">
        <v>93</v>
      </c>
      <c r="D8" s="136">
        <f>'Input | Inflation and Disc Rate'!G20</f>
        <v>3.2190287615158963E-2</v>
      </c>
      <c r="E8" s="137">
        <f>'Input | Inflation and Disc Rate'!H20</f>
        <v>3.0060653438764184E-2</v>
      </c>
      <c r="F8" s="137">
        <f>'Input | Inflation and Disc Rate'!I20</f>
        <v>2.7489978671470627E-2</v>
      </c>
      <c r="G8" s="137">
        <f>'Input | Inflation and Disc Rate'!J20</f>
        <v>2.5667411537982909E-2</v>
      </c>
      <c r="H8" s="138">
        <f>'Input | Inflation and Disc Rate'!K20</f>
        <v>2.5804932184954055E-2</v>
      </c>
      <c r="I8" s="84"/>
      <c r="J8" s="69"/>
      <c r="K8" s="69"/>
    </row>
    <row r="9" spans="2:23" ht="11.25" customHeight="1">
      <c r="C9" s="123" t="s">
        <v>94</v>
      </c>
      <c r="D9" s="137">
        <f>'Input | Inflation and Disc Rate'!G22</f>
        <v>5.1187654871879706E-2</v>
      </c>
      <c r="E9" s="137">
        <f>'Input | Inflation and Disc Rate'!H22</f>
        <v>3.8925202952006632E-2</v>
      </c>
      <c r="F9" s="137">
        <f>'Input | Inflation and Disc Rate'!I22</f>
        <v>6.3434593966291697E-2</v>
      </c>
      <c r="G9" s="137">
        <f>'Input | Inflation and Disc Rate'!J22</f>
        <v>0.10599585679446144</v>
      </c>
      <c r="H9" s="138">
        <f>'Input | Inflation and Disc Rate'!K22</f>
        <v>6.7862934404537167E-2</v>
      </c>
      <c r="I9" s="84"/>
      <c r="J9" s="69"/>
      <c r="K9" s="69"/>
    </row>
    <row r="10" spans="2:23" ht="11.25" customHeight="1">
      <c r="C10" s="99" t="s">
        <v>13</v>
      </c>
      <c r="D10" s="139">
        <f>'Input | Reported Capex'!H$12*'Input | Inflation and Disc Rate'!G$15*(1+'Input | Inflation and Disc Rate'!G$20)^0.5</f>
        <v>595.69641377113578</v>
      </c>
      <c r="E10" s="140">
        <f>'Input | Reported Capex'!I$12*'Input | Inflation and Disc Rate'!H$15*(1+'Input | Inflation and Disc Rate'!H$20)^0.5</f>
        <v>514.14516653271028</v>
      </c>
      <c r="F10" s="140">
        <f>'Input | Reported Capex'!J$12*'Input | Inflation and Disc Rate'!I$15*(1+'Input | Inflation and Disc Rate'!I$20)^0.5</f>
        <v>473.71835594219908</v>
      </c>
      <c r="G10" s="140">
        <f>'Input | Reported Capex'!K$12*'Input | Inflation and Disc Rate'!J$15*(1+'Input | Inflation and Disc Rate'!J$20)^0.5</f>
        <v>495.51227574651631</v>
      </c>
      <c r="H10" s="141">
        <f>'Input | Reported Capex'!L$12*'Input | Inflation and Disc Rate'!K$15*(1+'Input | Inflation and Disc Rate'!K$20)^0.5</f>
        <v>503.46844611536716</v>
      </c>
      <c r="I10" s="84"/>
      <c r="J10" s="69"/>
      <c r="K10" s="69"/>
      <c r="N10" s="117"/>
    </row>
    <row r="11" spans="2:23" ht="11.25" customHeight="1">
      <c r="C11" s="99" t="s">
        <v>15</v>
      </c>
      <c r="D11" s="142">
        <f>'Input | Reported Capex'!H23*(1+D$9)^0.5</f>
        <v>497.31834936825788</v>
      </c>
      <c r="E11" s="140">
        <f>'Input | Reported Capex'!I23*(1+E$9)^0.5</f>
        <v>328.57095847722087</v>
      </c>
      <c r="F11" s="140">
        <f>'Input | Reported Capex'!J23*(1+F$9)^0.5</f>
        <v>133.48451357420899</v>
      </c>
      <c r="G11" s="140">
        <f>'Input | Reported Capex'!K23*(1+G$9)^0.5</f>
        <v>580.81757012861533</v>
      </c>
      <c r="H11" s="141">
        <f>'Input | Reported Capex'!L23*(1+H$9)^0.5</f>
        <v>718.31067528170865</v>
      </c>
      <c r="I11" s="84"/>
      <c r="J11" s="69"/>
      <c r="K11" s="69"/>
    </row>
    <row r="12" spans="2:23" s="14" customFormat="1" ht="11.25" customHeight="1">
      <c r="C12" s="99" t="s">
        <v>17</v>
      </c>
      <c r="D12" s="77">
        <f>(D10-D11)</f>
        <v>98.378064402877897</v>
      </c>
      <c r="E12" s="121">
        <f>(E10-E11)</f>
        <v>185.57420805548941</v>
      </c>
      <c r="F12" s="121">
        <f t="shared" ref="F12:H12" si="0">(F10-F11)</f>
        <v>340.23384236799006</v>
      </c>
      <c r="G12" s="121">
        <f t="shared" si="0"/>
        <v>-85.305294382099021</v>
      </c>
      <c r="H12" s="125">
        <f t="shared" si="0"/>
        <v>-214.8422291663415</v>
      </c>
      <c r="I12" s="84"/>
      <c r="J12" s="69"/>
      <c r="K12" s="69"/>
    </row>
    <row r="13" spans="2:23" ht="11.25" customHeight="1">
      <c r="C13" s="99" t="s">
        <v>71</v>
      </c>
      <c r="D13" s="77"/>
      <c r="E13" s="121">
        <f>$D$12*$E$8</f>
        <v>2.9573088999913359</v>
      </c>
      <c r="F13" s="121">
        <f>$D$12*$F$8*(1+'Input | Inflation and Disc Rate'!H13)</f>
        <v>2.7276846520050717</v>
      </c>
      <c r="G13" s="121">
        <f>$D$12*$G$8*(1+'Input | Inflation and Disc Rate'!H13)*(1+'Input | Inflation and Disc Rate'!I13)</f>
        <v>2.6359369637315226</v>
      </c>
      <c r="H13" s="125">
        <f>$D$12*$H$8*(1+'Input | Inflation and Disc Rate'!H13)*(1+'Input | Inflation and Disc Rate'!I13)*(1+'Input | Inflation and Disc Rate'!J13)</f>
        <v>2.8576077269944276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72</v>
      </c>
      <c r="D14" s="77"/>
      <c r="E14" s="122"/>
      <c r="F14" s="121">
        <f>$E$12*F$8</f>
        <v>5.1014310214204563</v>
      </c>
      <c r="G14" s="121">
        <f>$E$12*G$8*(1+'Input | Inflation and Disc Rate'!I13)</f>
        <v>4.9298406204706087</v>
      </c>
      <c r="H14" s="125">
        <f>$E$12*H$8*(1+'Input | Inflation and Disc Rate'!I13)*(1+'Input | Inflation and Disc Rate'!J13)</f>
        <v>5.3444186426844569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73</v>
      </c>
      <c r="D15" s="77"/>
      <c r="E15" s="121"/>
      <c r="F15" s="121"/>
      <c r="G15" s="121">
        <f>$F$12*G$8</f>
        <v>8.7329220512084067</v>
      </c>
      <c r="H15" s="125">
        <f>$F$12*$H$8*(1+'Input | Inflation and Disc Rate'!J13)</f>
        <v>9.4673225787029605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74</v>
      </c>
      <c r="D16" s="77"/>
      <c r="E16" s="121"/>
      <c r="F16" s="121"/>
      <c r="G16" s="121"/>
      <c r="H16" s="125">
        <f>$G$12*$H$8</f>
        <v>-2.2012973365476074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75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2.9573088999913359</v>
      </c>
      <c r="F18" s="79">
        <f t="shared" ref="F18:H18" si="1">SUM(F13:F17)</f>
        <v>7.8291156734255285</v>
      </c>
      <c r="G18" s="79">
        <f t="shared" si="1"/>
        <v>16.298699635410536</v>
      </c>
      <c r="H18" s="80">
        <f t="shared" si="1"/>
        <v>15.468051611834237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92</v>
      </c>
      <c r="D19" s="78">
        <f>E19*(1+E$9)</f>
        <v>1.3048604808093065</v>
      </c>
      <c r="E19" s="79">
        <f>F19*(1+F$9)</f>
        <v>1.2559715339484212</v>
      </c>
      <c r="F19" s="79">
        <f>G19*(1+G$9)</f>
        <v>1.1810519810757938</v>
      </c>
      <c r="G19" s="79">
        <f>H19*(1+H$9)</f>
        <v>1.0678629344045372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128.36964841782816</v>
      </c>
      <c r="E20" s="121">
        <f>E12*E19</f>
        <v>233.07592275271648</v>
      </c>
      <c r="F20" s="121">
        <f t="shared" ref="F20:H20" si="2">F12*F19</f>
        <v>401.83385355774402</v>
      </c>
      <c r="G20" s="121">
        <f t="shared" si="2"/>
        <v>-91.094361979111142</v>
      </c>
      <c r="H20" s="125">
        <f t="shared" si="2"/>
        <v>-214.8422291663415</v>
      </c>
      <c r="I20" s="84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3.7142957954814362</v>
      </c>
      <c r="F21" s="79">
        <f t="shared" ref="F21:H21" si="3">F18*F19</f>
        <v>9.2465925761707677</v>
      </c>
      <c r="G21" s="79">
        <f t="shared" si="3"/>
        <v>17.404777219647656</v>
      </c>
      <c r="H21" s="80">
        <f t="shared" si="3"/>
        <v>15.468051611834237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3" t="str">
        <f>'Input | General'!$D$18</f>
        <v>2024-25</v>
      </c>
      <c r="E24" s="153" t="str">
        <f>'Input | General'!$E$18</f>
        <v>2025–26</v>
      </c>
      <c r="F24" s="153" t="str">
        <f>'Input | General'!$F$18</f>
        <v>2026–27</v>
      </c>
      <c r="G24" s="153" t="str">
        <f>'Input | General'!$G$18</f>
        <v>2027–28</v>
      </c>
      <c r="H24" s="154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70</v>
      </c>
      <c r="D25" s="143">
        <f>'Input | Inflation and Disc Rate'!L$22</f>
        <v>5.8515625210554312E-2</v>
      </c>
      <c r="E25" s="143">
        <f>'Input | Inflation and Disc Rate'!M$22</f>
        <v>5.9097391449513648E-2</v>
      </c>
      <c r="F25" s="143">
        <f>'Input | Inflation and Disc Rate'!N$22</f>
        <v>5.9941252355011798E-2</v>
      </c>
      <c r="G25" s="143">
        <f>'Input | Inflation and Disc Rate'!O$22</f>
        <v>6.0812107227496082E-2</v>
      </c>
      <c r="H25" s="144">
        <f>'Input | Inflation and Disc Rate'!P$22</f>
        <v>6.1817611237699577E-2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40">
        <f>'Input | Reported Capex'!H31</f>
        <v>0</v>
      </c>
      <c r="E26" s="140">
        <f>'Input | Reported Capex'!I31</f>
        <v>0</v>
      </c>
      <c r="F26" s="140">
        <f>'Input | Reported Capex'!J31</f>
        <v>0</v>
      </c>
      <c r="G26" s="140">
        <f>'Input | Reported Capex'!K31</f>
        <v>0</v>
      </c>
      <c r="H26" s="141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0.97196664926236809</v>
      </c>
      <c r="E27" s="109">
        <f>1/((1+E25)^(0.5)*(1+D25))</f>
        <v>0.91798329373232002</v>
      </c>
      <c r="F27" s="109">
        <f>1/((1+F25)^(0.5)*(1+E25)*(1+D25))</f>
        <v>0.86641493698641026</v>
      </c>
      <c r="G27" s="109">
        <f>1/((1+G25)^(0.5)*(1+F25)*(1+E25)*(1+D25))</f>
        <v>0.81708229400592702</v>
      </c>
      <c r="H27" s="110">
        <f>1/((1+H25)^(0.5)*(1+G25)*(1+F25)*(1+E25)*(1+D25))</f>
        <v>0.76987745773445249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457.34283358283602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320.13998350798522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137.2028500748508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45.8337172031341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91.369132871716701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5" t="str">
        <f>'Input | General'!D18</f>
        <v>2024-25</v>
      </c>
      <c r="E40" s="155" t="str">
        <f>'Input | General'!E18</f>
        <v>2025–26</v>
      </c>
      <c r="F40" s="155" t="str">
        <f>'Input | General'!F18</f>
        <v>2026–27</v>
      </c>
      <c r="G40" s="155" t="str">
        <f>'Input | General'!G18</f>
        <v>2027–28</v>
      </c>
      <c r="H40" s="155" t="str">
        <f>'Input | General'!H18</f>
        <v>2028–29</v>
      </c>
    </row>
    <row r="41" spans="1:16382" s="24" customFormat="1" ht="11.25" customHeight="1">
      <c r="C41" s="87" t="s">
        <v>98</v>
      </c>
      <c r="D41" s="145">
        <f>1/(1+'Input | Inflation and Disc Rate'!L21)</f>
        <v>0.97116923623491214</v>
      </c>
      <c r="E41" s="145">
        <f>D41/(1+'Input | Inflation and Disc Rate'!M21)</f>
        <v>0.94265159870148663</v>
      </c>
      <c r="F41" s="145">
        <f>E41/(1+'Input | Inflation and Disc Rate'!N21)</f>
        <v>0.91424291498251575</v>
      </c>
      <c r="G41" s="145">
        <f>F41/(1+'Input | Inflation and Disc Rate'!O21)</f>
        <v>0.88596247080474499</v>
      </c>
      <c r="H41" s="146">
        <f>G41/(1+'Input | Inflation and Disc Rate'!P21)</f>
        <v>0.85774380762106639</v>
      </c>
    </row>
    <row r="42" spans="1:16382" s="24" customFormat="1" ht="11.25" customHeight="1">
      <c r="C42" s="161" t="str">
        <f>CONCATENATE("CESS Payment Per Year ($", 'Output | Models'!$F$8," million)")</f>
        <v>CESS Payment Per Year ($2023–24 million)</v>
      </c>
      <c r="D42" s="96">
        <f>D36/(SUM(D41:H41))</f>
        <v>19.985505024363217</v>
      </c>
      <c r="E42" s="96">
        <f>D42</f>
        <v>19.985505024363217</v>
      </c>
      <c r="F42" s="96">
        <f t="shared" ref="F42:H42" si="5">E42</f>
        <v>19.985505024363217</v>
      </c>
      <c r="G42" s="96">
        <f t="shared" si="5"/>
        <v>19.985505024363217</v>
      </c>
      <c r="H42" s="124">
        <f t="shared" si="5"/>
        <v>19.985505024363217</v>
      </c>
    </row>
    <row r="43" spans="1:16382" s="69" customFormat="1" ht="11.25" customHeight="1"/>
    <row r="44" spans="1:16382" s="24" customFormat="1" ht="11.25" customHeight="1">
      <c r="C44" s="161" t="str">
        <f>CONCATENATE("Total CESS Payment ($", 'Output | Models'!$F$8," million)")</f>
        <v>Total CESS Payment ($2023–24 million)</v>
      </c>
      <c r="D44" s="130">
        <f>SUM(D42:H42)</f>
        <v>99.927525121816089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  <ds:schemaRef ds:uri="http://schemas.microsoft.com/sharepoint/v3"/>
    <ds:schemaRef ds:uri="22bb1572-9652-4799-87f4-00cf85b5992b"/>
    <ds:schemaRef ds:uri="7979ed89-640b-4b5b-af66-a44d5fa4dbe0"/>
  </ds:schemaRefs>
</ds:datastoreItem>
</file>

<file path=customXml/itemProps3.xml><?xml version="1.0" encoding="utf-8"?>
<ds:datastoreItem xmlns:ds="http://schemas.openxmlformats.org/officeDocument/2006/customXml" ds:itemID="{837D53D6-2453-401A-AE37-404252057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Coverpage</vt:lpstr>
      <vt:lpstr>Index</vt:lpstr>
      <vt:lpstr>Input | General</vt:lpstr>
      <vt:lpstr>Input | Inflation and Disc Rate</vt:lpstr>
      <vt:lpstr>Input | Reported Capex</vt:lpstr>
      <vt:lpstr>Output | Models</vt:lpstr>
      <vt:lpstr>Calc | CESS Revenue Increments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2023-11-29T22:04:49Z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2022-11-16T06:40:21Z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84716cc6-1e78-4ef5-b62c-d1066d11c590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