
<file path=[Content_Types].xml><?xml version="1.0" encoding="utf-8"?>
<Types xmlns="http://schemas.openxmlformats.org/package/2006/content-types">
  <Default Extension="bin" ContentType="application/vnd.openxmlformats-officedocument.spreadsheetml.customProperty"/>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drawings/drawing7.xml" ContentType="application/vnd.openxmlformats-officedocument.drawing+xml"/>
  <Override PartName="/xl/printerSettings/printerSettings7.bin" ContentType="application/vnd.openxmlformats-officedocument.spreadsheetml.printerSettings"/>
  <Override PartName="/xl/drawings/drawing8.xml" ContentType="application/vnd.openxmlformats-officedocument.drawing+xml"/>
  <Override PartName="/xl/printerSettings/printerSettings8.bin" ContentType="application/vnd.openxmlformats-officedocument.spreadsheetml.printerSettings"/>
  <Override PartName="/xl/drawings/drawing9.xml" ContentType="application/vnd.openxmlformats-officedocument.drawing+xml"/>
  <Override PartName="/xl/printerSettings/printerSettings9.bin" ContentType="application/vnd.openxmlformats-officedocument.spreadsheetml.printerSettings"/>
  <Override PartName="/xl/drawings/drawing10.xml" ContentType="application/vnd.openxmlformats-officedocument.drawing+xml"/>
  <Override PartName="/xl/printerSettings/printerSettings10.bin" ContentType="application/vnd.openxmlformats-officedocument.spreadsheetml.printerSettings"/>
  <Override PartName="/xl/drawings/drawing11.xml" ContentType="application/vnd.openxmlformats-officedocument.drawing+xml"/>
  <Override PartName="/xl/printerSettings/printerSettings11.bin" ContentType="application/vnd.openxmlformats-officedocument.spreadsheetml.printerSettings"/>
  <Override PartName="/xl/drawings/drawing12.xml" ContentType="application/vnd.openxmlformats-officedocument.drawing+xml"/>
  <Override PartName="/xl/printerSettings/printerSettings12.bin" ContentType="application/vnd.openxmlformats-officedocument.spreadsheetml.printerSettings"/>
  <Override PartName="/xl/drawings/drawing13.xml" ContentType="application/vnd.openxmlformats-officedocument.drawing+xml"/>
  <Override PartName="/xl/printerSettings/printerSettings13.bin" ContentType="application/vnd.openxmlformats-officedocument.spreadsheetml.printerSettings"/>
  <Override PartName="/xl/drawings/drawing14.xml" ContentType="application/vnd.openxmlformats-officedocument.drawing+xml"/>
  <Override PartName="/xl/printerSettings/printerSettings14.bin" ContentType="application/vnd.openxmlformats-officedocument.spreadsheetml.printerSettings"/>
  <Override PartName="/xl/drawings/drawing15.xml" ContentType="application/vnd.openxmlformats-officedocument.drawing+xml"/>
  <Override PartName="/xl/printerSettings/printerSettings15.bin" ContentType="application/vnd.openxmlformats-officedocument.spreadsheetml.printerSettings"/>
  <Override PartName="/xl/drawings/drawing16.xml" ContentType="application/vnd.openxmlformats-officedocument.drawing+xml"/>
  <Override PartName="/xl/printerSettings/printerSettings16.bin" ContentType="application/vnd.openxmlformats-officedocument.spreadsheetml.printerSettings"/>
  <Override PartName="/xl/drawings/drawing17.xml" ContentType="application/vnd.openxmlformats-officedocument.drawing+xml"/>
  <Override PartName="/xl/printerSettings/printerSettings17.bin" ContentType="application/vnd.openxmlformats-officedocument.spreadsheetml.printerSettings"/>
  <Override PartName="/xl/drawings/drawing18.xml" ContentType="application/vnd.openxmlformats-officedocument.drawing+xml"/>
  <Override PartName="/xl/printerSettings/printerSettings18.bin" ContentType="application/vnd.openxmlformats-officedocument.spreadsheetml.printerSettings"/>
  <Override PartName="/xl/drawings/drawing19.xml" ContentType="application/vnd.openxmlformats-officedocument.drawing+xml"/>
  <Override PartName="/xl/printerSettings/printerSettings19.bin" ContentType="application/vnd.openxmlformats-officedocument.spreadsheetml.printerSettings"/>
  <Override PartName="/xl/drawings/drawing20.xml" ContentType="application/vnd.openxmlformats-officedocument.drawing+xml"/>
  <Override PartName="/xl/printerSettings/printerSettings20.bin" ContentType="application/vnd.openxmlformats-officedocument.spreadsheetml.printerSettings"/>
  <Override PartName="/xl/drawings/drawing21.xml" ContentType="application/vnd.openxmlformats-officedocument.drawing+xml"/>
  <Override PartName="/xl/printerSettings/printerSettings21.bin" ContentType="application/vnd.openxmlformats-officedocument.spreadsheetml.printerSettings"/>
  <Override PartName="/xl/drawings/drawing22.xml" ContentType="application/vnd.openxmlformats-officedocument.drawing+xml"/>
  <Override PartName="/xl/printerSettings/printerSettings22.bin" ContentType="application/vnd.openxmlformats-officedocument.spreadsheetml.printerSettings"/>
  <Override PartName="/xl/drawings/drawing23.xml" ContentType="application/vnd.openxmlformats-officedocument.drawing+xml"/>
  <Override PartName="/xl/printerSettings/printerSettings23.bin" ContentType="application/vnd.openxmlformats-officedocument.spreadsheetml.printerSettings"/>
  <Override PartName="/xl/drawings/drawing24.xml" ContentType="application/vnd.openxmlformats-officedocument.drawing+xml"/>
  <Override PartName="/xl/printerSettings/printerSettings24.bin" ContentType="application/vnd.openxmlformats-officedocument.spreadsheetml.printerSettings"/>
  <Override PartName="/xl/drawings/drawing25.xml" ContentType="application/vnd.openxmlformats-officedocument.drawing+xml"/>
  <Override PartName="/xl/printerSettings/printerSettings25.bin" ContentType="application/vnd.openxmlformats-officedocument.spreadsheetml.printerSettings"/>
  <Override PartName="/xl/drawings/drawing26.xml" ContentType="application/vnd.openxmlformats-officedocument.drawing+xml"/>
  <Override PartName="/xl/printerSettings/printerSettings26.bin" ContentType="application/vnd.openxmlformats-officedocument.spreadsheetml.printerSettings"/>
  <Override PartName="/xl/drawings/drawing27.xml" ContentType="application/vnd.openxmlformats-officedocument.drawing+xml"/>
  <Override PartName="/xl/printerSettings/printerSettings27.bin" ContentType="application/vnd.openxmlformats-officedocument.spreadsheetml.printerSettings"/>
  <Override PartName="/xl/drawings/drawing28.xml" ContentType="application/vnd.openxmlformats-officedocument.drawing+xml"/>
  <Override PartName="/xl/printerSettings/printerSettings28.bin" ContentType="application/vnd.openxmlformats-officedocument.spreadsheetml.printerSettings"/>
  <Override PartName="/xl/drawings/drawing29.xml" ContentType="application/vnd.openxmlformats-officedocument.drawing+xml"/>
  <Override PartName="/xl/printerSettings/printerSettings29.bin" ContentType="application/vnd.openxmlformats-officedocument.spreadsheetml.printerSettings"/>
  <Override PartName="/xl/drawings/drawing30.xml" ContentType="application/vnd.openxmlformats-officedocument.drawing+xml"/>
  <Override PartName="/xl/printerSettings/printerSettings30.bin" ContentType="application/vnd.openxmlformats-officedocument.spreadsheetml.printerSettings"/>
  <Override PartName="/xl/drawings/drawing31.xml" ContentType="application/vnd.openxmlformats-officedocument.drawing+xml"/>
  <Override PartName="/xl/printerSettings/printerSettings31.bin" ContentType="application/vnd.openxmlformats-officedocument.spreadsheetml.printerSettings"/>
  <Override PartName="/xl/drawings/drawing32.xml" ContentType="application/vnd.openxmlformats-officedocument.drawing+xml"/>
  <Override PartName="/xl/printerSettings/printerSettings32.bin" ContentType="application/vnd.openxmlformats-officedocument.spreadsheetml.printerSettings"/>
  <Override PartName="/xl/drawings/drawing33.xml" ContentType="application/vnd.openxmlformats-officedocument.drawing+xml"/>
  <Override PartName="/xl/printerSettings/printerSettings33.bin" ContentType="application/vnd.openxmlformats-officedocument.spreadsheetml.printerSettings"/>
  <Override PartName="/xl/drawings/drawing34.xml" ContentType="application/vnd.openxmlformats-officedocument.drawing+xml"/>
  <Override PartName="/xl/printerSettings/printerSettings34.bin" ContentType="application/vnd.openxmlformats-officedocument.spreadsheetml.printerSettings"/>
  <Override PartName="/xl/drawings/drawing35.xml" ContentType="application/vnd.openxmlformats-officedocument.drawing+xml"/>
  <Override PartName="/xl/printerSettings/printerSettings35.bin" ContentType="application/vnd.openxmlformats-officedocument.spreadsheetml.printerSettings"/>
  <Override PartName="/xl/drawings/drawing36.xml" ContentType="application/vnd.openxmlformats-officedocument.drawing+xml"/>
  <Override PartName="/xl/printerSettings/printerSettings36.bin" ContentType="application/vnd.openxmlformats-officedocument.spreadsheetml.printerSettings"/>
  <Override PartName="/xl/drawings/drawing37.xml" ContentType="application/vnd.openxmlformats-officedocument.drawing+xml"/>
  <Override PartName="/xl/printerSettings/printerSettings37.bin" ContentType="application/vnd.openxmlformats-officedocument.spreadsheetml.printerSettings"/>
  <Override PartName="/xl/drawings/drawing3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rinterSettings/printerSettings38.bin" ContentType="application/vnd.openxmlformats-officedocument.spreadsheetml.printerSettings"/>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ausgrid.sharepoint.com/teams/SP0539/Shared Documents/Regulation/24-29 Determination/1500 Revised Proposal/1510 RP submission/02. Public Docs/"/>
    </mc:Choice>
  </mc:AlternateContent>
  <xr:revisionPtr revIDLastSave="1930" documentId="8_{9AC7C41F-A0A9-4302-B021-078294D8F125}" xr6:coauthVersionLast="47" xr6:coauthVersionMax="47" xr10:uidLastSave="{1FFDA869-C081-420E-A028-2983EA0B178C}"/>
  <bookViews>
    <workbookView xWindow="-110" yWindow="-110" windowWidth="19420" windowHeight="10420" tabRatio="860" xr2:uid="{00000000-000D-0000-FFFF-FFFF00000000}"/>
  </bookViews>
  <sheets>
    <sheet name="Cover page" sheetId="92" r:id="rId1"/>
    <sheet name="Information" sheetId="94" r:id="rId2"/>
    <sheet name="Inputs and assumptions" sheetId="49" r:id="rId3"/>
    <sheet name="Project Summary" sheetId="95" r:id="rId4"/>
    <sheet name="Benefits Summary" sheetId="101" r:id="rId5"/>
    <sheet name="Benefits detail" sheetId="90" r:id="rId6"/>
    <sheet name="PR005" sheetId="54" r:id="rId7"/>
    <sheet name="PR012" sheetId="55" r:id="rId8"/>
    <sheet name="PR013" sheetId="56" r:id="rId9"/>
    <sheet name="PR015" sheetId="57" r:id="rId10"/>
    <sheet name="PR016" sheetId="58" r:id="rId11"/>
    <sheet name="PR017" sheetId="59" r:id="rId12"/>
    <sheet name="PR018" sheetId="60" r:id="rId13"/>
    <sheet name="PR019" sheetId="61" r:id="rId14"/>
    <sheet name="PR023" sheetId="62" r:id="rId15"/>
    <sheet name="PR026" sheetId="63" r:id="rId16"/>
    <sheet name="PR023+PR026" sheetId="96" r:id="rId17"/>
    <sheet name="PR027" sheetId="64" r:id="rId18"/>
    <sheet name="PR028" sheetId="65" r:id="rId19"/>
    <sheet name="PR029" sheetId="66" r:id="rId20"/>
    <sheet name="PR031" sheetId="67" r:id="rId21"/>
    <sheet name="PR035" sheetId="68" r:id="rId22"/>
    <sheet name="PR031+PR035" sheetId="97" r:id="rId23"/>
    <sheet name="PR036" sheetId="69" r:id="rId24"/>
    <sheet name="PR039" sheetId="70" r:id="rId25"/>
    <sheet name="PR040" sheetId="71" r:id="rId26"/>
    <sheet name="PR042" sheetId="72" r:id="rId27"/>
    <sheet name="PR043" sheetId="73" r:id="rId28"/>
    <sheet name="PR105" sheetId="79" r:id="rId29"/>
    <sheet name="PR043+PR105" sheetId="98" r:id="rId30"/>
    <sheet name="PR049" sheetId="81" r:id="rId31"/>
    <sheet name="PR084" sheetId="77" r:id="rId32"/>
    <sheet name="PR049+PR084" sheetId="99" r:id="rId33"/>
    <sheet name="PR074" sheetId="75" r:id="rId34"/>
    <sheet name="PR082" sheetId="76" r:id="rId35"/>
    <sheet name="PR089" sheetId="78" r:id="rId36"/>
    <sheet name="PR109" sheetId="80" r:id="rId37"/>
    <sheet name="PR180" sheetId="83" r:id="rId38"/>
    <sheet name="PR181" sheetId="84" r:id="rId39"/>
    <sheet name="PR182" sheetId="87" r:id="rId40"/>
    <sheet name="PR183" sheetId="88" r:id="rId41"/>
    <sheet name="Output" sheetId="42" r:id="rId42"/>
  </sheets>
  <definedNames>
    <definedName name="______CC0101" hidden="1">{#N/A,#N/A,FALSE,"P&amp;L";#N/A,#N/A,FALSE,"R-P&amp;L";#N/A,#N/A,FALSE,"N-P&amp;L";#N/A,#N/A,FALSE,"E-P&amp;L"}</definedName>
    <definedName name="______New1" hidden="1">{#N/A,#N/A,FALSE,"Aging Summary";#N/A,#N/A,FALSE,"Ratio Analysis";#N/A,#N/A,FALSE,"Test 120 Day Accts";#N/A,#N/A,FALSE,"Tickmarks"}</definedName>
    <definedName name="_____CC0101" hidden="1">{#N/A,#N/A,FALSE,"P&amp;L";#N/A,#N/A,FALSE,"R-P&amp;L";#N/A,#N/A,FALSE,"N-P&amp;L";#N/A,#N/A,FALSE,"E-P&amp;L"}</definedName>
    <definedName name="_____New1" hidden="1">{#N/A,#N/A,FALSE,"Aging Summary";#N/A,#N/A,FALSE,"Ratio Analysis";#N/A,#N/A,FALSE,"Test 120 Day Accts";#N/A,#N/A,FALSE,"Tickmarks"}</definedName>
    <definedName name="____IT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___New1" hidden="1">{#N/A,#N/A,FALSE,"Aging Summary";#N/A,#N/A,FALSE,"Ratio Analysis";#N/A,#N/A,FALSE,"Test 120 Day Accts";#N/A,#N/A,FALSE,"Tickmarks"}</definedName>
    <definedName name="___CC0101" hidden="1">{#N/A,#N/A,FALSE,"P&amp;L";#N/A,#N/A,FALSE,"R-P&amp;L";#N/A,#N/A,FALSE,"N-P&amp;L";#N/A,#N/A,FALSE,"E-P&amp;L"}</definedName>
    <definedName name="___IT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_123Graph_A" hidden="1">#REF!</definedName>
    <definedName name="__123Graph_ACurrent" hidden="1">#REF!</definedName>
    <definedName name="__123Graph_B" hidden="1">#REF!</definedName>
    <definedName name="__123Graph_BCurrent" hidden="1">#REF!</definedName>
    <definedName name="__123Graph_C" hidden="1">#REF!</definedName>
    <definedName name="__123Graph_CCurrent" hidden="1">#REF!</definedName>
    <definedName name="__123Graph_CWH2" hidden="1">#REF!</definedName>
    <definedName name="__123Graph_CWH3" hidden="1">#REF!</definedName>
    <definedName name="__123Graph_D" hidden="1">#REF!</definedName>
    <definedName name="__123Graph_DCurrent" hidden="1">#REF!</definedName>
    <definedName name="__123Graph_E" hidden="1">#REF!</definedName>
    <definedName name="__123Graph_ECurrent" hidden="1">#REF!</definedName>
    <definedName name="__123Graph_F" hidden="1">#REF!</definedName>
    <definedName name="__123Graph_FCurrent" hidden="1">#REF!</definedName>
    <definedName name="__123Graph_X" hidden="1">#REF!</definedName>
    <definedName name="__CC0101" hidden="1">{#N/A,#N/A,FALSE,"P&amp;L";#N/A,#N/A,FALSE,"R-P&amp;L";#N/A,#N/A,FALSE,"N-P&amp;L";#N/A,#N/A,FALSE,"E-P&amp;L"}</definedName>
    <definedName name="__IT1"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_IT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_New1" hidden="1">{#N/A,#N/A,FALSE,"Aging Summary";#N/A,#N/A,FALSE,"Ratio Analysis";#N/A,#N/A,FALSE,"Test 120 Day Accts";#N/A,#N/A,FALSE,"Tickmarks"}</definedName>
    <definedName name="_101__123Graph_ACHART_2" hidden="1">#REF!</definedName>
    <definedName name="_109__123Graph_ACHART_3" hidden="1">#REF!</definedName>
    <definedName name="_110__123Graph_ACHART_30" hidden="1">#REF!</definedName>
    <definedName name="_111__123Graph_ACHART_31" hidden="1">#REF!</definedName>
    <definedName name="_112__123Graph_ACHART_35" hidden="1">#REF!</definedName>
    <definedName name="_116__123Graph_ACHART_3" hidden="1">#REF!</definedName>
    <definedName name="_117__123Graph_ACHART_30" hidden="1">#REF!</definedName>
    <definedName name="_118__123Graph_ACHART_31" hidden="1">#REF!</definedName>
    <definedName name="_119__123Graph_ACHART_35" hidden="1">#REF!</definedName>
    <definedName name="_126__123Graph_ACHART_4" hidden="1">#REF!</definedName>
    <definedName name="_134__123Graph_ACHART_4" hidden="1">#REF!</definedName>
    <definedName name="_14__123Graph_ACHART_1" hidden="1">#REF!</definedName>
    <definedName name="_140__123Graph_ACHART_5" hidden="1">#REF!</definedName>
    <definedName name="_149__123Graph_ACHART_5" hidden="1">#REF!</definedName>
    <definedName name="_15__123Graph_ACHART_1" hidden="1">#REF!</definedName>
    <definedName name="_154__123Graph_ACHART_6" hidden="1">#REF!</definedName>
    <definedName name="_155__123Graph_ACHART_62" hidden="1">#REF!</definedName>
    <definedName name="_156__123Graph_ACHART_66" hidden="1">#REF!</definedName>
    <definedName name="_157__123Graph_ACHART_68" hidden="1">#REF!</definedName>
    <definedName name="_158__123Graph_ACHART_69" hidden="1">#REF!</definedName>
    <definedName name="_164__123Graph_ACHART_6" hidden="1">#REF!</definedName>
    <definedName name="_165__123Graph_ACHART_62" hidden="1">#REF!</definedName>
    <definedName name="_166__123Graph_ACHART_66" hidden="1">#REF!</definedName>
    <definedName name="_167__123Graph_ACHART_68" hidden="1">#REF!</definedName>
    <definedName name="_168__123Graph_ACHART_69" hidden="1">#REF!</definedName>
    <definedName name="_172__123Graph_ACHART_7" hidden="1">#REF!</definedName>
    <definedName name="_173__123Graph_ACHART_70" hidden="1">#REF!</definedName>
    <definedName name="_174__123Graph_ACHART_71" hidden="1">#REF!</definedName>
    <definedName name="_183__123Graph_ACHART_7" hidden="1">#REF!</definedName>
    <definedName name="_184__123Graph_ACHART_70" hidden="1">#REF!</definedName>
    <definedName name="_185__123Graph_ACHART_71" hidden="1">#REF!</definedName>
    <definedName name="_188__123Graph_ACHART_8" hidden="1">#REF!</definedName>
    <definedName name="_200__123Graph_ACHART_8" hidden="1">#REF!</definedName>
    <definedName name="_202__123Graph_ACHART_9" hidden="1">#REF!</definedName>
    <definedName name="_210__123Graph_BCHART_1" hidden="1">#REF!</definedName>
    <definedName name="_215__123Graph_ACHART_9" hidden="1">#REF!</definedName>
    <definedName name="_223__123Graph_BCHART_1" hidden="1">#REF!</definedName>
    <definedName name="_224__123Graph_BCHART_10" hidden="1">#REF!</definedName>
    <definedName name="_238__123Graph_BCHART_10" hidden="1">#REF!</definedName>
    <definedName name="_238__123Graph_BCHART_11" hidden="1">#REF!</definedName>
    <definedName name="_239__123Graph_BCHART_12" hidden="1">#REF!</definedName>
    <definedName name="_253__123Graph_BCHART_11" hidden="1">#REF!</definedName>
    <definedName name="_254__123Graph_BCHART_12" hidden="1">#REF!</definedName>
    <definedName name="_257__123Graph_BCHART_13" hidden="1">#REF!</definedName>
    <definedName name="_258__123Graph_BCHART_15" hidden="1">#REF!</definedName>
    <definedName name="_259__123Graph_BCHART_16" hidden="1">#REF!</definedName>
    <definedName name="_273__123Graph_BCHART_13" hidden="1">#REF!</definedName>
    <definedName name="_273__123Graph_BCHART_2" hidden="1">#REF!</definedName>
    <definedName name="_274__123Graph_BCHART_15" hidden="1">#REF!</definedName>
    <definedName name="_275__123Graph_BCHART_16" hidden="1">#REF!</definedName>
    <definedName name="_28__123Graph_ACHART_10" hidden="1">#REF!</definedName>
    <definedName name="_287__123Graph_BCHART_3" hidden="1">#REF!</definedName>
    <definedName name="_288__123Graph_BCHART_30" hidden="1">#REF!</definedName>
    <definedName name="_289__123Graph_BCHART_31" hidden="1">#REF!</definedName>
    <definedName name="_290__123Graph_BCHART_2" hidden="1">#REF!</definedName>
    <definedName name="_290__123Graph_BCHART_35" hidden="1">#REF!</definedName>
    <definedName name="_30__123Graph_ACHART_10" hidden="1">#REF!</definedName>
    <definedName name="_304__123Graph_BCHART_4" hidden="1">#REF!</definedName>
    <definedName name="_305__123Graph_BCHART_3" hidden="1">#REF!</definedName>
    <definedName name="_306__123Graph_BCHART_30" hidden="1">#REF!</definedName>
    <definedName name="_307__123Graph_BCHART_31" hidden="1">#REF!</definedName>
    <definedName name="_308__123Graph_BCHART_35" hidden="1">#REF!</definedName>
    <definedName name="_318__123Graph_BCHART_5" hidden="1">#REF!</definedName>
    <definedName name="_323__123Graph_BCHART_4" hidden="1">#REF!</definedName>
    <definedName name="_332__123Graph_BCHART_6" hidden="1">#REF!</definedName>
    <definedName name="_333__123Graph_BCHART_62" hidden="1">#REF!</definedName>
    <definedName name="_334__123Graph_BCHART_66" hidden="1">#REF!</definedName>
    <definedName name="_335__123Graph_BCHART_68" hidden="1">#REF!</definedName>
    <definedName name="_336__123Graph_BCHART_69" hidden="1">#REF!</definedName>
    <definedName name="_338__123Graph_BCHART_5" hidden="1">#REF!</definedName>
    <definedName name="_353__123Graph_BCHART_6" hidden="1">#REF!</definedName>
    <definedName name="_354__123Graph_BCHART_62" hidden="1">#REF!</definedName>
    <definedName name="_354__123Graph_BCHART_7" hidden="1">#REF!</definedName>
    <definedName name="_355__123Graph_BCHART_66" hidden="1">#REF!</definedName>
    <definedName name="_355__123Graph_BCHART_70" hidden="1">#REF!</definedName>
    <definedName name="_356__123Graph_BCHART_68" hidden="1">#REF!</definedName>
    <definedName name="_356__123Graph_BCHART_71" hidden="1">#REF!</definedName>
    <definedName name="_357__123Graph_BCHART_69" hidden="1">#REF!</definedName>
    <definedName name="_374__123Graph_BCHART_8" hidden="1">#REF!</definedName>
    <definedName name="_376__123Graph_BCHART_7" hidden="1">#REF!</definedName>
    <definedName name="_377__123Graph_BCHART_70" hidden="1">#REF!</definedName>
    <definedName name="_378__123Graph_BCHART_71" hidden="1">#REF!</definedName>
    <definedName name="_388__123Graph_BCHART_9" hidden="1">#REF!</definedName>
    <definedName name="_396__123Graph_CCHART_1" hidden="1">#REF!</definedName>
    <definedName name="_397__123Graph_BCHART_8" hidden="1">#REF!</definedName>
    <definedName name="_404__123Graph_CCHART_10" hidden="1">#REF!</definedName>
    <definedName name="_412__123Graph_BCHART_9" hidden="1">#REF!</definedName>
    <definedName name="_418__123Graph_CCHART_11" hidden="1">#REF!</definedName>
    <definedName name="_419__123Graph_CCHART_12" hidden="1">#REF!</definedName>
    <definedName name="_42__123Graph_ACHART_11" hidden="1">#REF!</definedName>
    <definedName name="_420__123Graph_CCHART_1" hidden="1">#REF!</definedName>
    <definedName name="_420__123Graph_CCHART_13" hidden="1">#REF!</definedName>
    <definedName name="_421__123Graph_CCHART_14" hidden="1">#REF!</definedName>
    <definedName name="_422__123Graph_CCHART_15" hidden="1">#REF!</definedName>
    <definedName name="_423__123Graph_CCHART_16" hidden="1">#REF!</definedName>
    <definedName name="_428__123Graph_CCHART_10" hidden="1">#REF!</definedName>
    <definedName name="_437__123Graph_CCHART_2" hidden="1">#REF!</definedName>
    <definedName name="_443__123Graph_CCHART_11" hidden="1">#REF!</definedName>
    <definedName name="_444__123Graph_CCHART_12" hidden="1">#REF!</definedName>
    <definedName name="_445__123Graph_CCHART_13" hidden="1">#REF!</definedName>
    <definedName name="_445__123Graph_CCHART_3" hidden="1">#REF!</definedName>
    <definedName name="_446__123Graph_CCHART_14" hidden="1">#REF!</definedName>
    <definedName name="_447__123Graph_CCHART_15" hidden="1">#REF!</definedName>
    <definedName name="_448__123Graph_CCHART_16" hidden="1">#REF!</definedName>
    <definedName name="_45__123Graph_ACHART_11" hidden="1">#REF!</definedName>
    <definedName name="_453__123Graph_CCHART_4" hidden="1">#REF!</definedName>
    <definedName name="_461__123Graph_CCHART_5" hidden="1">#REF!</definedName>
    <definedName name="_463__123Graph_CCHART_2" hidden="1">#REF!</definedName>
    <definedName name="_469__123Graph_CCHART_6" hidden="1">#REF!</definedName>
    <definedName name="_470__123Graph_CCHART_62" hidden="1">#REF!</definedName>
    <definedName name="_471__123Graph_CCHART_3" hidden="1">#REF!</definedName>
    <definedName name="_471__123Graph_CCHART_66" hidden="1">#REF!</definedName>
    <definedName name="_472__123Graph_CCHART_68" hidden="1">#REF!</definedName>
    <definedName name="_473__123Graph_CCHART_69" hidden="1">#REF!</definedName>
    <definedName name="_479__123Graph_CCHART_4" hidden="1">#REF!</definedName>
    <definedName name="_481__123Graph_CCHART_7" hidden="1">#REF!</definedName>
    <definedName name="_482__123Graph_CCHART_70" hidden="1">#REF!</definedName>
    <definedName name="_487__123Graph_CCHART_5" hidden="1">#REF!</definedName>
    <definedName name="_490__123Graph_CCHART_8" hidden="1">#REF!</definedName>
    <definedName name="_495__123Graph_CCHART_6" hidden="1">#REF!</definedName>
    <definedName name="_496__123Graph_CCHART_62" hidden="1">#REF!</definedName>
    <definedName name="_497__123Graph_CCHART_66" hidden="1">#REF!</definedName>
    <definedName name="_498__123Graph_CCHART_68" hidden="1">#REF!</definedName>
    <definedName name="_498__123Graph_CCHART_9" hidden="1">#REF!</definedName>
    <definedName name="_499__123Graph_CCHART_69" hidden="1">#REF!</definedName>
    <definedName name="_499__123Graph_DCHART_1" hidden="1">#REF!</definedName>
    <definedName name="_507__123Graph_CCHART_7" hidden="1">#REF!</definedName>
    <definedName name="_507__123Graph_DCHART_10" hidden="1">#REF!</definedName>
    <definedName name="_508__123Graph_CCHART_70" hidden="1">#REF!</definedName>
    <definedName name="_508__123Graph_DCHART_11" hidden="1">#REF!</definedName>
    <definedName name="_509__123Graph_DCHART_13" hidden="1">#REF!</definedName>
    <definedName name="_510__123Graph_DCHART_16" hidden="1">#REF!</definedName>
    <definedName name="_511__123Graph_DCHART_2" hidden="1">#REF!</definedName>
    <definedName name="_512__123Graph_DCHART_66" hidden="1">#REF!</definedName>
    <definedName name="_513__123Graph_DCHART_68" hidden="1">#REF!</definedName>
    <definedName name="_514__123Graph_DCHART_70" hidden="1">#REF!</definedName>
    <definedName name="_516__123Graph_CCHART_8" hidden="1">#REF!</definedName>
    <definedName name="_522__123Graph_ECHART_10" hidden="1">#REF!</definedName>
    <definedName name="_523__123Graph_ECHART_11" hidden="1">#REF!</definedName>
    <definedName name="_524__123Graph_CCHART_9" hidden="1">#REF!</definedName>
    <definedName name="_524__123Graph_ECHART_2" hidden="1">#REF!</definedName>
    <definedName name="_525__123Graph_DCHART_1" hidden="1">#REF!</definedName>
    <definedName name="_525__123Graph_ECHART_66" hidden="1">#REF!</definedName>
    <definedName name="_526__123Graph_ECHART_68" hidden="1">#REF!</definedName>
    <definedName name="_533__123Graph_DCHART_10" hidden="1">#REF!</definedName>
    <definedName name="_534__123Graph_DCHART_11" hidden="1">#REF!</definedName>
    <definedName name="_534__123Graph_FCHART_10" hidden="1">#REF!</definedName>
    <definedName name="_535__123Graph_DCHART_13" hidden="1">#REF!</definedName>
    <definedName name="_536__123Graph_DCHART_16" hidden="1">#REF!</definedName>
    <definedName name="_537__123Graph_DCHART_2" hidden="1">#REF!</definedName>
    <definedName name="_538__123Graph_DCHART_66" hidden="1">#REF!</definedName>
    <definedName name="_539__123Graph_DCHART_68" hidden="1">#REF!</definedName>
    <definedName name="_540__123Graph_DCHART_70" hidden="1">#REF!</definedName>
    <definedName name="_548__123Graph_ECHART_10" hidden="1">#REF!</definedName>
    <definedName name="_548__123Graph_XCHART_10" hidden="1">#REF!</definedName>
    <definedName name="_549__123Graph_ECHART_11" hidden="1">#REF!</definedName>
    <definedName name="_550__123Graph_ECHART_2" hidden="1">#REF!</definedName>
    <definedName name="_551__123Graph_ECHART_66" hidden="1">#REF!</definedName>
    <definedName name="_552__123Graph_ECHART_68" hidden="1">#REF!</definedName>
    <definedName name="_560__123Graph_FCHART_10" hidden="1">#REF!</definedName>
    <definedName name="_562__123Graph_XCHART_11" hidden="1">#REF!</definedName>
    <definedName name="_563__123Graph_XCHART_12" hidden="1">#REF!</definedName>
    <definedName name="_564__123Graph_XCHART_13" hidden="1">#REF!</definedName>
    <definedName name="_565__123Graph_XCHART_14" hidden="1">#REF!</definedName>
    <definedName name="_566__123Graph_XCHART_15" hidden="1">#REF!</definedName>
    <definedName name="_567__123Graph_XCHART_16" hidden="1">#REF!</definedName>
    <definedName name="_575__123Graph_XCHART_10" hidden="1">#REF!</definedName>
    <definedName name="_581__123Graph_XCHART_2" hidden="1">#REF!</definedName>
    <definedName name="_590__123Graph_XCHART_11" hidden="1">#REF!</definedName>
    <definedName name="_591__123Graph_XCHART_12" hidden="1">#REF!</definedName>
    <definedName name="_592__123Graph_XCHART_13" hidden="1">#REF!</definedName>
    <definedName name="_593__123Graph_XCHART_14" hidden="1">#REF!</definedName>
    <definedName name="_594__123Graph_XCHART_15" hidden="1">#REF!</definedName>
    <definedName name="_595__123Graph_XCHART_16" hidden="1">#REF!</definedName>
    <definedName name="_595__123Graph_XCHART_3" hidden="1">#REF!</definedName>
    <definedName name="_596__123Graph_XCHART_35" hidden="1">#REF!</definedName>
    <definedName name="_60__123Graph_ACHART_12" hidden="1">#REF!</definedName>
    <definedName name="_610__123Graph_XCHART_2" hidden="1">#REF!</definedName>
    <definedName name="_610__123Graph_XCHART_4" hidden="1">#REF!</definedName>
    <definedName name="_624__123Graph_XCHART_5" hidden="1">#REF!</definedName>
    <definedName name="_625__123Graph_XCHART_3" hidden="1">#REF!</definedName>
    <definedName name="_626__123Graph_XCHART_35" hidden="1">#REF!</definedName>
    <definedName name="_638__123Graph_XCHART_6" hidden="1">#REF!</definedName>
    <definedName name="_64__123Graph_ACHART_12" hidden="1">#REF!</definedName>
    <definedName name="_641__123Graph_XCHART_4" hidden="1">#REF!</definedName>
    <definedName name="_652__123Graph_XCHART_7" hidden="1">#REF!</definedName>
    <definedName name="_653__123Graph_XCHART_71" hidden="1">#REF!</definedName>
    <definedName name="_656__123Graph_XCHART_5" hidden="1">#REF!</definedName>
    <definedName name="_667__123Graph_XCHART_8" hidden="1">#REF!</definedName>
    <definedName name="_671__123Graph_XCHART_6" hidden="1">#REF!</definedName>
    <definedName name="_681__123Graph_XCHART_9" hidden="1">#REF!</definedName>
    <definedName name="_686__123Graph_XCHART_7" hidden="1">#REF!</definedName>
    <definedName name="_687__123Graph_XCHART_71" hidden="1">#REF!</definedName>
    <definedName name="_702__123Graph_XCHART_8" hidden="1">#REF!</definedName>
    <definedName name="_717__123Graph_XCHART_9" hidden="1">#REF!</definedName>
    <definedName name="_78__123Graph_ACHART_13" hidden="1">#REF!</definedName>
    <definedName name="_79__123Graph_ACHART_14" hidden="1">#REF!</definedName>
    <definedName name="_80__123Graph_ACHART_15" hidden="1">#REF!</definedName>
    <definedName name="_81__123Graph_ACHART_16" hidden="1">#REF!</definedName>
    <definedName name="_83__123Graph_ACHART_13" hidden="1">#REF!</definedName>
    <definedName name="_84__123Graph_ACHART_14" hidden="1">#REF!</definedName>
    <definedName name="_85__123Graph_ACHART_15" hidden="1">#REF!</definedName>
    <definedName name="_86__123Graph_ACHART_16" hidden="1">#REF!</definedName>
    <definedName name="_95__123Graph_ACHART_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7</definedName>
    <definedName name="_AtRisk_SimSetting_ReportsList" hidden="1">513</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BQ4.5" hidden="1">#REF!</definedName>
    <definedName name="_BQ4.6" hidden="1">#REF!</definedName>
    <definedName name="_CC0101" hidden="1">{#N/A,#N/A,FALSE,"P&amp;L";#N/A,#N/A,FALSE,"R-P&amp;L";#N/A,#N/A,FALSE,"N-P&amp;L";#N/A,#N/A,FALSE,"E-P&amp;L"}</definedName>
    <definedName name="_Fill" hidden="1">#REF!</definedName>
    <definedName name="_xlnm._FilterDatabase" localSheetId="3" hidden="1">'Project Summary'!#REF!</definedName>
    <definedName name="_ill1" hidden="1">#REF!</definedName>
    <definedName name="_IT1"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MatMult_A" hidden="1">#REF!</definedName>
    <definedName name="_MatMult_AxB" hidden="1">#REF!</definedName>
    <definedName name="_MatMult_B" hidden="1">#REF!</definedName>
    <definedName name="_New1" hidden="1">{#N/A,#N/A,FALSE,"Aging Summary";#N/A,#N/A,FALSE,"Ratio Analysis";#N/A,#N/A,FALSE,"Test 120 Day Accts";#N/A,#N/A,FALSE,"Tickmarks"}</definedName>
    <definedName name="a" hidden="1">{#N/A,#N/A,FALSE,"P&amp;L";#N/A,#N/A,FALSE,"R-P&amp;L";#N/A,#N/A,FALSE,"N-P&amp;L";#N/A,#N/A,FALSE,"E-P&amp;L"}</definedName>
    <definedName name="aa" hidden="1">{#N/A,#N/A,FALSE,"P&amp;L";#N/A,#N/A,FALSE,"R-P&amp;L";#N/A,#N/A,FALSE,"N-P&amp;L";#N/A,#N/A,FALSE,"E-P&amp;L"}</definedName>
    <definedName name="AB" hidden="1">{#N/A,#N/A,FALSE,"Aging Summary";#N/A,#N/A,FALSE,"Ratio Analysis";#N/A,#N/A,FALSE,"Test 120 Day Accts";#N/A,#N/A,FALSE,"Tickmarks"}</definedName>
    <definedName name="abcd" hidden="1">{#N/A,#N/A,FALSE,"Aging Summary";#N/A,#N/A,FALSE,"Ratio Analysis";#N/A,#N/A,FALSE,"Test 120 Day Accts";#N/A,#N/A,FALSE,"Tickmarks"}</definedName>
    <definedName name="animal" hidden="1">{#N/A,#N/A,FALSE,"Bgt";#N/A,#N/A,FALSE,"Act";#N/A,#N/A,FALSE,"Chrt Data";#N/A,#N/A,FALSE,"Bus Result";#N/A,#N/A,FALSE,"Main Charts";#N/A,#N/A,FALSE,"P&amp;L Ttl";#N/A,#N/A,FALSE,"P&amp;L C_Ttl";#N/A,#N/A,FALSE,"P&amp;L C_Oct";#N/A,#N/A,FALSE,"P&amp;L C_Sep";#N/A,#N/A,FALSE,"1996";#N/A,#N/A,FALSE,"Data"}</definedName>
    <definedName name="ANS">#REF!</definedName>
    <definedName name="anscount" hidden="1">1</definedName>
    <definedName name="as" hidden="1">{#N/A,#N/A,FALSE,"SUM QTR 3";#N/A,#N/A,FALSE,"Detail QTR 3 (w_o ly)"}</definedName>
    <definedName name="AS2DocOpenMode" hidden="1">"AS2DocumentEdit"</definedName>
    <definedName name="b" hidden="1">{#N/A,#N/A,FALSE,"P&amp;L";#N/A,#N/A,FALSE,"R-P&amp;L";#N/A,#N/A,FALSE,"N-P&amp;L";#N/A,#N/A,FALSE,"E-P&amp;L"}</definedName>
    <definedName name="bb" hidden="1">{#N/A,#N/A,FALSE,"P&amp;L";#N/A,#N/A,FALSE,"R-P&amp;L";#N/A,#N/A,FALSE,"N-P&amp;L";#N/A,#N/A,FALSE,"E-P&amp;L"}</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WOACHDXJ6I70WQ2OGP79902" hidden="1">#REF!</definedName>
    <definedName name="BEx01DAZE5WX4UTU2TLKODE60MKZ"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SDBU7WQN41S8RKJEK69AVRU" hidden="1">#REF!</definedName>
    <definedName name="BEx1FZV2CM77TBH1R6YYV9P06KA2" hidden="1">#REF!</definedName>
    <definedName name="BEx1G59AY8195JTUM6P18VXUFJ3E" hidden="1">#REF!</definedName>
    <definedName name="BEx1GVBYVO13O10BPURJQKD3L4DD" hidden="1">#REF!</definedName>
    <definedName name="BEx1GVMRHFXUP6XYYY9NR12PV5TF" hidden="1">#REF!</definedName>
    <definedName name="BEx1H6KIT7BHUH6MDDWC935V9N47" hidden="1">#REF!</definedName>
    <definedName name="BEx1H8YTIDTTO90YLC2ZSSNJ7TNN"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H266WCSRYYOY23LANSAM8Z1"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L21EMOYZ97EOEQ30N9KV83"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NC9DE7CANGLXQGIAHI2C92"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PJ2JSOQN114PESLM5AHS817"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KZZC3KMOCVC65KUPQLQG4VI6"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2CEKIG7U2M98E8QT7PXKFJI" hidden="1">#REF!</definedName>
    <definedName name="BEx1M51HHDYGIT8PON7U8ICL2S95" hidden="1">#REF!</definedName>
    <definedName name="BEx1M9DVXW1QKW4BT3H733BJ74CE" hidden="1">#REF!</definedName>
    <definedName name="BEx1MJVIWNE5X8L7TRVWT9WWEUBJ" hidden="1">#REF!</definedName>
    <definedName name="BEx1MMFAHNWB5B2QUWBELI39PCEY" hidden="1">#REF!</definedName>
    <definedName name="BEx1MTRKKVCHOZ0YGID6HZ49LJTO" hidden="1">#REF!</definedName>
    <definedName name="BEx1N0CYK8OCCI654CPSXGPO2B4B"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RG3LGKCPSRMVQ2O9REG2US8"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34WRUTVZPX177UUQ9BT3Q9X"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4PKKBHXHR5BZ2NON028UYL" hidden="1">#REF!</definedName>
    <definedName name="BEx1QMQAHG3KQUK59DVM68SWKZIZ" hidden="1">#REF!</definedName>
    <definedName name="BEx1R9YFKJCMSEST8OVCAO5E47FO" hidden="1">#REF!</definedName>
    <definedName name="BEx1RBGC06B3T52OIC0EQ1KGVP1I" hidden="1">#REF!</definedName>
    <definedName name="BEx1RHLLW599ZLQG0S5YT7QI63BA" hidden="1">#REF!</definedName>
    <definedName name="BEx1RRC7X4NI1CU4EO5XYE2GVARJ" hidden="1">#REF!</definedName>
    <definedName name="BEx1RZA1NCGT832L7EMR7GMF588W" hidden="1">#REF!</definedName>
    <definedName name="BEx1S0XGIPUSZQUCSGWSK10GKW7Y" hidden="1">#REF!</definedName>
    <definedName name="BEx1S3BSDAKCI9LVFYLTM3MJY3BE" hidden="1">#REF!</definedName>
    <definedName name="BEx1S5VFNKIXHTTCWSV60UC50EZ8" hidden="1">#REF!</definedName>
    <definedName name="BEx1SEKAWOQJB87D3XQKKK1S7Q7X" hidden="1">#REF!</definedName>
    <definedName name="BEx1SK3U02H0RGKEYXW7ZMCEOF3V" hidden="1">#REF!</definedName>
    <definedName name="BEx1SSNEZINBJT29QVS62VS1THT4" hidden="1">#REF!</definedName>
    <definedName name="BEx1STULPAG4G6PQYHP3DRYTPCHJ" hidden="1">#REF!</definedName>
    <definedName name="BEx1SVNCHNANBJIDIQVB8AFK4HAN" hidden="1">#REF!</definedName>
    <definedName name="BEx1TJ0WLS9O7KNSGIPWTYHDYI1D" hidden="1">#REF!</definedName>
    <definedName name="BEx1TYR9YIVMD6E36LEX70E5H1UT"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OOOMCXM376QJ65W95MJ4RT3" hidden="1">#REF!</definedName>
    <definedName name="BEx1UUDIQPZ23XQ79GUL0RAWRSCK" hidden="1">#REF!</definedName>
    <definedName name="BEx1V50N55N07Q5LD91VS9QF1WB6"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XYBEF60AUNIQ381B562NLYEL"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PL8D18BCFDD4AZK12WFXA67"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7ZOFGLSCYTIG9VMZOBZ5BQ" hidden="1">#REF!</definedName>
    <definedName name="BEx3D9G6QTSPF9UYI4X0XY0VE896" hidden="1">#REF!</definedName>
    <definedName name="BEx3DCQU9PBRXIMLO62KS5RLH447" hidden="1">#REF!</definedName>
    <definedName name="BEx3DZDFGLYD8RLUYGMKDC4PRP04"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ERRE7HC84YCYRFTW3IGBJS0"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FZG91H1CY5ASLHP4YHKREYG9"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0RFPKED2NN6LBYFK5P5HLK6" hidden="1">#REF!</definedName>
    <definedName name="BEx3H5UX2GZFZZT657YR76RHW5I6" hidden="1">#REF!</definedName>
    <definedName name="BEx3HA1YAMCT0GK89031ZWXQ3VK3" hidden="1">#REF!</definedName>
    <definedName name="BEx3HJ1MIYFNI7Y25LLE6AGZ52U2" hidden="1">#REF!</definedName>
    <definedName name="BEx3HMN4HBR0MZ546XIBTOE5PHAT" hidden="1">#REF!</definedName>
    <definedName name="BEx3HMSEFOP6DBM4R97XA6B7NFG6" hidden="1">#REF!</definedName>
    <definedName name="BEx3HOQN57QKFWCTSFFBV19FE17U" hidden="1">#REF!</definedName>
    <definedName name="BEx3HWJ5SQSD2CVCQNR183X44FR8" hidden="1">#REF!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IYZIVBGXQG29MDJG53D99D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HFTUPUPZJH4ER0RQ5CMQ7ZC"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LANOTINBHAJ3AOID9T7Y05X" hidden="1">#REF!</definedName>
    <definedName name="BEx3LM1PR4Y7KINKMTMKR984GX8Q" hidden="1">#REF!</definedName>
    <definedName name="BEx3LPCEZ1C0XEKNCM3YT09JWCUO" hidden="1">#REF!</definedName>
    <definedName name="BEx3M1BZ3GQC6D7YTGDIT0JUJ9EC"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MSAX474ABZKYQ7WBYQI19FN1" hidden="1">#REF!</definedName>
    <definedName name="BEx3N9JDP50MA4MMRXI6DO38SIEQ" hidden="1">#REF!</definedName>
    <definedName name="BEx3NBS83TP04EO9LQWM9XWO1JEV"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37KIVMTEXDNBMSQLK0KFCF6"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VDR9BY1SBRX3I92LJ228GPZ"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5U1E8DSCYITLNZG4FG813OR"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OEY7IL4PZNO1XW0Q5KZ3BPA" hidden="1">#REF!</definedName>
    <definedName name="BEx3QPGNBFAPHNWN14HP5HGBZUHY"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6JNDZ5SKLXPE4E8AGJCT6XV"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6YJ4FSE6L232EC7JMBHL9LG"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2FG1ZY4WZBQSPCTC91YU2YJ" hidden="1">#REF!</definedName>
    <definedName name="BEx3T6H1GANMM2I05ZEVPCP6MRU2" hidden="1">#REF!</definedName>
    <definedName name="BEx3T6MJ1QDJ929WMUDVZ0O3UW0Y" hidden="1">#REF!</definedName>
    <definedName name="BEx3TL0EBCEEUJ1A7EWNJRIN2795"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M0THK7XHBY53ADQX650TQR3" hidden="1">#REF!</definedName>
    <definedName name="BEx3UO4CSA2W3UIZSAB83N5MOYUI"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9O00VWB2CRMRCLO3I5IX5HO" hidden="1">#REF!</definedName>
    <definedName name="BEx58O780PQ05NF0Z1SKKRB3N099" hidden="1">#REF!</definedName>
    <definedName name="BEx58XHO7ZULLF2EUD7YIS0MGQJ5" hidden="1">#REF!</definedName>
    <definedName name="BEx58ZW0HAIGIPEX9CVA1PQQTR6X" hidden="1">#REF!</definedName>
    <definedName name="BEx59AZ7IMWYQU6DW5MVTLDMFU8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KWQHHP966IXELUOVK2L3J48" hidden="1">#REF!</definedName>
    <definedName name="BEx5CPEKNSJORIPFQC2E1LTRYY8L" hidden="1">#REF!</definedName>
    <definedName name="BEx5CSUOL05D8PAM2TRDA9VRJT1O" hidden="1">#REF!</definedName>
    <definedName name="BEx5CUNFOO4YDFJ22HCMI2QKIGKM" hidden="1">#REF!</definedName>
    <definedName name="BEx5CWLOBFBDZZLDMZV6E0Z1VJA6" hidden="1">#REF!</definedName>
    <definedName name="BEx5D7U7MZFE0E9SNH9NX01XLKLP" hidden="1">#REF!</definedName>
    <definedName name="BEx5D8L47OF0WHBPFWXGZINZWUBZ" hidden="1">#REF!</definedName>
    <definedName name="BEx5DAJAHQ2SKUPCKSCR3PYML67L" hidden="1">#REF!</definedName>
    <definedName name="BEx5DAZEGUTH4C1FCHVO3EWOQDU3"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LQL9B0VR6UT18KP11DHOTFX" hidden="1">#REF!</definedName>
    <definedName name="BEx5ER4TJTFPN7IB1MNEB1ZFR5M6" hidden="1">#REF!</definedName>
    <definedName name="BEx5ERQE4JE8890QDCQFB0IMTC4I"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AVIL220VIPAKH02UYIUB7EU" hidden="1">#REF!</definedName>
    <definedName name="BEx5GID9MVBUPFFT9M8K8B5MO9NV" hidden="1">#REF!</definedName>
    <definedName name="BEx5GLD6CMDEYT8QI3HVPGEES2A5"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HZV4KY20K2E2E581QT80KGF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FLNF3FADLCRC1334L3LVOSY"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7A7V5B87CW37IBINCOQ134P" hidden="1">#REF!</definedName>
    <definedName name="BEx5KYER580I4T7WTLMUN7NLNP5K" hidden="1">#REF!</definedName>
    <definedName name="BEx5L4UOHIBIXCOOD5809ABRZ9A8"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HOG4GCI4HKTOTP194VMNRA"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8N0SPY10WRHN2NNGU5BUWPZ"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FOW04FOAHD3W8FOXUQCGEE0" hidden="1">#REF!</definedName>
    <definedName name="BEx74Q6H3O7133AWQXWC21MI2UFT" hidden="1">#REF!</definedName>
    <definedName name="BEx74SQ5R0VH9X24PI4DADFFLZ9N"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M8YU9VISUVICOSCP5YAMZPI" hidden="1">#REF!</definedName>
    <definedName name="BEx75PZT8TY5P13U978NVBUXKHT4" hidden="1">#REF!</definedName>
    <definedName name="BEx75T55F7GML8V1DMWL26WRT006" hidden="1">#REF!</definedName>
    <definedName name="BEx75VJGR07JY6UUWURQ4PJ29UKC" hidden="1">#REF!</definedName>
    <definedName name="BEx76SNOC6R18OVRQYBQ0JGPW2Z7" hidden="1">#REF!</definedName>
    <definedName name="BEx771SMWJDAFC6Y4FKDDGEFBQ4W"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KOE3LX3JOLFV1E0VZZVCULJ"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LCTDQFKD1KV7R8NW15KLAFT"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4ZGTC3XLZR6M7XK0UX2T49X" hidden="1">#REF!</definedName>
    <definedName name="BEx7A9S3JA1X7FH4CFSQLTZC4691" hidden="1">#REF!</definedName>
    <definedName name="BEx7ABA2C9IWH5VSLVLLLCY62161" hidden="1">#REF!</definedName>
    <definedName name="BEx7ABKU462F6424CGX2QB38TAZN"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6XF797M3VAMVIZK8WXZGRE"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RM6499BJKCAJ9DPN8MU140B" hidden="1">#REF!</definedName>
    <definedName name="BEx7ETV6L1TM7JSXJIGK3FC6RVZW" hidden="1">#REF!</definedName>
    <definedName name="BEx7EYYLHMBYQTH6I377FCQS7CSX" hidden="1">#REF!</definedName>
    <definedName name="BEx7FCLG1RYI2SNOU1Y2GQZNZSWA" hidden="1">#REF!</definedName>
    <definedName name="BEx7FD1P2YDISQM4TTRYZB37K00O" hidden="1">#REF!</definedName>
    <definedName name="BEx7FN32ZGWOAA4TTH79KINTDWR9" hidden="1">#REF!</definedName>
    <definedName name="BEx7FOFQ7MR21UZFTP7X4HI7UWRR" hidden="1">#REF!</definedName>
    <definedName name="BEx7G82CKM3NIY1PHNFK28M09PCH" hidden="1">#REF!</definedName>
    <definedName name="BEx7GR3ENYWRXXS5IT0UMEGOLGUH" hidden="1">#REF!</definedName>
    <definedName name="BEx7GSAL6P7TASL8MB63RFST1LJL" hidden="1">#REF!</definedName>
    <definedName name="BEx7GTN79OJWGSCA62UELE41F0A6" hidden="1">#REF!</definedName>
    <definedName name="BEx7H0JD6I5I8WQLLWOYWY5YWPQE" hidden="1">#REF!</definedName>
    <definedName name="BEx7H14XCXH7WEXEY1HVO53A6AGH" hidden="1">#REF!</definedName>
    <definedName name="BEx7HGVBEF4LEIF6RC14N3PSU461" hidden="1">#REF!</definedName>
    <definedName name="BEx7HL7W9TZ7FC8JOMGNE06BJAQG" hidden="1">#REF!</definedName>
    <definedName name="BEx7HQ5T9FZ42QWS09UO4DT42Y0R" hidden="1">#REF!</definedName>
    <definedName name="BEx7HRCZE3CVGON1HV07MT5MNDZ3" hidden="1">#REF!</definedName>
    <definedName name="BEx7HWGE2CANG5M17X4C8YNC3N8F"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JW2YB57L6MPYI5CXCAC5VO24"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RNWHYRP8KY04FDJ7BHTLOMC" hidden="1">#REF!</definedName>
    <definedName name="BEx7MAUI1JJFDIJGDW4RWY5384LY" hidden="1">#REF!</definedName>
    <definedName name="BEx7MJZO3UKAMJ53UWOJ5ZD4GGMQ" hidden="1">#REF!</definedName>
    <definedName name="BEx7MT4MFNXIVQGAT6D971GZW7CA" hidden="1">#REF!</definedName>
    <definedName name="BEx7NFB22WBK00BOG2H7GYRN05R1" hidden="1">#REF!</definedName>
    <definedName name="BEx7NI062THZAM6I8AJWTFJL91CS" hidden="1">#REF!</definedName>
    <definedName name="BEx8ZRLGUR6D7DSDJNOT3MGNPIHT" hidden="1">#REF!</definedName>
    <definedName name="BEx900ACZ0V1VYSC0W43QEUHOVZS" hidden="1">#REF!</definedName>
    <definedName name="BEx904S75BPRYMHF0083JF7ES4NG" hidden="1">#REF!</definedName>
    <definedName name="BEx90HDD4RWF7JZGA8GCGG7D63MG" hidden="1">#REF!</definedName>
    <definedName name="BEx90LPR7EPY9B2HQPUT8UY7S0EO"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6YKM8TTG7PUO1UYIDCBXTWU"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JZTWI2NV5R3DXEP4NS1NVLT" hidden="1">#REF!</definedName>
    <definedName name="BEx92PUBDIXAU1FW5ZAXECMAU0LN" hidden="1">#REF!</definedName>
    <definedName name="BEx92S8MHFFIVRQ2YSHZNQGOFUHD" hidden="1">#REF!</definedName>
    <definedName name="BEx92VOMR5U4BPW19GODTNNQPLQS" hidden="1">#REF!</definedName>
    <definedName name="BEx92YOIWN6IEUE1U85XCO40QLR1"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3YY393Z5DLMHRK8KZL5903S3"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N7W5T3U7UOE97D6OVIBUCXS" hidden="1">#REF!</definedName>
    <definedName name="BEx94XK7HTOCAI9XPVFSIIW2YKUT"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DPEANYPFX7M8LZ2UWJN17P5" hidden="1">#REF!</definedName>
    <definedName name="BEx96JP7X7K0JLFXG5H49RXRME5R"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O0DV0K9YPP91QBJAT6MS3RD" hidden="1">#REF!</definedName>
    <definedName name="BEx97RWQLXS0OORDCN69IGA58CWU" hidden="1">#REF!</definedName>
    <definedName name="BEx97YNGGDFIXHTMGFL2IHAQX9MI" hidden="1">#REF!</definedName>
    <definedName name="BEx980G6OO93SXIQ4H0NMENRJJHQ" hidden="1">#REF!</definedName>
    <definedName name="BEx981HW73BUZWT14TBTZHC0ZTJ4" hidden="1">#REF!</definedName>
    <definedName name="BEx9871KU0N99P0900EAK69VFYT2" hidden="1">#REF!</definedName>
    <definedName name="BEx98IFKNJFGZFLID1YTRFEG1SXY" hidden="1">#REF!</definedName>
    <definedName name="BEx98KZ7LNKCVOT9D2LOYY4QBVY3" hidden="1">#REF!</definedName>
    <definedName name="BEx98VGU9QUYP1365CXZRT20O3L4"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UDROAK28GWTG7FXE0N78XYN" hidden="1">#REF!</definedName>
    <definedName name="BEx99WBYT2D6UUC1PT7A40ENYID4"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AOHDIFZFPSM1WYA3RHQ0G9I" hidden="1">#REF!</definedName>
    <definedName name="BEx9BYSYW7QCPXS2NAVLFAU5Y2Z2" hidden="1">#REF!</definedName>
    <definedName name="BEx9C590HJ2O31IWJB73C1HR74AI" hidden="1">#REF!</definedName>
    <definedName name="BEx9CCQRMYYOGIOYTOM73VKDIPS1" hidden="1">#REF!</definedName>
    <definedName name="BEx9D1BC9FT19KY0INAABNDBAMR1" hidden="1">#REF!</definedName>
    <definedName name="BEx9DN6ZMF18Q39MPMXSDJTZQNJ3" hidden="1">#REF!</definedName>
    <definedName name="BEx9E14TDNSEMI784W0OTIEQMWN6" hidden="1">#REF!</definedName>
    <definedName name="BEx9E2BZ2B1R41FMGJCJ7JLGLUAJ" hidden="1">#REF!</definedName>
    <definedName name="BEx9EG9KBJ77M8LEOR9ITOKN5KXY" hidden="1">#REF!</definedName>
    <definedName name="BEx9ELT9J5NDVVY4N2UDXPELXQC3"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OA9AZX8DJGLEVWAJIIXRVFO" hidden="1">#REF!</definedName>
    <definedName name="BEx9GTJ6YTNR09A1J3DJOTVV6SGI"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LP8FC22WFQ6C2PNR5A9187F" hidden="1">#REF!</definedName>
    <definedName name="BEx9HZ1G1J0CB5PC45ZW4S9Q4EFY"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LW9GH3AS7L6X2QVYRX4MP47" hidden="1">#REF!</definedName>
    <definedName name="BExAW4IIW5D0MDY6TJ3G4FOLPYIR" hidden="1">#REF!</definedName>
    <definedName name="BExAWEPCKLF5GHCVH6O4GKOE0SW1" hidden="1">#REF!</definedName>
    <definedName name="BExAX28937OH2SJJ980WOFXSWR07" hidden="1">#REF!</definedName>
    <definedName name="BExAX410NB4F2XOB84OR2197H8M5" hidden="1">#REF!</definedName>
    <definedName name="BExAX8TNG8LQ5Q4904SAYQIPGBSV" hidden="1">#REF!</definedName>
    <definedName name="BExAXH2FJ8S1SX2XRI17ZABSFERB" hidden="1">#REF!</definedName>
    <definedName name="BExAY0EAT2LXR5MFGM0DLIB45PLO" hidden="1">#REF!</definedName>
    <definedName name="BExAYDA8H0HQ51AQDS0QEQS4IUSJ" hidden="1">#REF!</definedName>
    <definedName name="BExAYE6LNIEBR9DSNI5JGNITGKIT" hidden="1">#REF!</definedName>
    <definedName name="BExAYHMLXGGO25P8HYB2S75DEB4F" hidden="1">#REF!</definedName>
    <definedName name="BExAYHXJ3CVLPZX5R6UR0U1MNDXJ"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713OG4CGOEQ7O0FXSI2FQWZ" hidden="1">#REF!</definedName>
    <definedName name="BExB1FKNY2UO4W5FUGFHJOA2WFGG" hidden="1">#REF!</definedName>
    <definedName name="BExB1GMD0PIDGTFBGQOPRWQSP9I4" hidden="1">#REF!</definedName>
    <definedName name="BExB1PWZDAO1V9N18MU22F75P6Y5" hidden="1">#REF!</definedName>
    <definedName name="BExB1Q29OO6LNFNT1EQLA3KYE7MX" hidden="1">#REF!</definedName>
    <definedName name="BExB1TNRV5EBWZEHYLHI76T0FVA7" hidden="1">#REF!</definedName>
    <definedName name="BExB1WI6M8I0EEP1ANUQZCFY24EV" hidden="1">#REF!</definedName>
    <definedName name="BExB1Z7GTT7CR0FJMG7GTKH7A4KN"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PD6APUT2TO3BGE6IU9G7C" hidden="1">#REF!</definedName>
    <definedName name="BExB2TRVKQUUYWEZA4GM0V7NE7IX" hidden="1">#REF!</definedName>
    <definedName name="BExB30IP1DNKNQ6PZ5ERUGR5MK4Z" hidden="1">#REF!</definedName>
    <definedName name="BExB42VLHX3FLYCON9QDRE70MBLO" hidden="1">#REF!</definedName>
    <definedName name="BExB442RX0T3L6HUL6X5T21CENW6" hidden="1">#REF!</definedName>
    <definedName name="BExB4ADD0L7417CII901XTFKXD1J" hidden="1">#REF!</definedName>
    <definedName name="BExB4DYU06HCGRIPBSWRCXK804UM" hidden="1">#REF!</definedName>
    <definedName name="BExB4KEQ72L2ONQ7IFMYZAK0153C" hidden="1">#REF!</definedName>
    <definedName name="BExB4M24SMODJ32BDKDH2DWLGTXO"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K9L3ECVVHYODX1ITUTEHJTR" hidden="1">#REF!</definedName>
    <definedName name="BExB8QPH8DC5BESEVPSMBCWVN6PO" hidden="1">#REF!</definedName>
    <definedName name="BExB8U5N0D85YR8APKN3PPKG0FWP" hidden="1">#REF!</definedName>
    <definedName name="BExB8WJYEQ55LDAYQH0NXEDCQOVD" hidden="1">#REF!</definedName>
    <definedName name="BExB9AXUUDDTRDLVSC7REODDIYJ2" hidden="1">#REF!</definedName>
    <definedName name="BExB9DHI5I2TJ2LXYPM98EE81L27" hidden="1">#REF!</definedName>
    <definedName name="BExB9Q2MZZHBGW8QQKVEYIMJBPIE" hidden="1">#REF!</definedName>
    <definedName name="BExB9R4HYJ83UNLFWKDKDJ31E2DS"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AGDKQLBSZJAFZFOCDTVS99P"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77362J9OENRUETJ6CVQYGZ1"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2QTPSTYED3RWGES5QGI7VV" hidden="1">#REF!</definedName>
    <definedName name="BExBDUVGK3E1J4JY9ZYTS7V14BLY" hidden="1">#REF!</definedName>
    <definedName name="BExBE162OSBKD30I7T1DKKPT3I9I" hidden="1">#REF!</definedName>
    <definedName name="BExBEC9ATLQZF86W1M3APSM4HEOH" hidden="1">#REF!</definedName>
    <definedName name="BExBEF3VXW3Y3SZ6RC9PX7QEB12Y" hidden="1">#REF!</definedName>
    <definedName name="BExBEJG7L9BDVH7L2B9YXRV84GFT" hidden="1">#REF!</definedName>
    <definedName name="BExBEYFQJE9YK12A6JBMRFKEC7RN" hidden="1">#REF!</definedName>
    <definedName name="BExBG1ED81J2O4A2S5F5Y3BPHMCR" hidden="1">#REF!</definedName>
    <definedName name="BExCRLIHS7466WFJ3RPIUGGXYESZ" hidden="1">#REF!</definedName>
    <definedName name="BExCRQWQFIEUV7HE228YUBUUJA9K" hidden="1">#REF!</definedName>
    <definedName name="BExCS1EDDUEAEWHVYXHIP9I1WCJH" hidden="1">#REF!</definedName>
    <definedName name="BExCS4E9E7CKF2RTM6INK6MAILOV"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VK8GI44DNT5MTM7AOS4U9N8" hidden="1">#REF!</definedName>
    <definedName name="BExCVZ5PN4V6MRBZ04PZJW3GEF8S" hidden="1">#REF!</definedName>
    <definedName name="BExCW13R0GWJYGXZBNCPAHQN4NR2" hidden="1">#REF!</definedName>
    <definedName name="BExCW9Y5HWU4RJTNX74O6L24VGCK" hidden="1">#REF!</definedName>
    <definedName name="BExCWMJAP755C7AV2QKTWYDPDSSV" hidden="1">#REF!</definedName>
    <definedName name="BExCWPDPESGZS07QGBLSBWDNVJLZ" hidden="1">#REF!</definedName>
    <definedName name="BExCWSDLJ7DJX3139FQJM3LND72J"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K3M8NPWOZZALA6L6RUCBB2J" hidden="1">#REF!</definedName>
    <definedName name="BExCXKZZ6U10NBCECNUV9U56FB6V"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FV9Z4OENTUNF9IWT6ELMRCL" hidden="1">#REF!</definedName>
    <definedName name="BExCYPRC5HJE6N2XQTHCT6NXGP8N" hidden="1">#REF!</definedName>
    <definedName name="BExCYUK0I3UEXZNFDW71G6Z6D8XR" hidden="1">#REF!</definedName>
    <definedName name="BExCZ4QTDJA3L8AGID0HLSLRVP6A" hidden="1">#REF!</definedName>
    <definedName name="BExCZFZCXMLY5DWESYJ9NGTJYQ8M" hidden="1">#REF!</definedName>
    <definedName name="BExCZJ4P8WS0BDT31WDXI0ROE7D6" hidden="1">#REF!</definedName>
    <definedName name="BExCZKH6NI0EE02L995IFVBD1J59" hidden="1">#REF!</definedName>
    <definedName name="BExCZU7T2KCK97JI9FE1XITCRE8U" hidden="1">#REF!</definedName>
    <definedName name="BExCZUD9FEOJBKDJ51Z3JON9LKJ8" hidden="1">#REF!</definedName>
    <definedName name="BExD0CCO4AZHRMZ3PSLCEN7T63L2"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1HKYZH6AN0830NG17ZRUS1T" hidden="1">#REF!</definedName>
    <definedName name="BExD2CFHIRMBKN5KXE5QP4XXEWFS" hidden="1">#REF!</definedName>
    <definedName name="BExD2DMHH1HWXQ9W0YYMDP8AAX8Q" hidden="1">#REF!</definedName>
    <definedName name="BExD2HTPC7IWBAU6OSQ67MQA8BYZ" hidden="1">#REF!</definedName>
    <definedName name="BExD363H2VGFIQUCE6LS4AC5J0ZT" hidden="1">#REF!</definedName>
    <definedName name="BExD37QXHXNRAT3KZWRFA3MXHIF8"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H6Q0X859YKIX6M8ZEYXI1G6"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IHX75GVFK6I80F7IR7955K1"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S52K2CC3509UN77XBR0868" hidden="1">#REF!</definedName>
    <definedName name="BExD6FKVK8WJWNYPVENR7Q8Q30PK" hidden="1">#REF!</definedName>
    <definedName name="BExD6GMP0LK8WKVWMIT1NNH8CHLF" hidden="1">#REF!</definedName>
    <definedName name="BExD6H2TE0WWAUIWVSSCLPZ6B88N" hidden="1">#REF!</definedName>
    <definedName name="BExD6HTUMONFBQHM7Y5UW4DPHU7X"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L7NW9EKGU5ITCE4VJZ2N5W" hidden="1">#REF!</definedName>
    <definedName name="BExD7JQOJ35HGL8U2OCEI2P2JT7I" hidden="1">#REF!</definedName>
    <definedName name="BExD7KSDKNDNH95NDT3S7GM3MUU2"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GO5JA4ADLQH22ZFJKY2FEAV"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L4R440JG0CQM6QZM9CCATO7" hidden="1">#REF!</definedName>
    <definedName name="BExDAYBHU9ADLXI8VRC7F608RVGM" hidden="1">#REF!</definedName>
    <definedName name="BExDBDR1XR0FV0CYUCB2OJ7CJCZU" hidden="1">#REF!</definedName>
    <definedName name="BExDBQXTJ9F9DE7FNTJCL0LMOJ21" hidden="1">#REF!</definedName>
    <definedName name="BExDC7F818VN0S18ID7XRCRVYPJ4" hidden="1">#REF!</definedName>
    <definedName name="BExDCL7K96PC9VZYB70ZW3QPVIJE" hidden="1">#REF!</definedName>
    <definedName name="BExDCP3UZ3C2O4C1F7KMU0Z9U32N" hidden="1">#REF!</definedName>
    <definedName name="BExENR8MCJOVBYLHQOJ4XC4TSDLT" hidden="1">#REF!</definedName>
    <definedName name="BExEOBX3WECDMYCV9RLN49APTXMM" hidden="1">#REF!</definedName>
    <definedName name="BExEPN9VIYI0FVL0HLZQXJFO6TT0" hidden="1">#REF!</definedName>
    <definedName name="BExEPYT6VDSMR8MU2341Q5GM2Y9V" hidden="1">#REF!</definedName>
    <definedName name="BExEQ1YK2GGF3PCQ5YXT4E5L9FQG"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RX39X2B577E8G980B6146MR4" hidden="1">#REF!</definedName>
    <definedName name="BExES44RHHDL3V7FLV6M20834WF1" hidden="1">#REF!</definedName>
    <definedName name="BExES4A7VE2X3RYYTVRLKZD4I7WU" hidden="1">#REF!</definedName>
    <definedName name="BExESMKD95A649M0WRSG6CXXP326" hidden="1">#REF!</definedName>
    <definedName name="BExESNWVY914X62GFBPJRODSAZ7B" hidden="1">#REF!</definedName>
    <definedName name="BExESR27ZXJG5VMY4PR9D940VS7T" hidden="1">#REF!</definedName>
    <definedName name="BExESU25LOS36OLUCBS6GANOVO9P"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TYO0S2RGTHJQ60TB37B647GU"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MSPJ8NAM530KGLCIZKRIZQ2"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WNIZ06IIMDYQSV4BSTCR7UN" hidden="1">#REF!</definedName>
    <definedName name="BExF02Y3V3QEPO2XLDSK47APK9XJ" hidden="1">#REF!</definedName>
    <definedName name="BExF09OS91RT7N7IW8JLMZ121ZP3" hidden="1">#REF!</definedName>
    <definedName name="BExF0C8L8MPMMA1XQ6J8H8CEDPJ9"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HD1URZND0VTZ5BY2FRCCF7" hidden="1">#REF!</definedName>
    <definedName name="BExF1US4ZIQYSU5LBFYNRA9N0K2O" hidden="1">#REF!</definedName>
    <definedName name="BExF2CWZN6E87RGTBMD4YQI2QT7R" hidden="1">#REF!</definedName>
    <definedName name="BExF2DYO1WQ7GMXSTAQRDBW1NSFG" hidden="1">#REF!</definedName>
    <definedName name="BExF2LWJ8M4NGGKOIOZBJ3TPKQMD"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D5AXW8T6FZ8O1C78NHR5C3" hidden="1">#REF!</definedName>
    <definedName name="BExF3QT8J6RIF1L3R700MBSKIOKW" hidden="1">#REF!</definedName>
    <definedName name="BExF41WFMNZ2YQ1KBKOBZWROKVHO" hidden="1">#REF!</definedName>
    <definedName name="BExF42SSBVPMLK2UB3B7FPEIY9TU" hidden="1">#REF!</definedName>
    <definedName name="BExF4HXSWB50BKYPWA0HTT8W56H6"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CCUNN10ODYNRYLTJ6DOSQA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90Y20C503FDB3JYBPHX2VD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N83YDEVXDEZQFACS9ZVES27"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MPD5LHHQXURM0Y3L44P343X" hidden="1">#REF!</definedName>
    <definedName name="BExGLTARRL0J772UD2TXEYAVPY6E" hidden="1">#REF!</definedName>
    <definedName name="BExGLYE6RZTAAWHJBG2QFJPTDS2Q" hidden="1">#REF!</definedName>
    <definedName name="BExGM4DZ65OAQP7MA4LN6QMYZOFF" hidden="1">#REF!</definedName>
    <definedName name="BExGM7DV048A50I5ERW750F4VS9C"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2ENVVMIJQENKY6QPV34HDYB" hidden="1">#REF!</definedName>
    <definedName name="BExGR4CW3WRIID17GGX4MI9ZDHFE" hidden="1">#REF!</definedName>
    <definedName name="BExGR65GJX27MU2OL6NI5PB8XVB4" hidden="1">#REF!</definedName>
    <definedName name="BExGR6LQ97HETGS3CT96L4IK0JSH" hidden="1">#REF!</definedName>
    <definedName name="BExGR902JCXO7ZLKL3VYXM9XRW3A" hidden="1">#REF!</definedName>
    <definedName name="BExGR9ATP2LVT7B9OCPSLJ11H9SX" hidden="1">#REF!</definedName>
    <definedName name="BExGRA1VE5SDFH8FM4H8YLA70J65" hidden="1">#REF!</definedName>
    <definedName name="BExGREP2D0XVCEBGWU6RQ7KX23Q3" hidden="1">#REF!</definedName>
    <definedName name="BExGRUKVVKDL8483WI70VN2QZDGD" hidden="1">#REF!</definedName>
    <definedName name="BExGRVXD519NRV2E1ZYNYCW0PMW6"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ARJTLL2AE6NAMXZ7IGZI2M1"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0OSYJ4G1RU3EZR9QY6M3SCB" hidden="1">#REF!</definedName>
    <definedName name="BExGTGVFIF8HOQXR54SK065A8M4K" hidden="1">#REF!</definedName>
    <definedName name="BExGTIYX3OWPIINOGY1E4QQYSKHP" hidden="1">#REF!</definedName>
    <definedName name="BExGTKGUN0KUU3C0RL2LK98D8MEK" hidden="1">#REF!</definedName>
    <definedName name="BExGTQB6STG5OP8F4WFG4MJ1QG32"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VYZ49VJJQ6ZGHDI0J4Q6VUK" hidden="1">#REF!</definedName>
    <definedName name="BExGUZKF06F209XL1IZWVJEQ82EE" hidden="1">#REF!</definedName>
    <definedName name="BExGV2EVT380QHD4AP2RL9MR8L5L" hidden="1">#REF!</definedName>
    <definedName name="BExGV4NVN9KBLA14SOD5M7JEE632"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P9PLH9HGLX6X9E31SFWH8E0"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JE09NMFU592QN78WBPFJH50" hidden="1">#REF!</definedName>
    <definedName name="BExGYOS6TV2C72PLRFU8RP1I58GY"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9VINWGY7QSDNGT9BDVKS3JQ"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IDQM8I99T9BKP4XNASNIKR8"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7TLURRTF1YO0TUV9JOJ0C78" hidden="1">#REF!</definedName>
    <definedName name="BExH3E9HZ3QJCDZW7WI7YACFQCHE" hidden="1">#REF!</definedName>
    <definedName name="BExH3IRB6764RQ5HBYRLH6XCT29X" hidden="1">#REF!</definedName>
    <definedName name="BExIG2U8V6RSB47SXLCQG3Q68YRO" hidden="1">#REF!</definedName>
    <definedName name="BExIG5JDFDNKGLHGNDY7U8KIF9NT"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M2EOJY1E8YQ1ZS3GHTIQQRM" hidden="1">#REF!</definedName>
    <definedName name="BExIJQ3XPPSZ585U2ER0RSSC71PK"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7CGQS2B8BVWBEP2KKWMVHK9" hidden="1">#REF!</definedName>
    <definedName name="BExIKHTXPZR5A8OHB6HDP6QWDHAD" hidden="1">#REF!</definedName>
    <definedName name="BExIKMMJOETSAXJYY1SIKM58LMA2" hidden="1">#REF!</definedName>
    <definedName name="BExIKN2SLYNFHS9SQHJSB0NE57OF"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LTHIEYYOIUWRZ5LLF1T70AJ7"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5ACO87Q5P34GNK1QC1WWACK"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KTZXH2A908F83ANDHGHNJ07"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5TB0T9V3OKFX0GV0526AQ3D"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MV2D77A07E403GAA7CYB8C2" hidden="1">#REF!</definedName>
    <definedName name="BExIQX1XBB31HZTYEEVOBSE3C5A6" hidden="1">#REF!</definedName>
    <definedName name="BExIR2ALYRP9FW99DK2084J7IIDC" hidden="1">#REF!</definedName>
    <definedName name="BExIR8FQETPTQYW37DBVDWG3J4JW" hidden="1">#REF!</definedName>
    <definedName name="BExIRBVWGULCWXZ0NA6HCLFX8VW6"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OL5FNHZHVLEZZZZ47YXZ5QS" hidden="1">#REF!</definedName>
    <definedName name="BExISRFKJYUZ4AKW44IJF7RF9Y90" hidden="1">#REF!</definedName>
    <definedName name="BExIT1MK8TBAK3SNP36A8FKDQSOK" hidden="1">#REF!</definedName>
    <definedName name="BExIT7RP2B89RX2C5P1P5H2DY1CI" hidden="1">#REF!</definedName>
    <definedName name="BExITBNYANV2S8KD56GOGCKW393R" hidden="1">#REF!</definedName>
    <definedName name="BExIU6ZCS275CPHR7BIJ2SCIXCP7" hidden="1">#REF!</definedName>
    <definedName name="BExIUD4OJGH65NFNQ4VMCE3R4J1X"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CMY91WXOF56UOYD0AUHJ3N" hidden="1">#REF!</definedName>
    <definedName name="BExIV3HY4S0YRV1F7XEMF2YHAR2I" hidden="1">#REF!</definedName>
    <definedName name="BExIV6HUZFRIFLXW2SICKGTAH1PV" hidden="1">#REF!</definedName>
    <definedName name="BExIVCXWL6H5LD9DHDIA4F5U9TQL" hidden="1">#REF!</definedName>
    <definedName name="BExIVMOIPSEWSIHIDDLOXESQ28A0" hidden="1">#REF!</definedName>
    <definedName name="BExIVNVNJX9BYDLC88NG09YF5XQ6" hidden="1">#REF!</definedName>
    <definedName name="BExIVOH8Z5N2NCDXBL9INQNLC76M"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69Y0CM4OW8NEPQXX4ORSAT2"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INL6JE573R3GB2W6M9LF" hidden="1">#REF!</definedName>
    <definedName name="BExIZAECOEZGBAO29QMV14E6XDIV" hidden="1">#REF!</definedName>
    <definedName name="BExIZKVXYD5O2JBU81F2UFJZLLSI" hidden="1">#REF!</definedName>
    <definedName name="BExIZPZDHC8HGER83WHCZAHOX7LK" hidden="1">#REF!</definedName>
    <definedName name="BExIZS2X10QUS4CITNIUIELXAFAJ"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SCG7GD0KHI9T46FKP68270U"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YWMP2XKZPZZ3JN74IZA31I4"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TJTGZ5J6MUJ1UXP14KX6XN1" hidden="1">#REF!</definedName>
    <definedName name="BExKGV77YH9YXIQTRKK2331QGYKF" hidden="1">#REF!</definedName>
    <definedName name="BExKGXLJQX4WJ1YCKHSMCPSSKX21" hidden="1">#REF!</definedName>
    <definedName name="BExKH3FTZ5VGTB86W9M4AB39R0G8" hidden="1">#REF!</definedName>
    <definedName name="BExKH3FV5U5O6XZM7STS3NZKQFGJ" hidden="1">#REF!</definedName>
    <definedName name="BExKH8JEZRE8MEZ9VRCNMJT15RST" hidden="1">#REF!</definedName>
    <definedName name="BExKHAMUH8NR3HRV0V6FHJE3ROLN" hidden="1">#REF!</definedName>
    <definedName name="BExKHCFKOWFHO2WW0N7Y5XDXEWAO" hidden="1">#REF!</definedName>
    <definedName name="BExKHDMPODAJPZY7M2BN39326C43" hidden="1">#REF!</definedName>
    <definedName name="BExKHIVLONZ46HLMR50DEXKEUNEP" hidden="1">#REF!</definedName>
    <definedName name="BExKHPM9XA0ADDK7TUR0N38EXWEP" hidden="1">#REF!</definedName>
    <definedName name="BExKHWNRIZ5D7KKG5MQK7WNAIKUJ" hidden="1">#REF!</definedName>
    <definedName name="BExKI4076KXCDE5KXL79KT36OKLO" hidden="1">#REF!</definedName>
    <definedName name="BExKI7LO70WYISR7Q0Y1ZDWO9M3B" hidden="1">#REF!</definedName>
    <definedName name="BExKI8STNKBGV3XDC4DWP9DUI95F" hidden="1">#REF!</definedName>
    <definedName name="BExKIGQV6TXIZG039HBOJU62WP2U" hidden="1">#REF!</definedName>
    <definedName name="BExKILE008SF3KTAN8WML3XKI1NZ" hidden="1">#REF!</definedName>
    <definedName name="BExKILE0KASW8HUYMPSCDCLPF7G9" hidden="1">#REF!</definedName>
    <definedName name="BExKINSBB6RS7I489QHMCOMU4Z2X" hidden="1">#REF!</definedName>
    <definedName name="BExKIU87ZKSOC2DYZWFK6SAK9I8E" hidden="1">#REF!</definedName>
    <definedName name="BExKJ449HLYX2DJ9UF0H9GTPSQ73" hidden="1">#REF!</definedName>
    <definedName name="BExKJ80JCKTCTLIXPIWZCK93PF9N" hidden="1">#REF!</definedName>
    <definedName name="BExKJC7MJKEAMFD3Y9Q6TXP4MP3L"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6136BZL98KXU16PG6QG8APU"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3AQ1IV1NVX782PTFKU7U16A" hidden="1">#REF!</definedName>
    <definedName name="BExKLD6S9L66QYREYHBE5J44OK7X" hidden="1">#REF!</definedName>
    <definedName name="BExKLEZK32L28GYJWVO63BZ5E1JD" hidden="1">#REF!</definedName>
    <definedName name="BExKLLKVVHT06LA55JB2FC871DC5" hidden="1">#REF!</definedName>
    <definedName name="BExKMHSPAJPHUEZXSHTFJNWYFCQR" hidden="1">#REF!</definedName>
    <definedName name="BExKMWBX4EH3EYJ07UFEM08NB40Z" hidden="1">#REF!</definedName>
    <definedName name="BExKMX8A5ZOYAIX1JNJ198214P08" hidden="1">#REF!</definedName>
    <definedName name="BExKNBGV2IR3S7M0BX4810KZB4V3" hidden="1">#REF!</definedName>
    <definedName name="BExKNCTBZTSY3MO42VU5PLV6YUHZ" hidden="1">#REF!</definedName>
    <definedName name="BExKNGV2YY749C42AQ2T9QNIE5C3" hidden="1">#REF!</definedName>
    <definedName name="BExKNTG8WOYHOW9I6K6WBGXTRX0X"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BJJN98NVSALRMK9B8P0823D" hidden="1">#REF!</definedName>
    <definedName name="BExKPEZP0QTKOTLIMMIFSVTHQEEK" hidden="1">#REF!</definedName>
    <definedName name="BExKPLQJX0HJ8OTXBXH9IC9J2V0W" hidden="1">#REF!</definedName>
    <definedName name="BExKPN8C7GN36ZJZHLOB74LU6KT0" hidden="1">#REF!</definedName>
    <definedName name="BExKPOA7KQEO5H53FUG2NPXVNY9Z" hidden="1">#REF!</definedName>
    <definedName name="BExKPX9VZ1J5021Q98K60HMPJU58" hidden="1">#REF!</definedName>
    <definedName name="BExKQJGAAWNM3NT19E9I0CQDBTU0" hidden="1">#REF!</definedName>
    <definedName name="BExKQM5GJ1ZN5REKFE7YVBQ0KXWF" hidden="1">#REF!</definedName>
    <definedName name="BExKQPLDXXZOE89AAUX3S6BSJMIK" hidden="1">#REF!</definedName>
    <definedName name="BExKQQ71278061G7ZFYGPWOMOMY2" hidden="1">#REF!</definedName>
    <definedName name="BExKQTXRG3ECU8NT47UR7643LO5G" hidden="1">#REF!</definedName>
    <definedName name="BExKQVL7HPOIZ4FHANDFMVOJLEPR" hidden="1">#REF!</definedName>
    <definedName name="BExKR8RZSEHW184G0Z56B4EGNU72" hidden="1">#REF!</definedName>
    <definedName name="BExKRCO7LYZM5H2ESGUGVF5TQICB" hidden="1">#REF!</definedName>
    <definedName name="BExKRKRIT575GO53KC15JKG2VLFG"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ANIAETULCMHDF2ZODPC0VO9" hidden="1">#REF!</definedName>
    <definedName name="BExKTQZGN8GI3XGSEXMPCCA3S19H" hidden="1">#REF!</definedName>
    <definedName name="BExKTUKYYU0F6TUW1RXV24LRAZFE" hidden="1">#REF!</definedName>
    <definedName name="BExKTZIWB189ZS2J613U4KZO1QG6" hidden="1">#REF!</definedName>
    <definedName name="BExKU3FBLHQBIUTN6XEZW5GC9OG1" hidden="1">#REF!</definedName>
    <definedName name="BExKU6PVEJJWP8VRA5YJY2K0HNEG" hidden="1">#REF!</definedName>
    <definedName name="BExKU82I99FEUIZLODXJDOJC96CQ" hidden="1">#REF!</definedName>
    <definedName name="BExKUD0FMBF362EUFCQISBRY7WZ0"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DI6VT9LE5D9GFPZX51AC4I" hidden="1">#REF!</definedName>
    <definedName name="BExKVFZ3ZZGIC1QI8XN6BYFWN0ZY" hidden="1">#REF!</definedName>
    <definedName name="BExKVG4KGO28KPGTAFL1R8TTZ10N" hidden="1">#REF!</definedName>
    <definedName name="BExKVZR7CUPJCB2M8WO0J2ESDEUX" hidden="1">#REF!</definedName>
    <definedName name="BExKW0CSH7DA02YSNV64PSEIXB2P" hidden="1">#REF!</definedName>
    <definedName name="BExKWG8MR20O13C3YSUIHBD2BWQ2"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TBHSHFUHXZPKH8T1T26W5AQ" hidden="1">#REF!</definedName>
    <definedName name="BExMBYPQDG9AYDQ5E8IECVFREPO6" hidden="1">#REF!</definedName>
    <definedName name="BExMC7K41G5WMXC4OKZPL523IN5C"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26Y7CQ98CFILJNB189OL7"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3GYN2LDARCNPWPZAMRBJJI7" hidden="1">#REF!</definedName>
    <definedName name="BExMD5F6IAV108XYJLXUO9HD0IT6" hidden="1">#REF!</definedName>
    <definedName name="BExMDANV66W9T3XAXID40XFJ0J93" hidden="1">#REF!</definedName>
    <definedName name="BExMDB9N9PYO86JHHFQP7ONO2P9B" hidden="1">#REF!</definedName>
    <definedName name="BExMDFWS9BJGE5SKB9YDJZR8AV48" hidden="1">#REF!</definedName>
    <definedName name="BExMDGD1KQP7NNR78X2ZX4FCBQ1S" hidden="1">#REF!</definedName>
    <definedName name="BExMDIRDK0DI8P86HB7WPH8QWLSQ" hidden="1">#REF!</definedName>
    <definedName name="BExMDJT3GXQN5F3BE6X3BGLJRVP6" hidden="1">#REF!</definedName>
    <definedName name="BExMDPI2FVMORSWDDCVAJ85WYAYO" hidden="1">#REF!</definedName>
    <definedName name="BExMDUWB7VWHFFR266QXO46BNV2S" hidden="1">#REF!</definedName>
    <definedName name="BExME2U47N8LZG0BPJ49ANY5QVV2" hidden="1">#REF!</definedName>
    <definedName name="BExME7165EDUSONBWV5AZ51HSY4H"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JFS7Y0MW1N26ORGBGS696R0" hidden="1">#REF!</definedName>
    <definedName name="BExMFLDTMRTCHKA37LQW67BG8D5C" hidden="1">#REF!</definedName>
    <definedName name="BExMH0XGUY9O1W5KGWNFPGQRE7FI" hidden="1">#REF!</definedName>
    <definedName name="BExMH3H9TW5TJCNU5Z1EWXP3BAEP" hidden="1">#REF!</definedName>
    <definedName name="BExMHFBDKU7SL1XYKYR6CGEO8CEL"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ETWI175OVTQ66FIIUOEG2VO"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KF1HGC9W2MK37E42OJJP44E"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QMYHO8P4UBDPYK2S8W4EQCA" hidden="1">#REF!</definedName>
    <definedName name="BExMNQXWSJGR1IZ33DHEA6H4C8X4"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UHYJ7S5Q4B9QB0G3KR526U3"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FLC51WC0ZQ3ISX3C0WWY8ON"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JGBMBQR02EUGWJB4OYWVQPC" hidden="1">#REF!</definedName>
    <definedName name="BExMRRJNUMGRSDD5GGKKGEIZ6FTS" hidden="1">#REF!</definedName>
    <definedName name="BExMRU3ACIU0RD2BNWO55LH5U2BR" hidden="1">#REF!</definedName>
    <definedName name="BExMRYVXZYRCNM005S74K8KVJXSW" hidden="1">#REF!</definedName>
    <definedName name="BExMSQRCC40AP8BDUPL2I2DNC210" hidden="1">#REF!</definedName>
    <definedName name="BExMTLXHZ9H4QYDQ0VMHUXWSVD3Q"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A7G3T6F15S63S1OQ24SFQJH" hidden="1">#REF!</definedName>
    <definedName name="BExO6LLHCYTF7CIVHKAO0NMET14Q" hidden="1">#REF!</definedName>
    <definedName name="BExO764GVLC6R6LREFVX7QYWT3RE" hidden="1">#REF!</definedName>
    <definedName name="BExO7OUQS3XTUQ2LDKGQ8AAQ3OJJ" hidden="1">#REF!</definedName>
    <definedName name="BExO85HMYXZJ7SONWBKKIAXMCI3C" hidden="1">#REF!</definedName>
    <definedName name="BExO863922O4PBGQMUNEQKGN3K96" hidden="1">#REF!</definedName>
    <definedName name="BExO89ZCBQDFNQMXBL81B6NYT5U3" hidden="1">#REF!</definedName>
    <definedName name="BExO89ZIOXN0HOKHY24F7HDZ87UT" hidden="1">#REF!</definedName>
    <definedName name="BExO8A4S3VKZ6N6VX4CXOWCPKHW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I1E64ENA8Z42JI2J81DKZ8T"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3M8QPKLDQSMPYFUCAQJNK70" hidden="1">#REF!</definedName>
    <definedName name="BExOAFR4YY8GPWAZ4GI5AYC2OHJ4" hidden="1">#REF!</definedName>
    <definedName name="BExOAQ3GKCT7YZW1EMVU3EILSZL2" hidden="1">#REF!</definedName>
    <definedName name="BExOB9KT2THGV4SPLDVFTFXS4B14" hidden="1">#REF!</definedName>
    <definedName name="BExOBARY8ORR3FTR16NG5BCOPOIX"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1G3P4Z633NKFJLRITBBHVCY"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ZFEIWV26E8RFU7XQYX1J458" hidden="1">#REF!</definedName>
    <definedName name="BExOEBKG55EROA2VL360A06LKASE" hidden="1">#REF!</definedName>
    <definedName name="BExOERG5LWXYYEN1DY1H2FWRJS9T" hidden="1">#REF!</definedName>
    <definedName name="BExOERR3JZBGPM0JUHNGZKIHF51J" hidden="1">#REF!</definedName>
    <definedName name="BExOEV1S6JJVO5PP4BZ20SNGZR7D" hidden="1">#REF!</definedName>
    <definedName name="BExOF8J5ENHOI8E3NE2IDX8Q1PAA" hidden="1">#REF!</definedName>
    <definedName name="BExOFEDNCYI2TPTMQ8SJN3AW4YMF" hidden="1">#REF!</definedName>
    <definedName name="BExOFVLXVD6RVHSQO8KZOOACSV24" hidden="1">#REF!</definedName>
    <definedName name="BExOFVWR29JOZ66F7LOP8BWQPXPI" hidden="1">#REF!</definedName>
    <definedName name="BExOG2SW3XOGP9VAPQ3THV3VWV12" hidden="1">#REF!</definedName>
    <definedName name="BExOG45J81K4OPA40KW5VQU54KY3" hidden="1">#REF!</definedName>
    <definedName name="BExOGFE2SCL8HHT4DFAXKLUTJZOG" hidden="1">#REF!</definedName>
    <definedName name="BExOGR2VS4QGVJ34NR8UE7CLMPQ0"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HY8LCO3ZHOEH1ZTL0MQTYQOL"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10DPUX7E7X0CT199QVBODEW" hidden="1">#REF!</definedName>
    <definedName name="BExOK4WM9O7QNG6O57FOASI5QSN1" hidden="1">#REF!</definedName>
    <definedName name="BExOK8SVNS9DXWU2QWBNB1YVNR7L"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MUQP54SNJ4377CSQ2W2VRVE"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H34JHZ9VP2WPUBTIVZOCPM6" hidden="1">#REF!</definedName>
    <definedName name="BExONHU65LML12UB9EWV7FQBQBNE"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OUOOR1038J07BOYJJU106NFS" hidden="1">#REF!</definedName>
    <definedName name="BExOOUZHJUFHENA2ET6S02TMZRNP"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OQ31LFF5V955K4N7NSFG61GNX" hidden="1">#REF!</definedName>
    <definedName name="BExQ19DEUOLC11IW32E2AMVZLFF1" hidden="1">#REF!</definedName>
    <definedName name="BExQ1SJXKHE45NHA4Y912ZWK0BVS" hidden="1">#REF!</definedName>
    <definedName name="BExQ1V922YTT0W39UMN4F4HNC5AS" hidden="1">#REF!</definedName>
    <definedName name="BExQ1WG83K960T15H8A2VLMPXVU0"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8JVNZHQEVM20T8PEG1GP01R"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BTBSHPHVEDRCXC2ROW8PLFC" hidden="1">#REF!</definedName>
    <definedName name="BExQ4DGKF54SRKQUTUT4B1CZSS62" hidden="1">#REF!</definedName>
    <definedName name="BExQ4M04XQFHM953TPL217CAK4ZP"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ITIC66SDM614FOSP325TOY5" hidden="1">#REF!</definedName>
    <definedName name="BExQ5KX3Z668H1KUCKZ9J24HUQ1F" hidden="1">#REF!</definedName>
    <definedName name="BExQ5SPLEYLGXSVLD9HO5BKQXKIP" hidden="1">#REF!</definedName>
    <definedName name="BExQ5SPMSOCJYLAY20NB5A6O32RE" hidden="1">#REF!</definedName>
    <definedName name="BExQ5UICMGTMK790KTLK49MAGXRC"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6XRSPHARKJTKTB0NOV3SBZIW" hidden="1">#REF!</definedName>
    <definedName name="BExQ783XTMM2A9I3UKCFWJH1PP2N" hidden="1">#REF!</definedName>
    <definedName name="BExQ79LX01ZPQB8EGD1ZHR2VK2H3" hidden="1">#REF!</definedName>
    <definedName name="BExQ7ANJWDL69ZUG3AW5S2HJL4GL"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9PYX7QKH887T258CNA7DPDG" hidden="1">#REF!</definedName>
    <definedName name="BExQ8A0RPE3IMIFIZLUE7KD2N21W" hidden="1">#REF!</definedName>
    <definedName name="BExQ8ABK6H1ADV2R2OYT8NFFYG2N" hidden="1">#REF!</definedName>
    <definedName name="BExQ8B2GTATY2SYZWYQKTTDGONE4"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C0EAV6PKQT8I8C3GLEZDMZL"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P0EE3PKTDKVOL04IOBUGZ6F" hidden="1">#REF!</definedName>
    <definedName name="BExQD3ZVGTFSCD9MSWY8NN45FLM3" hidden="1">#REF!</definedName>
    <definedName name="BExQD571YWOXKR2SX85K5MKQ0AO2" hidden="1">#REF!</definedName>
    <definedName name="BExQD7AKUWKH58PNJCJZNN1COR9E" hidden="1">#REF!</definedName>
    <definedName name="BExQDB6VCHN8PNX8EA6JNIEQ2JC2" hidden="1">#REF!</definedName>
    <definedName name="BExQDE1B6U2Q9B73KBENABP71YM1" hidden="1">#REF!</definedName>
    <definedName name="BExQDGQCN7ZW41QDUHOBJUGQAX40" hidden="1">#REF!</definedName>
    <definedName name="BExQE32AI2WOKFCB98XJZ6D7SAOF" hidden="1">#REF!</definedName>
    <definedName name="BExQEK54SZATP11ZZ75GH6P9GFQ3" hidden="1">#REF!</definedName>
    <definedName name="BExQEMUA4HEFM4OVO8M8MA8PIAW1" hidden="1">#REF!</definedName>
    <definedName name="BExQEQ4XZQFIKUXNU9H7WE7AMZ1U" hidden="1">#REF!</definedName>
    <definedName name="BExQF1OEB07CRAP6ALNNMJNJ3P2D" hidden="1">#REF!</definedName>
    <definedName name="BExQF54F62R5B3N9BG47XYK8T6XS"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OGG5ULYNV6XAFVJ1T69RAUZ" hidden="1">#REF!</definedName>
    <definedName name="BExQFPNFKA36IAPS22LAUMBDI4KE" hidden="1">#REF!</definedName>
    <definedName name="BExQFPSWEMA8WBUZ4WK20LR13VSU" hidden="1">#REF!</definedName>
    <definedName name="BExQFSYARQ5AIUI2V7O1EDCDM882"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GZ7H6ND6DRMZMKKTMXLFYHJC" hidden="1">#REF!</definedName>
    <definedName name="BExQH0UURAJ13AVO5UI04HSRGVYW" hidden="1">#REF!</definedName>
    <definedName name="BExQH6ZZY0NR8SE48PSI9D0CU1TC" hidden="1">#REF!</definedName>
    <definedName name="BExQH9P2MCXAJOVEO4GFQT6MNW22" hidden="1">#REF!</definedName>
    <definedName name="BExQHC3DXXZX5BWEIV17DNSO0EB6"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M3J1Y2DOI3BDUM8WV3BMSIN"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IBC34O4SDXEWBX0XXJ9F93B" hidden="1">#REF!</definedName>
    <definedName name="BExQJJYSDX8B0J1QGF2HL071KKA3" hidden="1">#REF!</definedName>
    <definedName name="BExQJL0FR3OWBYI6TVYE6R6KPU28"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RZR0LVVK3899VBSAJ65GT2E3B" hidden="1">#REF!</definedName>
    <definedName name="BExS0ASQBKRTPDWFK0KUDFOS9LE5" hidden="1">#REF!</definedName>
    <definedName name="BExS0GHQUF6YT0RU3TKDEO8CSJYB" hidden="1">#REF!</definedName>
    <definedName name="BExS0JSDQ1GV78JIPV6TBXM2DTJL" hidden="1">#REF!</definedName>
    <definedName name="BExS0K8IHC45I78DMZBOJ1P13KQA"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1VL8PBT2LUQ4ZEAPPFJ4XW2N" hidden="1">#REF!</definedName>
    <definedName name="BExS226HTWL5WVC76MP5A1IBI8WD" hidden="1">#REF!</definedName>
    <definedName name="BExS26OI2QNNAH2WMDD95Z400048" hidden="1">#REF!</definedName>
    <definedName name="BExS2BH5B8XAQLRCALR1KDKIS6AP"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DSSYMU66HS480YWZC1VZML6" hidden="1">#REF!</definedName>
    <definedName name="BExS4JN3Y6SVBKILQK0R9HS45Y52" hidden="1">#REF!</definedName>
    <definedName name="BExS4LQMUTP91FH4M5NM9Y7L6XN6"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5TCGLYOBBY10G49VWHGM40DJ"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CSJZR2R51S2LFXJ1OO82L9R"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FR1778VV7DHWQTG4B927FMB"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Q4LPS2XW49NMVPAVI6Y2PQ"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85FV73BJGCHMB5WBRYZT69Z" hidden="1">#REF!</definedName>
    <definedName name="BExSBD8TZE1B5CZK6VNCCA977BCZ"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F07QFLZCO4P6K6QF05XG7PH1"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60TZAT2SKO046IKGMD8SGUE"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PAC5VNZNBFZ6X4J18CUCB" hidden="1">#REF!</definedName>
    <definedName name="BExSGIB6UEU4H2UHIK30B61ELOCC" hidden="1">#REF!</definedName>
    <definedName name="BExSGLB2URTLBCKBB4Y885W925F2" hidden="1">#REF!</definedName>
    <definedName name="BExSGM25R69NWJV48BYBJO2J24VT"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S8U0EZLJRZ2MIUYGE8U301G" hidden="1">#REF!</definedName>
    <definedName name="BExTVZQLP9VFLEYQ9280W13X7E8K" hidden="1">#REF!</definedName>
    <definedName name="BExTW5QDSCAJ7RXS743LW6RL5SJ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11TGMK4J1I8SCX5QV40L2NX" hidden="1">#REF!</definedName>
    <definedName name="BExTX1NDJMYRERGKCYTBGJXXUSGU" hidden="1">#REF!</definedName>
    <definedName name="BExTX476KI0RNB71XI5TYMANSGBG" hidden="1">#REF!</definedName>
    <definedName name="BExTX8UBV7014XRKCDCLI03YH4R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KCEFJ83LZM95M1V7CSFQVEA" hidden="1">#REF!</definedName>
    <definedName name="BExTYNHRQ0T9YWN16KKDWXQ3D73B"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RI5JZ4A251Y611W94RCOSWH"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GTRJDB0T7KEE27AHPJ1VG21" hidden="1">#REF!</definedName>
    <definedName name="BExU0HKTO8WJDQDWRTUK5TETM3HS" hidden="1">#REF!</definedName>
    <definedName name="BExU0MO3IK2BK6Z03N91DRPAM4ZL" hidden="1">#REF!</definedName>
    <definedName name="BExU0MTJQPE041ZN7H8UKGV6MZT7" hidden="1">#REF!</definedName>
    <definedName name="BExU0XWRUGFUSOVL9IX14W0517FO"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CQSGHIYEUTB4X944L0P5KO6"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1FMG5EZ3RLMEW3HTVQ1N7XG" hidden="1">#REF!</definedName>
    <definedName name="BExU3B66MCKJFSKT3HL8B5EJGVX0" hidden="1">#REF!</definedName>
    <definedName name="BExU3RYEDSJFAKYWNZXCULXMIK83" hidden="1">#REF!</definedName>
    <definedName name="BExU3UNI9NR1RNZR07NSLSZMDOQQ" hidden="1">#REF!</definedName>
    <definedName name="BExU401R18N6XKZKL7CNFOZQCM14" hidden="1">#REF!</definedName>
    <definedName name="BExU42QVGY7TK39W1BIN6CDRG2OE"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529I6YHVOG83TJHWSILIQU1S" hidden="1">#REF!</definedName>
    <definedName name="BExU57YCIKPRD8QWL6EU0YR3NG3J" hidden="1">#REF!</definedName>
    <definedName name="BExU59WK17RXBRY6DNZSMRYEZFUD"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ES0XCYMF26C2IBWVI4GIYRC"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D618VJT7Y268F09VY8TCB6I" hidden="1">#REF!</definedName>
    <definedName name="BExUAFV4JMBSM2SKBQL9NHL0NIBS" hidden="1">#REF!</definedName>
    <definedName name="BExUAMWQODKBXMRH1QCMJLJBF8M7" hidden="1">#REF!</definedName>
    <definedName name="BExUAX8WS5OPVLCDXRGKTU2QMTFO" hidden="1">#REF!</definedName>
    <definedName name="BExUB08T2BYPVAJVBMXLIDWLL1OE" hidden="1">#REF!</definedName>
    <definedName name="BExUB33EK29TFQ0BN3SU5AAHUXYI"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BWBBDMQYIMES51STJPTYF2KB" hidden="1">#REF!</definedName>
    <definedName name="BExUC623BDYEODBN0N4DO6PJQ7NU" hidden="1">#REF!</definedName>
    <definedName name="BExUC8G72O2YXWX0KZM5IEBC5NYF"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J7DYJ87DXRZ8X55DX7WPECP"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SFF20PCW4U8ETRBU8GKPJ09" hidden="1">#REF!</definedName>
    <definedName name="BExVSK5E1T5C3Z7L1TS7KHBIC1EB"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V4WOJHBCFS30YPAH56TF8XV7" hidden="1">#REF!</definedName>
    <definedName name="BExVV5T14N2HZIK7HQ4P2KG09U0J" hidden="1">#REF!</definedName>
    <definedName name="BExVV7R410VYLADLX9LNG63ID6H1" hidden="1">#REF!</definedName>
    <definedName name="BExVVCEED4JEKF59OV0G3T4XFMFO" hidden="1">#REF!</definedName>
    <definedName name="BExVVJAKR0OH8T15R52V6Z4K8OAI"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H5O60DAWDALWYLP29FXHNYB" hidden="1">#REF!</definedName>
    <definedName name="BExVWINKCH0V0NUWH363SMXAZE62" hidden="1">#REF!</definedName>
    <definedName name="BExVWSZWDVO3AP2D6EDY5H1QYOXC" hidden="1">#REF!</definedName>
    <definedName name="BExVWYU8EK669NP172GEIGCTVPPA" hidden="1">#REF!</definedName>
    <definedName name="BExVX2VZNPKLDHY7OGN2A2H5HC14"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8GALJI83YRQSC210IEPVCS"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VZYQCU2I82W5UAYV4GQJ2JL8U" hidden="1">#REF!</definedName>
    <definedName name="BExW02MMAYD9RIPXIGRXIWU01SWU" hidden="1">#REF!</definedName>
    <definedName name="BExW0386REQRCQCVT9BCX80UPTRY" hidden="1">#REF!</definedName>
    <definedName name="BExW0CIOA9SK0V6OKKWTZOS8F5C5"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RX03DZ35EAWTOIKB7PS5VV7"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NJ8EILHC8GHK3EOST8J05U0" hidden="1">#REF!</definedName>
    <definedName name="BExW2SMO90FU9W8DVVES6Q4E6BZR" hidden="1">#REF!</definedName>
    <definedName name="BExW2ZITSE40OUTU5LH01FV5JEA3" hidden="1">#REF!</definedName>
    <definedName name="BExW36V9N91OHCUMGWJQL3I5P4JK" hidden="1">#REF!</definedName>
    <definedName name="BExW3E7HW3NMLQEPIHSOP33UGJEC"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4ZLNV6FJGQP2WOU4NKG3GNYO" hidden="1">#REF!</definedName>
    <definedName name="BExW5AZNT6IAZGNF2C879ODHY1B8" hidden="1">#REF!</definedName>
    <definedName name="BExW5FMU99PBR9I4QY9LWERMXPCD" hidden="1">#REF!</definedName>
    <definedName name="BExW5WPU27WD4NWZOT0ZEJIDLX5J" hidden="1">#REF!</definedName>
    <definedName name="BExW660AV1TUV2XNUPD65RZR3QOO" hidden="1">#REF!</definedName>
    <definedName name="BExW66LVVZK656PQY1257QMHP2AY" hidden="1">#REF!</definedName>
    <definedName name="BExW6AY8KWN3C31NX1MZHXBFTSK7" hidden="1">#REF!</definedName>
    <definedName name="BExW6EJPHAP1TWT380AZLXNHR22P" hidden="1">#REF!</definedName>
    <definedName name="BExW6G1PJ38H10DVLL8WPQ736OEB" hidden="1">#REF!</definedName>
    <definedName name="BExW75OA5AS517IHUYDHRJXDDOWS" hidden="1">#REF!</definedName>
    <definedName name="BExW794A74Z5F2K8LVQLD6VSKXUE" hidden="1">#REF!</definedName>
    <definedName name="BExW7H7MHCUHD1MA5VUKYPO21U2I" hidden="1">#REF!</definedName>
    <definedName name="BExW7O3S5FIOKIM535S9J7PKA52A" hidden="1">#REF!</definedName>
    <definedName name="BExW7RUK8CJ81J4KZCOOP63WMXTX" hidden="1">#REF!</definedName>
    <definedName name="BExW886OBR91JIW5EKLII4CQO6E4" hidden="1">#REF!</definedName>
    <definedName name="BExW8AFIEPGHQDY6PZGJPQ7YFTB1"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JYBFUWD4HN6WTKX2CX41JCA"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6QAP8UJQVN4R4BQKPP4QK35" hidden="1">#REF!</definedName>
    <definedName name="BExXNBOA39T2X6Y5Y5GZ5DDNA1AX" hidden="1">#REF!</definedName>
    <definedName name="BExXND6872VJ3M2PGT056WQMWBHD" hidden="1">#REF!</definedName>
    <definedName name="BExXNF4F0489IITD5JLD8XFY5JNZ" hidden="1">#REF!</definedName>
    <definedName name="BExXNPM24UN2PGVL9D1TUBFRIKR4" hidden="1">#REF!</definedName>
    <definedName name="BExXNWYB165VO9MHARCL5WLCHWS0" hidden="1">#REF!</definedName>
    <definedName name="BExXO278QHQN8JDK5425EJ615ECC" hidden="1">#REF!</definedName>
    <definedName name="BExXO8N5ROLIUVFKV9AVT4EASFRY" hidden="1">#REF!</definedName>
    <definedName name="BExXOBHOP0WGFHI2Y9AO4L440UVQ" hidden="1">#REF!</definedName>
    <definedName name="BExXOHSAD2NSHOLLMZ2JWA4I3I1R" hidden="1">#REF!</definedName>
    <definedName name="BExXOKH8LRQ9BNMQSYR3RTWXFPLJ" hidden="1">#REF!</definedName>
    <definedName name="BExXP80B5FGA00JCM7UXKPI3PB7Y" hidden="1">#REF!</definedName>
    <definedName name="BExXP85M4WXYVN1UVHUTOEKEG5XS" hidden="1">#REF!</definedName>
    <definedName name="BExXPELOTHOAG0OWILLAH94OZV5J" hidden="1">#REF!</definedName>
    <definedName name="BExXPLXY0H93MFKJ5WQCZHXQYOUA"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0550UX7PZCHV6RMVWU8PH7"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KJ6CS4AJYAEHD0WH96AEBA"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S63O4OMWMNXXAODZQFSDG33N" hidden="1">#REF!</definedName>
    <definedName name="BExXS702KUBW3EFNSAYMW64C95M3"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A9CMTC19FSCX4UIQBV2C7R9" hidden="1">#REF!</definedName>
    <definedName name="BExXTHLRNL82GN7KZY3TOLO508N7" hidden="1">#REF!</definedName>
    <definedName name="BExXTIY89DH3YOJMAQ0Q8WTGODVQ"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4ZC2TLLQLLN5Z55LSE6D0AG" hidden="1">#REF!</definedName>
    <definedName name="BExXU6XDTT7RM93KILIDEYPA9XKF" hidden="1">#REF!</definedName>
    <definedName name="BExXU8VLZA7WLPZ3RAQZGNERUD26" hidden="1">#REF!</definedName>
    <definedName name="BExXUB9RSLSCNN5ETLXY72DAPZZM" hidden="1">#REF!</definedName>
    <definedName name="BExXUEV8QPATH32AX9XYWBHUVOO8" hidden="1">#REF!</definedName>
    <definedName name="BExXUFRM82XQIN2T8KGLDQL1IBQW" hidden="1">#REF!</definedName>
    <definedName name="BExXUFX23FE72H6IM4JSHIQV4VNK" hidden="1">#REF!</definedName>
    <definedName name="BExXUM27VX063JGHF9FYOOLNOP4V" hidden="1">#REF!</definedName>
    <definedName name="BExXUQEQBF6FI240ZGIF9YXZSRAU" hidden="1">#REF!</definedName>
    <definedName name="BExXUYND6EJO7CJ5KRICV4O1JNWK" hidden="1">#REF!</definedName>
    <definedName name="BExXV3LG12X440HUOAJXFCK9NX6J" hidden="1">#REF!</definedName>
    <definedName name="BExXV6FWG4H3S2QEUJZYIXILNGJ7" hidden="1">#REF!</definedName>
    <definedName name="BExXVK87BMMO6LHKV0CFDNIQVIBS" hidden="1">#REF!</definedName>
    <definedName name="BExXVKZ9WXPGL6IVY6T61IDD771I" hidden="1">#REF!</definedName>
    <definedName name="BExXVLVNRJK2QSK3UMZRFRADS2G4"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LJG5TBEL46BL8CA7MCLGTUZ"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CBSIHFUY3BDHNBY5TMPFMGL" hidden="1">#REF!</definedName>
    <definedName name="BExXYLBHANUXC5FCTDDTGOVD3GQS" hidden="1">#REF!</definedName>
    <definedName name="BExXYMNYAYH3WA2ZCFAYKZID9ZCI" hidden="1">#REF!</definedName>
    <definedName name="BExXYYT12SVN2VDMLVNV4P3ISD8T" hidden="1">#REF!</definedName>
    <definedName name="BExXZ3LNUGA4E1LWS1MPLGG3LXKD" hidden="1">#REF!</definedName>
    <definedName name="BExXZFVV4YB42AZ3H1I40YG3JAPU" hidden="1">#REF!</definedName>
    <definedName name="BExXZHJ9T2JELF12CHHGD54J1B0C" hidden="1">#REF!</definedName>
    <definedName name="BExXZMBX5F1N53KQHPU92S4B5ZZ4" hidden="1">#REF!</definedName>
    <definedName name="BExXZNJ2X1TK2LRK5ZY3MX49H5T7" hidden="1">#REF!</definedName>
    <definedName name="BExXZOVPCEP495TQSON6PSRQ8XCY" hidden="1">#REF!</definedName>
    <definedName name="BExXZS0XCQNYYY1DP75R3PCXFSRH" hidden="1">#REF!</definedName>
    <definedName name="BExXZXKH7NBARQQAZM69Z57IH1MM" hidden="1">#REF!</definedName>
    <definedName name="BExY06EUGA7EW4VVDQKIUQW4P39O" hidden="1">#REF!</definedName>
    <definedName name="BExY07WSDH5QEVM7BJXJK2ZRAI1O" hidden="1">#REF!</definedName>
    <definedName name="BExY0BI99V6MXLHXBCSPUL0OPF3M"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4VNPA7ZZUMJNNU0ZHE1KOH" hidden="1">#REF!</definedName>
    <definedName name="BExY0XTZLHN49J2JH94BYTKBJLT3" hidden="1">#REF!</definedName>
    <definedName name="BExY11FH9TXHERUYGG8FE50U7H7J" hidden="1">#REF!</definedName>
    <definedName name="BExY16IWJ7CI1QGWVNBVHPYS9JPN" hidden="1">#REF!</definedName>
    <definedName name="BExY180UKNW5NIAWD6ZUYTFEH8QS" hidden="1">#REF!</definedName>
    <definedName name="BExY1DPTV4LSY9MEOUGXF8X052NA" hidden="1">#REF!</definedName>
    <definedName name="BExY1GK9ELBEKDD7O6HR6DUO8YGO" hidden="1">#REF!</definedName>
    <definedName name="BExY1HBBZWCVKT5KEBLCKMKR9LKK"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5O3XSWT6MQU6R33GI3YUAUM" hidden="1">#REF!</definedName>
    <definedName name="BExY4ET3RLNWSSJL6DIXQZOTATID"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V3UFTA5NUDN1GI8BVHFL1ZK"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CYXTDLM412P6E5FAC4YB5M"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JWDUEYTV7TBR6HSM97T24VTT"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MCNFLS6EUF357U7TXQ4U84V"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8TVZX68PZ4ENQ8QOILK16OS" hidden="1">#REF!</definedName>
    <definedName name="BExZOAH4GDULQO35ZGF099VIFGNC"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IU08CG16AZ72BD0PB5ISUQE" hidden="1">#REF!</definedName>
    <definedName name="BExZPQ0XY507N8FJMVPKCTK8HC9H" hidden="1">#REF!</definedName>
    <definedName name="BExZQ37OVBR25U32CO2YYVPZOMR5" hidden="1">#REF!</definedName>
    <definedName name="BExZQ3NT7H06VO0AR48WHZULZB93" hidden="1">#REF!</definedName>
    <definedName name="BExZQ7PJU07SEJMDX18U9YVDC2GU" hidden="1">#REF!</definedName>
    <definedName name="BExZQBLMR2P2GZNI8IW6QBSS5ZV9" hidden="1">#REF!</definedName>
    <definedName name="BExZQIHTGHK7OOI2Y2PN3JYBY82I" hidden="1">#REF!</definedName>
    <definedName name="BExZQJJMGU5MHQOILGXGJPAQI5XI" hidden="1">#REF!</definedName>
    <definedName name="BExZQP3CUHU0IRXBVRJLP1KYRDVE" hidden="1">#REF!</definedName>
    <definedName name="BExZQRHGZ7WP7RQ2CX0H6W1CIP9U" hidden="1">#REF!</definedName>
    <definedName name="BExZQWFMANQLA8Z37ZECN1VLXVSB"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RZUBL5A1WH7YZJXBZG8HPWC7" hidden="1">#REF!</definedName>
    <definedName name="BExZSI9USDLZAN8LI8M4YYQL24GZ" hidden="1">#REF!</definedName>
    <definedName name="BExZSS0LA2JY4ZLJ1Z5YCMLJJZCH" hidden="1">#REF!</definedName>
    <definedName name="BExZT394ULBLT8EUHBM7KV741HQI"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HWEEZO4WXP5DG5P4U6A70KN"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BQ3B8IIQW88DDLAW5BA4PL4" hidden="1">#REF!</definedName>
    <definedName name="BExZVLM4T9ORS4ZWHME46U4Q103C" hidden="1">#REF!</definedName>
    <definedName name="BExZVM7OZWPPRH5YQW50EYMMIW1A" hidden="1">#REF!</definedName>
    <definedName name="BExZVP7KJEUGEZ1AZ15Z29XW6KAH"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B8KPDQGF787P51Y0GON31FF" hidden="1">#REF!</definedName>
    <definedName name="BExZWKDP0QSA9SPSF40ZMQ81QV13"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HY0PBOVDNV2NSZ1Y4G6WMNK" hidden="1">#REF!</definedName>
    <definedName name="BExZXOJDELULNLEH7WG0OYJT0NJ4" hidden="1">#REF!</definedName>
    <definedName name="BExZXOOTRNUK8LGEAZ8ZCFW9KXQ1" hidden="1">#REF!</definedName>
    <definedName name="BExZXQSD2T3TQZ268XCC2NG9O3JQ"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8VO1HB3783L61XHP87HBCBE"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udget" hidden="1">{#N/A,#N/A,FALSE,"P&amp;L";#N/A,#N/A,FALSE,"R-P&amp;L";#N/A,#N/A,FALSE,"N-P&amp;L";#N/A,#N/A,FALSE,"E-P&amp;L"}</definedName>
    <definedName name="cats"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IQWBGuid" hidden="1">"Base Case - PTRM capex inputs FY20-24 v1.xlsx"</definedName>
    <definedName name="Constants.MonthsPerYear">#REF!</definedName>
    <definedName name="copy" hidden="1">{#N/A,#N/A,FALSE,"P&amp;L";#N/A,#N/A,FALSE,"R-P&amp;L";#N/A,#N/A,FALSE,"N-P&amp;L";#N/A,#N/A,FALSE,"E-P&amp;L"}</definedName>
    <definedName name="Copyright" hidden="1">"© 2011 John Laing plc"</definedName>
    <definedName name="CRAP" hidden="1">{#N/A,#N/A,FALSE,"Bgt";#N/A,#N/A,FALSE,"Act";#N/A,#N/A,FALSE,"Chrt Data";#N/A,#N/A,FALSE,"Bus Result";#N/A,#N/A,FALSE,"Main Charts";#N/A,#N/A,FALSE,"P&amp;L Ttl";#N/A,#N/A,FALSE,"P&amp;L C_Ttl";#N/A,#N/A,FALSE,"P&amp;L C_Oct";#N/A,#N/A,FALSE,"P&amp;L C_Sep";#N/A,#N/A,FALSE,"1996";#N/A,#N/A,FALSE,"Data"}</definedName>
    <definedName name="CRAPPER" hidden="1">{#N/A,#N/A,FALSE,"Bgt";#N/A,#N/A,FALSE,"Act";#N/A,#N/A,FALSE,"Chrt Data";#N/A,#N/A,FALSE,"Bus Result";#N/A,#N/A,FALSE,"Main Charts";#N/A,#N/A,FALSE,"P&amp;L Ttl";#N/A,#N/A,FALSE,"P&amp;L C_Ttl";#N/A,#N/A,FALSE,"P&amp;L C_Oct";#N/A,#N/A,FALSE,"P&amp;L C_Sep";#N/A,#N/A,FALSE,"1996";#N/A,#N/A,FALSE,"Data"}</definedName>
    <definedName name="CRAPPEST"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 hidden="1">{#N/A,#N/A,FALSE,"Bgt";#N/A,#N/A,FALSE,"Act";#N/A,#N/A,FALSE,"Chrt Data";#N/A,#N/A,FALSE,"Bus Result";#N/A,#N/A,FALSE,"Main Charts";#N/A,#N/A,FALSE,"P&amp;L Ttl";#N/A,#N/A,FALSE,"P&amp;L C_Ttl";#N/A,#N/A,FALSE,"P&amp;L C_Oct";#N/A,#N/A,FALSE,"P&amp;L C_Sep";#N/A,#N/A,FALSE,"1996";#N/A,#N/A,FALSE,"Data"}</definedName>
    <definedName name="DataClassification.Nominal.Inflation">#REF!</definedName>
    <definedName name="DataClassification.Nominal.RegulatoryEscalation">#REF!</definedName>
    <definedName name="DataClassification.Real">#REF!</definedName>
    <definedName name="DataClassification.Real_19">#REF!</definedName>
    <definedName name="Dauys"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istCESSOverride.Name">#REF!</definedName>
    <definedName name="DistDMIA.Name">#REF!</definedName>
    <definedName name="DistMARSmoothedOverride.Name">#REF!</definedName>
    <definedName name="DistributionMARoverride.Name">#REF!</definedName>
    <definedName name="DistributionMARRecoveryAdj.Name">#REF!</definedName>
    <definedName name="DistributionSTPISAdj.Name">#REF!</definedName>
    <definedName name="DistributionXFactor.Name">#REF!</definedName>
    <definedName name="ED" hidden="1">{#N/A,#N/A,FALSE,"P&amp;L Ttl";#N/A,#N/A,FALSE,"P&amp;L C_Ttl New";#N/A,#N/A,FALSE,"Bus Res";#N/A,#N/A,FALSE,"Chrts";#N/A,#N/A,FALSE,"pcf";#N/A,#N/A,FALSE,"pcr ";#N/A,#N/A,FALSE,"Exp Stmt ";#N/A,#N/A,FALSE,"Cap";#N/A,#N/A,FALSE,"IT Ytd"}</definedName>
    <definedName name="EE" hidden="1">{#N/A,#N/A,FALSE,"P&amp;L Ttl";#N/A,#N/A,FALSE,"P&amp;L C_Ttl New";#N/A,#N/A,FALSE,"Bus Res";#N/A,#N/A,FALSE,"Chrts";#N/A,#N/A,FALSE,"pcf";#N/A,#N/A,FALSE,"pcr ";#N/A,#N/A,FALSE,"Exp Stmt ";#N/A,#N/A,FALSE,"Cap";#N/A,#N/A,FALSE,"IT Ytd"}</definedName>
    <definedName name="energy"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fe" hidden="1">{#N/A,#N/A,FALSE,"Bgt";#N/A,#N/A,FALSE,"Act";#N/A,#N/A,FALSE,"Chrt Data";#N/A,#N/A,FALSE,"Bus Result";#N/A,#N/A,FALSE,"Main Charts";#N/A,#N/A,FALSE,"P&amp;L Ttl";#N/A,#N/A,FALSE,"P&amp;L C_Ttl";#N/A,#N/A,FALSE,"P&amp;L C_Oct";#N/A,#N/A,FALSE,"P&amp;L C_Sep";#N/A,#N/A,FALSE,"1996";#N/A,#N/A,FALSE,"Data"}</definedName>
    <definedName name="ergfe" hidden="1">{#N/A,#N/A,FALSE,"P&amp;L Ttl";#N/A,#N/A,FALSE,"P&amp;L C_Ttl New";#N/A,#N/A,FALSE,"Bus Res";#N/A,#N/A,FALSE,"Chrts";#N/A,#N/A,FALSE,"pcf";#N/A,#N/A,FALSE,"pcr ";#N/A,#N/A,FALSE,"Exp Stmt ";#N/A,#N/A,FALSE,"Cap";#N/A,#N/A,FALSE,"IT Ytd"}</definedName>
    <definedName name="ertyier76" hidden="1">{#N/A,#N/A,FALSE,"Bgt";#N/A,#N/A,FALSE,"Act";#N/A,#N/A,FALSE,"Chrt Data";#N/A,#N/A,FALSE,"Bus Result";#N/A,#N/A,FALSE,"Main Charts";#N/A,#N/A,FALSE,"P&amp;L Ttl";#N/A,#N/A,FALSE,"P&amp;L C_Ttl";#N/A,#N/A,FALSE,"P&amp;L C_Oct";#N/A,#N/A,FALSE,"P&amp;L C_Sep";#N/A,#N/A,FALSE,"1996";#N/A,#N/A,FALSE,"Data"}</definedName>
    <definedName name="EV__EVCOM_OPTIONS__" hidden="1">8</definedName>
    <definedName name="EV__EXPOPTIONS__" hidden="1">0</definedName>
    <definedName name="EV__LASTREFTIME__" hidden="1">"(GMT+10:00)4/05/2012 11:40:52 AM"</definedName>
    <definedName name="EV__MAXEXPCOLS__" hidden="1">200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V__WSINFO__" hidden="1">"volts"</definedName>
    <definedName name="EWE" hidden="1">{#N/A,#N/A,FALSE,"Bgt";#N/A,#N/A,FALSE,"Act";#N/A,#N/A,FALSE,"Chrt Data";#N/A,#N/A,FALSE,"Bus Result";#N/A,#N/A,FALSE,"Main Charts";#N/A,#N/A,FALSE,"P&amp;L Ttl";#N/A,#N/A,FALSE,"P&amp;L C_Ttl";#N/A,#N/A,FALSE,"P&amp;L C_Oct";#N/A,#N/A,FALSE,"P&amp;L C_Sep";#N/A,#N/A,FALSE,"1996";#N/A,#N/A,FALSE,"Data"}</definedName>
    <definedName name="excel"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fduj" hidden="1">{#N/A,#N/A,FALSE,"Bgt";#N/A,#N/A,FALSE,"Act";#N/A,#N/A,FALSE,"Chrt Data";#N/A,#N/A,FALSE,"Bus Result";#N/A,#N/A,FALSE,"Main Charts";#N/A,#N/A,FALSE,"P&amp;L Ttl";#N/A,#N/A,FALSE,"P&amp;L C_Ttl";#N/A,#N/A,FALSE,"P&amp;L C_Oct";#N/A,#N/A,FALSE,"P&amp;L C_Sep";#N/A,#N/A,FALSE,"1996";#N/A,#N/A,FALSE,"Data"}</definedName>
    <definedName name="FF" hidden="1">{#N/A,#N/A,FALSE,"pcf";#N/A,#N/A,FALSE,"pcr"}</definedName>
    <definedName name="Findit" hidden="1">{#N/A,#N/A,FALSE,"Aging Summary";#N/A,#N/A,FALSE,"Ratio Analysis";#N/A,#N/A,FALSE,"Test 120 Day Accts";#N/A,#N/A,FALSE,"Tickmarks"}</definedName>
    <definedName name="foo" hidden="1">{#N/A,#N/A,FALSE,"Bgt";#N/A,#N/A,FALSE,"Act";#N/A,#N/A,FALSE,"Chrt Data";#N/A,#N/A,FALSE,"Bus Result";#N/A,#N/A,FALSE,"Main Charts";#N/A,#N/A,FALSE,"P&amp;L Ttl";#N/A,#N/A,FALSE,"P&amp;L C_Ttl";#N/A,#N/A,FALSE,"P&amp;L C_Oct";#N/A,#N/A,FALSE,"P&amp;L C_Sep";#N/A,#N/A,FALSE,"1996";#N/A,#N/A,FALSE,"Data"}</definedName>
    <definedName name="gbes" hidden="1">{#N/A,#N/A,FALSE,"Bgt";#N/A,#N/A,FALSE,"Act";#N/A,#N/A,FALSE,"Chrt Data";#N/A,#N/A,FALSE,"Bus Result";#N/A,#N/A,FALSE,"Main Charts";#N/A,#N/A,FALSE,"P&amp;L Ttl";#N/A,#N/A,FALSE,"P&amp;L C_Ttl";#N/A,#N/A,FALSE,"P&amp;L C_Oct";#N/A,#N/A,FALSE,"P&amp;L C_Sep";#N/A,#N/A,FALSE,"1996";#N/A,#N/A,FALSE,"Data"}</definedName>
    <definedName name="gbv" hidden="1">{#N/A,#N/A,FALSE,"Bgt";#N/A,#N/A,FALSE,"Act";#N/A,#N/A,FALSE,"Chrt Data";#N/A,#N/A,FALSE,"Bus Result";#N/A,#N/A,FALSE,"Main Charts";#N/A,#N/A,FALSE,"P&amp;L Ttl";#N/A,#N/A,FALSE,"P&amp;L C_Ttl";#N/A,#N/A,FALSE,"P&amp;L C_Oct";#N/A,#N/A,FALSE,"P&amp;L C_Sep";#N/A,#N/A,FALSE,"1996";#N/A,#N/A,FALSE,"Data"}</definedName>
    <definedName name="GFGFH" hidden="1">{#N/A,#N/A,FALSE,"pcf";#N/A,#N/A,FALSE,"pcr"}</definedName>
    <definedName name="gfh" hidden="1">#REF!</definedName>
    <definedName name="Graph" hidden="1">#REF!</definedName>
    <definedName name="grrrr" hidden="1">{#N/A,#N/A,FALSE,"Bgt";#N/A,#N/A,FALSE,"Act";#N/A,#N/A,FALSE,"Chrt Data";#N/A,#N/A,FALSE,"Bus Result";#N/A,#N/A,FALSE,"Main Charts";#N/A,#N/A,FALSE,"P&amp;L Ttl";#N/A,#N/A,FALSE,"P&amp;L C_Ttl";#N/A,#N/A,FALSE,"P&amp;L C_Oct";#N/A,#N/A,FALSE,"P&amp;L C_Sep";#N/A,#N/A,FALSE,"1996";#N/A,#N/A,FALSE,"Data"}</definedName>
    <definedName name="hj" hidden="1">{#N/A,#N/A,FALSE,"pcf";#N/A,#N/A,FALSE,"pcr"}</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"test"</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41835.6019791667</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38960.6132523148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QRC12" hidden="1">"$C$13"</definedName>
    <definedName name="IQRG12" hidden="1">"$H$12:$L$12"</definedName>
    <definedName name="IQRH12" hidden="1">"$I$12:$M$12"</definedName>
    <definedName name="IQRH13" hidden="1">"$I$13:$M$13"</definedName>
    <definedName name="IQRH14" hidden="1">"$I$14"</definedName>
    <definedName name="IQRH15" hidden="1">"$I$15:$M$15"</definedName>
    <definedName name="IQRH16" hidden="1">"$I$16:$M$16"</definedName>
    <definedName name="IQRH17" hidden="1">"$I$17:$M$17"</definedName>
    <definedName name="IQRH18" hidden="1">"$I$18:$M$18"</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"$I$28"</definedName>
    <definedName name="IQRM12" hidden="1">"$N$12:$R$12"</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j" hidden="1">{#N/A,#N/A,FALSE,"Bgt";#N/A,#N/A,FALSE,"Act";#N/A,#N/A,FALSE,"Chrt Data";#N/A,#N/A,FALSE,"Bus Result";#N/A,#N/A,FALSE,"Main Charts";#N/A,#N/A,FALSE,"P&amp;L Ttl";#N/A,#N/A,FALSE,"P&amp;L C_Ttl";#N/A,#N/A,FALSE,"P&amp;L C_Oct";#N/A,#N/A,FALSE,"P&amp;L C_Sep";#N/A,#N/A,FALSE,"1996";#N/A,#N/A,FALSE,"Data"}</definedName>
    <definedName name="jesse"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HJHJ" hidden="1">{#N/A,#N/A,FALSE,"Bgt";#N/A,#N/A,FALSE,"Act";#N/A,#N/A,FALSE,"Chrt Data";#N/A,#N/A,FALSE,"Bus Result";#N/A,#N/A,FALSE,"Main Charts";#N/A,#N/A,FALSE,"P&amp;L Ttl";#N/A,#N/A,FALSE,"P&amp;L C_Ttl";#N/A,#N/A,FALSE,"P&amp;L C_Oct";#N/A,#N/A,FALSE,"P&amp;L C_Sep";#N/A,#N/A,FALSE,"1996";#N/A,#N/A,FALSE,"Data"}</definedName>
    <definedName name="JHJJ" hidden="1">{#N/A,#N/A,FALSE,"Bgt";#N/A,#N/A,FALSE,"Act";#N/A,#N/A,FALSE,"Chrt Data";#N/A,#N/A,FALSE,"Bus Result";#N/A,#N/A,FALSE,"Main Charts";#N/A,#N/A,FALSE,"P&amp;L Ttl";#N/A,#N/A,FALSE,"P&amp;L C_Ttl";#N/A,#N/A,FALSE,"P&amp;L C_Oct";#N/A,#N/A,FALSE,"P&amp;L C_Sep";#N/A,#N/A,FALSE,"1996";#N/A,#N/A,FALSE,"Data"}</definedName>
    <definedName name="kmhjyuk" hidden="1">{#N/A,#N/A,FALSE,"pcf";#N/A,#N/A,FALSE,"pcr"}</definedName>
    <definedName name="kmim" hidden="1">{#N/A,#N/A,FALSE,"Bgt";#N/A,#N/A,FALSE,"Act";#N/A,#N/A,FALSE,"Chrt Data";#N/A,#N/A,FALSE,"Bus Result";#N/A,#N/A,FALSE,"Main Charts";#N/A,#N/A,FALSE,"P&amp;L Ttl";#N/A,#N/A,FALSE,"P&amp;L C_Ttl";#N/A,#N/A,FALSE,"P&amp;L C_Oct";#N/A,#N/A,FALSE,"P&amp;L C_Sep";#N/A,#N/A,FALSE,"1996";#N/A,#N/A,FALSE,"Data"}</definedName>
    <definedName name="kti" hidden="1">{#N/A,#N/A,FALSE,"P&amp;L Ttl";#N/A,#N/A,FALSE,"P&amp;L C_Ttl New";#N/A,#N/A,FALSE,"Bus Res";#N/A,#N/A,FALSE,"Chrts";#N/A,#N/A,FALSE,"pcf";#N/A,#N/A,FALSE,"pcr ";#N/A,#N/A,FALSE,"Exp Stmt ";#N/A,#N/A,FALSE,"Cap";#N/A,#N/A,FALSE,"IT Ytd"}</definedName>
    <definedName name="limcount" hidden="1">2</definedName>
    <definedName name="MEWarning" hidden="1">1</definedName>
    <definedName name="nhdtyjdf" hidden="1">{#N/A,#N/A,FALSE,"pcf";#N/A,#N/A,FALSE,"pcr"}</definedName>
    <definedName name="Percent2" hidden="1">{#N/A,#N/A,FALSE,"Aging Summary";#N/A,#N/A,FALSE,"Ratio Analysis";#N/A,#N/A,FALSE,"Test 120 Day Accts";#N/A,#N/A,FALSE,"Tickmarks"}</definedName>
    <definedName name="PPP" hidden="1">{#N/A,#N/A,FALSE,"Bgt";#N/A,#N/A,FALSE,"Act";#N/A,#N/A,FALSE,"Chrt Data";#N/A,#N/A,FALSE,"Bus Result";#N/A,#N/A,FALSE,"Main Charts";#N/A,#N/A,FALSE,"P&amp;L Ttl";#N/A,#N/A,FALSE,"P&amp;L C_Ttl";#N/A,#N/A,FALSE,"P&amp;L C_Oct";#N/A,#N/A,FALSE,"P&amp;L C_Sep";#N/A,#N/A,FALSE,"1996";#N/A,#N/A,FALSE,"Data"}</definedName>
    <definedName name="QQ"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gDim04">#REF!</definedName>
    <definedName name="rngColAsset">#REF!</definedName>
    <definedName name="rngEnv">#REF!</definedName>
    <definedName name="rngKey04">#REF!</definedName>
    <definedName name="rngOn04">#REF!</definedName>
    <definedName name="rngOn05">#REF!</definedName>
    <definedName name="rngSel04">#REF!</definedName>
    <definedName name="rngset03">#REF!</definedName>
    <definedName name="rngSet04">#REF!</definedName>
    <definedName name="RRR" hidden="1">{#N/A,#N/A,FALSE,"Bgt";#N/A,#N/A,FALSE,"Act";#N/A,#N/A,FALSE,"Chrt Data";#N/A,#N/A,FALSE,"Bus Result";#N/A,#N/A,FALSE,"Main Charts";#N/A,#N/A,FALSE,"P&amp;L Ttl";#N/A,#N/A,FALSE,"P&amp;L C_Ttl";#N/A,#N/A,FALSE,"P&amp;L C_Oct";#N/A,#N/A,FALSE,"P&amp;L C_Sep";#N/A,#N/A,FALSE,"1996";#N/A,#N/A,FALSE,"Data"}</definedName>
    <definedName name="RRRR" hidden="1">{#N/A,#N/A,FALSE,"pcf";#N/A,#N/A,FALSE,"pcr"}</definedName>
    <definedName name="rtgbr" hidden="1">{#N/A,#N/A,FALSE,"Bgt";#N/A,#N/A,FALSE,"Act";#N/A,#N/A,FALSE,"Chrt Data";#N/A,#N/A,FALSE,"Bus Result";#N/A,#N/A,FALSE,"Main Charts";#N/A,#N/A,FALSE,"P&amp;L Ttl";#N/A,#N/A,FALSE,"P&amp;L C_Ttl";#N/A,#N/A,FALSE,"P&amp;L C_Oct";#N/A,#N/A,FALSE,"P&amp;L C_Sep";#N/A,#N/A,FALSE,"1996";#N/A,#N/A,FALSE,"Data"}</definedName>
    <definedName name="SAPBEXdnldView" hidden="1">"4D0Q4ZKDTZLR4R5LFJNICI02C"</definedName>
    <definedName name="SAPBEXhrIndnt" hidden="1">1</definedName>
    <definedName name="SAPBEXrevision" hidden="1">60</definedName>
    <definedName name="SAPBEXsysID" hidden="1">"BWP"</definedName>
    <definedName name="SAPBEXwbID" hidden="1">"49EOOLXVLFJA03SFXQP8TRQL1"</definedName>
    <definedName name="SAPsysID" hidden="1">"708C5W7SBKP804JT78WJ0JNKI"</definedName>
    <definedName name="SAPwbID" hidden="1">"ARS"</definedName>
    <definedName name="sdfasdf" hidden="1">{#N/A,#N/A,FALSE,"pcf";#N/A,#N/A,FALSE,"pcr"}</definedName>
    <definedName name="sdgfd" hidden="1">{#N/A,#N/A,FALSE,"P&amp;L";#N/A,#N/A,FALSE,"R-P&amp;L";#N/A,#N/A,FALSE,"N-P&amp;L";#N/A,#N/A,FALSE,"E-P&amp;L"}</definedName>
    <definedName name="sDimPick" hidden="1">#REF!</definedName>
    <definedName name="sencount" hidden="1">2</definedName>
    <definedName name="sertyuw"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gdg" hidden="1">{#N/A,#N/A,FALSE,"Bgt";#N/A,#N/A,FALSE,"Act";#N/A,#N/A,FALSE,"Chrt Data";#N/A,#N/A,FALSE,"Bus Result";#N/A,#N/A,FALSE,"Main Charts";#N/A,#N/A,FALSE,"P&amp;L Ttl";#N/A,#N/A,FALSE,"P&amp;L C_Ttl";#N/A,#N/A,FALSE,"P&amp;L C_Oct";#N/A,#N/A,FALSE,"P&amp;L C_Sep";#N/A,#N/A,FALSE,"1996";#N/A,#N/A,FALSE,"Data"}</definedName>
    <definedName name="sgfstryn" hidden="1">{#N/A,#N/A,FALSE,"Bgt";#N/A,#N/A,FALSE,"Act";#N/A,#N/A,FALSE,"Chrt Data";#N/A,#N/A,FALSE,"Bus Result";#N/A,#N/A,FALSE,"Main Charts";#N/A,#N/A,FALSE,"P&amp;L Ttl";#N/A,#N/A,FALSE,"P&amp;L C_Ttl";#N/A,#N/A,FALSE,"P&amp;L C_Oct";#N/A,#N/A,FALSE,"P&amp;L C_Sep";#N/A,#N/A,FALSE,"1996";#N/A,#N/A,FALSE,"Data"}</definedName>
    <definedName name="sggs" hidden="1">{#N/A,#N/A,FALSE,"Bgt";#N/A,#N/A,FALSE,"Act";#N/A,#N/A,FALSE,"Chrt Data";#N/A,#N/A,FALSE,"Bus Result";#N/A,#N/A,FALSE,"Main Charts";#N/A,#N/A,FALSE,"P&amp;L Ttl";#N/A,#N/A,FALSE,"P&amp;L C_Ttl";#N/A,#N/A,FALSE,"P&amp;L C_Oct";#N/A,#N/A,FALSE,"P&amp;L C_Sep";#N/A,#N/A,FALSE,"1996";#N/A,#N/A,FALSE,"Data"}</definedName>
    <definedName name="sgh" hidden="1">{#N/A,#N/A,FALSE,"Bgt";#N/A,#N/A,FALSE,"Act";#N/A,#N/A,FALSE,"Chrt Data";#N/A,#N/A,FALSE,"Bus Result";#N/A,#N/A,FALSE,"Main Charts";#N/A,#N/A,FALSE,"P&amp;L Ttl";#N/A,#N/A,FALSE,"P&amp;L C_Ttl";#N/A,#N/A,FALSE,"P&amp;L C_Oct";#N/A,#N/A,FALSE,"P&amp;L C_Sep";#N/A,#N/A,FALSE,"1996";#N/A,#N/A,FALSE,"Data"}</definedName>
    <definedName name="shs" hidden="1">{#N/A,#N/A,FALSE,"Bgt";#N/A,#N/A,FALSE,"Act";#N/A,#N/A,FALSE,"Chrt Data";#N/A,#N/A,FALSE,"Bus Result";#N/A,#N/A,FALSE,"Main Charts";#N/A,#N/A,FALSE,"P&amp;L Ttl";#N/A,#N/A,FALSE,"P&amp;L C_Ttl";#N/A,#N/A,FALSE,"P&amp;L C_Oct";#N/A,#N/A,FALSE,"P&amp;L C_Sep";#N/A,#N/A,FALSE,"1996";#N/A,#N/A,FALSE,"Data"}</definedName>
    <definedName name="shsh" hidden="1">{#N/A,#N/A,FALSE,"Bgt";#N/A,#N/A,FALSE,"Act";#N/A,#N/A,FALSE,"Chrt Data";#N/A,#N/A,FALSE,"Bus Result";#N/A,#N/A,FALSE,"Main Charts";#N/A,#N/A,FALSE,"P&amp;L Ttl";#N/A,#N/A,FALSE,"P&amp;L C_Ttl";#N/A,#N/A,FALSE,"P&amp;L C_Oct";#N/A,#N/A,FALSE,"P&amp;L C_Sep";#N/A,#N/A,FALSE,"1996";#N/A,#N/A,FALSE,"Data"}</definedName>
    <definedName name="stoopid" hidden="1">{#N/A,#N/A,FALSE,"Bgt";#N/A,#N/A,FALSE,"Act";#N/A,#N/A,FALSE,"Chrt Data";#N/A,#N/A,FALSE,"Bus Result";#N/A,#N/A,FALSE,"Main Charts";#N/A,#N/A,FALSE,"P&amp;L Ttl";#N/A,#N/A,FALSE,"P&amp;L C_Ttl";#N/A,#N/A,FALSE,"P&amp;L C_Oct";#N/A,#N/A,FALSE,"P&amp;L C_Sep";#N/A,#N/A,FALSE,"1996";#N/A,#N/A,FALSE,"Data"}</definedName>
    <definedName name="sTopElement" hidden="1">#REF!</definedName>
    <definedName name="stuff" hidden="1">{#N/A,#N/A,FALSE,"Board Rpt 1";#N/A,#N/A,FALSE,"Board Rpt 2";#N/A,#N/A,FALSE,"Board Rpt 3";#N/A,#N/A,FALSE,"Board Rpt 4";#N/A,#N/A,FALSE,"Board Rpt 5";#N/A,#N/A,FALSE,"Board Rpt 6";#N/A,#N/A,FALSE,"Board Rpt 7";#N/A,#N/A,FALSE,"Board Rpt 8";#N/A,#N/A,FALSE,"Board Rpt 9"}</definedName>
    <definedName name="stuff2" hidden="1">{#N/A,#N/A,FALSE,"P&amp;L";#N/A,#N/A,FALSE,"R-P&amp;L";#N/A,#N/A,FALSE,"N-P&amp;L";#N/A,#N/A,FALSE,"E-P&amp;L"}</definedName>
    <definedName name="TEST2" hidden="1">#REF!</definedName>
    <definedName name="tiimt" hidden="1">{#N/A,#N/A,FALSE,"pcf";#N/A,#N/A,FALSE,"pcr"}</definedName>
    <definedName name="tikt"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umut" hidden="1">{#N/A,#N/A,FALSE,"SUM QTR 3";#N/A,#N/A,FALSE,"Detail QTR 3 (w_o ly)"}</definedName>
    <definedName name="TransCESSOverride.Name">#REF!</definedName>
    <definedName name="TransMARSmoothedOverride.Name">#REF!</definedName>
    <definedName name="TransmissionCPIPricing.Name">#REF!</definedName>
    <definedName name="TransmissionMARRecoveryAdj.Name">#REF!</definedName>
    <definedName name="TransmissionXFactor.Name">#REF!</definedName>
    <definedName name="treeList" hidden="1">"10000000000000000000000000000000000000000000000000000000000000000000000000000000000000000000000000000000000000000000000000000000000000000000000000000000000000000000000000000000000000000000000000000000"</definedName>
    <definedName name="ujm" hidden="1">{#N/A,#N/A,FALSE,"Bgt";#N/A,#N/A,FALSE,"Act";#N/A,#N/A,FALSE,"Chrt Data";#N/A,#N/A,FALSE,"Bus Result";#N/A,#N/A,FALSE,"Main Charts";#N/A,#N/A,FALSE,"P&amp;L Ttl";#N/A,#N/A,FALSE,"P&amp;L C_Ttl";#N/A,#N/A,FALSE,"P&amp;L C_Oct";#N/A,#N/A,FALSE,"P&amp;L C_Sep";#N/A,#N/A,FALSE,"1996";#N/A,#N/A,FALSE,"Data"}</definedName>
    <definedName name="ukfykf" hidden="1">{#N/A,#N/A,FALSE,"P&amp;L Ttl";#N/A,#N/A,FALSE,"P&amp;L C_Ttl New";#N/A,#N/A,FALSE,"Bus Res";#N/A,#N/A,FALSE,"Chrts";#N/A,#N/A,FALSE,"pcf";#N/A,#N/A,FALSE,"pcr ";#N/A,#N/A,FALSE,"Exp Stmt ";#N/A,#N/A,FALSE,"Cap";#N/A,#N/A,FALSE,"IT Ytd"}</definedName>
    <definedName name="Units.AUDThousands">#REF!</definedName>
    <definedName name="Units.PercentPerAnnum">#REF!</definedName>
    <definedName name="v" hidden="1">{#N/A,#N/A,FALSE,"Aging Summary";#N/A,#N/A,FALSE,"Ratio Analysis";#N/A,#N/A,FALSE,"Test 120 Day Accts";#N/A,#N/A,FALSE,"Tickmarks"}</definedName>
    <definedName name="w" hidden="1">{#N/A,#N/A,FALSE,"pcf";#N/A,#N/A,FALSE,"pcr"}</definedName>
    <definedName name="w4yy"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ACCCases.Name">#REF!</definedName>
    <definedName name="wrn.Aging._.and._.Trend._.Analysis." hidden="1">{#N/A,#N/A,FALSE,"Aging Summary";#N/A,#N/A,FALSE,"Ratio Analysis";#N/A,#N/A,FALSE,"Test 120 Day Accts";#N/A,#N/A,FALSE,"Tickmarks"}</definedName>
    <definedName name="wrn.AJDSuite." hidden="1">{"AJD",#N/A,TRUE,"Summary";"AJD",#N/A,TRUE,"CFCONC-outputs";"AJD",#N/A,TRUE,"P&amp;LCONC-outputs";"AJD",#N/A,TRUE,"BSCONC-outputs";"AJD",#N/A,TRUE,"FSCONC-outputs"}</definedName>
    <definedName name="wrn.All_Contracts." hidden="1">{"All Contracts",#N/A,FALSE,"Contracts"}</definedName>
    <definedName name="wrn.All_ContractsHu" hidden="1">{"All Contracts",#N/A,FALSE,"Contracts"}</definedName>
    <definedName name="wrn.ANNUAL._.REPORT."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Board._.Rpt." hidden="1">{#N/A,#N/A,FALSE,"Board Rpt 1";#N/A,#N/A,FALSE,"Board Rpt 2";#N/A,#N/A,FALSE,"Board Rpt 3";#N/A,#N/A,FALSE,"Board Rpt 4";#N/A,#N/A,FALSE,"Board Rpt 5";#N/A,#N/A,FALSE,"Board Rpt 6";#N/A,#N/A,FALSE,"Board Rpt 7";#N/A,#N/A,FALSE,"Board Rpt 8";#N/A,#N/A,FALSE,"Board Rpt 9"}</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hidden="1">{#N/A,#N/A,FALSE,"P&amp;L Ttl";#N/A,#N/A,FALSE,"P&amp;L C_Ttl New";#N/A,#N/A,FALSE,"Bus Res";#N/A,#N/A,FALSE,"Chrts";#N/A,#N/A,FALSE,"pcf";#N/A,#N/A,FALSE,"pcr ";#N/A,#N/A,FALSE,"Exp Stmt ";#N/A,#N/A,FALSE,"Cap";#N/A,#N/A,FALSE,"IT Ytd"}</definedName>
    <definedName name="wrn.Construction._.Costs." hidden="1">{"Const Costs Dev",#N/A,FALSE,"Construction Cost Inputs";"Const Costs orig ccy",#N/A,FALSE,"Construction Cost Inputs";"Const Costs USD",#N/A,FALSE,"Construction Cost Inputs"}</definedName>
    <definedName name="wrn.Financing._.Inputs." hidden="1">{"BuildIn 2 Funding Assump",#N/A,FALSE,"Building Inputs";"BuildIn Capex plus Extras",#N/A,FALSE,"Building Inputs"}</definedName>
    <definedName name="wrn.Generic_Moomba_Outlook." hidden="1">{"Generic_Moomba_North_1999_Dev_Well",#N/A,FALSE,"Moomba Generic";"Peter_Bainbrigge_Moomba_Outlook",#N/A,FALSE,"Moomba Generic";"Moomba_Typical_Well",#N/A,FALSE,"Moomba Generic"}</definedName>
    <definedName name="wrn.Inputs._.outputs." hidden="1">{"key inputs",#N/A,FALSE,"Key Inputs";"key outputs",#N/A,FALSE,"Outputs";"Other inputs",#N/A,FALSE,"Other Inputs";"cashflow",#N/A,FALSE,"Statemnts"}</definedName>
    <definedName name="wrn.OpCostIn." hidden="1">{"OpCostIn Technical",#N/A,FALSE,"Operations Cost Inputs";"OpCostIn V plus F",#N/A,FALSE,"Operations Cost Inputs";"OpCostIn Maint",#N/A,FALSE,"Operations Cost Inputs";"OpCostIn LDs Add Cost",#N/A,FALSE,"Operations Cost Inputs"}</definedName>
    <definedName name="wrn.pages." hidden="1">{#N/A,#N/A,FALSE,"Bgt";#N/A,#N/A,FALSE,"Act";#N/A,#N/A,FALSE,"Chrt Data";#N/A,#N/A,FALSE,"Bus Result";#N/A,#N/A,FALSE,"Main Charts";#N/A,#N/A,FALSE,"P&amp;L Ttl";#N/A,#N/A,FALSE,"P&amp;L C_Ttl";#N/A,#N/A,FALSE,"P&amp;L C_Oct";#N/A,#N/A,FALSE,"P&amp;L C_Sep";#N/A,#N/A,FALSE,"1996";#N/A,#N/A,FALSE,"Data"}</definedName>
    <definedName name="wrn.Print._.Profit._.and._.Loss._.Reports." hidden="1">{#N/A,#N/A,FALSE,"P&amp;L";#N/A,#N/A,FALSE,"R-P&amp;L";#N/A,#N/A,FALSE,"N-P&amp;L";#N/A,#N/A,FALSE,"E-P&amp;L"}</definedName>
    <definedName name="wrn.Print._.Reduced._.Scenario._.2." hidden="1">{"Reduced Scenario 2",#N/A,FALSE,"Deliv B Up 1999 2004 SC 2"}</definedName>
    <definedName name="wrn.Print_full_report."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wrn.Print_Scenario_1_Full_Size." hidden="1">{"Scenario 1 Full Size",#N/A,FALSE,"Deliv B Up 1999 2004 SC 1"}</definedName>
    <definedName name="wrn.Print_Scenario_2_Full_Size." hidden="1">{"Scenario 2 Full Size",#N/A,FALSE,"Deliv B Up 1999 2004 SC 2"}</definedName>
    <definedName name="wrn.Reduced._.Scenario._.1." hidden="1">{"Reduced Scenario 1",#N/A,FALSE,"Deliv B Up 1999 2004 SC 1"}</definedName>
    <definedName name="wrn.Reduced_Sc_2." hidden="1">{"Reduced Sc 2",#N/A,FALSE,"Deliv B Up 1999 2004 SC 2"}</definedName>
    <definedName name="wrn.S_R._.tables." hidden="1">{#N/A,#N/A,FALSE,"pcf";#N/A,#N/A,FALSE,"pcr"}</definedName>
    <definedName name="wrn.S_RQTR3." hidden="1">{#N/A,#N/A,FALSE,"SUM QTR 3";#N/A,#N/A,FALSE,"Detail QTR 3 (w_o ly)"}</definedName>
    <definedName name="wrn.Summary._.results." hidden="1">{"key inputs",#N/A,TRUE,"Key Inputs";"key outputs",#N/A,TRUE,"Outputs";"Other inputs",#N/A,TRUE,"Other Inputs";"Revenue",#N/A,TRUE,"Rev"}</definedName>
    <definedName name="yht" hidden="1">{#N/A,#N/A,FALSE,"SUM QTR 3";#N/A,#N/A,FALSE,"Detail QTR 3 (w_o ly)"}</definedName>
  </definedNames>
  <calcPr calcId="191028"/>
  <pivotCaches>
    <pivotCache cacheId="1" r:id="rId43"/>
    <pivotCache cacheId="2" r:id="rId4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01" l="1"/>
  <c r="C18" i="101"/>
  <c r="C17" i="101"/>
  <c r="D102" i="88"/>
  <c r="D102" i="87"/>
  <c r="D102" i="84"/>
  <c r="D102" i="60"/>
  <c r="D102" i="58"/>
  <c r="T35" i="56" l="1"/>
  <c r="S35" i="56"/>
  <c r="R35" i="56"/>
  <c r="Q35" i="56"/>
  <c r="P35" i="56"/>
  <c r="O35" i="56"/>
  <c r="N35" i="56"/>
  <c r="M35" i="56"/>
  <c r="L35" i="56"/>
  <c r="K35" i="56"/>
  <c r="J35" i="56"/>
  <c r="I35" i="56"/>
  <c r="H35" i="56"/>
  <c r="G35" i="56"/>
  <c r="F35" i="56"/>
  <c r="T35" i="57"/>
  <c r="S35" i="57"/>
  <c r="R35" i="57"/>
  <c r="Q35" i="57"/>
  <c r="P35" i="57"/>
  <c r="O35" i="57"/>
  <c r="N35" i="57"/>
  <c r="M35" i="57"/>
  <c r="L35" i="57"/>
  <c r="K35" i="57"/>
  <c r="J35" i="57"/>
  <c r="I35" i="57"/>
  <c r="H35" i="57"/>
  <c r="G35" i="57"/>
  <c r="F35" i="57"/>
  <c r="T35" i="59"/>
  <c r="S35" i="59"/>
  <c r="R35" i="59"/>
  <c r="Q35" i="59"/>
  <c r="P35" i="59"/>
  <c r="O35" i="59"/>
  <c r="N35" i="59"/>
  <c r="M35" i="59"/>
  <c r="L35" i="59"/>
  <c r="K35" i="59"/>
  <c r="J35" i="59"/>
  <c r="I35" i="59"/>
  <c r="H35" i="59"/>
  <c r="G35" i="59"/>
  <c r="F35" i="59"/>
  <c r="T35" i="61"/>
  <c r="S35" i="61"/>
  <c r="R35" i="61"/>
  <c r="Q35" i="61"/>
  <c r="P35" i="61"/>
  <c r="O35" i="61"/>
  <c r="N35" i="61"/>
  <c r="M35" i="61"/>
  <c r="L35" i="61"/>
  <c r="K35" i="61"/>
  <c r="J35" i="61"/>
  <c r="I35" i="61"/>
  <c r="H35" i="61"/>
  <c r="G35" i="61"/>
  <c r="F35" i="61"/>
  <c r="T35" i="62"/>
  <c r="S35" i="62"/>
  <c r="R35" i="62"/>
  <c r="Q35" i="62"/>
  <c r="P35" i="62"/>
  <c r="O35" i="62"/>
  <c r="N35" i="62"/>
  <c r="M35" i="62"/>
  <c r="L35" i="62"/>
  <c r="K35" i="62"/>
  <c r="J35" i="62"/>
  <c r="I35" i="62"/>
  <c r="H35" i="62"/>
  <c r="G35" i="62"/>
  <c r="F35" i="62"/>
  <c r="T35" i="63"/>
  <c r="S35" i="63"/>
  <c r="R35" i="63"/>
  <c r="Q35" i="63"/>
  <c r="P35" i="63"/>
  <c r="O35" i="63"/>
  <c r="N35" i="63"/>
  <c r="M35" i="63"/>
  <c r="L35" i="63"/>
  <c r="K35" i="63"/>
  <c r="J35" i="63"/>
  <c r="I35" i="63"/>
  <c r="H35" i="63"/>
  <c r="G35" i="63"/>
  <c r="F35" i="63"/>
  <c r="T35" i="96"/>
  <c r="S35" i="96"/>
  <c r="R35" i="96"/>
  <c r="Q35" i="96"/>
  <c r="P35" i="96"/>
  <c r="O35" i="96"/>
  <c r="N35" i="96"/>
  <c r="M35" i="96"/>
  <c r="L35" i="96"/>
  <c r="K35" i="96"/>
  <c r="J35" i="96"/>
  <c r="I35" i="96"/>
  <c r="H35" i="96"/>
  <c r="G35" i="96"/>
  <c r="F35" i="96"/>
  <c r="T35" i="64"/>
  <c r="S35" i="64"/>
  <c r="R35" i="64"/>
  <c r="Q35" i="64"/>
  <c r="P35" i="64"/>
  <c r="O35" i="64"/>
  <c r="N35" i="64"/>
  <c r="M35" i="64"/>
  <c r="L35" i="64"/>
  <c r="K35" i="64"/>
  <c r="J35" i="64"/>
  <c r="I35" i="64"/>
  <c r="H35" i="64"/>
  <c r="G35" i="64"/>
  <c r="F35" i="64"/>
  <c r="T35" i="65"/>
  <c r="S35" i="65"/>
  <c r="R35" i="65"/>
  <c r="Q35" i="65"/>
  <c r="P35" i="65"/>
  <c r="O35" i="65"/>
  <c r="N35" i="65"/>
  <c r="M35" i="65"/>
  <c r="L35" i="65"/>
  <c r="K35" i="65"/>
  <c r="J35" i="65"/>
  <c r="I35" i="65"/>
  <c r="H35" i="65"/>
  <c r="G35" i="65"/>
  <c r="F35" i="65"/>
  <c r="T35" i="66"/>
  <c r="S35" i="66"/>
  <c r="R35" i="66"/>
  <c r="Q35" i="66"/>
  <c r="P35" i="66"/>
  <c r="O35" i="66"/>
  <c r="N35" i="66"/>
  <c r="M35" i="66"/>
  <c r="L35" i="66"/>
  <c r="K35" i="66"/>
  <c r="J35" i="66"/>
  <c r="I35" i="66"/>
  <c r="H35" i="66"/>
  <c r="G35" i="66"/>
  <c r="F35" i="66"/>
  <c r="T35" i="67"/>
  <c r="S35" i="67"/>
  <c r="R35" i="67"/>
  <c r="Q35" i="67"/>
  <c r="P35" i="67"/>
  <c r="O35" i="67"/>
  <c r="N35" i="67"/>
  <c r="M35" i="67"/>
  <c r="L35" i="67"/>
  <c r="K35" i="67"/>
  <c r="J35" i="67"/>
  <c r="I35" i="67"/>
  <c r="H35" i="67"/>
  <c r="G35" i="67"/>
  <c r="F35" i="67"/>
  <c r="T35" i="68"/>
  <c r="S35" i="68"/>
  <c r="R35" i="68"/>
  <c r="Q35" i="68"/>
  <c r="P35" i="68"/>
  <c r="O35" i="68"/>
  <c r="N35" i="68"/>
  <c r="M35" i="68"/>
  <c r="L35" i="68"/>
  <c r="K35" i="68"/>
  <c r="J35" i="68"/>
  <c r="I35" i="68"/>
  <c r="H35" i="68"/>
  <c r="G35" i="68"/>
  <c r="F35" i="68"/>
  <c r="T35" i="97"/>
  <c r="S35" i="97"/>
  <c r="R35" i="97"/>
  <c r="Q35" i="97"/>
  <c r="P35" i="97"/>
  <c r="O35" i="97"/>
  <c r="N35" i="97"/>
  <c r="M35" i="97"/>
  <c r="L35" i="97"/>
  <c r="K35" i="97"/>
  <c r="J35" i="97"/>
  <c r="I35" i="97"/>
  <c r="H35" i="97"/>
  <c r="G35" i="97"/>
  <c r="F35" i="97"/>
  <c r="T35" i="69"/>
  <c r="S35" i="69"/>
  <c r="R35" i="69"/>
  <c r="Q35" i="69"/>
  <c r="P35" i="69"/>
  <c r="O35" i="69"/>
  <c r="N35" i="69"/>
  <c r="M35" i="69"/>
  <c r="L35" i="69"/>
  <c r="K35" i="69"/>
  <c r="J35" i="69"/>
  <c r="I35" i="69"/>
  <c r="H35" i="69"/>
  <c r="G35" i="69"/>
  <c r="F35" i="69"/>
  <c r="T35" i="70"/>
  <c r="S35" i="70"/>
  <c r="R35" i="70"/>
  <c r="Q35" i="70"/>
  <c r="P35" i="70"/>
  <c r="O35" i="70"/>
  <c r="N35" i="70"/>
  <c r="M35" i="70"/>
  <c r="L35" i="70"/>
  <c r="K35" i="70"/>
  <c r="J35" i="70"/>
  <c r="I35" i="70"/>
  <c r="H35" i="70"/>
  <c r="G35" i="70"/>
  <c r="F35" i="70"/>
  <c r="T35" i="71"/>
  <c r="S35" i="71"/>
  <c r="R35" i="71"/>
  <c r="Q35" i="71"/>
  <c r="P35" i="71"/>
  <c r="O35" i="71"/>
  <c r="N35" i="71"/>
  <c r="M35" i="71"/>
  <c r="L35" i="71"/>
  <c r="K35" i="71"/>
  <c r="J35" i="71"/>
  <c r="I35" i="71"/>
  <c r="H35" i="71"/>
  <c r="G35" i="71"/>
  <c r="F35" i="71"/>
  <c r="T35" i="72"/>
  <c r="S35" i="72"/>
  <c r="R35" i="72"/>
  <c r="Q35" i="72"/>
  <c r="P35" i="72"/>
  <c r="O35" i="72"/>
  <c r="N35" i="72"/>
  <c r="M35" i="72"/>
  <c r="L35" i="72"/>
  <c r="K35" i="72"/>
  <c r="J35" i="72"/>
  <c r="I35" i="72"/>
  <c r="H35" i="72"/>
  <c r="G35" i="72"/>
  <c r="F35" i="72"/>
  <c r="T35" i="73"/>
  <c r="S35" i="73"/>
  <c r="R35" i="73"/>
  <c r="Q35" i="73"/>
  <c r="P35" i="73"/>
  <c r="O35" i="73"/>
  <c r="N35" i="73"/>
  <c r="M35" i="73"/>
  <c r="L35" i="73"/>
  <c r="K35" i="73"/>
  <c r="J35" i="73"/>
  <c r="I35" i="73"/>
  <c r="H35" i="73"/>
  <c r="G35" i="73"/>
  <c r="F35" i="73"/>
  <c r="T35" i="79"/>
  <c r="S35" i="79"/>
  <c r="R35" i="79"/>
  <c r="Q35" i="79"/>
  <c r="P35" i="79"/>
  <c r="O35" i="79"/>
  <c r="N35" i="79"/>
  <c r="M35" i="79"/>
  <c r="L35" i="79"/>
  <c r="K35" i="79"/>
  <c r="J35" i="79"/>
  <c r="I35" i="79"/>
  <c r="H35" i="79"/>
  <c r="G35" i="79"/>
  <c r="F35" i="79"/>
  <c r="T35" i="98"/>
  <c r="S35" i="98"/>
  <c r="R35" i="98"/>
  <c r="Q35" i="98"/>
  <c r="P35" i="98"/>
  <c r="O35" i="98"/>
  <c r="N35" i="98"/>
  <c r="M35" i="98"/>
  <c r="L35" i="98"/>
  <c r="K35" i="98"/>
  <c r="J35" i="98"/>
  <c r="I35" i="98"/>
  <c r="H35" i="98"/>
  <c r="G35" i="98"/>
  <c r="F35" i="98"/>
  <c r="T35" i="81"/>
  <c r="S35" i="81"/>
  <c r="R35" i="81"/>
  <c r="Q35" i="81"/>
  <c r="P35" i="81"/>
  <c r="O35" i="81"/>
  <c r="N35" i="81"/>
  <c r="M35" i="81"/>
  <c r="L35" i="81"/>
  <c r="K35" i="81"/>
  <c r="J35" i="81"/>
  <c r="I35" i="81"/>
  <c r="H35" i="81"/>
  <c r="G35" i="81"/>
  <c r="F35" i="81"/>
  <c r="T35" i="77"/>
  <c r="S35" i="77"/>
  <c r="R35" i="77"/>
  <c r="Q35" i="77"/>
  <c r="P35" i="77"/>
  <c r="O35" i="77"/>
  <c r="N35" i="77"/>
  <c r="M35" i="77"/>
  <c r="L35" i="77"/>
  <c r="K35" i="77"/>
  <c r="J35" i="77"/>
  <c r="I35" i="77"/>
  <c r="H35" i="77"/>
  <c r="G35" i="77"/>
  <c r="F35" i="77"/>
  <c r="T35" i="99"/>
  <c r="S35" i="99"/>
  <c r="R35" i="99"/>
  <c r="Q35" i="99"/>
  <c r="P35" i="99"/>
  <c r="O35" i="99"/>
  <c r="N35" i="99"/>
  <c r="M35" i="99"/>
  <c r="L35" i="99"/>
  <c r="K35" i="99"/>
  <c r="J35" i="99"/>
  <c r="I35" i="99"/>
  <c r="H35" i="99"/>
  <c r="G35" i="99"/>
  <c r="F35" i="99"/>
  <c r="T35" i="75"/>
  <c r="S35" i="75"/>
  <c r="R35" i="75"/>
  <c r="Q35" i="75"/>
  <c r="P35" i="75"/>
  <c r="O35" i="75"/>
  <c r="N35" i="75"/>
  <c r="M35" i="75"/>
  <c r="L35" i="75"/>
  <c r="K35" i="75"/>
  <c r="J35" i="75"/>
  <c r="I35" i="75"/>
  <c r="H35" i="75"/>
  <c r="G35" i="75"/>
  <c r="F35" i="75"/>
  <c r="T35" i="76"/>
  <c r="S35" i="76"/>
  <c r="R35" i="76"/>
  <c r="Q35" i="76"/>
  <c r="P35" i="76"/>
  <c r="O35" i="76"/>
  <c r="N35" i="76"/>
  <c r="M35" i="76"/>
  <c r="L35" i="76"/>
  <c r="K35" i="76"/>
  <c r="J35" i="76"/>
  <c r="I35" i="76"/>
  <c r="H35" i="76"/>
  <c r="G35" i="76"/>
  <c r="F35" i="76"/>
  <c r="T35" i="83"/>
  <c r="S35" i="83"/>
  <c r="R35" i="83"/>
  <c r="Q35" i="83"/>
  <c r="P35" i="83"/>
  <c r="O35" i="83"/>
  <c r="N35" i="83"/>
  <c r="M35" i="83"/>
  <c r="L35" i="83"/>
  <c r="K35" i="83"/>
  <c r="J35" i="83"/>
  <c r="I35" i="83"/>
  <c r="H35" i="83"/>
  <c r="G35" i="83"/>
  <c r="F35" i="83"/>
  <c r="T35" i="55"/>
  <c r="S35" i="55"/>
  <c r="R35" i="55"/>
  <c r="Q35" i="55"/>
  <c r="P35" i="55"/>
  <c r="O35" i="55"/>
  <c r="N35" i="55"/>
  <c r="M35" i="55"/>
  <c r="L35" i="55"/>
  <c r="K35" i="55"/>
  <c r="J35" i="55"/>
  <c r="I35" i="55"/>
  <c r="H35" i="55"/>
  <c r="G35" i="55"/>
  <c r="F35" i="55"/>
  <c r="O91" i="90" a="1"/>
  <c r="B91" i="90" a="1"/>
  <c r="R101" i="90" a="1"/>
  <c r="F110" i="90" a="1"/>
  <c r="D97" i="90" a="1"/>
  <c r="T100" i="90" a="1"/>
  <c r="E110" i="90" a="1"/>
  <c r="K101" i="90" a="1"/>
  <c r="E104" i="90" a="1"/>
  <c r="L108" i="90" a="1"/>
  <c r="C91" i="90" a="1"/>
  <c r="K90" i="90" a="1"/>
  <c r="E94" i="90" a="1"/>
  <c r="N110" i="90" a="1"/>
  <c r="J91" i="90" a="1"/>
  <c r="D93" i="90" a="1"/>
  <c r="F106" i="90" a="1"/>
  <c r="T104" i="90" a="1"/>
  <c r="M88" i="90" a="1"/>
  <c r="I88" i="90" a="1"/>
  <c r="O94" i="90" a="1"/>
  <c r="Q101" i="90" a="1"/>
  <c r="H97" i="90" a="1"/>
  <c r="N108" i="90" a="1"/>
  <c r="N90" i="90" a="1"/>
  <c r="S90" i="90" a="1"/>
  <c r="C101" i="90" a="1"/>
  <c r="B102" i="90" a="1"/>
  <c r="B106" i="90" a="1"/>
  <c r="M108" i="90" a="1"/>
  <c r="E88" i="90" a="1"/>
  <c r="E91" i="90" a="1"/>
  <c r="N91" i="90" a="1"/>
  <c r="H104" i="90" a="1"/>
  <c r="G102" i="90" a="1"/>
  <c r="S94" i="90" a="1"/>
  <c r="C92" i="90" a="1"/>
  <c r="P100" i="90" a="1"/>
  <c r="H108" i="90" a="1"/>
  <c r="D104" i="90" a="1"/>
  <c r="P88" i="90" a="1"/>
  <c r="S101" i="90" a="1"/>
  <c r="K106" i="90" a="1"/>
  <c r="L93" i="90" a="1"/>
  <c r="I92" i="90" a="1"/>
  <c r="R104" i="90" a="1"/>
  <c r="O110" i="90" a="1"/>
  <c r="R94" i="90" a="1"/>
  <c r="E97" i="90" a="1"/>
  <c r="S97" i="90" a="1"/>
  <c r="R102" i="90" a="1"/>
  <c r="O102" i="90" a="1"/>
  <c r="F104" i="90" a="1"/>
  <c r="C104" i="90" a="1"/>
  <c r="K88" i="90" a="1"/>
  <c r="L88" i="90" a="1"/>
  <c r="M90" i="90" a="1"/>
  <c r="Q91" i="90" a="1"/>
  <c r="P90" i="90" a="1"/>
  <c r="I90" i="90" a="1"/>
  <c r="C88" i="90" a="1"/>
  <c r="D92" i="90" a="1"/>
  <c r="T106" i="90" a="1"/>
  <c r="H102" i="90" a="1"/>
  <c r="B108" i="90" a="1"/>
  <c r="M101" i="90" a="1"/>
  <c r="H88" i="90" a="1"/>
  <c r="M92" i="90" a="1"/>
  <c r="T88" i="90" a="1"/>
  <c r="D91" i="90" a="1"/>
  <c r="J88" i="90" a="1"/>
  <c r="M93" i="90" a="1"/>
  <c r="B104" i="90" a="1"/>
  <c r="R97" i="90" a="1"/>
  <c r="O104" i="90" a="1"/>
  <c r="D102" i="90" a="1"/>
  <c r="P102" i="90" a="1"/>
  <c r="G101" i="90" a="1"/>
  <c r="C106" i="90" a="1"/>
  <c r="L101" i="90" a="1"/>
  <c r="C108" i="90" a="1"/>
  <c r="P104" i="90" a="1"/>
  <c r="C94" i="90" a="1"/>
  <c r="M91" i="90" a="1"/>
  <c r="J108" i="90" a="1"/>
  <c r="K110" i="90" a="1"/>
  <c r="H110" i="90" a="1"/>
  <c r="S100" i="90" a="1"/>
  <c r="N102" i="90" a="1"/>
  <c r="S91" i="90" a="1"/>
  <c r="T94" i="90" a="1"/>
  <c r="L102" i="90" a="1"/>
  <c r="S106" i="90" a="1"/>
  <c r="I91" i="90" a="1"/>
  <c r="E92" i="90" a="1"/>
  <c r="L94" i="90" a="1"/>
  <c r="L92" i="90" a="1"/>
  <c r="I102" i="90" a="1"/>
  <c r="R91" i="90" a="1"/>
  <c r="K91" i="90" a="1"/>
  <c r="N101" i="90" a="1"/>
  <c r="C93" i="90" a="1"/>
  <c r="N94" i="90" a="1"/>
  <c r="P106" i="90" a="1"/>
  <c r="B90" i="90" a="1"/>
  <c r="M104" i="90" a="1"/>
  <c r="S110" i="90" a="1"/>
  <c r="B88" i="90" a="1"/>
  <c r="I108" i="90" a="1"/>
  <c r="Q90" i="90" a="1"/>
  <c r="G104" i="90" a="1"/>
  <c r="M110" i="90" a="1"/>
  <c r="D101" i="90" a="1"/>
  <c r="G90" i="90" a="1"/>
  <c r="T110" i="90" a="1"/>
  <c r="P101" i="90" a="1"/>
  <c r="D88" i="90" a="1"/>
  <c r="F88" i="90" a="1"/>
  <c r="D108" i="90" a="1"/>
  <c r="H91" i="90" a="1"/>
  <c r="T90" i="90" a="1"/>
  <c r="R100" i="90" a="1"/>
  <c r="S102" i="90" a="1"/>
  <c r="S104" i="90" a="1"/>
  <c r="K108" i="90" a="1"/>
  <c r="K104" i="90" a="1"/>
  <c r="O90" i="90" a="1"/>
  <c r="L110" i="90" a="1"/>
  <c r="J102" i="90" a="1"/>
  <c r="O101" i="90" a="1"/>
  <c r="Q106" i="90" a="1"/>
  <c r="J106" i="90" a="1"/>
  <c r="C97" i="90" a="1"/>
  <c r="G88" i="90" a="1"/>
  <c r="O106" i="90" a="1"/>
  <c r="K97" i="90" a="1"/>
  <c r="H92" i="90" a="1"/>
  <c r="B97" i="90" a="1"/>
  <c r="L97" i="90" a="1"/>
  <c r="F101" i="90" a="1"/>
  <c r="D110" i="90" a="1"/>
  <c r="B92" i="90" a="1"/>
  <c r="M94" i="90" a="1"/>
  <c r="O97" i="90" a="1"/>
  <c r="Q102" i="90" a="1"/>
  <c r="E93" i="90" a="1"/>
  <c r="P97" i="90" a="1"/>
  <c r="E106" i="90" a="1"/>
  <c r="M106" i="90" a="1"/>
  <c r="J101" i="90" a="1"/>
  <c r="E90" i="90" a="1"/>
  <c r="O100" i="90" a="1"/>
  <c r="J97" i="90" a="1"/>
  <c r="I101" i="90" a="1"/>
  <c r="T101" i="90" a="1"/>
  <c r="L91" i="90" a="1"/>
  <c r="E101" i="90" a="1"/>
  <c r="R106" i="90" a="1"/>
  <c r="E108" i="90" a="1"/>
  <c r="F97" i="90" a="1"/>
  <c r="D106" i="90" a="1"/>
  <c r="Q88" i="90" a="1"/>
  <c r="I97" i="90" a="1"/>
  <c r="N88" i="90" a="1"/>
  <c r="I110" i="90" a="1"/>
  <c r="B94" i="90" a="1"/>
  <c r="O108" i="90" a="1"/>
  <c r="G108" i="90" a="1"/>
  <c r="D94" i="90" a="1"/>
  <c r="B110" i="90" a="1"/>
  <c r="J92" i="90" a="1"/>
  <c r="I106" i="90" a="1"/>
  <c r="I104" i="90" a="1"/>
  <c r="T108" i="90" a="1"/>
  <c r="B93" i="90" a="1"/>
  <c r="C102" i="90" a="1"/>
  <c r="O88" i="90" a="1"/>
  <c r="T91" i="90" a="1"/>
  <c r="L106" i="90" a="1"/>
  <c r="F91" i="90" a="1"/>
  <c r="T97" i="90" a="1"/>
  <c r="K102" i="90" a="1"/>
  <c r="G106" i="90" a="1"/>
  <c r="Q104" i="90" a="1"/>
  <c r="E102" i="90" a="1"/>
  <c r="H90" i="90" a="1"/>
  <c r="Q110" i="90" a="1"/>
  <c r="K92" i="90" a="1"/>
  <c r="Q97" i="90" a="1"/>
  <c r="Q100" i="90" a="1"/>
  <c r="C110" i="90" a="1"/>
  <c r="F108" i="90" a="1"/>
  <c r="P91" i="90" a="1"/>
  <c r="P94" i="90" a="1"/>
  <c r="H106" i="90" a="1"/>
  <c r="Q94" i="90" a="1"/>
  <c r="C94" i="90" l="1"/>
  <c r="C92" i="90"/>
  <c r="C88" i="90"/>
  <c r="D97" i="90"/>
  <c r="B88" i="90"/>
  <c r="D93" i="90"/>
  <c r="C97" i="90"/>
  <c r="C93" i="90"/>
  <c r="C91" i="90"/>
  <c r="B97" i="90"/>
  <c r="B93" i="90"/>
  <c r="B91" i="90"/>
  <c r="B92" i="90"/>
  <c r="B90" i="90"/>
  <c r="D91" i="90"/>
  <c r="D94" i="90"/>
  <c r="D92" i="90"/>
  <c r="D88" i="90"/>
  <c r="B94" i="90"/>
  <c r="M110" i="90"/>
  <c r="K92" i="90"/>
  <c r="O101" i="90"/>
  <c r="S97" i="90"/>
  <c r="D102" i="90"/>
  <c r="T101" i="90"/>
  <c r="L110" i="90"/>
  <c r="J108" i="90"/>
  <c r="J101" i="90"/>
  <c r="Q94" i="90"/>
  <c r="T91" i="90"/>
  <c r="B104" i="90"/>
  <c r="K110" i="90"/>
  <c r="H110" i="90"/>
  <c r="T104" i="90"/>
  <c r="E101" i="90"/>
  <c r="F97" i="90"/>
  <c r="L91" i="90"/>
  <c r="O88" i="90"/>
  <c r="G108" i="90"/>
  <c r="L106" i="90"/>
  <c r="Q104" i="90"/>
  <c r="S102" i="90"/>
  <c r="S110" i="90"/>
  <c r="Q106" i="90"/>
  <c r="E110" i="90"/>
  <c r="C108" i="90"/>
  <c r="E88" i="90"/>
  <c r="T110" i="90"/>
  <c r="C110" i="90"/>
  <c r="I106" i="90"/>
  <c r="N102" i="90"/>
  <c r="P100" i="90"/>
  <c r="B110" i="90"/>
  <c r="G104" i="90"/>
  <c r="I102" i="90"/>
  <c r="M90" i="90"/>
  <c r="O106" i="90"/>
  <c r="I110" i="90"/>
  <c r="H108" i="90"/>
  <c r="M106" i="90"/>
  <c r="R104" i="90"/>
  <c r="H104" i="90"/>
  <c r="J102" i="90"/>
  <c r="B102" i="90"/>
  <c r="K101" i="90"/>
  <c r="C101" i="90"/>
  <c r="O97" i="90"/>
  <c r="R94" i="90"/>
  <c r="L92" i="90"/>
  <c r="M91" i="90"/>
  <c r="N90" i="90"/>
  <c r="P88" i="90"/>
  <c r="F88" i="90"/>
  <c r="F106" i="90"/>
  <c r="Q110" i="90"/>
  <c r="O108" i="90"/>
  <c r="E106" i="90"/>
  <c r="K106" i="90"/>
  <c r="F104" i="90"/>
  <c r="P102" i="90"/>
  <c r="H102" i="90"/>
  <c r="Q101" i="90"/>
  <c r="I101" i="90"/>
  <c r="R100" i="90"/>
  <c r="P94" i="90"/>
  <c r="H92" i="90"/>
  <c r="S91" i="90"/>
  <c r="I91" i="90"/>
  <c r="T90" i="90"/>
  <c r="L88" i="90"/>
  <c r="O110" i="90"/>
  <c r="N108" i="90"/>
  <c r="D106" i="90"/>
  <c r="N110" i="90"/>
  <c r="M108" i="90"/>
  <c r="D108" i="90"/>
  <c r="R106" i="90"/>
  <c r="C106" i="90"/>
  <c r="E108" i="90"/>
  <c r="S106" i="90"/>
  <c r="F110" i="90"/>
  <c r="T108" i="90"/>
  <c r="K108" i="90"/>
  <c r="J106" i="90"/>
  <c r="M104" i="90"/>
  <c r="E104" i="90"/>
  <c r="O102" i="90"/>
  <c r="G102" i="90"/>
  <c r="P101" i="90"/>
  <c r="Q100" i="90"/>
  <c r="T97" i="90"/>
  <c r="L97" i="90"/>
  <c r="O94" i="90"/>
  <c r="E94" i="90"/>
  <c r="R91" i="90"/>
  <c r="H91" i="90"/>
  <c r="S90" i="90"/>
  <c r="I90" i="90"/>
  <c r="K88" i="90"/>
  <c r="I97" i="90"/>
  <c r="L94" i="90"/>
  <c r="M93" i="90"/>
  <c r="E93" i="90"/>
  <c r="O91" i="90"/>
  <c r="P90" i="90"/>
  <c r="H90" i="90"/>
  <c r="J88" i="90"/>
  <c r="G106" i="90"/>
  <c r="B108" i="90"/>
  <c r="P106" i="90"/>
  <c r="I108" i="90"/>
  <c r="S104" i="90"/>
  <c r="K104" i="90"/>
  <c r="C102" i="90"/>
  <c r="N101" i="90"/>
  <c r="D101" i="90"/>
  <c r="O100" i="90"/>
  <c r="R97" i="90"/>
  <c r="H97" i="90"/>
  <c r="L93" i="90"/>
  <c r="M92" i="90"/>
  <c r="E92" i="90"/>
  <c r="N91" i="90"/>
  <c r="F91" i="90"/>
  <c r="O90" i="90"/>
  <c r="G90" i="90"/>
  <c r="Q88" i="90"/>
  <c r="I88" i="90"/>
  <c r="D110" i="90"/>
  <c r="L108" i="90"/>
  <c r="F108" i="90"/>
  <c r="T106" i="90"/>
  <c r="H106" i="90"/>
  <c r="B106" i="90"/>
  <c r="P104" i="90"/>
  <c r="D104" i="90"/>
  <c r="R102" i="90"/>
  <c r="L102" i="90"/>
  <c r="S101" i="90"/>
  <c r="M101" i="90"/>
  <c r="G101" i="90"/>
  <c r="T100" i="90"/>
  <c r="Q97" i="90"/>
  <c r="K97" i="90"/>
  <c r="E97" i="90"/>
  <c r="T94" i="90"/>
  <c r="N94" i="90"/>
  <c r="J92" i="90"/>
  <c r="Q91" i="90"/>
  <c r="K91" i="90"/>
  <c r="E91" i="90"/>
  <c r="T88" i="90"/>
  <c r="N88" i="90"/>
  <c r="H88" i="90"/>
  <c r="O104" i="90"/>
  <c r="I104" i="90"/>
  <c r="C104" i="90"/>
  <c r="Q102" i="90"/>
  <c r="K102" i="90"/>
  <c r="E102" i="90"/>
  <c r="R101" i="90"/>
  <c r="L101" i="90"/>
  <c r="F101" i="90"/>
  <c r="S100" i="90"/>
  <c r="P97" i="90"/>
  <c r="J97" i="90"/>
  <c r="S94" i="90"/>
  <c r="M94" i="90"/>
  <c r="I92" i="90"/>
  <c r="P91" i="90"/>
  <c r="J91" i="90"/>
  <c r="Q90" i="90"/>
  <c r="K90" i="90"/>
  <c r="E90" i="90"/>
  <c r="M88" i="90"/>
  <c r="G88" i="90"/>
  <c r="D102" i="54"/>
  <c r="C26" i="90" a="1"/>
  <c r="T50" i="90" a="1"/>
  <c r="O30" i="90" a="1"/>
  <c r="M16" i="90" a="1"/>
  <c r="S72" i="90" a="1"/>
  <c r="N53" i="90" a="1"/>
  <c r="D17" i="90" a="1"/>
  <c r="B21" i="90" a="1"/>
  <c r="H18" i="95" a="1"/>
  <c r="L18" i="90" a="1"/>
  <c r="H17" i="95" a="1"/>
  <c r="D23" i="95" a="1"/>
  <c r="N70" i="90" a="1"/>
  <c r="O14" i="90" a="1"/>
  <c r="P68" i="90" a="1"/>
  <c r="H70" i="90" a="1"/>
  <c r="J12" i="90" a="1"/>
  <c r="Q72" i="90" a="1"/>
  <c r="S63" i="90" a="1"/>
  <c r="E52" i="90" a="1"/>
  <c r="T66" i="90" a="1"/>
  <c r="O64" i="90" a="1"/>
  <c r="C15" i="90" a="1"/>
  <c r="M25" i="90" a="1"/>
  <c r="L54" i="90" a="1"/>
  <c r="D34" i="90" a="1"/>
  <c r="B72" i="90" a="1"/>
  <c r="L53" i="90" a="1"/>
  <c r="S56" i="90" a="1"/>
  <c r="T18" i="90" a="1"/>
  <c r="R15" i="90" a="1"/>
  <c r="D22" i="95" a="1"/>
  <c r="C54" i="90" a="1"/>
  <c r="S24" i="90" a="1"/>
  <c r="N63" i="90" a="1"/>
  <c r="H8" i="95" a="1"/>
  <c r="R21" i="90" a="1"/>
  <c r="M72" i="90" a="1"/>
  <c r="K30" i="90" a="1"/>
  <c r="Q50" i="90" a="1"/>
  <c r="C30" i="90" a="1"/>
  <c r="I30" i="90" a="1"/>
  <c r="C72" i="90" a="1"/>
  <c r="K34" i="90" a="1"/>
  <c r="I53" i="90" a="1"/>
  <c r="S66" i="90" a="1"/>
  <c r="O62" i="90" a="1"/>
  <c r="S68" i="90" a="1"/>
  <c r="E64" i="90" a="1"/>
  <c r="B32" i="90" a="1"/>
  <c r="H14" i="95" a="1"/>
  <c r="C16" i="90" a="1"/>
  <c r="M63" i="90" a="1"/>
  <c r="I16" i="90" a="1"/>
  <c r="F32" i="90" a="1"/>
  <c r="L26" i="90" a="1"/>
  <c r="B12" i="90" a="1"/>
  <c r="T56" i="90" a="1"/>
  <c r="F21" i="90" a="1"/>
  <c r="H59" i="90" a="1"/>
  <c r="T62" i="90" a="1"/>
  <c r="O72" i="90" a="1"/>
  <c r="T68" i="90" a="1"/>
  <c r="I70" i="90" a="1"/>
  <c r="D21" i="90" a="1"/>
  <c r="F25" i="90" a="1"/>
  <c r="G12" i="90" a="1"/>
  <c r="L25" i="90" a="1"/>
  <c r="R28" i="90" a="1"/>
  <c r="N72" i="90" a="1"/>
  <c r="P28" i="90" a="1"/>
  <c r="B34" i="90" a="1"/>
  <c r="C17" i="90" a="1"/>
  <c r="O28" i="90" a="1"/>
  <c r="D53" i="90" a="1"/>
  <c r="B66" i="90" a="1"/>
  <c r="P50" i="90" a="1"/>
  <c r="Q18" i="90" a="1"/>
  <c r="R68" i="90" a="1"/>
  <c r="E68" i="90" a="1"/>
  <c r="E28" i="90" a="1"/>
  <c r="T30" i="90" a="1"/>
  <c r="S62" i="90" a="1"/>
  <c r="H25" i="95" a="1"/>
  <c r="O12" i="90" a="1"/>
  <c r="L50" i="90" a="1"/>
  <c r="S53" i="90" a="1"/>
  <c r="O52" i="90" a="1"/>
  <c r="O15" i="90" a="1"/>
  <c r="H68" i="90" a="1"/>
  <c r="D66" i="90" a="1"/>
  <c r="J54" i="90" a="1"/>
  <c r="J68" i="90" a="1"/>
  <c r="L63" i="90" a="1"/>
  <c r="H30" i="95" a="1"/>
  <c r="D56" i="90" a="1"/>
  <c r="H24" i="95" a="1"/>
  <c r="T34" i="90" a="1"/>
  <c r="D70" i="90" a="1"/>
  <c r="E26" i="90" a="1"/>
  <c r="K12" i="90" a="1"/>
  <c r="C34" i="90" a="1"/>
  <c r="H34" i="95" a="1"/>
  <c r="H14" i="90" a="1"/>
  <c r="Q25" i="90" a="1"/>
  <c r="K72" i="90" a="1"/>
  <c r="C25" i="90" a="1"/>
  <c r="L17" i="90" a="1"/>
  <c r="E50" i="90" a="1"/>
  <c r="M55" i="90" a="1"/>
  <c r="J15" i="90" a="1"/>
  <c r="C70" i="90" a="1"/>
  <c r="Q62" i="90" a="1"/>
  <c r="M15" i="90" a="1"/>
  <c r="H20" i="95" a="1"/>
  <c r="I52" i="90" a="1"/>
  <c r="G25" i="90" a="1"/>
  <c r="L64" i="90" a="1"/>
  <c r="K63" i="90" a="1"/>
  <c r="G30" i="90" a="1"/>
  <c r="D25" i="90" a="1"/>
  <c r="H32" i="90" a="1"/>
  <c r="B52" i="90" a="1"/>
  <c r="D26" i="90" a="1"/>
  <c r="Q63" i="90" a="1"/>
  <c r="B15" i="90" a="1"/>
  <c r="Q12" i="90" a="1"/>
  <c r="S25" i="90" a="1"/>
  <c r="I68" i="90" a="1"/>
  <c r="G63" i="90" a="1"/>
  <c r="S52" i="90" a="1"/>
  <c r="T70" i="90" a="1"/>
  <c r="C55" i="90" a="1"/>
  <c r="B16" i="90" a="1"/>
  <c r="B54" i="90" a="1"/>
  <c r="M32" i="90" a="1"/>
  <c r="R64" i="90" a="1"/>
  <c r="D16" i="90" a="1"/>
  <c r="D12" i="95" a="1"/>
  <c r="H52" i="90" a="1"/>
  <c r="I54" i="90" a="1"/>
  <c r="F53" i="90" a="1"/>
  <c r="H15" i="95" a="1"/>
  <c r="O66" i="90" a="1"/>
  <c r="P25" i="90" a="1"/>
  <c r="R30" i="90" a="1"/>
  <c r="Q64" i="90" a="1"/>
  <c r="H13" i="95" a="1"/>
  <c r="L32" i="90" a="1"/>
  <c r="E32" i="90" a="1"/>
  <c r="E14" i="90" a="1"/>
  <c r="F30" i="90" a="1"/>
  <c r="T63" i="90" a="1"/>
  <c r="M18" i="90" a="1"/>
  <c r="M66" i="90" a="1"/>
  <c r="S30" i="90" a="1"/>
  <c r="D64" i="90" a="1"/>
  <c r="B17" i="90" a="1"/>
  <c r="F34" i="90" a="1"/>
  <c r="J32" i="90" a="1"/>
  <c r="S15" i="90" a="1"/>
  <c r="H54" i="90" a="1"/>
  <c r="O63" i="90" a="1"/>
  <c r="I12" i="90" a="1"/>
  <c r="F68" i="90" a="1"/>
  <c r="B70" i="90" a="1"/>
  <c r="D7" i="95" a="1"/>
  <c r="Q66" i="90" a="1"/>
  <c r="I50" i="90" a="1"/>
  <c r="P52" i="90" a="1"/>
  <c r="H23" i="95" a="1"/>
  <c r="E21" i="90" a="1"/>
  <c r="L34" i="90" a="1"/>
  <c r="Q30" i="90" a="1"/>
  <c r="H29" i="95" a="1"/>
  <c r="I72" i="90" a="1"/>
  <c r="H66" i="90" a="1"/>
  <c r="M28" i="90" a="1"/>
  <c r="K14" i="90" a="1"/>
  <c r="M68" i="90" a="1"/>
  <c r="I59" i="90" a="1"/>
  <c r="O70" i="90" a="1"/>
  <c r="I26" i="90" a="1"/>
  <c r="N64" i="90" a="1"/>
  <c r="K21" i="90" a="1"/>
  <c r="H16" i="95" a="1"/>
  <c r="L59" i="90" a="1"/>
  <c r="H7" i="95" a="1"/>
  <c r="H72" i="90" a="1"/>
  <c r="E15" i="90" a="1"/>
  <c r="B68" i="90" a="1"/>
  <c r="O59" i="90" a="1"/>
  <c r="T59" i="90" a="1"/>
  <c r="I63" i="90" a="1"/>
  <c r="F59" i="90" a="1"/>
  <c r="T15" i="90" a="1"/>
  <c r="O21" i="90" a="1"/>
  <c r="M34" i="90" a="1"/>
  <c r="H32" i="95" a="1"/>
  <c r="D30" i="90" a="1"/>
  <c r="K26" i="90" a="1"/>
  <c r="H22" i="95" a="1"/>
  <c r="T72" i="90" a="1"/>
  <c r="E16" i="90" a="1"/>
  <c r="H9" i="95" a="1"/>
  <c r="T52" i="90" a="1"/>
  <c r="E70" i="90" a="1"/>
  <c r="J16" i="90" a="1"/>
  <c r="E56" i="90" a="1"/>
  <c r="H16" i="90" a="1"/>
  <c r="I15" i="90" a="1"/>
  <c r="G26" i="90" a="1"/>
  <c r="B56" i="90" a="1"/>
  <c r="H26" i="90" a="1"/>
  <c r="Q34" i="90" a="1"/>
  <c r="D18" i="90" a="1"/>
  <c r="B30" i="90" a="1"/>
  <c r="H53" i="90" a="1"/>
  <c r="O24" i="90" a="1"/>
  <c r="H12" i="95" a="1"/>
  <c r="D21" i="95" a="1"/>
  <c r="I21" i="90" a="1"/>
  <c r="B28" i="90" a="1"/>
  <c r="H50" i="90" a="1"/>
  <c r="P62" i="90" a="1"/>
  <c r="S64" i="90" a="1"/>
  <c r="N14" i="90" a="1"/>
  <c r="G70" i="90" a="1"/>
  <c r="F50" i="90" a="1"/>
  <c r="C59" i="90" a="1"/>
  <c r="F12" i="90" a="1"/>
  <c r="T32" i="90" a="1"/>
  <c r="D63" i="90" a="1"/>
  <c r="B53" i="90" a="1"/>
  <c r="H34" i="90" a="1"/>
  <c r="K50" i="90" a="1"/>
  <c r="E54" i="90" a="1"/>
  <c r="C50" i="90" a="1"/>
  <c r="D55" i="90" a="1"/>
  <c r="O53" i="90" a="1"/>
  <c r="O56" i="90" a="1"/>
  <c r="H12" i="90" a="1"/>
  <c r="T24" i="90" a="1"/>
  <c r="E63" i="90" a="1"/>
  <c r="C21" i="90" a="1"/>
  <c r="L15" i="90" a="1"/>
  <c r="L30" i="90" a="1"/>
  <c r="L56" i="90" a="1"/>
  <c r="F63" i="90" a="1"/>
  <c r="D68" i="90" a="1"/>
  <c r="D15" i="90" a="1"/>
  <c r="P18" i="90" a="1"/>
  <c r="N50" i="90" a="1"/>
  <c r="D72" i="90" a="1"/>
  <c r="M17" i="90" a="1"/>
  <c r="E72" i="90" a="1"/>
  <c r="M54" i="90" a="1"/>
  <c r="D17" i="95" a="1"/>
  <c r="L12" i="90" a="1"/>
  <c r="D54" i="90" a="1"/>
  <c r="H21" i="95" a="1"/>
  <c r="B59" i="90" a="1"/>
  <c r="T53" i="90" a="1"/>
  <c r="O32" i="90" a="1"/>
  <c r="K15" i="90" a="1"/>
  <c r="F28" i="90" a="1"/>
  <c r="H64" i="90" a="1"/>
  <c r="O68" i="90" a="1"/>
  <c r="H11" i="95" a="1"/>
  <c r="C66" i="90" a="1"/>
  <c r="P64" i="90" a="1"/>
  <c r="M12" i="90" a="1"/>
  <c r="Q53" i="90" a="1"/>
  <c r="E17" i="90" a="1"/>
  <c r="Q68" i="90" a="1"/>
  <c r="F15" i="90" a="1"/>
  <c r="C18" i="90" a="1"/>
  <c r="D32" i="90" a="1"/>
  <c r="J26" i="90" a="1"/>
  <c r="E25" i="90" a="1"/>
  <c r="I34" i="90" a="1"/>
  <c r="J50" i="90" a="1"/>
  <c r="H19" i="95" a="1"/>
  <c r="G68" i="90" a="1"/>
  <c r="D29" i="95" a="1"/>
  <c r="C28" i="90" a="1"/>
  <c r="K52" i="90" a="1"/>
  <c r="I28" i="90" a="1"/>
  <c r="Q26" i="90" a="1"/>
  <c r="J30" i="90" a="1"/>
  <c r="H33" i="95" a="1"/>
  <c r="H28" i="90" a="1"/>
  <c r="G28" i="90" a="1"/>
  <c r="D20" i="95" a="1"/>
  <c r="T21" i="90" a="1"/>
  <c r="K25" i="90" a="1"/>
  <c r="B50" i="90" a="1"/>
  <c r="E30" i="90" a="1"/>
  <c r="H28" i="95" a="1"/>
  <c r="E53" i="90" a="1"/>
  <c r="D59" i="90" a="1"/>
  <c r="B14" i="90" a="1"/>
  <c r="P12" i="90" a="1"/>
  <c r="C12" i="90" a="1"/>
  <c r="N26" i="90" a="1"/>
  <c r="K54" i="90" a="1"/>
  <c r="B26" i="90" a="1"/>
  <c r="R62" i="90" a="1"/>
  <c r="K28" i="90" a="1"/>
  <c r="M53" i="90" a="1"/>
  <c r="T14" i="90" a="1"/>
  <c r="Q28" i="90" a="1"/>
  <c r="O34" i="90" a="1"/>
  <c r="O18" i="90" a="1"/>
  <c r="H15" i="90" a="1"/>
  <c r="N32" i="90" a="1"/>
  <c r="C68" i="90" a="1"/>
  <c r="I32" i="90" a="1"/>
  <c r="Q21" i="90" a="1"/>
  <c r="C32" i="90" a="1"/>
  <c r="I64" i="90" a="1"/>
  <c r="J70" i="90" a="1"/>
  <c r="C63" i="90" a="1"/>
  <c r="B55" i="90" a="1"/>
  <c r="C64" i="90" a="1"/>
  <c r="D28" i="90" a="1"/>
  <c r="Q52" i="90" a="1"/>
  <c r="P30" i="90" a="1"/>
  <c r="D32" i="95" a="1"/>
  <c r="M52" i="90" a="1"/>
  <c r="S34" i="90" a="1"/>
  <c r="K68" i="90" a="1"/>
  <c r="O50" i="90" a="1"/>
  <c r="G64" i="90" a="1"/>
  <c r="S28" i="90" a="1"/>
  <c r="N25" i="90" a="1"/>
  <c r="M50" i="90" a="1"/>
  <c r="K59" i="90" a="1"/>
  <c r="D28" i="95" a="1"/>
  <c r="B64" i="90" a="1"/>
  <c r="R59" i="90" a="1"/>
  <c r="L16" i="90" a="1"/>
  <c r="F70" i="90" a="1"/>
  <c r="I66" i="90" a="1"/>
  <c r="P26" i="90" a="1"/>
  <c r="H10" i="95" a="1"/>
  <c r="S21" i="90" a="1"/>
  <c r="T28" i="90" a="1"/>
  <c r="G66" i="90" a="1"/>
  <c r="I25" i="90" a="1"/>
  <c r="D16" i="95" a="1"/>
  <c r="S18" i="90" a="1"/>
  <c r="M56" i="90" a="1"/>
  <c r="R63" i="90" a="1"/>
  <c r="D6" i="95" a="1"/>
  <c r="M30" i="90" a="1"/>
  <c r="S14" i="90" a="1"/>
  <c r="M14" i="90" a="1"/>
  <c r="N56" i="90" a="1"/>
  <c r="C53" i="90" a="1"/>
  <c r="D8" i="95" a="1"/>
  <c r="D10" i="95" a="1"/>
  <c r="L21" i="90" a="1"/>
  <c r="B18" i="90" a="1"/>
  <c r="R53" i="90" a="1"/>
  <c r="O25" i="90" a="1"/>
  <c r="E55" i="90" a="1"/>
  <c r="S59" i="90" a="1"/>
  <c r="R66" i="90" a="1"/>
  <c r="F72" i="90" a="1"/>
  <c r="L68" i="90" a="1"/>
  <c r="N52" i="90" a="1"/>
  <c r="K16" i="90" a="1"/>
  <c r="P53" i="90" a="1"/>
  <c r="K32" i="90" a="1"/>
  <c r="N12" i="90" a="1"/>
  <c r="H27" i="95" a="1"/>
  <c r="Q14" i="90" a="1"/>
  <c r="H35" i="95" a="1"/>
  <c r="Q56" i="90" a="1"/>
  <c r="R25" i="90" a="1"/>
  <c r="S26" i="90" a="1"/>
  <c r="G50" i="90" a="1"/>
  <c r="J53" i="90" a="1"/>
  <c r="O26" i="90" a="1"/>
  <c r="G52" i="90" a="1"/>
  <c r="P63" i="90" a="1"/>
  <c r="P15" i="90" a="1"/>
  <c r="E18" i="90" a="1"/>
  <c r="J59" i="90" a="1"/>
  <c r="J25" i="90" a="1"/>
  <c r="G32" i="90" a="1"/>
  <c r="H26" i="95" a="1"/>
  <c r="K70" i="90" a="1"/>
  <c r="E59" i="90" a="1"/>
  <c r="J64" i="90" a="1"/>
  <c r="Q15" i="90" a="1"/>
  <c r="J21" i="90" a="1"/>
  <c r="R56" i="90" a="1"/>
  <c r="K66" i="90" a="1"/>
  <c r="R24" i="90" a="1"/>
  <c r="D15" i="95" a="1"/>
  <c r="H30" i="90" a="1"/>
  <c r="L55" i="90" a="1"/>
  <c r="P24" i="90" a="1"/>
  <c r="I14" i="90" a="1"/>
  <c r="L72" i="90" a="1"/>
  <c r="K53" i="90" a="1"/>
  <c r="J63" i="90" a="1"/>
  <c r="R18" i="90" a="1"/>
  <c r="Q59" i="90" a="1"/>
  <c r="R26" i="90" a="1"/>
  <c r="P59" i="90" a="1"/>
  <c r="H21" i="90" a="1"/>
  <c r="E66" i="90" a="1"/>
  <c r="G14" i="90" a="1"/>
  <c r="D12" i="90" a="1"/>
  <c r="P56" i="90" a="1"/>
  <c r="C56" i="90" a="1"/>
  <c r="H6" i="95" a="1"/>
  <c r="E12" i="90" a="1"/>
  <c r="N18" i="90" a="1"/>
  <c r="N34" i="90" a="1"/>
  <c r="Q24" i="90" a="1"/>
  <c r="M70" i="90" a="1"/>
  <c r="P66" i="90" a="1"/>
  <c r="P21" i="90" a="1"/>
  <c r="D50" i="90" a="1"/>
  <c r="T12" i="90" a="1"/>
  <c r="P14" i="90" a="1"/>
  <c r="L70" i="90" a="1"/>
  <c r="T25" i="90" a="1"/>
  <c r="E34" i="90" a="1"/>
  <c r="F66" i="90" a="1"/>
  <c r="N15" i="90" a="1"/>
  <c r="K64" i="90" a="1"/>
  <c r="S62" i="90" l="1"/>
  <c r="S56" i="90"/>
  <c r="O66" i="90"/>
  <c r="O59" i="90"/>
  <c r="R63" i="90"/>
  <c r="R68" i="90"/>
  <c r="P64" i="90"/>
  <c r="O72" i="90"/>
  <c r="N72" i="90"/>
  <c r="P53" i="90"/>
  <c r="Q63" i="90"/>
  <c r="P59" i="90"/>
  <c r="R56" i="90"/>
  <c r="O53" i="90"/>
  <c r="Q52" i="90"/>
  <c r="R62" i="90"/>
  <c r="S68" i="90"/>
  <c r="T66" i="90"/>
  <c r="P52" i="90"/>
  <c r="T72" i="90"/>
  <c r="Q64" i="90"/>
  <c r="S72" i="90"/>
  <c r="Q68" i="90"/>
  <c r="P63" i="90"/>
  <c r="T53" i="90"/>
  <c r="P68" i="90"/>
  <c r="R66" i="90"/>
  <c r="P62" i="90"/>
  <c r="S59" i="90"/>
  <c r="P56" i="90"/>
  <c r="T52" i="90"/>
  <c r="P50" i="90"/>
  <c r="Q72" i="90"/>
  <c r="O68" i="90"/>
  <c r="Q66" i="90"/>
  <c r="S64" i="90"/>
  <c r="T63" i="90"/>
  <c r="N63" i="90"/>
  <c r="O62" i="90"/>
  <c r="R59" i="90"/>
  <c r="O56" i="90"/>
  <c r="R53" i="90"/>
  <c r="S52" i="90"/>
  <c r="O50" i="90"/>
  <c r="S66" i="90"/>
  <c r="O64" i="90"/>
  <c r="O52" i="90"/>
  <c r="Q50" i="90"/>
  <c r="T70" i="90"/>
  <c r="N70" i="90"/>
  <c r="O63" i="90"/>
  <c r="N52" i="90"/>
  <c r="O70" i="90"/>
  <c r="Q62" i="90"/>
  <c r="T59" i="90"/>
  <c r="Q56" i="90"/>
  <c r="N53" i="90"/>
  <c r="N64" i="90"/>
  <c r="S53" i="90"/>
  <c r="T68" i="90"/>
  <c r="P66" i="90"/>
  <c r="R64" i="90"/>
  <c r="S63" i="90"/>
  <c r="T62" i="90"/>
  <c r="Q59" i="90"/>
  <c r="T56" i="90"/>
  <c r="N56" i="90"/>
  <c r="Q53" i="90"/>
  <c r="T50" i="90"/>
  <c r="N50" i="90"/>
  <c r="M56" i="90"/>
  <c r="L59" i="90"/>
  <c r="L53" i="90"/>
  <c r="M70" i="90"/>
  <c r="M52" i="90"/>
  <c r="L70" i="90"/>
  <c r="L64" i="90"/>
  <c r="M72" i="90"/>
  <c r="M66" i="90"/>
  <c r="M63" i="90"/>
  <c r="M54" i="90"/>
  <c r="L72" i="90"/>
  <c r="L63" i="90"/>
  <c r="L54" i="90"/>
  <c r="M68" i="90"/>
  <c r="M53" i="90"/>
  <c r="M50" i="90"/>
  <c r="L68" i="90"/>
  <c r="L56" i="90"/>
  <c r="L50" i="90"/>
  <c r="M55" i="90"/>
  <c r="L55" i="90"/>
  <c r="I70" i="90"/>
  <c r="I64" i="90"/>
  <c r="I63" i="90"/>
  <c r="I68" i="90"/>
  <c r="I72" i="90"/>
  <c r="I66" i="90"/>
  <c r="I59" i="90"/>
  <c r="I52" i="90"/>
  <c r="H70" i="90"/>
  <c r="H52" i="90"/>
  <c r="F66" i="90"/>
  <c r="F53" i="90"/>
  <c r="K68" i="90"/>
  <c r="K66" i="90"/>
  <c r="K64" i="90"/>
  <c r="K63" i="90"/>
  <c r="K59" i="90"/>
  <c r="K54" i="90"/>
  <c r="K53" i="90"/>
  <c r="K52" i="90"/>
  <c r="K50" i="90"/>
  <c r="I53" i="90"/>
  <c r="H64" i="90"/>
  <c r="H59" i="90"/>
  <c r="H53" i="90"/>
  <c r="G68" i="90"/>
  <c r="G63" i="90"/>
  <c r="G52" i="90"/>
  <c r="F70" i="90"/>
  <c r="F68" i="90"/>
  <c r="F63" i="90"/>
  <c r="K70" i="90"/>
  <c r="I54" i="90"/>
  <c r="H72" i="90"/>
  <c r="H54" i="90"/>
  <c r="G66" i="90"/>
  <c r="G64" i="90"/>
  <c r="F72" i="90"/>
  <c r="F59" i="90"/>
  <c r="F50" i="90"/>
  <c r="K72" i="90"/>
  <c r="J70" i="90"/>
  <c r="J68" i="90"/>
  <c r="J64" i="90"/>
  <c r="J63" i="90"/>
  <c r="J59" i="90"/>
  <c r="J54" i="90"/>
  <c r="J53" i="90"/>
  <c r="J50" i="90"/>
  <c r="I50" i="90"/>
  <c r="H66" i="90"/>
  <c r="H50" i="90"/>
  <c r="G70" i="90"/>
  <c r="G50" i="90"/>
  <c r="H68" i="90"/>
  <c r="B56" i="90"/>
  <c r="B50" i="90"/>
  <c r="C54" i="90"/>
  <c r="E68" i="90"/>
  <c r="B70" i="90"/>
  <c r="B64" i="90"/>
  <c r="B55" i="90"/>
  <c r="B52" i="90"/>
  <c r="D50" i="90"/>
  <c r="D72" i="90"/>
  <c r="D66" i="90"/>
  <c r="B59" i="90"/>
  <c r="C66" i="90"/>
  <c r="E52" i="90"/>
  <c r="E72" i="90"/>
  <c r="C68" i="90"/>
  <c r="E66" i="90"/>
  <c r="E63" i="90"/>
  <c r="C59" i="90"/>
  <c r="C56" i="90"/>
  <c r="E54" i="90"/>
  <c r="C53" i="90"/>
  <c r="C50" i="90"/>
  <c r="B68" i="90"/>
  <c r="D63" i="90"/>
  <c r="E70" i="90"/>
  <c r="E64" i="90"/>
  <c r="B72" i="90"/>
  <c r="D70" i="90"/>
  <c r="B66" i="90"/>
  <c r="D64" i="90"/>
  <c r="D55" i="90"/>
  <c r="B54" i="90"/>
  <c r="D54" i="90"/>
  <c r="C72" i="90"/>
  <c r="C63" i="90"/>
  <c r="E55" i="90"/>
  <c r="C70" i="90"/>
  <c r="C64" i="90"/>
  <c r="E59" i="90"/>
  <c r="E56" i="90"/>
  <c r="C55" i="90"/>
  <c r="E53" i="90"/>
  <c r="E50" i="90"/>
  <c r="B53" i="90"/>
  <c r="D68" i="90"/>
  <c r="D59" i="90"/>
  <c r="D56" i="90"/>
  <c r="D53" i="90"/>
  <c r="S18" i="90"/>
  <c r="Q26" i="90"/>
  <c r="R25" i="90"/>
  <c r="P15" i="90"/>
  <c r="S24" i="90"/>
  <c r="Q14" i="90"/>
  <c r="O28" i="90"/>
  <c r="S30" i="90"/>
  <c r="P21" i="90"/>
  <c r="O34" i="90"/>
  <c r="Q30" i="90"/>
  <c r="Q24" i="90"/>
  <c r="T21" i="90"/>
  <c r="N32" i="90"/>
  <c r="S21" i="90"/>
  <c r="S15" i="90"/>
  <c r="Q34" i="90"/>
  <c r="O30" i="90"/>
  <c r="Q28" i="90"/>
  <c r="S26" i="90"/>
  <c r="T25" i="90"/>
  <c r="N25" i="90"/>
  <c r="O24" i="90"/>
  <c r="R21" i="90"/>
  <c r="O18" i="90"/>
  <c r="R15" i="90"/>
  <c r="S14" i="90"/>
  <c r="O12" i="90"/>
  <c r="O32" i="90"/>
  <c r="S28" i="90"/>
  <c r="P25" i="90"/>
  <c r="T15" i="90"/>
  <c r="P24" i="90"/>
  <c r="P18" i="90"/>
  <c r="N14" i="90"/>
  <c r="P12" i="90"/>
  <c r="S34" i="90"/>
  <c r="O26" i="90"/>
  <c r="N15" i="90"/>
  <c r="Q12" i="90"/>
  <c r="T32" i="90"/>
  <c r="P30" i="90"/>
  <c r="R28" i="90"/>
  <c r="N26" i="90"/>
  <c r="T14" i="90"/>
  <c r="T30" i="90"/>
  <c r="P28" i="90"/>
  <c r="R26" i="90"/>
  <c r="S25" i="90"/>
  <c r="T24" i="90"/>
  <c r="Q21" i="90"/>
  <c r="T18" i="90"/>
  <c r="N18" i="90"/>
  <c r="Q15" i="90"/>
  <c r="T12" i="90"/>
  <c r="N12" i="90"/>
  <c r="Q18" i="90"/>
  <c r="O14" i="90"/>
  <c r="O25" i="90"/>
  <c r="T34" i="90"/>
  <c r="N34" i="90"/>
  <c r="R30" i="90"/>
  <c r="T28" i="90"/>
  <c r="P26" i="90"/>
  <c r="Q25" i="90"/>
  <c r="R24" i="90"/>
  <c r="O21" i="90"/>
  <c r="R18" i="90"/>
  <c r="O15" i="90"/>
  <c r="P14" i="90"/>
  <c r="L16" i="90"/>
  <c r="M34" i="90"/>
  <c r="M16" i="90"/>
  <c r="M30" i="90"/>
  <c r="M18" i="90"/>
  <c r="M15" i="90"/>
  <c r="M12" i="90"/>
  <c r="L34" i="90"/>
  <c r="L30" i="90"/>
  <c r="L21" i="90"/>
  <c r="L18" i="90"/>
  <c r="L12" i="90"/>
  <c r="L15" i="90"/>
  <c r="M25" i="90"/>
  <c r="L25" i="90"/>
  <c r="M32" i="90"/>
  <c r="M17" i="90"/>
  <c r="M14" i="90"/>
  <c r="M28" i="90"/>
  <c r="L32" i="90"/>
  <c r="L26" i="90"/>
  <c r="L17" i="90"/>
  <c r="F34" i="90"/>
  <c r="K32" i="90"/>
  <c r="K26" i="90"/>
  <c r="K14" i="90"/>
  <c r="K12" i="90"/>
  <c r="J32" i="90"/>
  <c r="J30" i="90"/>
  <c r="J26" i="90"/>
  <c r="J25" i="90"/>
  <c r="J21" i="90"/>
  <c r="J16" i="90"/>
  <c r="J15" i="90"/>
  <c r="J12" i="90"/>
  <c r="F30" i="90"/>
  <c r="K34" i="90"/>
  <c r="K30" i="90"/>
  <c r="K15" i="90"/>
  <c r="I34" i="90"/>
  <c r="I32" i="90"/>
  <c r="I30" i="90"/>
  <c r="I28" i="90"/>
  <c r="I26" i="90"/>
  <c r="I25" i="90"/>
  <c r="I21" i="90"/>
  <c r="I16" i="90"/>
  <c r="I15" i="90"/>
  <c r="I14" i="90"/>
  <c r="I12" i="90"/>
  <c r="K28" i="90"/>
  <c r="K25" i="90"/>
  <c r="K21" i="90"/>
  <c r="K16" i="90"/>
  <c r="H34" i="90"/>
  <c r="H32" i="90"/>
  <c r="H30" i="90"/>
  <c r="H28" i="90"/>
  <c r="H26" i="90"/>
  <c r="H21" i="90"/>
  <c r="H16" i="90"/>
  <c r="H15" i="90"/>
  <c r="H14" i="90"/>
  <c r="H12" i="90"/>
  <c r="F32" i="90"/>
  <c r="G32" i="90"/>
  <c r="G30" i="90"/>
  <c r="G28" i="90"/>
  <c r="G26" i="90"/>
  <c r="G25" i="90"/>
  <c r="G14" i="90"/>
  <c r="G12" i="90"/>
  <c r="F28" i="90"/>
  <c r="F25" i="90"/>
  <c r="F21" i="90"/>
  <c r="F15" i="90"/>
  <c r="F12" i="90"/>
  <c r="E26" i="90"/>
  <c r="E17" i="90"/>
  <c r="D26" i="90"/>
  <c r="B16" i="90"/>
  <c r="E30" i="90"/>
  <c r="C26" i="90"/>
  <c r="E15" i="90"/>
  <c r="E12" i="90"/>
  <c r="D30" i="90"/>
  <c r="C21" i="90"/>
  <c r="C34" i="90"/>
  <c r="C28" i="90"/>
  <c r="B34" i="90"/>
  <c r="D17" i="90"/>
  <c r="C32" i="90"/>
  <c r="E18" i="90"/>
  <c r="B26" i="90"/>
  <c r="D21" i="90"/>
  <c r="B17" i="90"/>
  <c r="B14" i="90"/>
  <c r="D12" i="90"/>
  <c r="C30" i="90"/>
  <c r="C18" i="90"/>
  <c r="E16" i="90"/>
  <c r="C15" i="90"/>
  <c r="C12" i="90"/>
  <c r="E32" i="90"/>
  <c r="C25" i="90"/>
  <c r="C16" i="90"/>
  <c r="E14" i="90"/>
  <c r="D32" i="90"/>
  <c r="B28" i="90"/>
  <c r="E21" i="90"/>
  <c r="C17" i="90"/>
  <c r="B32" i="90"/>
  <c r="D18" i="90"/>
  <c r="D15" i="90"/>
  <c r="E34" i="90"/>
  <c r="E28" i="90"/>
  <c r="E25" i="90"/>
  <c r="D34" i="90"/>
  <c r="B30" i="90"/>
  <c r="D28" i="90"/>
  <c r="D25" i="90"/>
  <c r="B21" i="90"/>
  <c r="B18" i="90"/>
  <c r="D16" i="90"/>
  <c r="B15" i="90"/>
  <c r="B12" i="90"/>
  <c r="H30" i="95"/>
  <c r="H10" i="95"/>
  <c r="H18" i="95"/>
  <c r="H12" i="95"/>
  <c r="H35" i="95"/>
  <c r="H23" i="95"/>
  <c r="H11" i="95"/>
  <c r="H28" i="95"/>
  <c r="H16" i="95"/>
  <c r="H33" i="95"/>
  <c r="H27" i="95"/>
  <c r="H9" i="95"/>
  <c r="H20" i="95"/>
  <c r="H8" i="95"/>
  <c r="H24" i="95"/>
  <c r="H6" i="95"/>
  <c r="H29" i="95"/>
  <c r="H17" i="95"/>
  <c r="H34" i="95"/>
  <c r="H22" i="95"/>
  <c r="H21" i="95"/>
  <c r="H15" i="95"/>
  <c r="H32" i="95"/>
  <c r="H26" i="95"/>
  <c r="H14" i="95"/>
  <c r="H25" i="95"/>
  <c r="H19" i="95"/>
  <c r="H13" i="95"/>
  <c r="H7" i="95"/>
  <c r="D29" i="95"/>
  <c r="D32" i="95"/>
  <c r="D28" i="95"/>
  <c r="D21" i="95"/>
  <c r="D23" i="95"/>
  <c r="D22" i="95"/>
  <c r="D20" i="95"/>
  <c r="D17" i="95"/>
  <c r="D16" i="95"/>
  <c r="D15" i="95"/>
  <c r="D7" i="95"/>
  <c r="D6" i="95"/>
  <c r="D12" i="95"/>
  <c r="D10" i="95"/>
  <c r="D8" i="95"/>
  <c r="D102" i="80"/>
  <c r="O108" i="99"/>
  <c r="N108" i="99"/>
  <c r="M108" i="99"/>
  <c r="L108" i="99"/>
  <c r="K108" i="99"/>
  <c r="J108" i="99"/>
  <c r="I108" i="99"/>
  <c r="H108" i="99"/>
  <c r="G108" i="99"/>
  <c r="I107" i="99"/>
  <c r="H107" i="99"/>
  <c r="G107" i="99"/>
  <c r="F107" i="99"/>
  <c r="F106" i="99"/>
  <c r="T103" i="99"/>
  <c r="S103" i="99"/>
  <c r="R103" i="99"/>
  <c r="Q103" i="99"/>
  <c r="P103" i="99"/>
  <c r="O103" i="99"/>
  <c r="N103" i="99"/>
  <c r="M103" i="99"/>
  <c r="L103" i="99"/>
  <c r="K103" i="99"/>
  <c r="J103" i="99"/>
  <c r="I103" i="99"/>
  <c r="H103" i="99"/>
  <c r="G103" i="99"/>
  <c r="F103" i="99"/>
  <c r="T102" i="99"/>
  <c r="S102" i="99"/>
  <c r="R102" i="99"/>
  <c r="Q102" i="99"/>
  <c r="P102" i="99"/>
  <c r="O102" i="99"/>
  <c r="N102" i="99"/>
  <c r="M102" i="99"/>
  <c r="L102" i="99"/>
  <c r="K102" i="99"/>
  <c r="J102" i="99"/>
  <c r="I102" i="99"/>
  <c r="H102" i="99"/>
  <c r="G102" i="99"/>
  <c r="F102" i="99"/>
  <c r="F101" i="99"/>
  <c r="E100" i="99"/>
  <c r="D97" i="99"/>
  <c r="D96" i="99"/>
  <c r="D95" i="99"/>
  <c r="D93" i="99"/>
  <c r="D92" i="99"/>
  <c r="I92" i="99" s="1"/>
  <c r="D89" i="99"/>
  <c r="D88" i="99"/>
  <c r="D83" i="99"/>
  <c r="D81" i="99"/>
  <c r="D80" i="99"/>
  <c r="D77" i="99"/>
  <c r="D76" i="99"/>
  <c r="D75" i="99"/>
  <c r="D74" i="99"/>
  <c r="F72" i="99"/>
  <c r="F44" i="99"/>
  <c r="F33" i="99"/>
  <c r="D33" i="99"/>
  <c r="D27" i="99"/>
  <c r="D69" i="99" s="1"/>
  <c r="D23" i="99"/>
  <c r="E22" i="99"/>
  <c r="E21" i="99"/>
  <c r="E20" i="99"/>
  <c r="E19" i="99"/>
  <c r="E18" i="99"/>
  <c r="F106" i="98"/>
  <c r="T103" i="98"/>
  <c r="S103" i="98"/>
  <c r="R103" i="98"/>
  <c r="Q103" i="98"/>
  <c r="P103" i="98"/>
  <c r="O103" i="98"/>
  <c r="N103" i="98"/>
  <c r="M103" i="98"/>
  <c r="L103" i="98"/>
  <c r="K103" i="98"/>
  <c r="J103" i="98"/>
  <c r="I103" i="98"/>
  <c r="H103" i="98"/>
  <c r="G103" i="98"/>
  <c r="F103" i="98"/>
  <c r="T102" i="98"/>
  <c r="S102" i="98"/>
  <c r="R102" i="98"/>
  <c r="Q102" i="98"/>
  <c r="P102" i="98"/>
  <c r="O102" i="98"/>
  <c r="N102" i="98"/>
  <c r="M102" i="98"/>
  <c r="L102" i="98"/>
  <c r="K102" i="98"/>
  <c r="J102" i="98"/>
  <c r="I102" i="98"/>
  <c r="H102" i="98"/>
  <c r="G102" i="98"/>
  <c r="F102" i="98"/>
  <c r="F101" i="98"/>
  <c r="E100" i="98"/>
  <c r="D97" i="98"/>
  <c r="P97" i="98" s="1"/>
  <c r="D96" i="98"/>
  <c r="S96" i="98" s="1"/>
  <c r="D95" i="98"/>
  <c r="T95" i="98" s="1"/>
  <c r="D93" i="98"/>
  <c r="D92" i="98"/>
  <c r="D89" i="98"/>
  <c r="D88" i="98"/>
  <c r="D83" i="98"/>
  <c r="D81" i="98"/>
  <c r="D80" i="98"/>
  <c r="D77" i="98"/>
  <c r="D76" i="98"/>
  <c r="D75" i="98"/>
  <c r="D74" i="98"/>
  <c r="F72" i="98"/>
  <c r="D65" i="98"/>
  <c r="F65" i="98" s="1"/>
  <c r="D60" i="98"/>
  <c r="T60" i="98" s="1"/>
  <c r="D55" i="98"/>
  <c r="R55" i="98" s="1"/>
  <c r="D53" i="98"/>
  <c r="N53" i="98" s="1"/>
  <c r="D52" i="98"/>
  <c r="F52" i="98" s="1"/>
  <c r="D48" i="98"/>
  <c r="Q48" i="98" s="1"/>
  <c r="D47" i="98"/>
  <c r="P47" i="98" s="1"/>
  <c r="F44" i="98"/>
  <c r="F33" i="98"/>
  <c r="D33" i="98"/>
  <c r="D27" i="98"/>
  <c r="D68" i="98" s="1"/>
  <c r="T68" i="98" s="1"/>
  <c r="D23" i="98"/>
  <c r="E22" i="98"/>
  <c r="E21" i="98"/>
  <c r="E20" i="98"/>
  <c r="E19" i="98"/>
  <c r="E18" i="98"/>
  <c r="F106" i="97"/>
  <c r="T103" i="97"/>
  <c r="S103" i="97"/>
  <c r="R103" i="97"/>
  <c r="Q103" i="97"/>
  <c r="P103" i="97"/>
  <c r="O103" i="97"/>
  <c r="N103" i="97"/>
  <c r="M103" i="97"/>
  <c r="L103" i="97"/>
  <c r="K103" i="97"/>
  <c r="J103" i="97"/>
  <c r="I103" i="97"/>
  <c r="H103" i="97"/>
  <c r="G103" i="97"/>
  <c r="F103" i="97"/>
  <c r="T102" i="97"/>
  <c r="S102" i="97"/>
  <c r="R102" i="97"/>
  <c r="Q102" i="97"/>
  <c r="P102" i="97"/>
  <c r="O102" i="97"/>
  <c r="N102" i="97"/>
  <c r="M102" i="97"/>
  <c r="L102" i="97"/>
  <c r="K102" i="97"/>
  <c r="J102" i="97"/>
  <c r="I102" i="97"/>
  <c r="H102" i="97"/>
  <c r="G102" i="97"/>
  <c r="F102" i="97"/>
  <c r="F101" i="97"/>
  <c r="E100" i="97"/>
  <c r="D97" i="97"/>
  <c r="D96" i="97"/>
  <c r="D95" i="97"/>
  <c r="D93" i="97"/>
  <c r="D92" i="97"/>
  <c r="T92" i="97" s="1"/>
  <c r="D89" i="97"/>
  <c r="Q89" i="97" s="1"/>
  <c r="D88" i="97"/>
  <c r="D83" i="97"/>
  <c r="D81" i="97"/>
  <c r="I81" i="97" s="1"/>
  <c r="D80" i="97"/>
  <c r="D77" i="97"/>
  <c r="D76" i="97"/>
  <c r="D75" i="97"/>
  <c r="D74" i="97"/>
  <c r="F72" i="97"/>
  <c r="F44" i="97"/>
  <c r="F33" i="97"/>
  <c r="D33" i="97"/>
  <c r="D27" i="97"/>
  <c r="D47" i="97" s="1"/>
  <c r="S47" i="97" s="1"/>
  <c r="D23" i="97"/>
  <c r="E22" i="97"/>
  <c r="E21" i="97"/>
  <c r="E20" i="97"/>
  <c r="E19" i="97"/>
  <c r="E18" i="97"/>
  <c r="F106" i="96"/>
  <c r="T103" i="96"/>
  <c r="S103" i="96"/>
  <c r="R103" i="96"/>
  <c r="Q103" i="96"/>
  <c r="P103" i="96"/>
  <c r="O103" i="96"/>
  <c r="N103" i="96"/>
  <c r="M103" i="96"/>
  <c r="L103" i="96"/>
  <c r="K103" i="96"/>
  <c r="J103" i="96"/>
  <c r="I103" i="96"/>
  <c r="H103" i="96"/>
  <c r="G103" i="96"/>
  <c r="F103" i="96"/>
  <c r="T102" i="96"/>
  <c r="S102" i="96"/>
  <c r="R102" i="96"/>
  <c r="Q102" i="96"/>
  <c r="P102" i="96"/>
  <c r="O102" i="96"/>
  <c r="N102" i="96"/>
  <c r="M102" i="96"/>
  <c r="L102" i="96"/>
  <c r="K102" i="96"/>
  <c r="J102" i="96"/>
  <c r="I102" i="96"/>
  <c r="H102" i="96"/>
  <c r="G102" i="96"/>
  <c r="F102" i="96"/>
  <c r="F101" i="96"/>
  <c r="E100" i="96"/>
  <c r="D97" i="96"/>
  <c r="T97" i="96" s="1"/>
  <c r="D96" i="96"/>
  <c r="T96" i="96" s="1"/>
  <c r="D95" i="96"/>
  <c r="R95" i="96" s="1"/>
  <c r="D93" i="96"/>
  <c r="T93" i="96" s="1"/>
  <c r="D92" i="96"/>
  <c r="L92" i="96" s="1"/>
  <c r="D89" i="96"/>
  <c r="D88" i="96"/>
  <c r="D83" i="96"/>
  <c r="D81" i="96"/>
  <c r="S81" i="96" s="1"/>
  <c r="D80" i="96"/>
  <c r="R80" i="96" s="1"/>
  <c r="D77" i="96"/>
  <c r="D76" i="96"/>
  <c r="D75" i="96"/>
  <c r="D74" i="96"/>
  <c r="F72" i="96"/>
  <c r="D69" i="96"/>
  <c r="T69" i="96" s="1"/>
  <c r="D61" i="96"/>
  <c r="D48" i="96"/>
  <c r="S48" i="96" s="1"/>
  <c r="D46" i="96"/>
  <c r="T46" i="96" s="1"/>
  <c r="F44" i="96"/>
  <c r="F33" i="96"/>
  <c r="D33" i="96"/>
  <c r="D27" i="96"/>
  <c r="D23" i="96"/>
  <c r="E22" i="96"/>
  <c r="E21" i="96"/>
  <c r="E20" i="96"/>
  <c r="E19" i="96"/>
  <c r="E18" i="96"/>
  <c r="E23" i="96" s="1"/>
  <c r="D102" i="81"/>
  <c r="F107" i="61"/>
  <c r="D102" i="57"/>
  <c r="D52" i="97" l="1"/>
  <c r="R52" i="97" s="1"/>
  <c r="E23" i="97"/>
  <c r="D55" i="97"/>
  <c r="R55" i="97" s="1"/>
  <c r="D61" i="98"/>
  <c r="O61" i="98" s="1"/>
  <c r="D60" i="97"/>
  <c r="R60" i="97" s="1"/>
  <c r="D65" i="97"/>
  <c r="R65" i="97" s="1"/>
  <c r="D68" i="97"/>
  <c r="H68" i="97" s="1"/>
  <c r="E23" i="99"/>
  <c r="N92" i="99"/>
  <c r="O92" i="99"/>
  <c r="I95" i="98"/>
  <c r="G80" i="96"/>
  <c r="K80" i="96"/>
  <c r="O89" i="97"/>
  <c r="I92" i="97"/>
  <c r="M93" i="96"/>
  <c r="P47" i="97"/>
  <c r="J92" i="97"/>
  <c r="K92" i="97"/>
  <c r="T52" i="98"/>
  <c r="G69" i="96"/>
  <c r="L92" i="97"/>
  <c r="S69" i="96"/>
  <c r="J92" i="99"/>
  <c r="K92" i="99"/>
  <c r="L92" i="99"/>
  <c r="N93" i="96"/>
  <c r="J95" i="98"/>
  <c r="F69" i="96"/>
  <c r="K95" i="98"/>
  <c r="M92" i="99"/>
  <c r="L95" i="98"/>
  <c r="F46" i="96"/>
  <c r="H69" i="96"/>
  <c r="T47" i="98"/>
  <c r="T65" i="98"/>
  <c r="M95" i="98"/>
  <c r="G46" i="96"/>
  <c r="I69" i="96"/>
  <c r="N95" i="98"/>
  <c r="S92" i="99"/>
  <c r="R69" i="96"/>
  <c r="O95" i="98"/>
  <c r="P48" i="96"/>
  <c r="H80" i="96"/>
  <c r="M92" i="96"/>
  <c r="P89" i="97"/>
  <c r="F96" i="98"/>
  <c r="T48" i="96"/>
  <c r="I80" i="96"/>
  <c r="N92" i="96"/>
  <c r="H95" i="96"/>
  <c r="T96" i="98"/>
  <c r="J80" i="96"/>
  <c r="O92" i="96"/>
  <c r="T55" i="98"/>
  <c r="G92" i="99"/>
  <c r="D46" i="99"/>
  <c r="H46" i="99" s="1"/>
  <c r="D64" i="99"/>
  <c r="K64" i="99" s="1"/>
  <c r="D67" i="99"/>
  <c r="H67" i="99" s="1"/>
  <c r="D49" i="99"/>
  <c r="H49" i="99" s="1"/>
  <c r="I69" i="99"/>
  <c r="T69" i="99"/>
  <c r="H69" i="99"/>
  <c r="S69" i="99"/>
  <c r="G69" i="99"/>
  <c r="R69" i="99"/>
  <c r="F69" i="99"/>
  <c r="P69" i="99"/>
  <c r="Q69" i="99"/>
  <c r="O69" i="99"/>
  <c r="N69" i="99"/>
  <c r="M69" i="99"/>
  <c r="K69" i="99"/>
  <c r="J69" i="99"/>
  <c r="L69" i="99"/>
  <c r="D47" i="99"/>
  <c r="D52" i="99"/>
  <c r="D55" i="99"/>
  <c r="D60" i="99"/>
  <c r="D65" i="99"/>
  <c r="D68" i="99"/>
  <c r="P92" i="99"/>
  <c r="Q92" i="99"/>
  <c r="F92" i="99"/>
  <c r="R92" i="99"/>
  <c r="D48" i="99"/>
  <c r="D53" i="99"/>
  <c r="D61" i="99"/>
  <c r="H92" i="99"/>
  <c r="T92" i="99"/>
  <c r="P95" i="98"/>
  <c r="E23" i="98"/>
  <c r="M97" i="98"/>
  <c r="O60" i="98"/>
  <c r="L60" i="98"/>
  <c r="N60" i="98"/>
  <c r="M60" i="98"/>
  <c r="K60" i="98"/>
  <c r="J60" i="98"/>
  <c r="G47" i="98"/>
  <c r="P48" i="98"/>
  <c r="H60" i="98"/>
  <c r="P68" i="98"/>
  <c r="I47" i="98"/>
  <c r="I52" i="98"/>
  <c r="Q53" i="98"/>
  <c r="I55" i="98"/>
  <c r="I60" i="98"/>
  <c r="I65" i="98"/>
  <c r="Q68" i="98"/>
  <c r="H96" i="98"/>
  <c r="P52" i="98"/>
  <c r="P55" i="98"/>
  <c r="P60" i="98"/>
  <c r="P65" i="98"/>
  <c r="R68" i="98"/>
  <c r="I96" i="98"/>
  <c r="O47" i="98"/>
  <c r="K47" i="98"/>
  <c r="N47" i="98"/>
  <c r="J47" i="98"/>
  <c r="M47" i="98"/>
  <c r="L47" i="98"/>
  <c r="M53" i="98"/>
  <c r="O53" i="98"/>
  <c r="G60" i="98"/>
  <c r="H55" i="98"/>
  <c r="H65" i="98"/>
  <c r="Q47" i="98"/>
  <c r="Q52" i="98"/>
  <c r="Q55" i="98"/>
  <c r="Q60" i="98"/>
  <c r="Q65" i="98"/>
  <c r="S68" i="98"/>
  <c r="R47" i="98"/>
  <c r="R52" i="98"/>
  <c r="R60" i="98"/>
  <c r="R65" i="98"/>
  <c r="R96" i="98"/>
  <c r="K48" i="98"/>
  <c r="H48" i="98"/>
  <c r="F48" i="98"/>
  <c r="J48" i="98"/>
  <c r="T48" i="98"/>
  <c r="I48" i="98"/>
  <c r="S48" i="98"/>
  <c r="G48" i="98"/>
  <c r="R48" i="98"/>
  <c r="O68" i="98"/>
  <c r="I68" i="98"/>
  <c r="N68" i="98"/>
  <c r="J68" i="98"/>
  <c r="M68" i="98"/>
  <c r="L68" i="98"/>
  <c r="K68" i="98"/>
  <c r="O55" i="98"/>
  <c r="J55" i="98"/>
  <c r="N55" i="98"/>
  <c r="L55" i="98"/>
  <c r="M55" i="98"/>
  <c r="K55" i="98"/>
  <c r="N97" i="98"/>
  <c r="O48" i="98"/>
  <c r="G65" i="98"/>
  <c r="H47" i="98"/>
  <c r="H52" i="98"/>
  <c r="P53" i="98"/>
  <c r="G96" i="98"/>
  <c r="D67" i="98"/>
  <c r="D64" i="98"/>
  <c r="D49" i="98"/>
  <c r="D46" i="98"/>
  <c r="D69" i="98"/>
  <c r="Q96" i="98"/>
  <c r="S47" i="98"/>
  <c r="S52" i="98"/>
  <c r="S55" i="98"/>
  <c r="S60" i="98"/>
  <c r="S65" i="98"/>
  <c r="M48" i="98"/>
  <c r="F47" i="98"/>
  <c r="N48" i="98"/>
  <c r="F55" i="98"/>
  <c r="F60" i="98"/>
  <c r="G68" i="98"/>
  <c r="P96" i="98"/>
  <c r="M96" i="98"/>
  <c r="L96" i="98"/>
  <c r="O96" i="98"/>
  <c r="J96" i="98"/>
  <c r="N96" i="98"/>
  <c r="K96" i="98"/>
  <c r="O97" i="98"/>
  <c r="K53" i="98"/>
  <c r="S53" i="98"/>
  <c r="F53" i="98"/>
  <c r="J53" i="98"/>
  <c r="H53" i="98"/>
  <c r="R53" i="98"/>
  <c r="I53" i="98"/>
  <c r="T53" i="98"/>
  <c r="G53" i="98"/>
  <c r="L53" i="98"/>
  <c r="O52" i="98"/>
  <c r="L52" i="98"/>
  <c r="N52" i="98"/>
  <c r="K52" i="98"/>
  <c r="M52" i="98"/>
  <c r="J52" i="98"/>
  <c r="G52" i="98"/>
  <c r="H68" i="98"/>
  <c r="L97" i="98"/>
  <c r="H97" i="98"/>
  <c r="R97" i="98"/>
  <c r="F97" i="98"/>
  <c r="K97" i="98"/>
  <c r="I97" i="98"/>
  <c r="S97" i="98"/>
  <c r="G97" i="98"/>
  <c r="J97" i="98"/>
  <c r="T97" i="98"/>
  <c r="L48" i="98"/>
  <c r="O65" i="98"/>
  <c r="J65" i="98"/>
  <c r="N65" i="98"/>
  <c r="L65" i="98"/>
  <c r="M65" i="98"/>
  <c r="K65" i="98"/>
  <c r="F68" i="98"/>
  <c r="G55" i="98"/>
  <c r="Q97" i="98"/>
  <c r="F95" i="98"/>
  <c r="R95" i="98"/>
  <c r="Q95" i="98"/>
  <c r="G95" i="98"/>
  <c r="S95" i="98"/>
  <c r="H95" i="98"/>
  <c r="K81" i="97"/>
  <c r="L81" i="97"/>
  <c r="M81" i="97"/>
  <c r="N81" i="97"/>
  <c r="O81" i="97"/>
  <c r="T81" i="97"/>
  <c r="H81" i="97"/>
  <c r="J81" i="97"/>
  <c r="M89" i="97"/>
  <c r="N89" i="97"/>
  <c r="M92" i="97"/>
  <c r="N92" i="97"/>
  <c r="P92" i="97"/>
  <c r="S92" i="97"/>
  <c r="G92" i="97"/>
  <c r="Q47" i="97"/>
  <c r="G47" i="97"/>
  <c r="J47" i="97"/>
  <c r="P81" i="97"/>
  <c r="G89" i="97"/>
  <c r="S89" i="97"/>
  <c r="O92" i="97"/>
  <c r="H47" i="97"/>
  <c r="D48" i="97"/>
  <c r="R89" i="97"/>
  <c r="K47" i="97"/>
  <c r="Q81" i="97"/>
  <c r="H89" i="97"/>
  <c r="T89" i="97"/>
  <c r="I47" i="97"/>
  <c r="D61" i="97"/>
  <c r="D69" i="97"/>
  <c r="F89" i="97"/>
  <c r="L47" i="97"/>
  <c r="F81" i="97"/>
  <c r="R81" i="97"/>
  <c r="I89" i="97"/>
  <c r="Q92" i="97"/>
  <c r="T47" i="97"/>
  <c r="D53" i="97"/>
  <c r="D46" i="97"/>
  <c r="M47" i="97"/>
  <c r="D49" i="97"/>
  <c r="D64" i="97"/>
  <c r="D67" i="97"/>
  <c r="G81" i="97"/>
  <c r="S81" i="97"/>
  <c r="J89" i="97"/>
  <c r="F92" i="97"/>
  <c r="R92" i="97"/>
  <c r="N47" i="97"/>
  <c r="K89" i="97"/>
  <c r="O47" i="97"/>
  <c r="L89" i="97"/>
  <c r="H92" i="97"/>
  <c r="F47" i="97"/>
  <c r="R47" i="97"/>
  <c r="J96" i="96"/>
  <c r="O93" i="96"/>
  <c r="K96" i="96"/>
  <c r="P92" i="96"/>
  <c r="P93" i="96"/>
  <c r="Q92" i="96"/>
  <c r="F95" i="96"/>
  <c r="R92" i="96"/>
  <c r="G95" i="96"/>
  <c r="R97" i="96"/>
  <c r="H93" i="96"/>
  <c r="I95" i="96"/>
  <c r="G92" i="96"/>
  <c r="I93" i="96"/>
  <c r="L95" i="96"/>
  <c r="H92" i="96"/>
  <c r="J93" i="96"/>
  <c r="M95" i="96"/>
  <c r="I92" i="96"/>
  <c r="K93" i="96"/>
  <c r="N95" i="96"/>
  <c r="L93" i="96"/>
  <c r="T95" i="96"/>
  <c r="L81" i="96"/>
  <c r="N80" i="96"/>
  <c r="O80" i="96"/>
  <c r="N61" i="96"/>
  <c r="M61" i="96"/>
  <c r="K61" i="96"/>
  <c r="J61" i="96"/>
  <c r="I61" i="96"/>
  <c r="H61" i="96"/>
  <c r="G61" i="96"/>
  <c r="R46" i="96"/>
  <c r="L48" i="96"/>
  <c r="P61" i="96"/>
  <c r="J81" i="96"/>
  <c r="H97" i="96"/>
  <c r="S46" i="96"/>
  <c r="O48" i="96"/>
  <c r="Q61" i="96"/>
  <c r="K81" i="96"/>
  <c r="I97" i="96"/>
  <c r="R61" i="96"/>
  <c r="Q48" i="96"/>
  <c r="S61" i="96"/>
  <c r="S96" i="96"/>
  <c r="G96" i="96"/>
  <c r="R96" i="96"/>
  <c r="F96" i="96"/>
  <c r="Q96" i="96"/>
  <c r="P96" i="96"/>
  <c r="O96" i="96"/>
  <c r="N96" i="96"/>
  <c r="M96" i="96"/>
  <c r="L96" i="96"/>
  <c r="S97" i="96"/>
  <c r="R48" i="96"/>
  <c r="T61" i="96"/>
  <c r="N69" i="96"/>
  <c r="M69" i="96"/>
  <c r="Q69" i="96"/>
  <c r="P69" i="96"/>
  <c r="O69" i="96"/>
  <c r="L69" i="96"/>
  <c r="K69" i="96"/>
  <c r="J69" i="96"/>
  <c r="H96" i="96"/>
  <c r="I96" i="96"/>
  <c r="J46" i="96"/>
  <c r="I46" i="96"/>
  <c r="O46" i="96"/>
  <c r="N46" i="96"/>
  <c r="M46" i="96"/>
  <c r="L46" i="96"/>
  <c r="K46" i="96"/>
  <c r="H46" i="96"/>
  <c r="F61" i="96"/>
  <c r="I81" i="96"/>
  <c r="T81" i="96"/>
  <c r="H81" i="96"/>
  <c r="R81" i="96"/>
  <c r="Q81" i="96"/>
  <c r="P81" i="96"/>
  <c r="O81" i="96"/>
  <c r="N81" i="96"/>
  <c r="M81" i="96"/>
  <c r="O97" i="96"/>
  <c r="N97" i="96"/>
  <c r="Q97" i="96"/>
  <c r="P97" i="96"/>
  <c r="M97" i="96"/>
  <c r="L97" i="96"/>
  <c r="K97" i="96"/>
  <c r="J97" i="96"/>
  <c r="P46" i="96"/>
  <c r="N48" i="96"/>
  <c r="M48" i="96"/>
  <c r="K48" i="96"/>
  <c r="J48" i="96"/>
  <c r="I48" i="96"/>
  <c r="H48" i="96"/>
  <c r="G48" i="96"/>
  <c r="L61" i="96"/>
  <c r="F81" i="96"/>
  <c r="F97" i="96"/>
  <c r="Q46" i="96"/>
  <c r="F48" i="96"/>
  <c r="O61" i="96"/>
  <c r="G81" i="96"/>
  <c r="G97" i="96"/>
  <c r="D49" i="96"/>
  <c r="D64" i="96"/>
  <c r="P80" i="96"/>
  <c r="K92" i="96"/>
  <c r="J92" i="96"/>
  <c r="S92" i="96"/>
  <c r="Q93" i="96"/>
  <c r="O95" i="96"/>
  <c r="Q80" i="96"/>
  <c r="F92" i="96"/>
  <c r="T92" i="96"/>
  <c r="P95" i="96"/>
  <c r="D53" i="96"/>
  <c r="S93" i="96"/>
  <c r="G93" i="96"/>
  <c r="R93" i="96"/>
  <c r="F93" i="96"/>
  <c r="Q95" i="96"/>
  <c r="M80" i="96"/>
  <c r="L80" i="96"/>
  <c r="S80" i="96"/>
  <c r="D68" i="96"/>
  <c r="D65" i="96"/>
  <c r="D60" i="96"/>
  <c r="D55" i="96"/>
  <c r="D52" i="96"/>
  <c r="D47" i="96"/>
  <c r="D67" i="96"/>
  <c r="F80" i="96"/>
  <c r="T80" i="96"/>
  <c r="K95" i="96"/>
  <c r="J95" i="96"/>
  <c r="S95" i="96"/>
  <c r="G18" i="95" a="1"/>
  <c r="G5" i="95" a="1"/>
  <c r="C21" i="95" a="1"/>
  <c r="C13" i="95" a="1"/>
  <c r="G33" i="95" a="1"/>
  <c r="G11" i="95" a="1"/>
  <c r="C10" i="95" a="1"/>
  <c r="G7" i="95" a="1"/>
  <c r="G35" i="95" a="1"/>
  <c r="C22" i="95" a="1"/>
  <c r="G17" i="95" a="1"/>
  <c r="G28" i="95" a="1"/>
  <c r="G14" i="95" a="1"/>
  <c r="G10" i="95" a="1"/>
  <c r="C26" i="95" a="1"/>
  <c r="C25" i="95" a="1"/>
  <c r="C17" i="95" a="1"/>
  <c r="G32" i="95" a="1"/>
  <c r="C23" i="95" a="1"/>
  <c r="C27" i="95" a="1"/>
  <c r="G22" i="95" a="1"/>
  <c r="G12" i="95" a="1"/>
  <c r="C9" i="95" a="1"/>
  <c r="C8" i="95" a="1"/>
  <c r="C16" i="95" a="1"/>
  <c r="G16" i="95" a="1"/>
  <c r="G30" i="95" a="1"/>
  <c r="C7" i="95" a="1"/>
  <c r="C12" i="95" a="1"/>
  <c r="C31" i="95" a="1"/>
  <c r="G13" i="95" a="1"/>
  <c r="C32" i="95" a="1"/>
  <c r="G31" i="95" a="1"/>
  <c r="C33" i="95" a="1"/>
  <c r="G27" i="95" a="1"/>
  <c r="G20" i="95" a="1"/>
  <c r="G6" i="95" a="1"/>
  <c r="G25" i="95" a="1"/>
  <c r="G15" i="95" a="1"/>
  <c r="G21" i="95" a="1"/>
  <c r="C15" i="95" a="1"/>
  <c r="C29" i="95" a="1"/>
  <c r="G24" i="95" a="1"/>
  <c r="G9" i="95" a="1"/>
  <c r="C24" i="95" a="1"/>
  <c r="C20" i="95" a="1"/>
  <c r="G23" i="95" a="1"/>
  <c r="C18" i="95" a="1"/>
  <c r="C19" i="95" a="1"/>
  <c r="C28" i="95" a="1"/>
  <c r="C14" i="95" a="1"/>
  <c r="G26" i="95" a="1"/>
  <c r="G19" i="95" a="1"/>
  <c r="G8" i="95" a="1"/>
  <c r="C35" i="95" a="1"/>
  <c r="C11" i="95" a="1"/>
  <c r="G34" i="95" a="1"/>
  <c r="C6" i="95" a="1"/>
  <c r="G29" i="95" a="1"/>
  <c r="C34" i="95" a="1"/>
  <c r="C5" i="95" a="1"/>
  <c r="C30" i="95" a="1"/>
  <c r="M65" i="97" l="1"/>
  <c r="M52" i="97"/>
  <c r="S68" i="97"/>
  <c r="G65" i="97"/>
  <c r="N65" i="97"/>
  <c r="M55" i="97"/>
  <c r="N55" i="97"/>
  <c r="Q65" i="97"/>
  <c r="N52" i="97"/>
  <c r="H65" i="97"/>
  <c r="S65" i="97"/>
  <c r="Q68" i="97"/>
  <c r="P68" i="97"/>
  <c r="L68" i="97"/>
  <c r="F65" i="97"/>
  <c r="K68" i="97"/>
  <c r="K65" i="97"/>
  <c r="T65" i="97"/>
  <c r="J52" i="97"/>
  <c r="I61" i="98"/>
  <c r="P65" i="97"/>
  <c r="R68" i="97"/>
  <c r="L65" i="97"/>
  <c r="J68" i="97"/>
  <c r="J65" i="97"/>
  <c r="O68" i="97"/>
  <c r="G68" i="97"/>
  <c r="I68" i="97"/>
  <c r="O65" i="97"/>
  <c r="S52" i="97"/>
  <c r="T68" i="97"/>
  <c r="T52" i="97"/>
  <c r="I65" i="97"/>
  <c r="F68" i="97"/>
  <c r="R61" i="98"/>
  <c r="Q60" i="97"/>
  <c r="G61" i="98"/>
  <c r="L52" i="97"/>
  <c r="Q55" i="97"/>
  <c r="Q52" i="97"/>
  <c r="M61" i="98"/>
  <c r="M68" i="97"/>
  <c r="K52" i="97"/>
  <c r="N68" i="97"/>
  <c r="G55" i="97"/>
  <c r="M60" i="97"/>
  <c r="O55" i="97"/>
  <c r="K60" i="97"/>
  <c r="J61" i="98"/>
  <c r="P55" i="97"/>
  <c r="O52" i="97"/>
  <c r="I55" i="97"/>
  <c r="K55" i="97"/>
  <c r="H60" i="97"/>
  <c r="F61" i="98"/>
  <c r="P61" i="98"/>
  <c r="T55" i="97"/>
  <c r="G60" i="97"/>
  <c r="F52" i="97"/>
  <c r="T60" i="97"/>
  <c r="S55" i="97"/>
  <c r="F60" i="97"/>
  <c r="Q61" i="98"/>
  <c r="P52" i="97"/>
  <c r="H55" i="97"/>
  <c r="L60" i="97"/>
  <c r="S60" i="97"/>
  <c r="I52" i="97"/>
  <c r="J60" i="97"/>
  <c r="G52" i="97"/>
  <c r="K61" i="98"/>
  <c r="F55" i="97"/>
  <c r="N60" i="97"/>
  <c r="H52" i="97"/>
  <c r="L55" i="97"/>
  <c r="J55" i="97"/>
  <c r="L61" i="98"/>
  <c r="S61" i="98"/>
  <c r="N61" i="98"/>
  <c r="P60" i="97"/>
  <c r="H61" i="98"/>
  <c r="O60" i="97"/>
  <c r="I60" i="97"/>
  <c r="T61" i="98"/>
  <c r="N67" i="99"/>
  <c r="J67" i="99"/>
  <c r="M67" i="99"/>
  <c r="P67" i="99"/>
  <c r="P49" i="99"/>
  <c r="K49" i="99"/>
  <c r="T46" i="99"/>
  <c r="J49" i="99"/>
  <c r="P46" i="99"/>
  <c r="I67" i="99"/>
  <c r="O49" i="99"/>
  <c r="I64" i="99"/>
  <c r="I49" i="99"/>
  <c r="O46" i="99"/>
  <c r="M49" i="99"/>
  <c r="J46" i="99"/>
  <c r="I46" i="99"/>
  <c r="N49" i="99"/>
  <c r="T67" i="99"/>
  <c r="T64" i="99"/>
  <c r="K67" i="99"/>
  <c r="N64" i="99"/>
  <c r="K46" i="99"/>
  <c r="H64" i="99"/>
  <c r="P64" i="99"/>
  <c r="N46" i="99"/>
  <c r="M46" i="99"/>
  <c r="J64" i="99"/>
  <c r="M64" i="99"/>
  <c r="Q64" i="99"/>
  <c r="G64" i="99"/>
  <c r="F64" i="99"/>
  <c r="R64" i="99"/>
  <c r="L64" i="99"/>
  <c r="S64" i="99"/>
  <c r="O64" i="99"/>
  <c r="Q49" i="99"/>
  <c r="S49" i="99"/>
  <c r="R49" i="99"/>
  <c r="L49" i="99"/>
  <c r="G49" i="99"/>
  <c r="F49" i="99"/>
  <c r="Q46" i="99"/>
  <c r="S46" i="99"/>
  <c r="L46" i="99"/>
  <c r="G46" i="99"/>
  <c r="R46" i="99"/>
  <c r="F46" i="99"/>
  <c r="T49" i="99"/>
  <c r="Q67" i="99"/>
  <c r="L67" i="99"/>
  <c r="G67" i="99"/>
  <c r="F67" i="99"/>
  <c r="S67" i="99"/>
  <c r="R67" i="99"/>
  <c r="O67" i="99"/>
  <c r="M47" i="99"/>
  <c r="L47" i="99"/>
  <c r="K47" i="99"/>
  <c r="J47" i="99"/>
  <c r="H47" i="99"/>
  <c r="I47" i="99"/>
  <c r="T47" i="99"/>
  <c r="S47" i="99"/>
  <c r="G47" i="99"/>
  <c r="R47" i="99"/>
  <c r="F47" i="99"/>
  <c r="O47" i="99"/>
  <c r="N47" i="99"/>
  <c r="Q47" i="99"/>
  <c r="P47" i="99"/>
  <c r="M60" i="99"/>
  <c r="L60" i="99"/>
  <c r="K60" i="99"/>
  <c r="J60" i="99"/>
  <c r="T60" i="99"/>
  <c r="I60" i="99"/>
  <c r="H60" i="99"/>
  <c r="N60" i="99"/>
  <c r="S60" i="99"/>
  <c r="G60" i="99"/>
  <c r="O60" i="99"/>
  <c r="R60" i="99"/>
  <c r="F60" i="99"/>
  <c r="Q60" i="99"/>
  <c r="P60" i="99"/>
  <c r="M52" i="99"/>
  <c r="L52" i="99"/>
  <c r="K52" i="99"/>
  <c r="J52" i="99"/>
  <c r="H52" i="99"/>
  <c r="I52" i="99"/>
  <c r="T52" i="99"/>
  <c r="S52" i="99"/>
  <c r="G52" i="99"/>
  <c r="R52" i="99"/>
  <c r="F52" i="99"/>
  <c r="O52" i="99"/>
  <c r="N52" i="99"/>
  <c r="Q52" i="99"/>
  <c r="P52" i="99"/>
  <c r="I53" i="99"/>
  <c r="T53" i="99"/>
  <c r="H53" i="99"/>
  <c r="S53" i="99"/>
  <c r="G53" i="99"/>
  <c r="R53" i="99"/>
  <c r="F53" i="99"/>
  <c r="P53" i="99"/>
  <c r="Q53" i="99"/>
  <c r="O53" i="99"/>
  <c r="N53" i="99"/>
  <c r="M53" i="99"/>
  <c r="J53" i="99"/>
  <c r="L53" i="99"/>
  <c r="K53" i="99"/>
  <c r="I48" i="99"/>
  <c r="T48" i="99"/>
  <c r="H48" i="99"/>
  <c r="S48" i="99"/>
  <c r="G48" i="99"/>
  <c r="R48" i="99"/>
  <c r="F48" i="99"/>
  <c r="Q48" i="99"/>
  <c r="P48" i="99"/>
  <c r="O48" i="99"/>
  <c r="N48" i="99"/>
  <c r="J48" i="99"/>
  <c r="M48" i="99"/>
  <c r="L48" i="99"/>
  <c r="K48" i="99"/>
  <c r="I61" i="99"/>
  <c r="T61" i="99"/>
  <c r="H61" i="99"/>
  <c r="S61" i="99"/>
  <c r="G61" i="99"/>
  <c r="R61" i="99"/>
  <c r="F61" i="99"/>
  <c r="P61" i="99"/>
  <c r="Q61" i="99"/>
  <c r="O61" i="99"/>
  <c r="J61" i="99"/>
  <c r="N61" i="99"/>
  <c r="M61" i="99"/>
  <c r="K61" i="99"/>
  <c r="L61" i="99"/>
  <c r="M55" i="99"/>
  <c r="L55" i="99"/>
  <c r="K55" i="99"/>
  <c r="J55" i="99"/>
  <c r="H55" i="99"/>
  <c r="I55" i="99"/>
  <c r="T55" i="99"/>
  <c r="S55" i="99"/>
  <c r="G55" i="99"/>
  <c r="R55" i="99"/>
  <c r="F55" i="99"/>
  <c r="O55" i="99"/>
  <c r="Q55" i="99"/>
  <c r="P55" i="99"/>
  <c r="N55" i="99"/>
  <c r="M68" i="99"/>
  <c r="L68" i="99"/>
  <c r="K68" i="99"/>
  <c r="J68" i="99"/>
  <c r="T68" i="99"/>
  <c r="I68" i="99"/>
  <c r="H68" i="99"/>
  <c r="S68" i="99"/>
  <c r="G68" i="99"/>
  <c r="R68" i="99"/>
  <c r="F68" i="99"/>
  <c r="Q68" i="99"/>
  <c r="N68" i="99"/>
  <c r="P68" i="99"/>
  <c r="O68" i="99"/>
  <c r="M65" i="99"/>
  <c r="L65" i="99"/>
  <c r="K65" i="99"/>
  <c r="J65" i="99"/>
  <c r="H65" i="99"/>
  <c r="N65" i="99"/>
  <c r="I65" i="99"/>
  <c r="T65" i="99"/>
  <c r="S65" i="99"/>
  <c r="G65" i="99"/>
  <c r="R65" i="99"/>
  <c r="F65" i="99"/>
  <c r="Q65" i="99"/>
  <c r="O65" i="99"/>
  <c r="P65" i="99"/>
  <c r="S64" i="98"/>
  <c r="G64" i="98"/>
  <c r="P64" i="98"/>
  <c r="O64" i="98"/>
  <c r="R64" i="98"/>
  <c r="F64" i="98"/>
  <c r="N64" i="98"/>
  <c r="Q64" i="98"/>
  <c r="L64" i="98"/>
  <c r="T64" i="98"/>
  <c r="M64" i="98"/>
  <c r="K64" i="98"/>
  <c r="I64" i="98"/>
  <c r="J64" i="98"/>
  <c r="H64" i="98"/>
  <c r="S46" i="98"/>
  <c r="G46" i="98"/>
  <c r="R46" i="98"/>
  <c r="F46" i="98"/>
  <c r="P46" i="98"/>
  <c r="O46" i="98"/>
  <c r="Q46" i="98"/>
  <c r="N46" i="98"/>
  <c r="M46" i="98"/>
  <c r="L46" i="98"/>
  <c r="K46" i="98"/>
  <c r="I46" i="98"/>
  <c r="J46" i="98"/>
  <c r="T46" i="98"/>
  <c r="H46" i="98"/>
  <c r="S49" i="98"/>
  <c r="G49" i="98"/>
  <c r="O49" i="98"/>
  <c r="R49" i="98"/>
  <c r="F49" i="98"/>
  <c r="N49" i="98"/>
  <c r="Q49" i="98"/>
  <c r="P49" i="98"/>
  <c r="L49" i="98"/>
  <c r="K49" i="98"/>
  <c r="I49" i="98"/>
  <c r="T49" i="98"/>
  <c r="J49" i="98"/>
  <c r="M49" i="98"/>
  <c r="H49" i="98"/>
  <c r="S67" i="98"/>
  <c r="G67" i="98"/>
  <c r="P67" i="98"/>
  <c r="O67" i="98"/>
  <c r="R67" i="98"/>
  <c r="F67" i="98"/>
  <c r="N67" i="98"/>
  <c r="Q67" i="98"/>
  <c r="L67" i="98"/>
  <c r="J67" i="98"/>
  <c r="K67" i="98"/>
  <c r="M67" i="98"/>
  <c r="I67" i="98"/>
  <c r="H67" i="98"/>
  <c r="T67" i="98"/>
  <c r="K69" i="98"/>
  <c r="G69" i="98"/>
  <c r="F69" i="98"/>
  <c r="J69" i="98"/>
  <c r="T69" i="98"/>
  <c r="H69" i="98"/>
  <c r="R69" i="98"/>
  <c r="Q69" i="98"/>
  <c r="I69" i="98"/>
  <c r="S69" i="98"/>
  <c r="P69" i="98"/>
  <c r="L69" i="98"/>
  <c r="N69" i="98"/>
  <c r="M69" i="98"/>
  <c r="O69" i="98"/>
  <c r="L64" i="97"/>
  <c r="K64" i="97"/>
  <c r="J64" i="97"/>
  <c r="S64" i="97"/>
  <c r="G64" i="97"/>
  <c r="R64" i="97"/>
  <c r="F64" i="97"/>
  <c r="T64" i="97"/>
  <c r="Q64" i="97"/>
  <c r="M64" i="97"/>
  <c r="H64" i="97"/>
  <c r="P64" i="97"/>
  <c r="O64" i="97"/>
  <c r="I64" i="97"/>
  <c r="N64" i="97"/>
  <c r="N48" i="97"/>
  <c r="L48" i="97"/>
  <c r="K48" i="97"/>
  <c r="J48" i="97"/>
  <c r="M48" i="97"/>
  <c r="I48" i="97"/>
  <c r="T48" i="97"/>
  <c r="H48" i="97"/>
  <c r="P48" i="97"/>
  <c r="O48" i="97"/>
  <c r="S48" i="97"/>
  <c r="G48" i="97"/>
  <c r="R48" i="97"/>
  <c r="F48" i="97"/>
  <c r="Q48" i="97"/>
  <c r="H49" i="97"/>
  <c r="J49" i="97"/>
  <c r="S49" i="97"/>
  <c r="G49" i="97"/>
  <c r="R49" i="97"/>
  <c r="F49" i="97"/>
  <c r="Q49" i="97"/>
  <c r="T49" i="97"/>
  <c r="P49" i="97"/>
  <c r="M49" i="97"/>
  <c r="I49" i="97"/>
  <c r="O49" i="97"/>
  <c r="K49" i="97"/>
  <c r="N49" i="97"/>
  <c r="L49" i="97"/>
  <c r="L46" i="97"/>
  <c r="T46" i="97"/>
  <c r="J46" i="97"/>
  <c r="S46" i="97"/>
  <c r="G46" i="97"/>
  <c r="R46" i="97"/>
  <c r="F46" i="97"/>
  <c r="Q46" i="97"/>
  <c r="M46" i="97"/>
  <c r="K46" i="97"/>
  <c r="P46" i="97"/>
  <c r="O46" i="97"/>
  <c r="H46" i="97"/>
  <c r="N46" i="97"/>
  <c r="I46" i="97"/>
  <c r="N61" i="97"/>
  <c r="K61" i="97"/>
  <c r="J61" i="97"/>
  <c r="I61" i="97"/>
  <c r="O61" i="97"/>
  <c r="T61" i="97"/>
  <c r="H61" i="97"/>
  <c r="S61" i="97"/>
  <c r="G61" i="97"/>
  <c r="Q61" i="97"/>
  <c r="P61" i="97"/>
  <c r="R61" i="97"/>
  <c r="F61" i="97"/>
  <c r="M61" i="97"/>
  <c r="L61" i="97"/>
  <c r="P69" i="97"/>
  <c r="N69" i="97"/>
  <c r="K69" i="97"/>
  <c r="J69" i="97"/>
  <c r="I69" i="97"/>
  <c r="Q69" i="97"/>
  <c r="T69" i="97"/>
  <c r="H69" i="97"/>
  <c r="S69" i="97"/>
  <c r="G69" i="97"/>
  <c r="L69" i="97"/>
  <c r="R69" i="97"/>
  <c r="F69" i="97"/>
  <c r="O69" i="97"/>
  <c r="M69" i="97"/>
  <c r="L67" i="97"/>
  <c r="K67" i="97"/>
  <c r="J67" i="97"/>
  <c r="S67" i="97"/>
  <c r="G67" i="97"/>
  <c r="R67" i="97"/>
  <c r="F67" i="97"/>
  <c r="Q67" i="97"/>
  <c r="M67" i="97"/>
  <c r="T67" i="97"/>
  <c r="P67" i="97"/>
  <c r="O67" i="97"/>
  <c r="I67" i="97"/>
  <c r="H67" i="97"/>
  <c r="N67" i="97"/>
  <c r="P53" i="97"/>
  <c r="N53" i="97"/>
  <c r="K53" i="97"/>
  <c r="J53" i="97"/>
  <c r="L53" i="97"/>
  <c r="I53" i="97"/>
  <c r="M53" i="97"/>
  <c r="T53" i="97"/>
  <c r="H53" i="97"/>
  <c r="Q53" i="97"/>
  <c r="O53" i="97"/>
  <c r="S53" i="97"/>
  <c r="G53" i="97"/>
  <c r="R53" i="97"/>
  <c r="F53" i="97"/>
  <c r="R47" i="96"/>
  <c r="F47" i="96"/>
  <c r="Q47" i="96"/>
  <c r="M47" i="96"/>
  <c r="L47" i="96"/>
  <c r="K47" i="96"/>
  <c r="J47" i="96"/>
  <c r="I47" i="96"/>
  <c r="T47" i="96"/>
  <c r="S47" i="96"/>
  <c r="P47" i="96"/>
  <c r="O47" i="96"/>
  <c r="N47" i="96"/>
  <c r="H47" i="96"/>
  <c r="G47" i="96"/>
  <c r="R60" i="96"/>
  <c r="F60" i="96"/>
  <c r="Q60" i="96"/>
  <c r="M60" i="96"/>
  <c r="L60" i="96"/>
  <c r="K60" i="96"/>
  <c r="J60" i="96"/>
  <c r="I60" i="96"/>
  <c r="T60" i="96"/>
  <c r="S60" i="96"/>
  <c r="P60" i="96"/>
  <c r="H60" i="96"/>
  <c r="O60" i="96"/>
  <c r="N60" i="96"/>
  <c r="G60" i="96"/>
  <c r="J67" i="96"/>
  <c r="I67" i="96"/>
  <c r="S67" i="96"/>
  <c r="R67" i="96"/>
  <c r="Q67" i="96"/>
  <c r="P67" i="96"/>
  <c r="O67" i="96"/>
  <c r="T67" i="96"/>
  <c r="M67" i="96"/>
  <c r="L67" i="96"/>
  <c r="K67" i="96"/>
  <c r="F67" i="96"/>
  <c r="H67" i="96"/>
  <c r="G67" i="96"/>
  <c r="N67" i="96"/>
  <c r="R52" i="96"/>
  <c r="F52" i="96"/>
  <c r="Q52" i="96"/>
  <c r="I52" i="96"/>
  <c r="H52" i="96"/>
  <c r="G52" i="96"/>
  <c r="T52" i="96"/>
  <c r="S52" i="96"/>
  <c r="O52" i="96"/>
  <c r="N52" i="96"/>
  <c r="M52" i="96"/>
  <c r="L52" i="96"/>
  <c r="K52" i="96"/>
  <c r="J52" i="96"/>
  <c r="P52" i="96"/>
  <c r="R55" i="96"/>
  <c r="F55" i="96"/>
  <c r="Q55" i="96"/>
  <c r="S55" i="96"/>
  <c r="P55" i="96"/>
  <c r="O55" i="96"/>
  <c r="N55" i="96"/>
  <c r="M55" i="96"/>
  <c r="T55" i="96"/>
  <c r="L55" i="96"/>
  <c r="I55" i="96"/>
  <c r="K55" i="96"/>
  <c r="J55" i="96"/>
  <c r="H55" i="96"/>
  <c r="G55" i="96"/>
  <c r="R68" i="96"/>
  <c r="F68" i="96"/>
  <c r="Q68" i="96"/>
  <c r="S68" i="96"/>
  <c r="P68" i="96"/>
  <c r="O68" i="96"/>
  <c r="N68" i="96"/>
  <c r="M68" i="96"/>
  <c r="L68" i="96"/>
  <c r="H68" i="96"/>
  <c r="G68" i="96"/>
  <c r="T68" i="96"/>
  <c r="K68" i="96"/>
  <c r="J68" i="96"/>
  <c r="I68" i="96"/>
  <c r="R65" i="96"/>
  <c r="F65" i="96"/>
  <c r="Q65" i="96"/>
  <c r="I65" i="96"/>
  <c r="H65" i="96"/>
  <c r="G65" i="96"/>
  <c r="T65" i="96"/>
  <c r="S65" i="96"/>
  <c r="P65" i="96"/>
  <c r="O65" i="96"/>
  <c r="N65" i="96"/>
  <c r="M65" i="96"/>
  <c r="L65" i="96"/>
  <c r="K65" i="96"/>
  <c r="J65" i="96"/>
  <c r="J64" i="96"/>
  <c r="I64" i="96"/>
  <c r="K64" i="96"/>
  <c r="H64" i="96"/>
  <c r="G64" i="96"/>
  <c r="T64" i="96"/>
  <c r="F64" i="96"/>
  <c r="S64" i="96"/>
  <c r="R64" i="96"/>
  <c r="O64" i="96"/>
  <c r="Q64" i="96"/>
  <c r="P64" i="96"/>
  <c r="N64" i="96"/>
  <c r="M64" i="96"/>
  <c r="L64" i="96"/>
  <c r="N53" i="96"/>
  <c r="M53" i="96"/>
  <c r="G53" i="96"/>
  <c r="T53" i="96"/>
  <c r="F53" i="96"/>
  <c r="S53" i="96"/>
  <c r="R53" i="96"/>
  <c r="Q53" i="96"/>
  <c r="J53" i="96"/>
  <c r="I53" i="96"/>
  <c r="H53" i="96"/>
  <c r="O53" i="96"/>
  <c r="P53" i="96"/>
  <c r="L53" i="96"/>
  <c r="K53" i="96"/>
  <c r="J49" i="96"/>
  <c r="I49" i="96"/>
  <c r="K49" i="96"/>
  <c r="H49" i="96"/>
  <c r="G49" i="96"/>
  <c r="T49" i="96"/>
  <c r="F49" i="96"/>
  <c r="S49" i="96"/>
  <c r="P49" i="96"/>
  <c r="M49" i="96"/>
  <c r="O49" i="96"/>
  <c r="N49" i="96"/>
  <c r="L49" i="96"/>
  <c r="R49" i="96"/>
  <c r="Q49" i="96"/>
  <c r="C5" i="95"/>
  <c r="C28" i="95"/>
  <c r="C29" i="95"/>
  <c r="C26" i="95"/>
  <c r="G28" i="95"/>
  <c r="G32" i="95"/>
  <c r="G26" i="95"/>
  <c r="C23" i="95"/>
  <c r="G17" i="95"/>
  <c r="C14" i="95"/>
  <c r="C6" i="95"/>
  <c r="G14" i="95"/>
  <c r="G8" i="95"/>
  <c r="G19" i="95"/>
  <c r="G30" i="95"/>
  <c r="C33" i="95"/>
  <c r="C7" i="95"/>
  <c r="C21" i="95"/>
  <c r="G7" i="95"/>
  <c r="G24" i="95"/>
  <c r="G16" i="95"/>
  <c r="G13" i="95"/>
  <c r="C15" i="95"/>
  <c r="C12" i="95"/>
  <c r="C19" i="95"/>
  <c r="G25" i="95"/>
  <c r="G12" i="95"/>
  <c r="G5" i="95"/>
  <c r="G23" i="95"/>
  <c r="C10" i="95"/>
  <c r="G18" i="95"/>
  <c r="C13" i="95"/>
  <c r="C16" i="95"/>
  <c r="G6" i="95"/>
  <c r="G34" i="95"/>
  <c r="C34" i="95"/>
  <c r="C32" i="95"/>
  <c r="G10" i="95"/>
  <c r="C18" i="95"/>
  <c r="C9" i="95"/>
  <c r="G31" i="95"/>
  <c r="C8" i="95"/>
  <c r="C24" i="95"/>
  <c r="G35" i="95"/>
  <c r="G27" i="95"/>
  <c r="C17" i="95"/>
  <c r="C31" i="95"/>
  <c r="C25" i="95"/>
  <c r="G33" i="95"/>
  <c r="G11" i="95"/>
  <c r="G15" i="95"/>
  <c r="G22" i="95"/>
  <c r="C30" i="95"/>
  <c r="G29" i="95"/>
  <c r="C20" i="95"/>
  <c r="C11" i="95"/>
  <c r="C22" i="95"/>
  <c r="C35" i="95"/>
  <c r="C27" i="95"/>
  <c r="G21" i="95"/>
  <c r="G9" i="95"/>
  <c r="G20" i="95"/>
  <c r="D102" i="76"/>
  <c r="G107" i="72"/>
  <c r="F107" i="72"/>
  <c r="D102" i="66"/>
  <c r="G107" i="59"/>
  <c r="F107" i="59"/>
  <c r="D102" i="70"/>
  <c r="D102" i="78" l="1"/>
  <c r="G107" i="83" l="1"/>
  <c r="H107" i="83"/>
  <c r="F107" i="83"/>
  <c r="G107" i="77"/>
  <c r="H107" i="77"/>
  <c r="I107" i="77"/>
  <c r="F107" i="77"/>
  <c r="G107" i="73"/>
  <c r="F107" i="73"/>
  <c r="G107" i="65"/>
  <c r="F107" i="65"/>
  <c r="G107" i="63"/>
  <c r="F107" i="63"/>
  <c r="G107" i="62"/>
  <c r="F107" i="62"/>
  <c r="G107" i="71"/>
  <c r="F107" i="71"/>
  <c r="G107" i="55"/>
  <c r="F107" i="55"/>
  <c r="G107" i="79"/>
  <c r="F107" i="79"/>
  <c r="D102" i="67" l="1"/>
  <c r="G107" i="64" l="1"/>
  <c r="H107" i="64"/>
  <c r="F107" i="64"/>
  <c r="G107" i="68"/>
  <c r="F107" i="68"/>
  <c r="D96" i="60"/>
  <c r="F106" i="88"/>
  <c r="T103" i="88"/>
  <c r="S103" i="88"/>
  <c r="R103" i="88"/>
  <c r="Q103" i="88"/>
  <c r="P103" i="88"/>
  <c r="O103" i="88"/>
  <c r="N103" i="88"/>
  <c r="M103" i="88"/>
  <c r="L103" i="88"/>
  <c r="K103" i="88"/>
  <c r="J103" i="88"/>
  <c r="I103" i="88"/>
  <c r="H103" i="88"/>
  <c r="G103" i="88"/>
  <c r="F103" i="88"/>
  <c r="J102" i="88"/>
  <c r="I102" i="88"/>
  <c r="H102" i="88"/>
  <c r="G102" i="88"/>
  <c r="F102" i="88"/>
  <c r="F101" i="88"/>
  <c r="E100" i="88"/>
  <c r="D97" i="88"/>
  <c r="D96" i="88"/>
  <c r="D95" i="88"/>
  <c r="D93" i="88"/>
  <c r="D92" i="88"/>
  <c r="D89" i="88"/>
  <c r="D88" i="88"/>
  <c r="D83" i="88"/>
  <c r="D81" i="88"/>
  <c r="D80" i="88"/>
  <c r="D77" i="88"/>
  <c r="D76" i="88"/>
  <c r="D75" i="88"/>
  <c r="D74" i="88"/>
  <c r="F72" i="88"/>
  <c r="F44" i="88"/>
  <c r="F33" i="88"/>
  <c r="D33" i="88"/>
  <c r="D27" i="88"/>
  <c r="D53" i="88" s="1"/>
  <c r="O53" i="88" s="1"/>
  <c r="D23" i="88"/>
  <c r="E22" i="88"/>
  <c r="E21" i="88"/>
  <c r="E20" i="88"/>
  <c r="E19" i="88"/>
  <c r="E18" i="88"/>
  <c r="F106" i="87"/>
  <c r="T103" i="87"/>
  <c r="S103" i="87"/>
  <c r="R103" i="87"/>
  <c r="Q103" i="87"/>
  <c r="P103" i="87"/>
  <c r="O103" i="87"/>
  <c r="N103" i="87"/>
  <c r="M103" i="87"/>
  <c r="L103" i="87"/>
  <c r="K103" i="87"/>
  <c r="J103" i="87"/>
  <c r="I103" i="87"/>
  <c r="H103" i="87"/>
  <c r="G103" i="87"/>
  <c r="F103" i="87"/>
  <c r="T102" i="87"/>
  <c r="S102" i="87"/>
  <c r="R102" i="87"/>
  <c r="Q102" i="87"/>
  <c r="P102" i="87"/>
  <c r="O102" i="87"/>
  <c r="N102" i="87"/>
  <c r="M102" i="87"/>
  <c r="L102" i="87"/>
  <c r="K102" i="87"/>
  <c r="J102" i="87"/>
  <c r="I102" i="87"/>
  <c r="H102" i="87"/>
  <c r="G102" i="87"/>
  <c r="F102" i="87"/>
  <c r="F101" i="87"/>
  <c r="E100" i="87"/>
  <c r="I36" i="87" s="1"/>
  <c r="D97" i="87"/>
  <c r="D96" i="87"/>
  <c r="D95" i="87"/>
  <c r="D93" i="87"/>
  <c r="D92" i="87"/>
  <c r="D89" i="87"/>
  <c r="D88" i="87"/>
  <c r="D83" i="87"/>
  <c r="D81" i="87"/>
  <c r="D80" i="87"/>
  <c r="D77" i="87"/>
  <c r="D76" i="87"/>
  <c r="D75" i="87"/>
  <c r="D74" i="87"/>
  <c r="F72" i="87"/>
  <c r="F44" i="87"/>
  <c r="F33" i="87"/>
  <c r="D33" i="87"/>
  <c r="D27" i="87"/>
  <c r="D69" i="87" s="1"/>
  <c r="D23" i="87"/>
  <c r="E22" i="87"/>
  <c r="E21" i="87"/>
  <c r="E20" i="87"/>
  <c r="E19" i="87"/>
  <c r="E18" i="87"/>
  <c r="F36" i="88" l="1"/>
  <c r="O34" i="88"/>
  <c r="O35" i="88" s="1"/>
  <c r="I34" i="88"/>
  <c r="I35" i="88" s="1"/>
  <c r="M36" i="88"/>
  <c r="J34" i="88"/>
  <c r="J35" i="88" s="1"/>
  <c r="P36" i="88"/>
  <c r="L36" i="88"/>
  <c r="Q34" i="88"/>
  <c r="Q35" i="88" s="1"/>
  <c r="E23" i="87"/>
  <c r="S36" i="88"/>
  <c r="H34" i="88"/>
  <c r="H35" i="88" s="1"/>
  <c r="T34" i="88"/>
  <c r="T35" i="88" s="1"/>
  <c r="Q96" i="88"/>
  <c r="G96" i="88"/>
  <c r="T96" i="88"/>
  <c r="F96" i="88"/>
  <c r="J96" i="88"/>
  <c r="M96" i="88"/>
  <c r="R96" i="88"/>
  <c r="S96" i="88"/>
  <c r="H96" i="88"/>
  <c r="I96" i="88"/>
  <c r="K96" i="88"/>
  <c r="L96" i="88"/>
  <c r="N96" i="88"/>
  <c r="O96" i="88"/>
  <c r="P96" i="88"/>
  <c r="N76" i="88"/>
  <c r="P76" i="88"/>
  <c r="Q76" i="88"/>
  <c r="S76" i="88"/>
  <c r="H76" i="88"/>
  <c r="T76" i="88"/>
  <c r="I76" i="88"/>
  <c r="J76" i="88"/>
  <c r="K76" i="88"/>
  <c r="L76" i="88"/>
  <c r="M76" i="88"/>
  <c r="O76" i="88"/>
  <c r="R76" i="88"/>
  <c r="G76" i="88"/>
  <c r="F76" i="88"/>
  <c r="J88" i="88"/>
  <c r="K88" i="88"/>
  <c r="L88" i="88"/>
  <c r="M88" i="88"/>
  <c r="R88" i="88"/>
  <c r="S88" i="88"/>
  <c r="T88" i="88"/>
  <c r="I88" i="88"/>
  <c r="N88" i="88"/>
  <c r="P88" i="88"/>
  <c r="G88" i="88"/>
  <c r="H88" i="88"/>
  <c r="F88" i="88"/>
  <c r="O88" i="88"/>
  <c r="Q88" i="88"/>
  <c r="G34" i="87"/>
  <c r="G35" i="87" s="1"/>
  <c r="Q34" i="87"/>
  <c r="Q35" i="87" s="1"/>
  <c r="K34" i="88"/>
  <c r="K35" i="88" s="1"/>
  <c r="D46" i="87"/>
  <c r="M46" i="87" s="1"/>
  <c r="N36" i="88"/>
  <c r="S34" i="87"/>
  <c r="S35" i="87" s="1"/>
  <c r="D49" i="87"/>
  <c r="M49" i="87" s="1"/>
  <c r="D55" i="88"/>
  <c r="O55" i="88" s="1"/>
  <c r="Q36" i="88"/>
  <c r="R36" i="88"/>
  <c r="G36" i="88"/>
  <c r="J36" i="87"/>
  <c r="P34" i="87"/>
  <c r="P35" i="87" s="1"/>
  <c r="K36" i="87"/>
  <c r="M36" i="87"/>
  <c r="F34" i="88"/>
  <c r="R34" i="88"/>
  <c r="O36" i="88"/>
  <c r="G34" i="88"/>
  <c r="G35" i="88" s="1"/>
  <c r="S34" i="88"/>
  <c r="S35" i="88" s="1"/>
  <c r="P34" i="88"/>
  <c r="H36" i="88"/>
  <c r="T36" i="88"/>
  <c r="L34" i="88"/>
  <c r="I36" i="88"/>
  <c r="M34" i="88"/>
  <c r="M35" i="88" s="1"/>
  <c r="J36" i="88"/>
  <c r="N34" i="88"/>
  <c r="N35" i="88" s="1"/>
  <c r="K36" i="88"/>
  <c r="D52" i="88"/>
  <c r="K52" i="88" s="1"/>
  <c r="D68" i="88"/>
  <c r="O68" i="88" s="1"/>
  <c r="D60" i="88"/>
  <c r="S60" i="88" s="1"/>
  <c r="D47" i="88"/>
  <c r="N47" i="88" s="1"/>
  <c r="D65" i="88"/>
  <c r="F65" i="88" s="1"/>
  <c r="D67" i="87"/>
  <c r="M67" i="87" s="1"/>
  <c r="D64" i="87"/>
  <c r="S64" i="87" s="1"/>
  <c r="N53" i="88"/>
  <c r="J53" i="88"/>
  <c r="F53" i="88"/>
  <c r="I53" i="88"/>
  <c r="S53" i="88"/>
  <c r="R53" i="88"/>
  <c r="Q53" i="88"/>
  <c r="T53" i="88"/>
  <c r="H53" i="88"/>
  <c r="G53" i="88"/>
  <c r="P53" i="88"/>
  <c r="K53" i="88"/>
  <c r="L53" i="88"/>
  <c r="M53" i="88"/>
  <c r="E23" i="88"/>
  <c r="D61" i="88"/>
  <c r="D69" i="88"/>
  <c r="D48" i="88"/>
  <c r="D46" i="88"/>
  <c r="D49" i="88"/>
  <c r="D64" i="88"/>
  <c r="D67" i="88"/>
  <c r="Q69" i="87"/>
  <c r="P69" i="87"/>
  <c r="F69" i="87"/>
  <c r="O69" i="87"/>
  <c r="R69" i="87"/>
  <c r="N69" i="87"/>
  <c r="M69" i="87"/>
  <c r="L69" i="87"/>
  <c r="K69" i="87"/>
  <c r="J69" i="87"/>
  <c r="I69" i="87"/>
  <c r="T69" i="87"/>
  <c r="H69" i="87"/>
  <c r="S69" i="87"/>
  <c r="G69" i="87"/>
  <c r="F34" i="87"/>
  <c r="F35" i="87" s="1"/>
  <c r="R34" i="87"/>
  <c r="R35" i="87" s="1"/>
  <c r="L36" i="87"/>
  <c r="H34" i="87"/>
  <c r="H35" i="87" s="1"/>
  <c r="T34" i="87"/>
  <c r="T35" i="87" s="1"/>
  <c r="N36" i="87"/>
  <c r="I34" i="87"/>
  <c r="I35" i="87" s="1"/>
  <c r="O36" i="87"/>
  <c r="J34" i="87"/>
  <c r="J35" i="87" s="1"/>
  <c r="P36" i="87"/>
  <c r="K34" i="87"/>
  <c r="K35" i="87" s="1"/>
  <c r="Q36" i="87"/>
  <c r="D47" i="87"/>
  <c r="D52" i="87"/>
  <c r="D55" i="87"/>
  <c r="D60" i="87"/>
  <c r="D65" i="87"/>
  <c r="D68" i="87"/>
  <c r="F36" i="87"/>
  <c r="M34" i="87"/>
  <c r="M35" i="87" s="1"/>
  <c r="G36" i="87"/>
  <c r="S36" i="87"/>
  <c r="L34" i="87"/>
  <c r="L35" i="87" s="1"/>
  <c r="R36" i="87"/>
  <c r="N34" i="87"/>
  <c r="N35" i="87" s="1"/>
  <c r="H36" i="87"/>
  <c r="T36" i="87"/>
  <c r="O34" i="87"/>
  <c r="O35" i="87" s="1"/>
  <c r="D48" i="87"/>
  <c r="D53" i="87"/>
  <c r="D61" i="87"/>
  <c r="G75" i="90" a="1"/>
  <c r="G113" i="90" a="1"/>
  <c r="S36" i="90" a="1"/>
  <c r="G37" i="90" a="1"/>
  <c r="S112" i="90" a="1"/>
  <c r="S74" i="90" a="1"/>
  <c r="S112" i="90" l="1"/>
  <c r="O38" i="88"/>
  <c r="O37" i="88"/>
  <c r="G113" i="90"/>
  <c r="G75" i="90"/>
  <c r="G37" i="90"/>
  <c r="L35" i="88"/>
  <c r="L38" i="88" s="1"/>
  <c r="P35" i="88"/>
  <c r="P38" i="88" s="1"/>
  <c r="Q38" i="88"/>
  <c r="R37" i="88"/>
  <c r="R35" i="88"/>
  <c r="R38" i="88" s="1"/>
  <c r="N37" i="88"/>
  <c r="F37" i="88"/>
  <c r="F35" i="88"/>
  <c r="F38" i="88" s="1"/>
  <c r="L18" i="88"/>
  <c r="G37" i="87"/>
  <c r="S74" i="90"/>
  <c r="S36" i="90"/>
  <c r="J37" i="88"/>
  <c r="S37" i="87"/>
  <c r="I37" i="88"/>
  <c r="M38" i="88"/>
  <c r="Q37" i="88"/>
  <c r="K38" i="88"/>
  <c r="S38" i="88"/>
  <c r="S37" i="88"/>
  <c r="L60" i="88"/>
  <c r="M55" i="88"/>
  <c r="G47" i="88"/>
  <c r="R60" i="88"/>
  <c r="H55" i="88"/>
  <c r="K55" i="88"/>
  <c r="I55" i="88"/>
  <c r="N55" i="88"/>
  <c r="Q55" i="88"/>
  <c r="J55" i="88"/>
  <c r="R46" i="87"/>
  <c r="H60" i="88"/>
  <c r="S55" i="88"/>
  <c r="P55" i="88"/>
  <c r="F55" i="88"/>
  <c r="R55" i="88"/>
  <c r="N65" i="88"/>
  <c r="N38" i="88"/>
  <c r="M37" i="88"/>
  <c r="T37" i="88"/>
  <c r="H65" i="88"/>
  <c r="J38" i="88"/>
  <c r="G38" i="88"/>
  <c r="K37" i="88"/>
  <c r="L65" i="88"/>
  <c r="M52" i="88"/>
  <c r="G55" i="88"/>
  <c r="H52" i="88"/>
  <c r="N52" i="88"/>
  <c r="M68" i="88"/>
  <c r="T55" i="88"/>
  <c r="P68" i="88"/>
  <c r="L55" i="88"/>
  <c r="P46" i="87"/>
  <c r="H46" i="87"/>
  <c r="K46" i="87"/>
  <c r="J46" i="87"/>
  <c r="S46" i="87"/>
  <c r="I46" i="87"/>
  <c r="Q46" i="87"/>
  <c r="H49" i="87"/>
  <c r="T64" i="87"/>
  <c r="Q37" i="87"/>
  <c r="F67" i="87"/>
  <c r="H67" i="87"/>
  <c r="I67" i="87"/>
  <c r="K67" i="87"/>
  <c r="P67" i="87"/>
  <c r="N67" i="87"/>
  <c r="G67" i="87"/>
  <c r="L67" i="87"/>
  <c r="Q67" i="87"/>
  <c r="L46" i="87"/>
  <c r="T67" i="87"/>
  <c r="T46" i="87"/>
  <c r="J49" i="87"/>
  <c r="R49" i="87"/>
  <c r="N49" i="87"/>
  <c r="F49" i="87"/>
  <c r="N46" i="87"/>
  <c r="K49" i="87"/>
  <c r="G49" i="87"/>
  <c r="F46" i="87"/>
  <c r="S49" i="87"/>
  <c r="O46" i="87"/>
  <c r="I49" i="87"/>
  <c r="L49" i="87"/>
  <c r="T49" i="87"/>
  <c r="G46" i="87"/>
  <c r="O49" i="87"/>
  <c r="J67" i="87"/>
  <c r="R67" i="87"/>
  <c r="P49" i="87"/>
  <c r="Q49" i="87"/>
  <c r="N68" i="88"/>
  <c r="G68" i="88"/>
  <c r="G37" i="88"/>
  <c r="H64" i="87"/>
  <c r="L19" i="88"/>
  <c r="F52" i="88"/>
  <c r="H68" i="88"/>
  <c r="R68" i="88"/>
  <c r="I52" i="88"/>
  <c r="J68" i="88"/>
  <c r="R52" i="88"/>
  <c r="Q68" i="88"/>
  <c r="J64" i="87"/>
  <c r="J52" i="88"/>
  <c r="L68" i="88"/>
  <c r="O52" i="88"/>
  <c r="F64" i="87"/>
  <c r="K64" i="87"/>
  <c r="F68" i="88"/>
  <c r="L52" i="88"/>
  <c r="T68" i="88"/>
  <c r="Q52" i="88"/>
  <c r="L64" i="87"/>
  <c r="O67" i="87"/>
  <c r="T52" i="88"/>
  <c r="I68" i="88"/>
  <c r="P52" i="88"/>
  <c r="P37" i="87"/>
  <c r="K68" i="88"/>
  <c r="I38" i="88"/>
  <c r="L37" i="88"/>
  <c r="H37" i="88"/>
  <c r="P37" i="88"/>
  <c r="H38" i="88"/>
  <c r="T38" i="88"/>
  <c r="F60" i="88"/>
  <c r="S47" i="88"/>
  <c r="F47" i="88"/>
  <c r="P60" i="88"/>
  <c r="Q60" i="88"/>
  <c r="I60" i="88"/>
  <c r="H47" i="88"/>
  <c r="K47" i="88"/>
  <c r="P47" i="88"/>
  <c r="J60" i="88"/>
  <c r="G52" i="88"/>
  <c r="S52" i="88"/>
  <c r="O60" i="88"/>
  <c r="Q47" i="88"/>
  <c r="K60" i="88"/>
  <c r="S68" i="88"/>
  <c r="T60" i="88"/>
  <c r="M60" i="88"/>
  <c r="G60" i="88"/>
  <c r="N60" i="88"/>
  <c r="I65" i="88"/>
  <c r="K65" i="88"/>
  <c r="R47" i="88"/>
  <c r="O47" i="88"/>
  <c r="M65" i="88"/>
  <c r="J47" i="88"/>
  <c r="O65" i="88"/>
  <c r="G65" i="88"/>
  <c r="S65" i="88"/>
  <c r="R65" i="88"/>
  <c r="P65" i="88"/>
  <c r="Q65" i="88"/>
  <c r="T47" i="88"/>
  <c r="M47" i="88"/>
  <c r="T65" i="88"/>
  <c r="I47" i="88"/>
  <c r="L47" i="88"/>
  <c r="J65" i="88"/>
  <c r="S67" i="87"/>
  <c r="I64" i="87"/>
  <c r="L19" i="87"/>
  <c r="R64" i="87"/>
  <c r="P64" i="87"/>
  <c r="M64" i="87"/>
  <c r="N64" i="87"/>
  <c r="Q64" i="87"/>
  <c r="O64" i="87"/>
  <c r="G64" i="87"/>
  <c r="J61" i="88"/>
  <c r="S61" i="88"/>
  <c r="I61" i="88"/>
  <c r="F61" i="88"/>
  <c r="Q61" i="88"/>
  <c r="T61" i="88"/>
  <c r="H61" i="88"/>
  <c r="G61" i="88"/>
  <c r="R61" i="88"/>
  <c r="P61" i="88"/>
  <c r="M61" i="88"/>
  <c r="L61" i="88"/>
  <c r="K61" i="88"/>
  <c r="O61" i="88"/>
  <c r="N61" i="88"/>
  <c r="R67" i="88"/>
  <c r="F67" i="88"/>
  <c r="O67" i="88"/>
  <c r="M67" i="88"/>
  <c r="L67" i="88"/>
  <c r="Q67" i="88"/>
  <c r="N67" i="88"/>
  <c r="P67" i="88"/>
  <c r="T67" i="88"/>
  <c r="S67" i="88"/>
  <c r="H67" i="88"/>
  <c r="G67" i="88"/>
  <c r="K67" i="88"/>
  <c r="J67" i="88"/>
  <c r="I67" i="88"/>
  <c r="R64" i="88"/>
  <c r="F64" i="88"/>
  <c r="M64" i="88"/>
  <c r="Q64" i="88"/>
  <c r="N64" i="88"/>
  <c r="L64" i="88"/>
  <c r="P64" i="88"/>
  <c r="O64" i="88"/>
  <c r="I64" i="88"/>
  <c r="H64" i="88"/>
  <c r="K64" i="88"/>
  <c r="J64" i="88"/>
  <c r="G64" i="88"/>
  <c r="T64" i="88"/>
  <c r="S64" i="88"/>
  <c r="R49" i="88"/>
  <c r="F49" i="88"/>
  <c r="O49" i="88"/>
  <c r="Q49" i="88"/>
  <c r="N49" i="88"/>
  <c r="M49" i="88"/>
  <c r="L49" i="88"/>
  <c r="P49" i="88"/>
  <c r="I49" i="88"/>
  <c r="H49" i="88"/>
  <c r="K49" i="88"/>
  <c r="S49" i="88"/>
  <c r="G49" i="88"/>
  <c r="T49" i="88"/>
  <c r="J49" i="88"/>
  <c r="R46" i="88"/>
  <c r="F46" i="88"/>
  <c r="N46" i="88"/>
  <c r="L46" i="88"/>
  <c r="Q46" i="88"/>
  <c r="O46" i="88"/>
  <c r="P46" i="88"/>
  <c r="M46" i="88"/>
  <c r="S46" i="88"/>
  <c r="K46" i="88"/>
  <c r="T46" i="88"/>
  <c r="J46" i="88"/>
  <c r="H46" i="88"/>
  <c r="G46" i="88"/>
  <c r="I46" i="88"/>
  <c r="J48" i="88"/>
  <c r="R48" i="88"/>
  <c r="I48" i="88"/>
  <c r="G48" i="88"/>
  <c r="T48" i="88"/>
  <c r="H48" i="88"/>
  <c r="S48" i="88"/>
  <c r="F48" i="88"/>
  <c r="Q48" i="88"/>
  <c r="P48" i="88"/>
  <c r="M48" i="88"/>
  <c r="L48" i="88"/>
  <c r="K48" i="88"/>
  <c r="O48" i="88"/>
  <c r="N48" i="88"/>
  <c r="J69" i="88"/>
  <c r="S69" i="88"/>
  <c r="Q69" i="88"/>
  <c r="P69" i="88"/>
  <c r="I69" i="88"/>
  <c r="R69" i="88"/>
  <c r="F69" i="88"/>
  <c r="T69" i="88"/>
  <c r="H69" i="88"/>
  <c r="G69" i="88"/>
  <c r="O69" i="88"/>
  <c r="N69" i="88"/>
  <c r="M69" i="88"/>
  <c r="L69" i="88"/>
  <c r="K69" i="88"/>
  <c r="I38" i="87"/>
  <c r="I37" i="87"/>
  <c r="I60" i="87"/>
  <c r="T60" i="87"/>
  <c r="H60" i="87"/>
  <c r="F60" i="87"/>
  <c r="S60" i="87"/>
  <c r="G60" i="87"/>
  <c r="R60" i="87"/>
  <c r="Q60" i="87"/>
  <c r="M60" i="87"/>
  <c r="J60" i="87"/>
  <c r="P60" i="87"/>
  <c r="O60" i="87"/>
  <c r="N60" i="87"/>
  <c r="L60" i="87"/>
  <c r="K60" i="87"/>
  <c r="Q61" i="87"/>
  <c r="P61" i="87"/>
  <c r="O61" i="87"/>
  <c r="N61" i="87"/>
  <c r="R61" i="87"/>
  <c r="F61" i="87"/>
  <c r="M61" i="87"/>
  <c r="L61" i="87"/>
  <c r="K61" i="87"/>
  <c r="J61" i="87"/>
  <c r="I61" i="87"/>
  <c r="T61" i="87"/>
  <c r="H61" i="87"/>
  <c r="S61" i="87"/>
  <c r="G61" i="87"/>
  <c r="Q53" i="87"/>
  <c r="P53" i="87"/>
  <c r="R53" i="87"/>
  <c r="O53" i="87"/>
  <c r="N53" i="87"/>
  <c r="M53" i="87"/>
  <c r="L53" i="87"/>
  <c r="I53" i="87"/>
  <c r="F53" i="87"/>
  <c r="K53" i="87"/>
  <c r="J53" i="87"/>
  <c r="T53" i="87"/>
  <c r="H53" i="87"/>
  <c r="S53" i="87"/>
  <c r="G53" i="87"/>
  <c r="I68" i="87"/>
  <c r="J68" i="87"/>
  <c r="T68" i="87"/>
  <c r="H68" i="87"/>
  <c r="S68" i="87"/>
  <c r="G68" i="87"/>
  <c r="R68" i="87"/>
  <c r="F68" i="87"/>
  <c r="Q68" i="87"/>
  <c r="P68" i="87"/>
  <c r="O68" i="87"/>
  <c r="N68" i="87"/>
  <c r="M68" i="87"/>
  <c r="L68" i="87"/>
  <c r="K68" i="87"/>
  <c r="Q48" i="87"/>
  <c r="P48" i="87"/>
  <c r="I48" i="87"/>
  <c r="O48" i="87"/>
  <c r="R48" i="87"/>
  <c r="N48" i="87"/>
  <c r="M48" i="87"/>
  <c r="F48" i="87"/>
  <c r="L48" i="87"/>
  <c r="K48" i="87"/>
  <c r="J48" i="87"/>
  <c r="T48" i="87"/>
  <c r="H48" i="87"/>
  <c r="S48" i="87"/>
  <c r="G48" i="87"/>
  <c r="K38" i="87"/>
  <c r="K37" i="87"/>
  <c r="O37" i="87"/>
  <c r="O38" i="87"/>
  <c r="I65" i="87"/>
  <c r="T65" i="87"/>
  <c r="H65" i="87"/>
  <c r="S65" i="87"/>
  <c r="G65" i="87"/>
  <c r="R65" i="87"/>
  <c r="F65" i="87"/>
  <c r="Q65" i="87"/>
  <c r="M65" i="87"/>
  <c r="P65" i="87"/>
  <c r="J65" i="87"/>
  <c r="O65" i="87"/>
  <c r="N65" i="87"/>
  <c r="L65" i="87"/>
  <c r="K65" i="87"/>
  <c r="S38" i="87"/>
  <c r="I47" i="87"/>
  <c r="T47" i="87"/>
  <c r="H47" i="87"/>
  <c r="F47" i="87"/>
  <c r="S47" i="87"/>
  <c r="G47" i="87"/>
  <c r="R47" i="87"/>
  <c r="J47" i="87"/>
  <c r="Q47" i="87"/>
  <c r="P47" i="87"/>
  <c r="O47" i="87"/>
  <c r="M47" i="87"/>
  <c r="N47" i="87"/>
  <c r="L47" i="87"/>
  <c r="K47" i="87"/>
  <c r="N37" i="87"/>
  <c r="N38" i="87"/>
  <c r="M37" i="87"/>
  <c r="M38" i="87"/>
  <c r="I55" i="87"/>
  <c r="T55" i="87"/>
  <c r="H55" i="87"/>
  <c r="S55" i="87"/>
  <c r="G55" i="87"/>
  <c r="R55" i="87"/>
  <c r="F55" i="87"/>
  <c r="J55" i="87"/>
  <c r="Q55" i="87"/>
  <c r="P55" i="87"/>
  <c r="O55" i="87"/>
  <c r="M55" i="87"/>
  <c r="N55" i="87"/>
  <c r="L55" i="87"/>
  <c r="K55" i="87"/>
  <c r="J38" i="87"/>
  <c r="J37" i="87"/>
  <c r="Q38" i="87"/>
  <c r="R38" i="87"/>
  <c r="R37" i="87"/>
  <c r="G38" i="87"/>
  <c r="L38" i="87"/>
  <c r="L37" i="87"/>
  <c r="P38" i="87"/>
  <c r="T38" i="87"/>
  <c r="T37" i="87"/>
  <c r="F37" i="87"/>
  <c r="L18" i="87"/>
  <c r="F38" i="87"/>
  <c r="I52" i="87"/>
  <c r="T52" i="87"/>
  <c r="H52" i="87"/>
  <c r="S52" i="87"/>
  <c r="G52" i="87"/>
  <c r="R52" i="87"/>
  <c r="F52" i="87"/>
  <c r="J52" i="87"/>
  <c r="Q52" i="87"/>
  <c r="P52" i="87"/>
  <c r="O52" i="87"/>
  <c r="N52" i="87"/>
  <c r="M52" i="87"/>
  <c r="L52" i="87"/>
  <c r="K52" i="87"/>
  <c r="H38" i="87"/>
  <c r="H37" i="87"/>
  <c r="D74" i="90" a="1"/>
  <c r="L74" i="90" a="1"/>
  <c r="D112" i="90" a="1"/>
  <c r="F37" i="90" a="1"/>
  <c r="C37" i="90" a="1"/>
  <c r="E75" i="90" a="1"/>
  <c r="I37" i="90" a="1"/>
  <c r="E36" i="90" a="1"/>
  <c r="C113" i="90" a="1"/>
  <c r="L36" i="90" a="1"/>
  <c r="I113" i="90" a="1"/>
  <c r="D75" i="90" a="1"/>
  <c r="B37" i="90" a="1"/>
  <c r="E37" i="90" a="1"/>
  <c r="C36" i="90" a="1"/>
  <c r="C75" i="90" a="1"/>
  <c r="D37" i="90" a="1"/>
  <c r="R113" i="90" a="1"/>
  <c r="G112" i="90" a="1"/>
  <c r="Q74" i="90" a="1"/>
  <c r="B75" i="90" a="1"/>
  <c r="D34" i="95" a="1"/>
  <c r="E112" i="90" a="1"/>
  <c r="I112" i="90" a="1"/>
  <c r="B74" i="90" a="1"/>
  <c r="F75" i="90" a="1"/>
  <c r="M36" i="90" a="1"/>
  <c r="R75" i="90" a="1"/>
  <c r="I75" i="90" a="1"/>
  <c r="N113" i="90" a="1"/>
  <c r="F112" i="90" a="1"/>
  <c r="R74" i="90" a="1"/>
  <c r="Q113" i="90" a="1"/>
  <c r="B36" i="90" a="1"/>
  <c r="S75" i="90" a="1"/>
  <c r="R37" i="90" a="1"/>
  <c r="D35" i="95" a="1"/>
  <c r="D36" i="90" a="1"/>
  <c r="F74" i="90" a="1"/>
  <c r="N74" i="90" a="1"/>
  <c r="R36" i="90" a="1"/>
  <c r="B112" i="90" a="1"/>
  <c r="F113" i="90" a="1"/>
  <c r="M112" i="90" a="1"/>
  <c r="S37" i="90" a="1"/>
  <c r="M37" i="90" a="1"/>
  <c r="R112" i="90" a="1"/>
  <c r="O75" i="90" a="1"/>
  <c r="E74" i="90" a="1"/>
  <c r="O113" i="90" a="1"/>
  <c r="E113" i="90" a="1"/>
  <c r="L112" i="90" a="1"/>
  <c r="M113" i="90" a="1"/>
  <c r="N36" i="90" a="1"/>
  <c r="G74" i="90" a="1"/>
  <c r="C112" i="90" a="1"/>
  <c r="M75" i="90" a="1"/>
  <c r="O74" i="90" a="1"/>
  <c r="O112" i="90" a="1"/>
  <c r="Q37" i="90" a="1"/>
  <c r="M74" i="90" a="1"/>
  <c r="N75" i="90" a="1"/>
  <c r="Q36" i="90" a="1"/>
  <c r="N37" i="90" a="1"/>
  <c r="S113" i="90" a="1"/>
  <c r="O36" i="90" a="1"/>
  <c r="F36" i="90" a="1"/>
  <c r="B113" i="90" a="1"/>
  <c r="O37" i="90" a="1"/>
  <c r="Q75" i="90" a="1"/>
  <c r="D113" i="90" a="1"/>
  <c r="Q112" i="90" a="1"/>
  <c r="N112" i="90" a="1"/>
  <c r="L75" i="90" a="1"/>
  <c r="L37" i="90" a="1"/>
  <c r="G36" i="90" a="1"/>
  <c r="L113" i="90" a="1"/>
  <c r="C74" i="90" a="1"/>
  <c r="I74" i="90" a="1"/>
  <c r="I36" i="90" a="1"/>
  <c r="M112" i="90" l="1"/>
  <c r="N112" i="90"/>
  <c r="Q112" i="90"/>
  <c r="D112" i="90"/>
  <c r="R112" i="90"/>
  <c r="L112" i="90"/>
  <c r="B112" i="90"/>
  <c r="I112" i="90"/>
  <c r="C112" i="90"/>
  <c r="G112" i="90"/>
  <c r="O112" i="90"/>
  <c r="F112" i="90"/>
  <c r="E112" i="90"/>
  <c r="B113" i="90"/>
  <c r="B75" i="90"/>
  <c r="B37" i="90"/>
  <c r="Q113" i="90"/>
  <c r="Q75" i="90"/>
  <c r="Q37" i="90"/>
  <c r="M113" i="90"/>
  <c r="M75" i="90"/>
  <c r="M37" i="90"/>
  <c r="O37" i="90"/>
  <c r="O75" i="90"/>
  <c r="O113" i="90"/>
  <c r="C113" i="90"/>
  <c r="C75" i="90"/>
  <c r="C37" i="90"/>
  <c r="I113" i="90"/>
  <c r="I75" i="90"/>
  <c r="I37" i="90"/>
  <c r="L113" i="90"/>
  <c r="L75" i="90"/>
  <c r="L37" i="90"/>
  <c r="E113" i="90"/>
  <c r="E75" i="90"/>
  <c r="E37" i="90"/>
  <c r="S113" i="90"/>
  <c r="S75" i="90"/>
  <c r="S37" i="90"/>
  <c r="D113" i="90"/>
  <c r="D75" i="90"/>
  <c r="D37" i="90"/>
  <c r="R113" i="90"/>
  <c r="R75" i="90"/>
  <c r="R37" i="90"/>
  <c r="N113" i="90"/>
  <c r="N75" i="90"/>
  <c r="N37" i="90"/>
  <c r="F113" i="90"/>
  <c r="F75" i="90"/>
  <c r="F37" i="90"/>
  <c r="D35" i="95"/>
  <c r="D34" i="95"/>
  <c r="F74" i="90"/>
  <c r="F36" i="90"/>
  <c r="L74" i="90"/>
  <c r="L36" i="90"/>
  <c r="B74" i="90"/>
  <c r="B36" i="90"/>
  <c r="R74" i="90"/>
  <c r="R36" i="90"/>
  <c r="C74" i="90"/>
  <c r="C36" i="90"/>
  <c r="G74" i="90"/>
  <c r="G36" i="90"/>
  <c r="O74" i="90"/>
  <c r="O36" i="90"/>
  <c r="E74" i="90"/>
  <c r="E36" i="90"/>
  <c r="M74" i="90"/>
  <c r="M36" i="90"/>
  <c r="I74" i="90"/>
  <c r="I36" i="90"/>
  <c r="Q74" i="90"/>
  <c r="Q36" i="90"/>
  <c r="D74" i="90"/>
  <c r="D36" i="90"/>
  <c r="N74" i="90"/>
  <c r="N36" i="90"/>
  <c r="D37" i="88"/>
  <c r="I18" i="88" s="1"/>
  <c r="D37" i="87"/>
  <c r="I18" i="87" s="1"/>
  <c r="D102" i="56" l="1"/>
  <c r="D102" i="69" l="1"/>
  <c r="G107" i="75" l="1"/>
  <c r="H107" i="75"/>
  <c r="I107" i="75"/>
  <c r="F107" i="75"/>
  <c r="F106" i="84"/>
  <c r="T103" i="84"/>
  <c r="S103" i="84"/>
  <c r="R103" i="84"/>
  <c r="Q103" i="84"/>
  <c r="P103" i="84"/>
  <c r="O103" i="84"/>
  <c r="N103" i="84"/>
  <c r="M103" i="84"/>
  <c r="L103" i="84"/>
  <c r="K103" i="84"/>
  <c r="J103" i="84"/>
  <c r="I103" i="84"/>
  <c r="H103" i="84"/>
  <c r="G103" i="84"/>
  <c r="F103" i="84"/>
  <c r="T102" i="84"/>
  <c r="S102" i="84"/>
  <c r="R102" i="84"/>
  <c r="Q102" i="84"/>
  <c r="P102" i="84"/>
  <c r="O102" i="84"/>
  <c r="N102" i="84"/>
  <c r="M102" i="84"/>
  <c r="L102" i="84"/>
  <c r="K102" i="84"/>
  <c r="J102" i="84"/>
  <c r="I102" i="84"/>
  <c r="H102" i="84"/>
  <c r="G102" i="84"/>
  <c r="F102" i="84"/>
  <c r="F101" i="84"/>
  <c r="E100" i="84"/>
  <c r="D97" i="84"/>
  <c r="D96" i="84"/>
  <c r="D95" i="84"/>
  <c r="D93" i="84"/>
  <c r="D92" i="84"/>
  <c r="D89" i="84"/>
  <c r="D88" i="84"/>
  <c r="D83" i="84"/>
  <c r="D81" i="84"/>
  <c r="D80" i="84"/>
  <c r="D77" i="84"/>
  <c r="D76" i="84"/>
  <c r="D75" i="84"/>
  <c r="D74" i="84"/>
  <c r="F72" i="84"/>
  <c r="F44" i="84"/>
  <c r="F33" i="84"/>
  <c r="D33" i="84"/>
  <c r="D27" i="84"/>
  <c r="D69" i="84" s="1"/>
  <c r="D23" i="84"/>
  <c r="E22" i="84"/>
  <c r="E21" i="84"/>
  <c r="E20" i="84"/>
  <c r="E19" i="84"/>
  <c r="E18" i="84"/>
  <c r="D33" i="81"/>
  <c r="F106" i="83"/>
  <c r="T103" i="83"/>
  <c r="S103" i="83"/>
  <c r="R103" i="83"/>
  <c r="Q103" i="83"/>
  <c r="P103" i="83"/>
  <c r="O103" i="83"/>
  <c r="N103" i="83"/>
  <c r="M103" i="83"/>
  <c r="L103" i="83"/>
  <c r="K103" i="83"/>
  <c r="J103" i="83"/>
  <c r="I103" i="83"/>
  <c r="H103" i="83"/>
  <c r="G103" i="83"/>
  <c r="F103" i="83"/>
  <c r="T102" i="83"/>
  <c r="S102" i="83"/>
  <c r="R102" i="83"/>
  <c r="Q102" i="83"/>
  <c r="P102" i="83"/>
  <c r="O102" i="83"/>
  <c r="N102" i="83"/>
  <c r="M102" i="83"/>
  <c r="L102" i="83"/>
  <c r="K102" i="83"/>
  <c r="J102" i="83"/>
  <c r="I102" i="83"/>
  <c r="H102" i="83"/>
  <c r="G102" i="83"/>
  <c r="F102" i="83"/>
  <c r="F101" i="83"/>
  <c r="E100" i="83"/>
  <c r="T36" i="83" s="1"/>
  <c r="D97" i="83"/>
  <c r="D96" i="83"/>
  <c r="D95" i="83"/>
  <c r="D93" i="83"/>
  <c r="D92" i="83"/>
  <c r="D89" i="83"/>
  <c r="D88" i="83"/>
  <c r="D83" i="83"/>
  <c r="D81" i="83"/>
  <c r="D80" i="83"/>
  <c r="D77" i="83"/>
  <c r="D76" i="83"/>
  <c r="D75" i="83"/>
  <c r="D74" i="83"/>
  <c r="F72" i="83"/>
  <c r="F44" i="83"/>
  <c r="F33" i="83"/>
  <c r="D33" i="83"/>
  <c r="D27" i="83"/>
  <c r="D69" i="83" s="1"/>
  <c r="M69" i="83" s="1"/>
  <c r="D23" i="83"/>
  <c r="E22" i="83"/>
  <c r="E21" i="83"/>
  <c r="E20" i="83"/>
  <c r="E19" i="83"/>
  <c r="E18" i="83"/>
  <c r="E18" i="61"/>
  <c r="D68" i="60"/>
  <c r="D48" i="60"/>
  <c r="J36" i="83" l="1"/>
  <c r="I36" i="84"/>
  <c r="G81" i="83"/>
  <c r="S81" i="83"/>
  <c r="H81" i="83"/>
  <c r="T81" i="83"/>
  <c r="I81" i="83"/>
  <c r="F81" i="83"/>
  <c r="J81" i="83"/>
  <c r="K81" i="83"/>
  <c r="L81" i="83"/>
  <c r="M81" i="83"/>
  <c r="N81" i="83"/>
  <c r="O81" i="83"/>
  <c r="P81" i="83"/>
  <c r="Q81" i="83"/>
  <c r="R81" i="83"/>
  <c r="K96" i="83"/>
  <c r="L96" i="83"/>
  <c r="M96" i="83"/>
  <c r="G96" i="83"/>
  <c r="H96" i="83"/>
  <c r="I96" i="83"/>
  <c r="J96" i="83"/>
  <c r="N96" i="83"/>
  <c r="P96" i="83"/>
  <c r="Q96" i="83"/>
  <c r="R96" i="83"/>
  <c r="S96" i="83"/>
  <c r="T96" i="83"/>
  <c r="F96" i="83"/>
  <c r="O96" i="83"/>
  <c r="D52" i="83"/>
  <c r="F52" i="83" s="1"/>
  <c r="D68" i="83"/>
  <c r="L68" i="83" s="1"/>
  <c r="K69" i="83"/>
  <c r="Q34" i="83"/>
  <c r="I36" i="83"/>
  <c r="D55" i="83"/>
  <c r="R55" i="83" s="1"/>
  <c r="D65" i="83"/>
  <c r="F65" i="83" s="1"/>
  <c r="E23" i="83"/>
  <c r="P34" i="83"/>
  <c r="G34" i="83"/>
  <c r="S34" i="83"/>
  <c r="L36" i="83"/>
  <c r="H34" i="83"/>
  <c r="T34" i="83"/>
  <c r="M36" i="83"/>
  <c r="L69" i="83"/>
  <c r="K36" i="83"/>
  <c r="I34" i="83"/>
  <c r="N36" i="83"/>
  <c r="J34" i="83"/>
  <c r="J37" i="83" s="1"/>
  <c r="O36" i="83"/>
  <c r="F34" i="83"/>
  <c r="R34" i="83"/>
  <c r="K34" i="83"/>
  <c r="P36" i="83"/>
  <c r="L34" i="83"/>
  <c r="Q36" i="83"/>
  <c r="D60" i="83"/>
  <c r="Q60" i="83" s="1"/>
  <c r="M34" i="83"/>
  <c r="F36" i="83"/>
  <c r="R36" i="83"/>
  <c r="N34" i="83"/>
  <c r="G36" i="83"/>
  <c r="S36" i="83"/>
  <c r="O34" i="83"/>
  <c r="H36" i="83"/>
  <c r="D47" i="83"/>
  <c r="R47" i="83" s="1"/>
  <c r="D64" i="84"/>
  <c r="M64" i="84" s="1"/>
  <c r="D49" i="84"/>
  <c r="M49" i="84" s="1"/>
  <c r="D67" i="84"/>
  <c r="M67" i="84" s="1"/>
  <c r="E23" i="84"/>
  <c r="D46" i="84"/>
  <c r="M46" i="84" s="1"/>
  <c r="Q69" i="84"/>
  <c r="P69" i="84"/>
  <c r="O69" i="84"/>
  <c r="N69" i="84"/>
  <c r="M69" i="84"/>
  <c r="L69" i="84"/>
  <c r="K69" i="84"/>
  <c r="J69" i="84"/>
  <c r="I69" i="84"/>
  <c r="T69" i="84"/>
  <c r="H69" i="84"/>
  <c r="S69" i="84"/>
  <c r="G69" i="84"/>
  <c r="R69" i="84"/>
  <c r="F69" i="84"/>
  <c r="P34" i="84"/>
  <c r="P35" i="84" s="1"/>
  <c r="J36" i="84"/>
  <c r="Q34" i="84"/>
  <c r="Q35" i="84" s="1"/>
  <c r="K36" i="84"/>
  <c r="F34" i="84"/>
  <c r="F35" i="84" s="1"/>
  <c r="L36" i="84"/>
  <c r="S36" i="84"/>
  <c r="G34" i="84"/>
  <c r="G35" i="84" s="1"/>
  <c r="M34" i="84"/>
  <c r="M35" i="84" s="1"/>
  <c r="R34" i="84"/>
  <c r="R35" i="84" s="1"/>
  <c r="S34" i="84"/>
  <c r="S35" i="84" s="1"/>
  <c r="H34" i="84"/>
  <c r="H35" i="84" s="1"/>
  <c r="T34" i="84"/>
  <c r="T35" i="84" s="1"/>
  <c r="N36" i="84"/>
  <c r="I34" i="84"/>
  <c r="I35" i="84" s="1"/>
  <c r="O36" i="84"/>
  <c r="J34" i="84"/>
  <c r="J35" i="84" s="1"/>
  <c r="P36" i="84"/>
  <c r="M36" i="84"/>
  <c r="K34" i="84"/>
  <c r="K35" i="84" s="1"/>
  <c r="Q36" i="84"/>
  <c r="D47" i="84"/>
  <c r="D52" i="84"/>
  <c r="D55" i="84"/>
  <c r="D60" i="84"/>
  <c r="D65" i="84"/>
  <c r="D68" i="84"/>
  <c r="G36" i="84"/>
  <c r="L34" i="84"/>
  <c r="L35" i="84" s="1"/>
  <c r="F36" i="84"/>
  <c r="R36" i="84"/>
  <c r="N34" i="84"/>
  <c r="N35" i="84" s="1"/>
  <c r="H36" i="84"/>
  <c r="T36" i="84"/>
  <c r="O34" i="84"/>
  <c r="O35" i="84" s="1"/>
  <c r="D48" i="84"/>
  <c r="D53" i="84"/>
  <c r="D61" i="84"/>
  <c r="J69" i="83"/>
  <c r="R69" i="83"/>
  <c r="O69" i="83"/>
  <c r="N69" i="83"/>
  <c r="I69" i="83"/>
  <c r="S69" i="83"/>
  <c r="F69" i="83"/>
  <c r="Q69" i="83"/>
  <c r="P69" i="83"/>
  <c r="T69" i="83"/>
  <c r="H69" i="83"/>
  <c r="G69" i="83"/>
  <c r="D53" i="83"/>
  <c r="D48" i="83"/>
  <c r="D61" i="83"/>
  <c r="D46" i="83"/>
  <c r="D49" i="83"/>
  <c r="D64" i="83"/>
  <c r="D67" i="83"/>
  <c r="F106" i="81"/>
  <c r="F101" i="81"/>
  <c r="D97" i="81"/>
  <c r="D96" i="81"/>
  <c r="D95" i="81"/>
  <c r="D93" i="81"/>
  <c r="D92" i="81"/>
  <c r="D89" i="81"/>
  <c r="D88" i="81"/>
  <c r="D83" i="81"/>
  <c r="D81" i="81"/>
  <c r="D80" i="81"/>
  <c r="D77" i="81"/>
  <c r="D76" i="81"/>
  <c r="D75" i="81"/>
  <c r="D74" i="81"/>
  <c r="F72" i="81"/>
  <c r="F44" i="81"/>
  <c r="F33" i="81"/>
  <c r="D27" i="81"/>
  <c r="Q102" i="81" s="1"/>
  <c r="Q34" i="81" s="1"/>
  <c r="D23" i="81"/>
  <c r="E22" i="81"/>
  <c r="E21" i="81"/>
  <c r="E20" i="81"/>
  <c r="E19" i="81"/>
  <c r="E18" i="81"/>
  <c r="R72" i="90" a="1"/>
  <c r="S35" i="90" a="1"/>
  <c r="S111" i="90" a="1"/>
  <c r="S73" i="90" a="1"/>
  <c r="R34" i="90" a="1"/>
  <c r="G34" i="90" a="1"/>
  <c r="G110" i="90" a="1"/>
  <c r="G72" i="90" a="1"/>
  <c r="R110" i="90" a="1"/>
  <c r="R110" i="90" l="1"/>
  <c r="S111" i="90"/>
  <c r="G110" i="90"/>
  <c r="S73" i="90"/>
  <c r="S35" i="90"/>
  <c r="G72" i="90"/>
  <c r="G34" i="90"/>
  <c r="R72" i="90"/>
  <c r="R34" i="90"/>
  <c r="Q68" i="83"/>
  <c r="L52" i="83"/>
  <c r="K52" i="83"/>
  <c r="O65" i="83"/>
  <c r="N47" i="83"/>
  <c r="O52" i="83"/>
  <c r="T52" i="83"/>
  <c r="S52" i="83"/>
  <c r="R52" i="83"/>
  <c r="N60" i="83"/>
  <c r="M65" i="83"/>
  <c r="I65" i="83"/>
  <c r="T102" i="81"/>
  <c r="T34" i="81" s="1"/>
  <c r="F68" i="83"/>
  <c r="H68" i="83"/>
  <c r="M68" i="83"/>
  <c r="P38" i="83"/>
  <c r="R68" i="83"/>
  <c r="T68" i="83"/>
  <c r="J68" i="83"/>
  <c r="G68" i="83"/>
  <c r="K68" i="83"/>
  <c r="P47" i="83"/>
  <c r="K47" i="83"/>
  <c r="F47" i="83"/>
  <c r="G55" i="83"/>
  <c r="T55" i="83"/>
  <c r="S65" i="83"/>
  <c r="G65" i="83"/>
  <c r="H65" i="83"/>
  <c r="N49" i="84"/>
  <c r="T65" i="83"/>
  <c r="H52" i="83"/>
  <c r="K65" i="83"/>
  <c r="J52" i="83"/>
  <c r="L65" i="83"/>
  <c r="P52" i="83"/>
  <c r="N67" i="84"/>
  <c r="L64" i="84"/>
  <c r="F103" i="81"/>
  <c r="F36" i="81" s="1"/>
  <c r="D61" i="81"/>
  <c r="J61" i="81" s="1"/>
  <c r="G64" i="84"/>
  <c r="P67" i="84"/>
  <c r="H67" i="84"/>
  <c r="T64" i="84"/>
  <c r="K67" i="84"/>
  <c r="O67" i="84"/>
  <c r="I55" i="83"/>
  <c r="J55" i="83"/>
  <c r="G52" i="83"/>
  <c r="K55" i="83"/>
  <c r="P55" i="83"/>
  <c r="M55" i="83"/>
  <c r="P68" i="83"/>
  <c r="N68" i="83"/>
  <c r="M52" i="83"/>
  <c r="G38" i="83"/>
  <c r="O55" i="83"/>
  <c r="N55" i="83"/>
  <c r="G47" i="83"/>
  <c r="F38" i="83"/>
  <c r="S68" i="83"/>
  <c r="H47" i="83"/>
  <c r="I52" i="83"/>
  <c r="I37" i="83"/>
  <c r="O68" i="83"/>
  <c r="I68" i="83"/>
  <c r="I47" i="83"/>
  <c r="N52" i="83"/>
  <c r="F55" i="83"/>
  <c r="J47" i="83"/>
  <c r="O47" i="83"/>
  <c r="Q37" i="83"/>
  <c r="L55" i="83"/>
  <c r="Q52" i="83"/>
  <c r="F60" i="83"/>
  <c r="G37" i="83"/>
  <c r="H60" i="83"/>
  <c r="O38" i="83"/>
  <c r="L47" i="83"/>
  <c r="J60" i="83"/>
  <c r="S37" i="83"/>
  <c r="T47" i="83"/>
  <c r="S60" i="83"/>
  <c r="J65" i="83"/>
  <c r="Q47" i="83"/>
  <c r="R38" i="83"/>
  <c r="Q38" i="83"/>
  <c r="S55" i="83"/>
  <c r="M47" i="83"/>
  <c r="T60" i="83"/>
  <c r="N65" i="83"/>
  <c r="J38" i="83"/>
  <c r="F37" i="83"/>
  <c r="H55" i="83"/>
  <c r="S47" i="83"/>
  <c r="K60" i="83"/>
  <c r="Q55" i="83"/>
  <c r="R60" i="83"/>
  <c r="P65" i="83"/>
  <c r="R65" i="83"/>
  <c r="Q65" i="83"/>
  <c r="I38" i="83"/>
  <c r="L60" i="83"/>
  <c r="L19" i="83"/>
  <c r="P37" i="83"/>
  <c r="F102" i="81"/>
  <c r="F34" i="81" s="1"/>
  <c r="H64" i="84"/>
  <c r="E23" i="81"/>
  <c r="D47" i="81"/>
  <c r="L47" i="81" s="1"/>
  <c r="G102" i="81"/>
  <c r="G34" i="81" s="1"/>
  <c r="P103" i="81"/>
  <c r="P36" i="81" s="1"/>
  <c r="M60" i="83"/>
  <c r="K38" i="83"/>
  <c r="K37" i="83"/>
  <c r="L38" i="83"/>
  <c r="L37" i="83"/>
  <c r="T37" i="83"/>
  <c r="T38" i="83"/>
  <c r="D68" i="81"/>
  <c r="K68" i="81" s="1"/>
  <c r="J102" i="81"/>
  <c r="J34" i="81" s="1"/>
  <c r="K102" i="81"/>
  <c r="K34" i="81" s="1"/>
  <c r="K64" i="84"/>
  <c r="Q67" i="84"/>
  <c r="O64" i="84"/>
  <c r="D69" i="81"/>
  <c r="G69" i="81" s="1"/>
  <c r="L102" i="81"/>
  <c r="L34" i="81" s="1"/>
  <c r="O60" i="83"/>
  <c r="I67" i="84"/>
  <c r="L18" i="83"/>
  <c r="M38" i="83"/>
  <c r="M37" i="83"/>
  <c r="O37" i="83"/>
  <c r="S38" i="83"/>
  <c r="D52" i="81"/>
  <c r="J52" i="81" s="1"/>
  <c r="D65" i="81"/>
  <c r="Q65" i="81" s="1"/>
  <c r="D53" i="81"/>
  <c r="F53" i="81" s="1"/>
  <c r="H102" i="81"/>
  <c r="H34" i="81" s="1"/>
  <c r="N38" i="83"/>
  <c r="N37" i="83"/>
  <c r="I102" i="81"/>
  <c r="I34" i="81" s="1"/>
  <c r="H37" i="83"/>
  <c r="D60" i="81"/>
  <c r="F60" i="81" s="1"/>
  <c r="M102" i="81"/>
  <c r="M34" i="81" s="1"/>
  <c r="R102" i="81"/>
  <c r="R34" i="81" s="1"/>
  <c r="G60" i="83"/>
  <c r="P60" i="83"/>
  <c r="S67" i="84"/>
  <c r="R67" i="84"/>
  <c r="H38" i="83"/>
  <c r="S49" i="84"/>
  <c r="D48" i="81"/>
  <c r="G48" i="81" s="1"/>
  <c r="R37" i="83"/>
  <c r="D55" i="81"/>
  <c r="S102" i="81"/>
  <c r="S34" i="81" s="1"/>
  <c r="I60" i="83"/>
  <c r="L67" i="84"/>
  <c r="J67" i="84"/>
  <c r="G67" i="84"/>
  <c r="F67" i="84"/>
  <c r="I49" i="84"/>
  <c r="Q49" i="84"/>
  <c r="F49" i="84"/>
  <c r="O49" i="84"/>
  <c r="P64" i="84"/>
  <c r="S64" i="84"/>
  <c r="Q64" i="84"/>
  <c r="P49" i="84"/>
  <c r="R64" i="84"/>
  <c r="N64" i="84"/>
  <c r="R49" i="84"/>
  <c r="L49" i="84"/>
  <c r="J64" i="84"/>
  <c r="I64" i="84"/>
  <c r="T49" i="84"/>
  <c r="F64" i="84"/>
  <c r="K49" i="84"/>
  <c r="H49" i="84"/>
  <c r="J49" i="84"/>
  <c r="G49" i="84"/>
  <c r="T67" i="84"/>
  <c r="J46" i="84"/>
  <c r="T46" i="84"/>
  <c r="H46" i="84"/>
  <c r="O46" i="84"/>
  <c r="G46" i="84"/>
  <c r="L46" i="84"/>
  <c r="Q46" i="84"/>
  <c r="P46" i="84"/>
  <c r="K46" i="84"/>
  <c r="R46" i="84"/>
  <c r="S46" i="84"/>
  <c r="I46" i="84"/>
  <c r="F46" i="84"/>
  <c r="N46" i="84"/>
  <c r="Q61" i="84"/>
  <c r="P61" i="84"/>
  <c r="O61" i="84"/>
  <c r="N61" i="84"/>
  <c r="M61" i="84"/>
  <c r="L61" i="84"/>
  <c r="K61" i="84"/>
  <c r="J61" i="84"/>
  <c r="I61" i="84"/>
  <c r="T61" i="84"/>
  <c r="H61" i="84"/>
  <c r="S61" i="84"/>
  <c r="G61" i="84"/>
  <c r="R61" i="84"/>
  <c r="F61" i="84"/>
  <c r="I68" i="84"/>
  <c r="T68" i="84"/>
  <c r="H68" i="84"/>
  <c r="S68" i="84"/>
  <c r="G68" i="84"/>
  <c r="R68" i="84"/>
  <c r="F68" i="84"/>
  <c r="Q68" i="84"/>
  <c r="M68" i="84"/>
  <c r="P68" i="84"/>
  <c r="O68" i="84"/>
  <c r="N68" i="84"/>
  <c r="L68" i="84"/>
  <c r="K68" i="84"/>
  <c r="J68" i="84"/>
  <c r="S38" i="84"/>
  <c r="S37" i="84"/>
  <c r="Q37" i="84"/>
  <c r="Q38" i="84"/>
  <c r="K38" i="84"/>
  <c r="K37" i="84"/>
  <c r="I38" i="84"/>
  <c r="I37" i="84"/>
  <c r="R38" i="84"/>
  <c r="R37" i="84"/>
  <c r="L18" i="84"/>
  <c r="F38" i="84"/>
  <c r="F37" i="84"/>
  <c r="G38" i="84"/>
  <c r="G37" i="84"/>
  <c r="N37" i="84"/>
  <c r="N38" i="84"/>
  <c r="Q48" i="84"/>
  <c r="P48" i="84"/>
  <c r="O48" i="84"/>
  <c r="N48" i="84"/>
  <c r="M48" i="84"/>
  <c r="L48" i="84"/>
  <c r="K48" i="84"/>
  <c r="I48" i="84"/>
  <c r="J48" i="84"/>
  <c r="T48" i="84"/>
  <c r="H48" i="84"/>
  <c r="S48" i="84"/>
  <c r="G48" i="84"/>
  <c r="R48" i="84"/>
  <c r="F48" i="84"/>
  <c r="I65" i="84"/>
  <c r="T65" i="84"/>
  <c r="H65" i="84"/>
  <c r="S65" i="84"/>
  <c r="G65" i="84"/>
  <c r="R65" i="84"/>
  <c r="F65" i="84"/>
  <c r="Q65" i="84"/>
  <c r="M65" i="84"/>
  <c r="P65" i="84"/>
  <c r="O65" i="84"/>
  <c r="N65" i="84"/>
  <c r="L65" i="84"/>
  <c r="K65" i="84"/>
  <c r="J65" i="84"/>
  <c r="M37" i="84"/>
  <c r="M38" i="84"/>
  <c r="Q53" i="84"/>
  <c r="P53" i="84"/>
  <c r="O53" i="84"/>
  <c r="N53" i="84"/>
  <c r="M53" i="84"/>
  <c r="L53" i="84"/>
  <c r="K53" i="84"/>
  <c r="J53" i="84"/>
  <c r="I53" i="84"/>
  <c r="T53" i="84"/>
  <c r="H53" i="84"/>
  <c r="S53" i="84"/>
  <c r="G53" i="84"/>
  <c r="R53" i="84"/>
  <c r="F53" i="84"/>
  <c r="O37" i="84"/>
  <c r="O38" i="84"/>
  <c r="I55" i="84"/>
  <c r="T55" i="84"/>
  <c r="H55" i="84"/>
  <c r="S55" i="84"/>
  <c r="G55" i="84"/>
  <c r="R55" i="84"/>
  <c r="F55" i="84"/>
  <c r="Q55" i="84"/>
  <c r="P55" i="84"/>
  <c r="O55" i="84"/>
  <c r="M55" i="84"/>
  <c r="N55" i="84"/>
  <c r="L55" i="84"/>
  <c r="K55" i="84"/>
  <c r="J55" i="84"/>
  <c r="T38" i="84"/>
  <c r="T37" i="84"/>
  <c r="I60" i="84"/>
  <c r="T60" i="84"/>
  <c r="H60" i="84"/>
  <c r="S60" i="84"/>
  <c r="G60" i="84"/>
  <c r="R60" i="84"/>
  <c r="F60" i="84"/>
  <c r="Q60" i="84"/>
  <c r="P60" i="84"/>
  <c r="O60" i="84"/>
  <c r="N60" i="84"/>
  <c r="M60" i="84"/>
  <c r="L60" i="84"/>
  <c r="K60" i="84"/>
  <c r="J60" i="84"/>
  <c r="L19" i="84"/>
  <c r="I52" i="84"/>
  <c r="T52" i="84"/>
  <c r="H52" i="84"/>
  <c r="S52" i="84"/>
  <c r="G52" i="84"/>
  <c r="R52" i="84"/>
  <c r="F52" i="84"/>
  <c r="M52" i="84"/>
  <c r="Q52" i="84"/>
  <c r="P52" i="84"/>
  <c r="O52" i="84"/>
  <c r="N52" i="84"/>
  <c r="L52" i="84"/>
  <c r="K52" i="84"/>
  <c r="J52" i="84"/>
  <c r="H38" i="84"/>
  <c r="H37" i="84"/>
  <c r="P37" i="84"/>
  <c r="P38" i="84"/>
  <c r="L38" i="84"/>
  <c r="L37" i="84"/>
  <c r="J38" i="84"/>
  <c r="J37" i="84"/>
  <c r="I47" i="84"/>
  <c r="T47" i="84"/>
  <c r="H47" i="84"/>
  <c r="S47" i="84"/>
  <c r="G47" i="84"/>
  <c r="R47" i="84"/>
  <c r="F47" i="84"/>
  <c r="Q47" i="84"/>
  <c r="P47" i="84"/>
  <c r="O47" i="84"/>
  <c r="N47" i="84"/>
  <c r="M47" i="84"/>
  <c r="L47" i="84"/>
  <c r="K47" i="84"/>
  <c r="J47" i="84"/>
  <c r="J53" i="83"/>
  <c r="S53" i="83"/>
  <c r="R53" i="83"/>
  <c r="I53" i="83"/>
  <c r="G53" i="83"/>
  <c r="Q53" i="83"/>
  <c r="P53" i="83"/>
  <c r="O53" i="83"/>
  <c r="T53" i="83"/>
  <c r="H53" i="83"/>
  <c r="F53" i="83"/>
  <c r="L53" i="83"/>
  <c r="M53" i="83"/>
  <c r="K53" i="83"/>
  <c r="N53" i="83"/>
  <c r="R67" i="83"/>
  <c r="F67" i="83"/>
  <c r="L67" i="83"/>
  <c r="K67" i="83"/>
  <c r="J67" i="83"/>
  <c r="Q67" i="83"/>
  <c r="N67" i="83"/>
  <c r="M67" i="83"/>
  <c r="P67" i="83"/>
  <c r="O67" i="83"/>
  <c r="T67" i="83"/>
  <c r="S67" i="83"/>
  <c r="I67" i="83"/>
  <c r="G67" i="83"/>
  <c r="H67" i="83"/>
  <c r="R64" i="83"/>
  <c r="F64" i="83"/>
  <c r="Q64" i="83"/>
  <c r="O64" i="83"/>
  <c r="L64" i="83"/>
  <c r="P64" i="83"/>
  <c r="N64" i="83"/>
  <c r="M64" i="83"/>
  <c r="K64" i="83"/>
  <c r="H64" i="83"/>
  <c r="G64" i="83"/>
  <c r="S64" i="83"/>
  <c r="J64" i="83"/>
  <c r="T64" i="83"/>
  <c r="I64" i="83"/>
  <c r="R46" i="83"/>
  <c r="F46" i="83"/>
  <c r="N46" i="83"/>
  <c r="M46" i="83"/>
  <c r="Q46" i="83"/>
  <c r="O46" i="83"/>
  <c r="L46" i="83"/>
  <c r="K46" i="83"/>
  <c r="P46" i="83"/>
  <c r="T46" i="83"/>
  <c r="S46" i="83"/>
  <c r="J46" i="83"/>
  <c r="I46" i="83"/>
  <c r="H46" i="83"/>
  <c r="G46" i="83"/>
  <c r="R49" i="83"/>
  <c r="F49" i="83"/>
  <c r="O49" i="83"/>
  <c r="Q49" i="83"/>
  <c r="M49" i="83"/>
  <c r="K49" i="83"/>
  <c r="P49" i="83"/>
  <c r="N49" i="83"/>
  <c r="L49" i="83"/>
  <c r="H49" i="83"/>
  <c r="J49" i="83"/>
  <c r="G49" i="83"/>
  <c r="T49" i="83"/>
  <c r="S49" i="83"/>
  <c r="I49" i="83"/>
  <c r="J61" i="83"/>
  <c r="F61" i="83"/>
  <c r="Q61" i="83"/>
  <c r="I61" i="83"/>
  <c r="S61" i="83"/>
  <c r="R61" i="83"/>
  <c r="O61" i="83"/>
  <c r="T61" i="83"/>
  <c r="H61" i="83"/>
  <c r="G61" i="83"/>
  <c r="P61" i="83"/>
  <c r="N61" i="83"/>
  <c r="M61" i="83"/>
  <c r="L61" i="83"/>
  <c r="K61" i="83"/>
  <c r="J48" i="83"/>
  <c r="R48" i="83"/>
  <c r="Q48" i="83"/>
  <c r="P48" i="83"/>
  <c r="I48" i="83"/>
  <c r="S48" i="83"/>
  <c r="F48" i="83"/>
  <c r="T48" i="83"/>
  <c r="H48" i="83"/>
  <c r="G48" i="83"/>
  <c r="O48" i="83"/>
  <c r="N48" i="83"/>
  <c r="M48" i="83"/>
  <c r="L48" i="83"/>
  <c r="K48" i="83"/>
  <c r="H103" i="81"/>
  <c r="H36" i="81" s="1"/>
  <c r="N102" i="81"/>
  <c r="N34" i="81" s="1"/>
  <c r="J103" i="81"/>
  <c r="J36" i="81" s="1"/>
  <c r="O102" i="81"/>
  <c r="O34" i="81" s="1"/>
  <c r="K103" i="81"/>
  <c r="K36" i="81" s="1"/>
  <c r="D46" i="81"/>
  <c r="D49" i="81"/>
  <c r="D64" i="81"/>
  <c r="D67" i="81"/>
  <c r="P102" i="81"/>
  <c r="P34" i="81" s="1"/>
  <c r="L103" i="81"/>
  <c r="L36" i="81" s="1"/>
  <c r="G103" i="81"/>
  <c r="G36" i="81" s="1"/>
  <c r="I103" i="81"/>
  <c r="I36" i="81" s="1"/>
  <c r="M103" i="81"/>
  <c r="M36" i="81" s="1"/>
  <c r="N103" i="81"/>
  <c r="N36" i="81" s="1"/>
  <c r="Q103" i="81"/>
  <c r="Q36" i="81" s="1"/>
  <c r="R103" i="81"/>
  <c r="R36" i="81" s="1"/>
  <c r="S103" i="81"/>
  <c r="S36" i="81" s="1"/>
  <c r="T103" i="81"/>
  <c r="T36" i="81" s="1"/>
  <c r="O108" i="77"/>
  <c r="H108" i="77"/>
  <c r="I108" i="77"/>
  <c r="J108" i="77"/>
  <c r="K108" i="77"/>
  <c r="L108" i="77"/>
  <c r="M108" i="77"/>
  <c r="N108" i="77"/>
  <c r="G108" i="77"/>
  <c r="Q111" i="90" a="1"/>
  <c r="L73" i="90" a="1"/>
  <c r="B35" i="90" a="1"/>
  <c r="D111" i="90" a="1"/>
  <c r="M35" i="90" a="1"/>
  <c r="I73" i="90" a="1"/>
  <c r="R111" i="90" a="1"/>
  <c r="F35" i="90" a="1"/>
  <c r="D33" i="95" a="1"/>
  <c r="O35" i="90" a="1"/>
  <c r="N73" i="90" a="1"/>
  <c r="F111" i="90" a="1"/>
  <c r="G111" i="90" a="1"/>
  <c r="D73" i="90" a="1"/>
  <c r="C111" i="90" a="1"/>
  <c r="L35" i="90" a="1"/>
  <c r="N35" i="90" a="1"/>
  <c r="E111" i="90" a="1"/>
  <c r="B73" i="90" a="1"/>
  <c r="G73" i="90" a="1"/>
  <c r="C73" i="90" a="1"/>
  <c r="R35" i="90" a="1"/>
  <c r="O73" i="90" a="1"/>
  <c r="D35" i="90" a="1"/>
  <c r="L111" i="90" a="1"/>
  <c r="I111" i="90" a="1"/>
  <c r="R73" i="90" a="1"/>
  <c r="N111" i="90" a="1"/>
  <c r="F73" i="90" a="1"/>
  <c r="Q35" i="90" a="1"/>
  <c r="M73" i="90" a="1"/>
  <c r="B111" i="90" a="1"/>
  <c r="Q73" i="90" a="1"/>
  <c r="O111" i="90" a="1"/>
  <c r="E73" i="90" a="1"/>
  <c r="C35" i="90" a="1"/>
  <c r="G35" i="90" a="1"/>
  <c r="E35" i="90" a="1"/>
  <c r="M111" i="90" a="1"/>
  <c r="I35" i="90" a="1"/>
  <c r="B111" i="90" l="1"/>
  <c r="G111" i="90"/>
  <c r="L111" i="90"/>
  <c r="R111" i="90"/>
  <c r="O111" i="90"/>
  <c r="I111" i="90"/>
  <c r="N111" i="90"/>
  <c r="F111" i="90"/>
  <c r="E111" i="90"/>
  <c r="C111" i="90"/>
  <c r="M111" i="90"/>
  <c r="D111" i="90"/>
  <c r="Q111" i="90"/>
  <c r="D33" i="95"/>
  <c r="C73" i="90"/>
  <c r="C35" i="90"/>
  <c r="M73" i="90"/>
  <c r="M35" i="90"/>
  <c r="B73" i="90"/>
  <c r="B35" i="90"/>
  <c r="G73" i="90"/>
  <c r="G35" i="90"/>
  <c r="R73" i="90"/>
  <c r="R35" i="90"/>
  <c r="O73" i="90"/>
  <c r="O35" i="90"/>
  <c r="D73" i="90"/>
  <c r="D35" i="90"/>
  <c r="L73" i="90"/>
  <c r="L35" i="90"/>
  <c r="I73" i="90"/>
  <c r="I35" i="90"/>
  <c r="Q73" i="90"/>
  <c r="Q35" i="90"/>
  <c r="N73" i="90"/>
  <c r="N35" i="90"/>
  <c r="F73" i="90"/>
  <c r="F35" i="90"/>
  <c r="E73" i="90"/>
  <c r="E35" i="90"/>
  <c r="H61" i="81"/>
  <c r="M38" i="81"/>
  <c r="T37" i="81"/>
  <c r="Q37" i="81"/>
  <c r="H37" i="81"/>
  <c r="T61" i="81"/>
  <c r="Q61" i="81"/>
  <c r="H68" i="81"/>
  <c r="G38" i="81"/>
  <c r="F37" i="81"/>
  <c r="R61" i="81"/>
  <c r="S38" i="81"/>
  <c r="L61" i="81"/>
  <c r="F38" i="81"/>
  <c r="S61" i="81"/>
  <c r="S47" i="81"/>
  <c r="H47" i="81"/>
  <c r="K37" i="81"/>
  <c r="I61" i="81"/>
  <c r="F61" i="81"/>
  <c r="P61" i="81"/>
  <c r="M37" i="81"/>
  <c r="N61" i="81"/>
  <c r="J37" i="81"/>
  <c r="G61" i="81"/>
  <c r="O61" i="81"/>
  <c r="O103" i="81"/>
  <c r="O36" i="81" s="1"/>
  <c r="Q69" i="81"/>
  <c r="F69" i="81"/>
  <c r="K61" i="81"/>
  <c r="G65" i="81"/>
  <c r="T65" i="81"/>
  <c r="M68" i="81"/>
  <c r="L18" i="81"/>
  <c r="H69" i="81"/>
  <c r="L68" i="81"/>
  <c r="S65" i="81"/>
  <c r="I48" i="81"/>
  <c r="J65" i="81"/>
  <c r="K65" i="81"/>
  <c r="M65" i="81"/>
  <c r="Q48" i="81"/>
  <c r="L52" i="81"/>
  <c r="L65" i="81"/>
  <c r="F48" i="81"/>
  <c r="M61" i="81"/>
  <c r="G60" i="81"/>
  <c r="F65" i="81"/>
  <c r="I65" i="81"/>
  <c r="R69" i="81"/>
  <c r="T48" i="81"/>
  <c r="K52" i="81"/>
  <c r="S48" i="81"/>
  <c r="M52" i="81"/>
  <c r="R65" i="81"/>
  <c r="H65" i="81"/>
  <c r="K38" i="81"/>
  <c r="J53" i="81"/>
  <c r="M53" i="81"/>
  <c r="P53" i="81"/>
  <c r="O53" i="81"/>
  <c r="L53" i="81"/>
  <c r="N53" i="81"/>
  <c r="K53" i="81"/>
  <c r="T53" i="81"/>
  <c r="Q53" i="81"/>
  <c r="I53" i="81"/>
  <c r="R53" i="81"/>
  <c r="G53" i="81"/>
  <c r="S53" i="81"/>
  <c r="N55" i="81"/>
  <c r="O55" i="81"/>
  <c r="P55" i="81"/>
  <c r="J55" i="81"/>
  <c r="R55" i="81"/>
  <c r="K55" i="81"/>
  <c r="F55" i="81"/>
  <c r="L55" i="81"/>
  <c r="I55" i="81"/>
  <c r="H55" i="81"/>
  <c r="M55" i="81"/>
  <c r="S55" i="81"/>
  <c r="Q55" i="81"/>
  <c r="T55" i="81"/>
  <c r="G55" i="81"/>
  <c r="H53" i="81"/>
  <c r="N68" i="81"/>
  <c r="O68" i="81"/>
  <c r="P68" i="81"/>
  <c r="I47" i="81"/>
  <c r="P47" i="81"/>
  <c r="O47" i="81"/>
  <c r="T60" i="81"/>
  <c r="S69" i="81"/>
  <c r="I60" i="81"/>
  <c r="G37" i="81"/>
  <c r="J48" i="81"/>
  <c r="O48" i="81"/>
  <c r="M48" i="81"/>
  <c r="N48" i="81"/>
  <c r="P48" i="81"/>
  <c r="L48" i="81"/>
  <c r="K48" i="81"/>
  <c r="I52" i="81"/>
  <c r="S52" i="81"/>
  <c r="M47" i="81"/>
  <c r="H48" i="81"/>
  <c r="H60" i="81"/>
  <c r="G68" i="81"/>
  <c r="N65" i="81"/>
  <c r="P65" i="81"/>
  <c r="O65" i="81"/>
  <c r="J38" i="81"/>
  <c r="R38" i="81"/>
  <c r="T68" i="81"/>
  <c r="R68" i="81"/>
  <c r="J68" i="81"/>
  <c r="D37" i="83"/>
  <c r="I18" i="83" s="1"/>
  <c r="J60" i="81"/>
  <c r="L60" i="81"/>
  <c r="F68" i="81"/>
  <c r="Q60" i="81"/>
  <c r="G47" i="81"/>
  <c r="N47" i="81"/>
  <c r="T52" i="81"/>
  <c r="R47" i="81"/>
  <c r="R48" i="81"/>
  <c r="Q52" i="81"/>
  <c r="F47" i="81"/>
  <c r="J69" i="81"/>
  <c r="M69" i="81"/>
  <c r="L69" i="81"/>
  <c r="K69" i="81"/>
  <c r="P69" i="81"/>
  <c r="O69" i="81"/>
  <c r="N69" i="81"/>
  <c r="K47" i="81"/>
  <c r="L19" i="81"/>
  <c r="H52" i="81"/>
  <c r="L37" i="81"/>
  <c r="Q68" i="81"/>
  <c r="N60" i="81"/>
  <c r="P60" i="81"/>
  <c r="O60" i="81"/>
  <c r="R52" i="81"/>
  <c r="T47" i="81"/>
  <c r="K60" i="81"/>
  <c r="I37" i="81"/>
  <c r="S60" i="81"/>
  <c r="N52" i="81"/>
  <c r="P52" i="81"/>
  <c r="O52" i="81"/>
  <c r="M60" i="81"/>
  <c r="R60" i="81"/>
  <c r="G52" i="81"/>
  <c r="F52" i="81"/>
  <c r="S68" i="81"/>
  <c r="I69" i="81"/>
  <c r="T69" i="81"/>
  <c r="I68" i="81"/>
  <c r="Q47" i="81"/>
  <c r="J47" i="81"/>
  <c r="D37" i="84"/>
  <c r="I18" i="84" s="1"/>
  <c r="I38" i="81"/>
  <c r="S37" i="81"/>
  <c r="K67" i="81"/>
  <c r="I67" i="81"/>
  <c r="R67" i="81"/>
  <c r="F67" i="81"/>
  <c r="L67" i="81"/>
  <c r="Q67" i="81"/>
  <c r="P67" i="81"/>
  <c r="M67" i="81"/>
  <c r="O67" i="81"/>
  <c r="N67" i="81"/>
  <c r="J67" i="81"/>
  <c r="T67" i="81"/>
  <c r="S67" i="81"/>
  <c r="H67" i="81"/>
  <c r="G67" i="81"/>
  <c r="N37" i="81"/>
  <c r="I64" i="81"/>
  <c r="R64" i="81"/>
  <c r="F64" i="81"/>
  <c r="N64" i="81"/>
  <c r="L64" i="81"/>
  <c r="Q64" i="81"/>
  <c r="P64" i="81"/>
  <c r="M64" i="81"/>
  <c r="K64" i="81"/>
  <c r="O64" i="81"/>
  <c r="J64" i="81"/>
  <c r="T64" i="81"/>
  <c r="S64" i="81"/>
  <c r="H64" i="81"/>
  <c r="G64" i="81"/>
  <c r="K46" i="81"/>
  <c r="J46" i="81"/>
  <c r="I46" i="81"/>
  <c r="R46" i="81"/>
  <c r="F46" i="81"/>
  <c r="M46" i="81"/>
  <c r="Q46" i="81"/>
  <c r="P46" i="81"/>
  <c r="N46" i="81"/>
  <c r="L46" i="81"/>
  <c r="O46" i="81"/>
  <c r="T46" i="81"/>
  <c r="H46" i="81"/>
  <c r="G46" i="81"/>
  <c r="S46" i="81"/>
  <c r="L38" i="81"/>
  <c r="R37" i="81"/>
  <c r="R49" i="81"/>
  <c r="F49" i="81"/>
  <c r="I49" i="81"/>
  <c r="Q49" i="81"/>
  <c r="L49" i="81"/>
  <c r="K49" i="81"/>
  <c r="P49" i="81"/>
  <c r="N49" i="81"/>
  <c r="O49" i="81"/>
  <c r="M49" i="81"/>
  <c r="J49" i="81"/>
  <c r="S49" i="81"/>
  <c r="H49" i="81"/>
  <c r="G49" i="81"/>
  <c r="T49" i="81"/>
  <c r="Q38" i="81"/>
  <c r="T38" i="81"/>
  <c r="P37" i="81"/>
  <c r="H38" i="81"/>
  <c r="S27" i="90" a="1"/>
  <c r="O103" i="90" a="1"/>
  <c r="M103" i="90" a="1"/>
  <c r="F65" i="90" a="1"/>
  <c r="D27" i="90" a="1"/>
  <c r="C65" i="90" a="1"/>
  <c r="E27" i="90" a="1"/>
  <c r="L65" i="90" a="1"/>
  <c r="B27" i="90" a="1"/>
  <c r="G27" i="90" a="1"/>
  <c r="R103" i="90" a="1"/>
  <c r="L27" i="90" a="1"/>
  <c r="B65" i="90" a="1"/>
  <c r="D103" i="90" a="1"/>
  <c r="R27" i="90" a="1"/>
  <c r="N65" i="90" a="1"/>
  <c r="G65" i="90" a="1"/>
  <c r="R65" i="90" a="1"/>
  <c r="F27" i="90" a="1"/>
  <c r="C27" i="90" a="1"/>
  <c r="Q103" i="90" a="1"/>
  <c r="G103" i="90" a="1"/>
  <c r="I27" i="90" a="1"/>
  <c r="S65" i="90" a="1"/>
  <c r="C103" i="90" a="1"/>
  <c r="N103" i="90" a="1"/>
  <c r="B103" i="90" a="1"/>
  <c r="F103" i="90" a="1"/>
  <c r="L103" i="90" a="1"/>
  <c r="M27" i="90" a="1"/>
  <c r="O27" i="90" a="1"/>
  <c r="M65" i="90" a="1"/>
  <c r="D65" i="90" a="1"/>
  <c r="I65" i="90" a="1"/>
  <c r="S103" i="90" a="1"/>
  <c r="E103" i="90" a="1"/>
  <c r="N27" i="90" a="1"/>
  <c r="O65" i="90" a="1"/>
  <c r="Q27" i="90" a="1"/>
  <c r="I103" i="90" a="1"/>
  <c r="Q65" i="90" a="1"/>
  <c r="E65" i="90" a="1"/>
  <c r="M103" i="90" l="1"/>
  <c r="N103" i="90"/>
  <c r="I103" i="90"/>
  <c r="Q103" i="90"/>
  <c r="R103" i="90"/>
  <c r="S103" i="90"/>
  <c r="O103" i="90"/>
  <c r="F103" i="90"/>
  <c r="L103" i="90"/>
  <c r="E103" i="90"/>
  <c r="B103" i="90"/>
  <c r="C103" i="90"/>
  <c r="G103" i="90"/>
  <c r="D103" i="90"/>
  <c r="F65" i="90"/>
  <c r="F27" i="90"/>
  <c r="L27" i="90"/>
  <c r="L65" i="90"/>
  <c r="B65" i="90"/>
  <c r="B27" i="90"/>
  <c r="C65" i="90"/>
  <c r="C27" i="90"/>
  <c r="G27" i="90"/>
  <c r="G65" i="90"/>
  <c r="D65" i="90"/>
  <c r="D27" i="90"/>
  <c r="M65" i="90"/>
  <c r="M27" i="90"/>
  <c r="O65" i="90"/>
  <c r="O27" i="90"/>
  <c r="E65" i="90"/>
  <c r="E27" i="90"/>
  <c r="N65" i="90"/>
  <c r="N27" i="90"/>
  <c r="I65" i="90"/>
  <c r="I27" i="90"/>
  <c r="S65" i="90"/>
  <c r="S27" i="90"/>
  <c r="Q65" i="90"/>
  <c r="Q27" i="90"/>
  <c r="R65" i="90"/>
  <c r="R27" i="90"/>
  <c r="N38" i="81"/>
  <c r="O37" i="81"/>
  <c r="P38" i="81"/>
  <c r="O38" i="81"/>
  <c r="D37" i="81"/>
  <c r="I18" i="81" s="1"/>
  <c r="F106" i="80" l="1"/>
  <c r="F101" i="80"/>
  <c r="E100" i="80"/>
  <c r="D97" i="80"/>
  <c r="D96" i="80"/>
  <c r="D95" i="80"/>
  <c r="D93" i="80"/>
  <c r="D92" i="80"/>
  <c r="D89" i="80"/>
  <c r="D88" i="80"/>
  <c r="D83" i="80"/>
  <c r="D81" i="80"/>
  <c r="D80" i="80"/>
  <c r="D77" i="80"/>
  <c r="D76" i="80"/>
  <c r="D75" i="80"/>
  <c r="D74" i="80"/>
  <c r="F72" i="80"/>
  <c r="F44" i="80"/>
  <c r="F33" i="80"/>
  <c r="D33" i="80"/>
  <c r="D27" i="80"/>
  <c r="D53" i="80" s="1"/>
  <c r="D23" i="80"/>
  <c r="E22" i="80"/>
  <c r="E21" i="80"/>
  <c r="E20" i="80"/>
  <c r="E19" i="80"/>
  <c r="E18" i="80"/>
  <c r="F106" i="79"/>
  <c r="T103" i="79"/>
  <c r="S103" i="79"/>
  <c r="R103" i="79"/>
  <c r="Q103" i="79"/>
  <c r="P103" i="79"/>
  <c r="O103" i="79"/>
  <c r="N103" i="79"/>
  <c r="M103" i="79"/>
  <c r="L103" i="79"/>
  <c r="K103" i="79"/>
  <c r="J103" i="79"/>
  <c r="I103" i="79"/>
  <c r="H103" i="79"/>
  <c r="G103" i="79"/>
  <c r="F103" i="79"/>
  <c r="T102" i="79"/>
  <c r="S102" i="79"/>
  <c r="R102" i="79"/>
  <c r="Q102" i="79"/>
  <c r="P102" i="79"/>
  <c r="O102" i="79"/>
  <c r="N102" i="79"/>
  <c r="M102" i="79"/>
  <c r="L102" i="79"/>
  <c r="K102" i="79"/>
  <c r="J102" i="79"/>
  <c r="I102" i="79"/>
  <c r="H102" i="79"/>
  <c r="G102" i="79"/>
  <c r="F102" i="79"/>
  <c r="F101" i="79"/>
  <c r="E100" i="79"/>
  <c r="I36" i="79" s="1"/>
  <c r="D97" i="79"/>
  <c r="D96" i="79"/>
  <c r="D95" i="79"/>
  <c r="D93" i="79"/>
  <c r="D92" i="79"/>
  <c r="D89" i="79"/>
  <c r="D88" i="79"/>
  <c r="D83" i="79"/>
  <c r="D81" i="79"/>
  <c r="D80" i="79"/>
  <c r="D77" i="79"/>
  <c r="D76" i="79"/>
  <c r="D75" i="79"/>
  <c r="D74" i="79"/>
  <c r="F72" i="79"/>
  <c r="F44" i="79"/>
  <c r="G36" i="79"/>
  <c r="F33" i="79"/>
  <c r="D33" i="79"/>
  <c r="D27" i="79"/>
  <c r="D23" i="79"/>
  <c r="E22" i="79"/>
  <c r="E21" i="79"/>
  <c r="E20" i="79"/>
  <c r="E19" i="79"/>
  <c r="E18" i="79"/>
  <c r="F106" i="78"/>
  <c r="F101" i="78"/>
  <c r="E100" i="78"/>
  <c r="D97" i="78"/>
  <c r="D96" i="78"/>
  <c r="D95" i="78"/>
  <c r="D93" i="78"/>
  <c r="D92" i="78"/>
  <c r="D89" i="78"/>
  <c r="D88" i="78"/>
  <c r="D83" i="78"/>
  <c r="D81" i="78"/>
  <c r="D80" i="78"/>
  <c r="D77" i="78"/>
  <c r="D76" i="78"/>
  <c r="D75" i="78"/>
  <c r="D74" i="78"/>
  <c r="F72" i="78"/>
  <c r="F44" i="78"/>
  <c r="F33" i="78"/>
  <c r="D33" i="78"/>
  <c r="D27" i="78"/>
  <c r="D23" i="78"/>
  <c r="E22" i="78"/>
  <c r="E21" i="78"/>
  <c r="E20" i="78"/>
  <c r="E19" i="78"/>
  <c r="E18" i="78"/>
  <c r="F106" i="77"/>
  <c r="T103" i="77"/>
  <c r="S103" i="77"/>
  <c r="R103" i="77"/>
  <c r="Q103" i="77"/>
  <c r="P103" i="77"/>
  <c r="O103" i="77"/>
  <c r="N103" i="77"/>
  <c r="M103" i="77"/>
  <c r="L103" i="77"/>
  <c r="K103" i="77"/>
  <c r="J103" i="77"/>
  <c r="I103" i="77"/>
  <c r="H103" i="77"/>
  <c r="G103" i="77"/>
  <c r="F103" i="77"/>
  <c r="T102" i="77"/>
  <c r="S102" i="77"/>
  <c r="R102" i="77"/>
  <c r="Q102" i="77"/>
  <c r="P102" i="77"/>
  <c r="O102" i="77"/>
  <c r="N102" i="77"/>
  <c r="M102" i="77"/>
  <c r="L102" i="77"/>
  <c r="K102" i="77"/>
  <c r="J102" i="77"/>
  <c r="I102" i="77"/>
  <c r="H102" i="77"/>
  <c r="G102" i="77"/>
  <c r="F102" i="77"/>
  <c r="F101" i="77"/>
  <c r="E100" i="77"/>
  <c r="J36" i="77" s="1"/>
  <c r="J36" i="99" s="1"/>
  <c r="D97" i="77"/>
  <c r="D96" i="77"/>
  <c r="D95" i="77"/>
  <c r="D93" i="77"/>
  <c r="D92" i="77"/>
  <c r="D89" i="77"/>
  <c r="D88" i="77"/>
  <c r="D83" i="77"/>
  <c r="D81" i="77"/>
  <c r="D80" i="77"/>
  <c r="D77" i="77"/>
  <c r="D76" i="77"/>
  <c r="D75" i="77"/>
  <c r="D74" i="77"/>
  <c r="F72" i="77"/>
  <c r="F44" i="77"/>
  <c r="Q34" i="77"/>
  <c r="I34" i="77"/>
  <c r="I34" i="99" s="1"/>
  <c r="F33" i="77"/>
  <c r="D33" i="77"/>
  <c r="D27" i="77"/>
  <c r="D69" i="77" s="1"/>
  <c r="T69" i="77" s="1"/>
  <c r="D23" i="77"/>
  <c r="E22" i="77"/>
  <c r="E21" i="77"/>
  <c r="E20" i="77"/>
  <c r="E19" i="77"/>
  <c r="E18" i="77"/>
  <c r="F106" i="76"/>
  <c r="F101" i="76"/>
  <c r="E100" i="76"/>
  <c r="D97" i="76"/>
  <c r="D96" i="76"/>
  <c r="D95" i="76"/>
  <c r="D93" i="76"/>
  <c r="D92" i="76"/>
  <c r="D89" i="76"/>
  <c r="D88" i="76"/>
  <c r="D83" i="76"/>
  <c r="D81" i="76"/>
  <c r="D80" i="76"/>
  <c r="D77" i="76"/>
  <c r="D76" i="76"/>
  <c r="D75" i="76"/>
  <c r="D74" i="76"/>
  <c r="F72" i="76"/>
  <c r="F44" i="76"/>
  <c r="F33" i="76"/>
  <c r="D33" i="76"/>
  <c r="D27" i="76"/>
  <c r="D23" i="76"/>
  <c r="E22" i="76"/>
  <c r="E21" i="76"/>
  <c r="E20" i="76"/>
  <c r="E19" i="76"/>
  <c r="E18" i="76"/>
  <c r="F106" i="75"/>
  <c r="F101" i="75"/>
  <c r="E100" i="75"/>
  <c r="D97" i="75"/>
  <c r="D96" i="75"/>
  <c r="D95" i="75"/>
  <c r="D93" i="75"/>
  <c r="D92" i="75"/>
  <c r="D89" i="75"/>
  <c r="D88" i="75"/>
  <c r="D83" i="75"/>
  <c r="D81" i="75"/>
  <c r="D80" i="75"/>
  <c r="D77" i="75"/>
  <c r="D76" i="75"/>
  <c r="D75" i="75"/>
  <c r="D74" i="75"/>
  <c r="F72" i="75"/>
  <c r="F44" i="75"/>
  <c r="F33" i="75"/>
  <c r="D33" i="75"/>
  <c r="D27" i="75"/>
  <c r="D23" i="75"/>
  <c r="E22" i="75"/>
  <c r="E21" i="75"/>
  <c r="E20" i="75"/>
  <c r="E19" i="75"/>
  <c r="E18" i="75"/>
  <c r="F106" i="73"/>
  <c r="T103" i="73"/>
  <c r="S103" i="73"/>
  <c r="R103" i="73"/>
  <c r="Q103" i="73"/>
  <c r="P103" i="73"/>
  <c r="O103" i="73"/>
  <c r="N103" i="73"/>
  <c r="M103" i="73"/>
  <c r="L103" i="73"/>
  <c r="K103" i="73"/>
  <c r="J103" i="73"/>
  <c r="I103" i="73"/>
  <c r="H103" i="73"/>
  <c r="G103" i="73"/>
  <c r="F103" i="73"/>
  <c r="T102" i="73"/>
  <c r="S102" i="73"/>
  <c r="R102" i="73"/>
  <c r="Q102" i="73"/>
  <c r="P102" i="73"/>
  <c r="O102" i="73"/>
  <c r="N102" i="73"/>
  <c r="M102" i="73"/>
  <c r="L102" i="73"/>
  <c r="K102" i="73"/>
  <c r="J102" i="73"/>
  <c r="I102" i="73"/>
  <c r="H102" i="73"/>
  <c r="G102" i="73"/>
  <c r="F102" i="73"/>
  <c r="F101" i="73"/>
  <c r="E100" i="73"/>
  <c r="P36" i="73" s="1"/>
  <c r="D97" i="73"/>
  <c r="D96" i="73"/>
  <c r="D95" i="73"/>
  <c r="D93" i="73"/>
  <c r="D92" i="73"/>
  <c r="D89" i="73"/>
  <c r="D88" i="73"/>
  <c r="D83" i="73"/>
  <c r="D81" i="73"/>
  <c r="D80" i="73"/>
  <c r="D77" i="73"/>
  <c r="D76" i="73"/>
  <c r="D75" i="73"/>
  <c r="D74" i="73"/>
  <c r="F72" i="73"/>
  <c r="F44" i="73"/>
  <c r="F33" i="73"/>
  <c r="D33" i="73"/>
  <c r="D27" i="73"/>
  <c r="D23" i="73"/>
  <c r="E22" i="73"/>
  <c r="E21" i="73"/>
  <c r="E20" i="73"/>
  <c r="E19" i="73"/>
  <c r="E18" i="73"/>
  <c r="F106" i="72"/>
  <c r="T103" i="72"/>
  <c r="S103" i="72"/>
  <c r="R103" i="72"/>
  <c r="Q103" i="72"/>
  <c r="P103" i="72"/>
  <c r="O103" i="72"/>
  <c r="N103" i="72"/>
  <c r="M103" i="72"/>
  <c r="L103" i="72"/>
  <c r="K103" i="72"/>
  <c r="J103" i="72"/>
  <c r="I103" i="72"/>
  <c r="H103" i="72"/>
  <c r="G103" i="72"/>
  <c r="F103" i="72"/>
  <c r="T102" i="72"/>
  <c r="S102" i="72"/>
  <c r="R102" i="72"/>
  <c r="Q102" i="72"/>
  <c r="P102" i="72"/>
  <c r="O102" i="72"/>
  <c r="N102" i="72"/>
  <c r="M102" i="72"/>
  <c r="L102" i="72"/>
  <c r="K102" i="72"/>
  <c r="J102" i="72"/>
  <c r="I102" i="72"/>
  <c r="H102" i="72"/>
  <c r="G102" i="72"/>
  <c r="F102" i="72"/>
  <c r="F101" i="72"/>
  <c r="E100" i="72"/>
  <c r="J34" i="72" s="1"/>
  <c r="D97" i="72"/>
  <c r="D96" i="72"/>
  <c r="D95" i="72"/>
  <c r="D93" i="72"/>
  <c r="D92" i="72"/>
  <c r="D89" i="72"/>
  <c r="D88" i="72"/>
  <c r="D83" i="72"/>
  <c r="D81" i="72"/>
  <c r="D80" i="72"/>
  <c r="D77" i="72"/>
  <c r="D76" i="72"/>
  <c r="D75" i="72"/>
  <c r="D74" i="72"/>
  <c r="F72" i="72"/>
  <c r="D52" i="72"/>
  <c r="F44" i="72"/>
  <c r="N36" i="72"/>
  <c r="M34" i="72"/>
  <c r="F33" i="72"/>
  <c r="D33" i="72"/>
  <c r="D27" i="72"/>
  <c r="D61" i="72" s="1"/>
  <c r="D23" i="72"/>
  <c r="E22" i="72"/>
  <c r="E21" i="72"/>
  <c r="E20" i="72"/>
  <c r="E19" i="72"/>
  <c r="E18" i="72"/>
  <c r="F106" i="71"/>
  <c r="T103" i="71"/>
  <c r="S103" i="71"/>
  <c r="R103" i="71"/>
  <c r="Q103" i="71"/>
  <c r="P103" i="71"/>
  <c r="O103" i="71"/>
  <c r="N103" i="71"/>
  <c r="M103" i="71"/>
  <c r="L103" i="71"/>
  <c r="K103" i="71"/>
  <c r="J103" i="71"/>
  <c r="I103" i="71"/>
  <c r="H103" i="71"/>
  <c r="G103" i="71"/>
  <c r="F103" i="71"/>
  <c r="T102" i="71"/>
  <c r="S102" i="71"/>
  <c r="R102" i="71"/>
  <c r="Q102" i="71"/>
  <c r="P102" i="71"/>
  <c r="O102" i="71"/>
  <c r="N102" i="71"/>
  <c r="M102" i="71"/>
  <c r="L102" i="71"/>
  <c r="K102" i="71"/>
  <c r="J102" i="71"/>
  <c r="I102" i="71"/>
  <c r="H102" i="71"/>
  <c r="G102" i="71"/>
  <c r="F102" i="71"/>
  <c r="F101" i="71"/>
  <c r="E100" i="71"/>
  <c r="T36" i="71" s="1"/>
  <c r="D97" i="71"/>
  <c r="D96" i="71"/>
  <c r="D95" i="71"/>
  <c r="D93" i="71"/>
  <c r="D92" i="71"/>
  <c r="D89" i="71"/>
  <c r="D88" i="71"/>
  <c r="D83" i="71"/>
  <c r="D81" i="71"/>
  <c r="D80" i="71"/>
  <c r="D77" i="71"/>
  <c r="D76" i="71"/>
  <c r="D75" i="71"/>
  <c r="D74" i="71"/>
  <c r="F72" i="71"/>
  <c r="F44" i="71"/>
  <c r="P36" i="71"/>
  <c r="O36" i="71"/>
  <c r="M36" i="71"/>
  <c r="K36" i="71"/>
  <c r="J34" i="71"/>
  <c r="I34" i="71"/>
  <c r="G34" i="71"/>
  <c r="F33" i="71"/>
  <c r="D33" i="71"/>
  <c r="D27" i="71"/>
  <c r="D53" i="71" s="1"/>
  <c r="D23" i="71"/>
  <c r="E22" i="71"/>
  <c r="E21" i="71"/>
  <c r="E20" i="71"/>
  <c r="E19" i="71"/>
  <c r="E18" i="71"/>
  <c r="F106" i="70"/>
  <c r="F101" i="70"/>
  <c r="E100" i="70"/>
  <c r="D97" i="70"/>
  <c r="D96" i="70"/>
  <c r="D95" i="70"/>
  <c r="D93" i="70"/>
  <c r="D92" i="70"/>
  <c r="D89" i="70"/>
  <c r="D88" i="70"/>
  <c r="D83" i="70"/>
  <c r="D81" i="70"/>
  <c r="D80" i="70"/>
  <c r="D77" i="70"/>
  <c r="D76" i="70"/>
  <c r="D75" i="70"/>
  <c r="D74" i="70"/>
  <c r="F72" i="70"/>
  <c r="F44" i="70"/>
  <c r="F33" i="70"/>
  <c r="D33" i="70"/>
  <c r="D27" i="70"/>
  <c r="D23" i="70"/>
  <c r="E22" i="70"/>
  <c r="E21" i="70"/>
  <c r="E20" i="70"/>
  <c r="E19" i="70"/>
  <c r="E18" i="70"/>
  <c r="F106" i="69"/>
  <c r="F101" i="69"/>
  <c r="E100" i="69"/>
  <c r="D97" i="69"/>
  <c r="D96" i="69"/>
  <c r="D95" i="69"/>
  <c r="D93" i="69"/>
  <c r="D92" i="69"/>
  <c r="D89" i="69"/>
  <c r="D88" i="69"/>
  <c r="D83" i="69"/>
  <c r="D81" i="69"/>
  <c r="D80" i="69"/>
  <c r="D77" i="69"/>
  <c r="D76" i="69"/>
  <c r="D75" i="69"/>
  <c r="D74" i="69"/>
  <c r="F72" i="69"/>
  <c r="F44" i="69"/>
  <c r="F33" i="69"/>
  <c r="D33" i="69"/>
  <c r="D27" i="69"/>
  <c r="D67" i="69" s="1"/>
  <c r="J67" i="69" s="1"/>
  <c r="D23" i="69"/>
  <c r="E22" i="69"/>
  <c r="E21" i="69"/>
  <c r="E20" i="69"/>
  <c r="E19" i="69"/>
  <c r="E18" i="69"/>
  <c r="F106" i="68"/>
  <c r="T103" i="68"/>
  <c r="S103" i="68"/>
  <c r="R103" i="68"/>
  <c r="Q103" i="68"/>
  <c r="P103" i="68"/>
  <c r="O103" i="68"/>
  <c r="N103" i="68"/>
  <c r="M103" i="68"/>
  <c r="L103" i="68"/>
  <c r="K103" i="68"/>
  <c r="J103" i="68"/>
  <c r="I103" i="68"/>
  <c r="H103" i="68"/>
  <c r="G103" i="68"/>
  <c r="F103" i="68"/>
  <c r="T102" i="68"/>
  <c r="S102" i="68"/>
  <c r="R102" i="68"/>
  <c r="Q102" i="68"/>
  <c r="P102" i="68"/>
  <c r="O102" i="68"/>
  <c r="N102" i="68"/>
  <c r="M102" i="68"/>
  <c r="L102" i="68"/>
  <c r="K102" i="68"/>
  <c r="J102" i="68"/>
  <c r="I102" i="68"/>
  <c r="H102" i="68"/>
  <c r="G102" i="68"/>
  <c r="F102" i="68"/>
  <c r="F101" i="68"/>
  <c r="E100" i="68"/>
  <c r="R34" i="68" s="1"/>
  <c r="D97" i="68"/>
  <c r="D96" i="68"/>
  <c r="D95" i="68"/>
  <c r="D93" i="68"/>
  <c r="D92" i="68"/>
  <c r="D89" i="68"/>
  <c r="D88" i="68"/>
  <c r="D83" i="68"/>
  <c r="D81" i="68"/>
  <c r="D80" i="68"/>
  <c r="D77" i="68"/>
  <c r="D76" i="68"/>
  <c r="D75" i="68"/>
  <c r="D74" i="68"/>
  <c r="F72" i="68"/>
  <c r="F44" i="68"/>
  <c r="J36" i="68"/>
  <c r="G36" i="68"/>
  <c r="F36" i="68"/>
  <c r="S34" i="68"/>
  <c r="G34" i="68"/>
  <c r="F34" i="68"/>
  <c r="F33" i="68"/>
  <c r="D33" i="68"/>
  <c r="D27" i="68"/>
  <c r="D69" i="68" s="1"/>
  <c r="D23" i="68"/>
  <c r="E22" i="68"/>
  <c r="E21" i="68"/>
  <c r="E20" i="68"/>
  <c r="E19" i="68"/>
  <c r="E18" i="68"/>
  <c r="F106" i="67"/>
  <c r="T103" i="67"/>
  <c r="S103" i="67"/>
  <c r="S36" i="67" s="1"/>
  <c r="R103" i="67"/>
  <c r="Q103" i="67"/>
  <c r="P103" i="67"/>
  <c r="O103" i="67"/>
  <c r="O36" i="67" s="1"/>
  <c r="N103" i="67"/>
  <c r="M103" i="67"/>
  <c r="L103" i="67"/>
  <c r="L36" i="67" s="1"/>
  <c r="K103" i="67"/>
  <c r="J103" i="67"/>
  <c r="J36" i="67" s="1"/>
  <c r="I103" i="67"/>
  <c r="H103" i="67"/>
  <c r="G103" i="67"/>
  <c r="G36" i="67" s="1"/>
  <c r="F103" i="67"/>
  <c r="F101" i="67"/>
  <c r="E100" i="67"/>
  <c r="P36" i="67" s="1"/>
  <c r="D97" i="67"/>
  <c r="D96" i="67"/>
  <c r="D95" i="67"/>
  <c r="D93" i="67"/>
  <c r="D92" i="67"/>
  <c r="D89" i="67"/>
  <c r="D88" i="67"/>
  <c r="D83" i="67"/>
  <c r="D81" i="67"/>
  <c r="D80" i="67"/>
  <c r="D77" i="67"/>
  <c r="D76" i="67"/>
  <c r="D75" i="67"/>
  <c r="D74" i="67"/>
  <c r="F72" i="67"/>
  <c r="F44" i="67"/>
  <c r="R36" i="67"/>
  <c r="F33" i="67"/>
  <c r="D33" i="67"/>
  <c r="D27" i="67"/>
  <c r="D23" i="67"/>
  <c r="E22" i="67"/>
  <c r="E21" i="67"/>
  <c r="E20" i="67"/>
  <c r="E19" i="67"/>
  <c r="E18" i="67"/>
  <c r="F106" i="66"/>
  <c r="F101" i="66"/>
  <c r="E100" i="66"/>
  <c r="D97" i="66"/>
  <c r="D96" i="66"/>
  <c r="D95" i="66"/>
  <c r="D93" i="66"/>
  <c r="D92" i="66"/>
  <c r="D89" i="66"/>
  <c r="D88" i="66"/>
  <c r="D83" i="66"/>
  <c r="D81" i="66"/>
  <c r="D80" i="66"/>
  <c r="D77" i="66"/>
  <c r="D76" i="66"/>
  <c r="D75" i="66"/>
  <c r="D74" i="66"/>
  <c r="F72" i="66"/>
  <c r="F44" i="66"/>
  <c r="F33" i="66"/>
  <c r="D33" i="66"/>
  <c r="D27" i="66"/>
  <c r="D23" i="66"/>
  <c r="E22" i="66"/>
  <c r="E21" i="66"/>
  <c r="E20" i="66"/>
  <c r="E19" i="66"/>
  <c r="E18" i="66"/>
  <c r="F106" i="65"/>
  <c r="T103" i="65"/>
  <c r="S103" i="65"/>
  <c r="R103" i="65"/>
  <c r="Q103" i="65"/>
  <c r="P103" i="65"/>
  <c r="O103" i="65"/>
  <c r="N103" i="65"/>
  <c r="M103" i="65"/>
  <c r="L103" i="65"/>
  <c r="K103" i="65"/>
  <c r="J103" i="65"/>
  <c r="I103" i="65"/>
  <c r="H103" i="65"/>
  <c r="G103" i="65"/>
  <c r="F103" i="65"/>
  <c r="T102" i="65"/>
  <c r="S102" i="65"/>
  <c r="R102" i="65"/>
  <c r="Q102" i="65"/>
  <c r="P102" i="65"/>
  <c r="O102" i="65"/>
  <c r="N102" i="65"/>
  <c r="M102" i="65"/>
  <c r="L102" i="65"/>
  <c r="K102" i="65"/>
  <c r="J102" i="65"/>
  <c r="I102" i="65"/>
  <c r="H102" i="65"/>
  <c r="G102" i="65"/>
  <c r="F102" i="65"/>
  <c r="F101" i="65"/>
  <c r="E100" i="65"/>
  <c r="Q36" i="65" s="1"/>
  <c r="D97" i="65"/>
  <c r="D96" i="65"/>
  <c r="D95" i="65"/>
  <c r="D93" i="65"/>
  <c r="D92" i="65"/>
  <c r="D89" i="65"/>
  <c r="D88" i="65"/>
  <c r="D83" i="65"/>
  <c r="D81" i="65"/>
  <c r="D80" i="65"/>
  <c r="D77" i="65"/>
  <c r="D76" i="65"/>
  <c r="D75" i="65"/>
  <c r="D74" i="65"/>
  <c r="F72" i="65"/>
  <c r="F44" i="65"/>
  <c r="F33" i="65"/>
  <c r="D33" i="65"/>
  <c r="D27" i="65"/>
  <c r="D61" i="65" s="1"/>
  <c r="T61" i="65" s="1"/>
  <c r="D23" i="65"/>
  <c r="E22" i="65"/>
  <c r="E21" i="65"/>
  <c r="E20" i="65"/>
  <c r="E19" i="65"/>
  <c r="E18" i="65"/>
  <c r="F106" i="64"/>
  <c r="T103" i="64"/>
  <c r="S103" i="64"/>
  <c r="R103" i="64"/>
  <c r="Q103" i="64"/>
  <c r="P103" i="64"/>
  <c r="O103" i="64"/>
  <c r="N103" i="64"/>
  <c r="M103" i="64"/>
  <c r="L103" i="64"/>
  <c r="K103" i="64"/>
  <c r="J103" i="64"/>
  <c r="I103" i="64"/>
  <c r="H103" i="64"/>
  <c r="G103" i="64"/>
  <c r="F103" i="64"/>
  <c r="T102" i="64"/>
  <c r="S102" i="64"/>
  <c r="R102" i="64"/>
  <c r="Q102" i="64"/>
  <c r="P102" i="64"/>
  <c r="O102" i="64"/>
  <c r="N102" i="64"/>
  <c r="M102" i="64"/>
  <c r="L102" i="64"/>
  <c r="K102" i="64"/>
  <c r="J102" i="64"/>
  <c r="I102" i="64"/>
  <c r="H102" i="64"/>
  <c r="G102" i="64"/>
  <c r="F102" i="64"/>
  <c r="F101" i="64"/>
  <c r="E100" i="64"/>
  <c r="I36" i="64" s="1"/>
  <c r="D97" i="64"/>
  <c r="D96" i="64"/>
  <c r="D95" i="64"/>
  <c r="D93" i="64"/>
  <c r="D92" i="64"/>
  <c r="D89" i="64"/>
  <c r="D88" i="64"/>
  <c r="D83" i="64"/>
  <c r="D81" i="64"/>
  <c r="D80" i="64"/>
  <c r="D77" i="64"/>
  <c r="D76" i="64"/>
  <c r="D75" i="64"/>
  <c r="D74" i="64"/>
  <c r="F72" i="64"/>
  <c r="F44" i="64"/>
  <c r="F33" i="64"/>
  <c r="D33" i="64"/>
  <c r="D27" i="64"/>
  <c r="D68" i="64" s="1"/>
  <c r="D23" i="64"/>
  <c r="E22" i="64"/>
  <c r="E21" i="64"/>
  <c r="E20" i="64"/>
  <c r="E19" i="64"/>
  <c r="E18" i="64"/>
  <c r="F106"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F101" i="63"/>
  <c r="E100" i="63"/>
  <c r="K36" i="63" s="1"/>
  <c r="D97" i="63"/>
  <c r="D96" i="63"/>
  <c r="D95" i="63"/>
  <c r="D93" i="63"/>
  <c r="D92" i="63"/>
  <c r="D89" i="63"/>
  <c r="D88" i="63"/>
  <c r="D83" i="63"/>
  <c r="D81" i="63"/>
  <c r="D80" i="63"/>
  <c r="D77" i="63"/>
  <c r="D76" i="63"/>
  <c r="D75" i="63"/>
  <c r="D74" i="63"/>
  <c r="F72" i="63"/>
  <c r="F44" i="63"/>
  <c r="N36" i="63"/>
  <c r="L34" i="63"/>
  <c r="F33" i="63"/>
  <c r="D33" i="63"/>
  <c r="D27" i="63"/>
  <c r="D23" i="63"/>
  <c r="E22" i="63"/>
  <c r="E21" i="63"/>
  <c r="E20" i="63"/>
  <c r="E19" i="63"/>
  <c r="E18" i="63"/>
  <c r="F106" i="62"/>
  <c r="T103" i="62"/>
  <c r="S103" i="62"/>
  <c r="R103" i="62"/>
  <c r="Q103" i="62"/>
  <c r="P103" i="62"/>
  <c r="O103" i="62"/>
  <c r="N103" i="62"/>
  <c r="M103" i="62"/>
  <c r="L103" i="62"/>
  <c r="K103" i="62"/>
  <c r="J103" i="62"/>
  <c r="I103" i="62"/>
  <c r="H103" i="62"/>
  <c r="G103" i="62"/>
  <c r="F103" i="62"/>
  <c r="T102" i="62"/>
  <c r="S102" i="62"/>
  <c r="R102" i="62"/>
  <c r="Q102" i="62"/>
  <c r="P102" i="62"/>
  <c r="O102" i="62"/>
  <c r="N102" i="62"/>
  <c r="M102" i="62"/>
  <c r="L102" i="62"/>
  <c r="K102" i="62"/>
  <c r="J102" i="62"/>
  <c r="I102" i="62"/>
  <c r="H102" i="62"/>
  <c r="G102" i="62"/>
  <c r="F102" i="62"/>
  <c r="F101" i="62"/>
  <c r="E100" i="62"/>
  <c r="S36" i="62" s="1"/>
  <c r="D97" i="62"/>
  <c r="D96" i="62"/>
  <c r="D95" i="62"/>
  <c r="D93" i="62"/>
  <c r="D92" i="62"/>
  <c r="D89" i="62"/>
  <c r="D88" i="62"/>
  <c r="D83" i="62"/>
  <c r="D81" i="62"/>
  <c r="D80" i="62"/>
  <c r="D77" i="62"/>
  <c r="D76" i="62"/>
  <c r="D75" i="62"/>
  <c r="D74" i="62"/>
  <c r="F72" i="62"/>
  <c r="F44" i="62"/>
  <c r="I36" i="62"/>
  <c r="H36" i="62"/>
  <c r="Q34" i="62"/>
  <c r="I34" i="62"/>
  <c r="F34" i="62"/>
  <c r="F33" i="62"/>
  <c r="D33" i="62"/>
  <c r="D27" i="62"/>
  <c r="D23" i="62"/>
  <c r="E22" i="62"/>
  <c r="E21" i="62"/>
  <c r="E20" i="62"/>
  <c r="E19" i="62"/>
  <c r="E18" i="62"/>
  <c r="F106" i="61"/>
  <c r="T103" i="61"/>
  <c r="S103" i="61"/>
  <c r="R103" i="61"/>
  <c r="Q103" i="61"/>
  <c r="P103" i="61"/>
  <c r="O103" i="61"/>
  <c r="N103" i="61"/>
  <c r="M103" i="61"/>
  <c r="L103" i="61"/>
  <c r="K103" i="61"/>
  <c r="J103" i="61"/>
  <c r="I103" i="61"/>
  <c r="H103" i="61"/>
  <c r="G103" i="61"/>
  <c r="F103" i="61"/>
  <c r="T102" i="61"/>
  <c r="S102" i="61"/>
  <c r="R102" i="61"/>
  <c r="Q102" i="61"/>
  <c r="P102" i="61"/>
  <c r="O102" i="61"/>
  <c r="N102" i="61"/>
  <c r="M102" i="61"/>
  <c r="L102" i="61"/>
  <c r="K102" i="61"/>
  <c r="J102" i="61"/>
  <c r="I102" i="61"/>
  <c r="H102" i="61"/>
  <c r="G102" i="61"/>
  <c r="F102" i="61"/>
  <c r="F101" i="61"/>
  <c r="E100" i="61"/>
  <c r="L34" i="61" s="1"/>
  <c r="D97" i="61"/>
  <c r="D96" i="61"/>
  <c r="D95" i="61"/>
  <c r="D93" i="61"/>
  <c r="D92" i="61"/>
  <c r="D89" i="61"/>
  <c r="D88" i="61"/>
  <c r="D83" i="61"/>
  <c r="D81" i="61"/>
  <c r="D80" i="61"/>
  <c r="D77" i="61"/>
  <c r="D76" i="61"/>
  <c r="D75" i="61"/>
  <c r="D74" i="61"/>
  <c r="F72" i="61"/>
  <c r="F44" i="61"/>
  <c r="K36" i="61"/>
  <c r="N34" i="61"/>
  <c r="F33" i="61"/>
  <c r="D33" i="61"/>
  <c r="D27" i="61"/>
  <c r="D23" i="61"/>
  <c r="E22" i="61"/>
  <c r="E21" i="61"/>
  <c r="E20" i="61"/>
  <c r="E19" i="61"/>
  <c r="F106" i="60"/>
  <c r="T103" i="60"/>
  <c r="S103" i="60"/>
  <c r="R103" i="60"/>
  <c r="Q103" i="60"/>
  <c r="P103" i="60"/>
  <c r="O103" i="60"/>
  <c r="N103" i="60"/>
  <c r="M103" i="60"/>
  <c r="L103" i="60"/>
  <c r="K103" i="60"/>
  <c r="J103" i="60"/>
  <c r="I103" i="60"/>
  <c r="H103" i="60"/>
  <c r="G103" i="60"/>
  <c r="F103" i="60"/>
  <c r="T102" i="60"/>
  <c r="S102" i="60"/>
  <c r="R102" i="60"/>
  <c r="Q102" i="60"/>
  <c r="P102" i="60"/>
  <c r="O102" i="60"/>
  <c r="N102" i="60"/>
  <c r="M102" i="60"/>
  <c r="L102" i="60"/>
  <c r="K102" i="60"/>
  <c r="J102" i="60"/>
  <c r="I102" i="60"/>
  <c r="H102" i="60"/>
  <c r="G102" i="60"/>
  <c r="F102" i="60"/>
  <c r="F101" i="60"/>
  <c r="E100" i="60"/>
  <c r="Q36" i="60" s="1"/>
  <c r="D97" i="60"/>
  <c r="D95" i="60"/>
  <c r="D93" i="60"/>
  <c r="D92" i="60"/>
  <c r="D89" i="60"/>
  <c r="D88" i="60"/>
  <c r="D83" i="60"/>
  <c r="D81" i="60"/>
  <c r="D80" i="60"/>
  <c r="D77" i="60"/>
  <c r="D76" i="60"/>
  <c r="D75" i="60"/>
  <c r="D74" i="60"/>
  <c r="F72" i="60"/>
  <c r="Q68" i="60"/>
  <c r="D67" i="60"/>
  <c r="G67" i="60" s="1"/>
  <c r="D65" i="60"/>
  <c r="Q65" i="60" s="1"/>
  <c r="D64" i="60"/>
  <c r="S64" i="60" s="1"/>
  <c r="D60" i="60"/>
  <c r="Q60" i="60" s="1"/>
  <c r="D55" i="60"/>
  <c r="Q55" i="60" s="1"/>
  <c r="D52" i="60"/>
  <c r="Q52" i="60" s="1"/>
  <c r="D49" i="60"/>
  <c r="S49" i="60" s="1"/>
  <c r="D47" i="60"/>
  <c r="Q47" i="60" s="1"/>
  <c r="D46" i="60"/>
  <c r="S46" i="60" s="1"/>
  <c r="F44" i="60"/>
  <c r="F33" i="60"/>
  <c r="D33" i="60"/>
  <c r="D69" i="60"/>
  <c r="I69" i="60" s="1"/>
  <c r="D23" i="60"/>
  <c r="E22" i="60"/>
  <c r="E21" i="60"/>
  <c r="E20" i="60"/>
  <c r="E19" i="60"/>
  <c r="E18" i="60"/>
  <c r="F106" i="59"/>
  <c r="T103" i="59"/>
  <c r="S103" i="59"/>
  <c r="R103" i="59"/>
  <c r="Q103" i="59"/>
  <c r="P103" i="59"/>
  <c r="O103" i="59"/>
  <c r="N103" i="59"/>
  <c r="M103" i="59"/>
  <c r="L103" i="59"/>
  <c r="K103" i="59"/>
  <c r="J103" i="59"/>
  <c r="I103" i="59"/>
  <c r="H103" i="59"/>
  <c r="G103" i="59"/>
  <c r="F103" i="59"/>
  <c r="T102" i="59"/>
  <c r="S102" i="59"/>
  <c r="R102" i="59"/>
  <c r="Q102" i="59"/>
  <c r="P102" i="59"/>
  <c r="O102" i="59"/>
  <c r="N102" i="59"/>
  <c r="M102" i="59"/>
  <c r="L102" i="59"/>
  <c r="K102" i="59"/>
  <c r="J102" i="59"/>
  <c r="I102" i="59"/>
  <c r="H102" i="59"/>
  <c r="G102" i="59"/>
  <c r="F102" i="59"/>
  <c r="F101" i="59"/>
  <c r="E100" i="59"/>
  <c r="R36" i="59" s="1"/>
  <c r="D97" i="59"/>
  <c r="D96" i="59"/>
  <c r="D95" i="59"/>
  <c r="D93" i="59"/>
  <c r="D92" i="59"/>
  <c r="D89" i="59"/>
  <c r="D88" i="59"/>
  <c r="D83" i="59"/>
  <c r="D81" i="59"/>
  <c r="D80" i="59"/>
  <c r="D77" i="59"/>
  <c r="D76" i="59"/>
  <c r="D75" i="59"/>
  <c r="D74" i="59"/>
  <c r="F72" i="59"/>
  <c r="F44" i="59"/>
  <c r="P36" i="59"/>
  <c r="O36" i="59"/>
  <c r="K36" i="59"/>
  <c r="P34" i="59"/>
  <c r="O34" i="59"/>
  <c r="F33" i="59"/>
  <c r="D33" i="59"/>
  <c r="D27" i="59"/>
  <c r="D69" i="59" s="1"/>
  <c r="N69" i="59" s="1"/>
  <c r="D23" i="59"/>
  <c r="E22" i="59"/>
  <c r="E21" i="59"/>
  <c r="E20" i="59"/>
  <c r="E19" i="59"/>
  <c r="E18" i="59"/>
  <c r="F106" i="58"/>
  <c r="T103" i="58"/>
  <c r="S103" i="58"/>
  <c r="R103" i="58"/>
  <c r="Q103" i="58"/>
  <c r="P103" i="58"/>
  <c r="O103" i="58"/>
  <c r="O36" i="58" s="1"/>
  <c r="N103" i="58"/>
  <c r="M103" i="58"/>
  <c r="M36" i="58" s="1"/>
  <c r="L103" i="58"/>
  <c r="K103" i="58"/>
  <c r="J103" i="58"/>
  <c r="I103" i="58"/>
  <c r="H103" i="58"/>
  <c r="G103" i="58"/>
  <c r="F103" i="58"/>
  <c r="F101" i="58"/>
  <c r="E100" i="58"/>
  <c r="L36" i="58" s="1"/>
  <c r="D97" i="58"/>
  <c r="D96" i="58"/>
  <c r="D95" i="58"/>
  <c r="D93" i="58"/>
  <c r="D92" i="58"/>
  <c r="D89" i="58"/>
  <c r="D88" i="58"/>
  <c r="D83" i="58"/>
  <c r="D81" i="58"/>
  <c r="D80" i="58"/>
  <c r="D77" i="58"/>
  <c r="D76" i="58"/>
  <c r="D75" i="58"/>
  <c r="D74" i="58"/>
  <c r="F72" i="58"/>
  <c r="F44" i="58"/>
  <c r="T36" i="58"/>
  <c r="H36" i="58"/>
  <c r="F33" i="58"/>
  <c r="D33" i="58"/>
  <c r="D27" i="58"/>
  <c r="D23" i="58"/>
  <c r="E22" i="58"/>
  <c r="E21" i="58"/>
  <c r="E20" i="58"/>
  <c r="E19" i="58"/>
  <c r="E18" i="58"/>
  <c r="F106" i="57"/>
  <c r="T103" i="57"/>
  <c r="S103" i="57"/>
  <c r="R103" i="57"/>
  <c r="Q103" i="57"/>
  <c r="P103" i="57"/>
  <c r="O103" i="57"/>
  <c r="N103" i="57"/>
  <c r="M103" i="57"/>
  <c r="L103" i="57"/>
  <c r="K103" i="57"/>
  <c r="J103" i="57"/>
  <c r="I103" i="57"/>
  <c r="H103" i="57"/>
  <c r="G103" i="57"/>
  <c r="F103" i="57"/>
  <c r="F101" i="57"/>
  <c r="E100" i="57"/>
  <c r="J36" i="57" s="1"/>
  <c r="D97" i="57"/>
  <c r="D96" i="57"/>
  <c r="D95" i="57"/>
  <c r="D93" i="57"/>
  <c r="D92" i="57"/>
  <c r="D89" i="57"/>
  <c r="D88" i="57"/>
  <c r="D83" i="57"/>
  <c r="D81" i="57"/>
  <c r="D80" i="57"/>
  <c r="D77" i="57"/>
  <c r="D76" i="57"/>
  <c r="D75" i="57"/>
  <c r="D74" i="57"/>
  <c r="F72" i="57"/>
  <c r="F44" i="57"/>
  <c r="F33" i="57"/>
  <c r="D33" i="57"/>
  <c r="D27" i="57"/>
  <c r="D23" i="57"/>
  <c r="E22" i="57"/>
  <c r="E21" i="57"/>
  <c r="E20" i="57"/>
  <c r="E19" i="57"/>
  <c r="E18" i="57"/>
  <c r="F106" i="56"/>
  <c r="F101" i="56"/>
  <c r="E100" i="56"/>
  <c r="D97" i="56"/>
  <c r="D96" i="56"/>
  <c r="D95" i="56"/>
  <c r="D93" i="56"/>
  <c r="D92" i="56"/>
  <c r="D89" i="56"/>
  <c r="D88" i="56"/>
  <c r="D83" i="56"/>
  <c r="D81" i="56"/>
  <c r="D80" i="56"/>
  <c r="D77" i="56"/>
  <c r="D76" i="56"/>
  <c r="D75" i="56"/>
  <c r="D74" i="56"/>
  <c r="F72" i="56"/>
  <c r="F44" i="56"/>
  <c r="F33" i="56"/>
  <c r="D33" i="56"/>
  <c r="D27" i="56"/>
  <c r="D23" i="56"/>
  <c r="E22" i="56"/>
  <c r="E21" i="56"/>
  <c r="E20" i="56"/>
  <c r="E19" i="56"/>
  <c r="E18" i="56"/>
  <c r="F106" i="55"/>
  <c r="T103" i="55"/>
  <c r="S103" i="55"/>
  <c r="R103" i="55"/>
  <c r="Q103" i="55"/>
  <c r="P103" i="55"/>
  <c r="O103" i="55"/>
  <c r="N103" i="55"/>
  <c r="M103" i="55"/>
  <c r="L103" i="55"/>
  <c r="K103" i="55"/>
  <c r="J103" i="55"/>
  <c r="I103" i="55"/>
  <c r="H103" i="55"/>
  <c r="G103" i="55"/>
  <c r="F103" i="55"/>
  <c r="T102" i="55"/>
  <c r="S102" i="55"/>
  <c r="R102" i="55"/>
  <c r="Q102" i="55"/>
  <c r="P102" i="55"/>
  <c r="O102" i="55"/>
  <c r="N102" i="55"/>
  <c r="M102" i="55"/>
  <c r="L102" i="55"/>
  <c r="K102" i="55"/>
  <c r="J102" i="55"/>
  <c r="I102" i="55"/>
  <c r="H102" i="55"/>
  <c r="G102" i="55"/>
  <c r="F102" i="55"/>
  <c r="F101" i="55"/>
  <c r="E100" i="55"/>
  <c r="O34" i="55" s="1"/>
  <c r="D97" i="55"/>
  <c r="D96" i="55"/>
  <c r="D95" i="55"/>
  <c r="D93" i="55"/>
  <c r="D92" i="55"/>
  <c r="D89" i="55"/>
  <c r="D88" i="55"/>
  <c r="D83" i="55"/>
  <c r="D81" i="55"/>
  <c r="D80" i="55"/>
  <c r="D77" i="55"/>
  <c r="D76" i="55"/>
  <c r="D75" i="55"/>
  <c r="D74" i="55"/>
  <c r="F72" i="55"/>
  <c r="F44" i="55"/>
  <c r="F33" i="55"/>
  <c r="D33" i="55"/>
  <c r="D27" i="55"/>
  <c r="D69" i="55" s="1"/>
  <c r="F69" i="55" s="1"/>
  <c r="D23" i="55"/>
  <c r="E22" i="55"/>
  <c r="E21" i="55"/>
  <c r="E20" i="55"/>
  <c r="E19" i="55"/>
  <c r="E18" i="55"/>
  <c r="F106" i="54"/>
  <c r="F101" i="54"/>
  <c r="E100" i="54"/>
  <c r="D97" i="54"/>
  <c r="D96" i="54"/>
  <c r="D95" i="54"/>
  <c r="D93" i="54"/>
  <c r="D92" i="54"/>
  <c r="D89" i="54"/>
  <c r="D88" i="54"/>
  <c r="D83" i="54"/>
  <c r="D81" i="54"/>
  <c r="D80" i="54"/>
  <c r="D77" i="54"/>
  <c r="D76" i="54"/>
  <c r="D75" i="54"/>
  <c r="D74" i="54"/>
  <c r="F72" i="54"/>
  <c r="F44" i="54"/>
  <c r="F33" i="54"/>
  <c r="D33" i="54"/>
  <c r="D27" i="54"/>
  <c r="D23" i="54"/>
  <c r="E22" i="54"/>
  <c r="E21" i="54"/>
  <c r="E20" i="54"/>
  <c r="E19" i="54"/>
  <c r="E18" i="54"/>
  <c r="D27" i="49"/>
  <c r="D84" i="59" s="1"/>
  <c r="D25" i="49"/>
  <c r="G36" i="59" l="1"/>
  <c r="K34" i="62"/>
  <c r="O36" i="63"/>
  <c r="I34" i="64"/>
  <c r="Q34" i="96"/>
  <c r="P36" i="63"/>
  <c r="T34" i="64"/>
  <c r="J36" i="97"/>
  <c r="S36" i="59"/>
  <c r="O36" i="62"/>
  <c r="O36" i="96" s="1"/>
  <c r="F34" i="63"/>
  <c r="F36" i="72"/>
  <c r="L34" i="77"/>
  <c r="H36" i="96"/>
  <c r="Q36" i="58"/>
  <c r="T36" i="59"/>
  <c r="T37" i="59" s="1"/>
  <c r="T36" i="62"/>
  <c r="I34" i="63"/>
  <c r="I34" i="96" s="1"/>
  <c r="N36" i="67"/>
  <c r="G36" i="72"/>
  <c r="O34" i="77"/>
  <c r="Q34" i="99"/>
  <c r="G36" i="58"/>
  <c r="S36" i="58"/>
  <c r="G34" i="59"/>
  <c r="G38" i="59" s="1"/>
  <c r="R34" i="63"/>
  <c r="R38" i="63" s="1"/>
  <c r="P36" i="97"/>
  <c r="R36" i="72"/>
  <c r="T34" i="77"/>
  <c r="K34" i="59"/>
  <c r="S34" i="63"/>
  <c r="S36" i="72"/>
  <c r="K36" i="77"/>
  <c r="K36" i="99" s="1"/>
  <c r="L34" i="59"/>
  <c r="J36" i="63"/>
  <c r="J37" i="63" s="1"/>
  <c r="F36" i="67"/>
  <c r="F36" i="97" s="1"/>
  <c r="T36" i="72"/>
  <c r="P36" i="77"/>
  <c r="P36" i="99" s="1"/>
  <c r="F34" i="96"/>
  <c r="G36" i="97"/>
  <c r="S36" i="77"/>
  <c r="S36" i="99" s="1"/>
  <c r="D84" i="66"/>
  <c r="D84" i="57"/>
  <c r="D84" i="54"/>
  <c r="D56" i="96"/>
  <c r="D84" i="99"/>
  <c r="D84" i="96"/>
  <c r="D56" i="98"/>
  <c r="D84" i="97"/>
  <c r="D84" i="98"/>
  <c r="D56" i="99"/>
  <c r="D56" i="97"/>
  <c r="D84" i="70"/>
  <c r="D82" i="96"/>
  <c r="D82" i="98"/>
  <c r="D82" i="97"/>
  <c r="D82" i="99"/>
  <c r="D54" i="96"/>
  <c r="D54" i="98"/>
  <c r="D54" i="97"/>
  <c r="D54" i="99"/>
  <c r="D84" i="72"/>
  <c r="D84" i="76"/>
  <c r="D84" i="68"/>
  <c r="D84" i="55"/>
  <c r="P84" i="55" s="1"/>
  <c r="D84" i="58"/>
  <c r="D84" i="60"/>
  <c r="D84" i="62"/>
  <c r="D84" i="63"/>
  <c r="D84" i="71"/>
  <c r="O84" i="71" s="1"/>
  <c r="D84" i="73"/>
  <c r="D84" i="69"/>
  <c r="D84" i="79"/>
  <c r="D84" i="61"/>
  <c r="N84" i="61" s="1"/>
  <c r="D84" i="75"/>
  <c r="O84" i="75" s="1"/>
  <c r="D84" i="77"/>
  <c r="D84" i="80"/>
  <c r="D84" i="56"/>
  <c r="D84" i="64"/>
  <c r="D84" i="78"/>
  <c r="D84" i="88"/>
  <c r="D84" i="87"/>
  <c r="D56" i="87"/>
  <c r="D56" i="88"/>
  <c r="D84" i="83"/>
  <c r="D84" i="84"/>
  <c r="D56" i="84"/>
  <c r="D56" i="83"/>
  <c r="D84" i="81"/>
  <c r="D56" i="81"/>
  <c r="D84" i="67"/>
  <c r="D84" i="65"/>
  <c r="K84" i="65" s="1"/>
  <c r="E23" i="69"/>
  <c r="L34" i="73"/>
  <c r="L37" i="73" s="1"/>
  <c r="P36" i="58"/>
  <c r="F36" i="58"/>
  <c r="R36" i="58"/>
  <c r="H36" i="59"/>
  <c r="G36" i="73"/>
  <c r="G36" i="98" s="1"/>
  <c r="K34" i="77"/>
  <c r="L36" i="77"/>
  <c r="L36" i="99" s="1"/>
  <c r="D53" i="61"/>
  <c r="M53" i="61" s="1"/>
  <c r="Q36" i="73"/>
  <c r="M36" i="77"/>
  <c r="M36" i="99" s="1"/>
  <c r="H34" i="59"/>
  <c r="H38" i="59" s="1"/>
  <c r="L36" i="59"/>
  <c r="L37" i="59" s="1"/>
  <c r="D61" i="61"/>
  <c r="T61" i="61" s="1"/>
  <c r="O36" i="72"/>
  <c r="S36" i="73"/>
  <c r="M34" i="77"/>
  <c r="O36" i="77"/>
  <c r="O36" i="99" s="1"/>
  <c r="I36" i="58"/>
  <c r="I34" i="59"/>
  <c r="M36" i="59"/>
  <c r="R36" i="68"/>
  <c r="R36" i="97" s="1"/>
  <c r="J36" i="58"/>
  <c r="Q36" i="67"/>
  <c r="Q36" i="97" s="1"/>
  <c r="S36" i="68"/>
  <c r="S37" i="68" s="1"/>
  <c r="P34" i="77"/>
  <c r="P37" i="77" s="1"/>
  <c r="P37" i="99" s="1"/>
  <c r="Q36" i="77"/>
  <c r="S34" i="77"/>
  <c r="T36" i="77"/>
  <c r="T36" i="99" s="1"/>
  <c r="H36" i="79"/>
  <c r="K36" i="58"/>
  <c r="N36" i="58"/>
  <c r="S34" i="59"/>
  <c r="S38" i="59" s="1"/>
  <c r="D69" i="65"/>
  <c r="T69" i="65" s="1"/>
  <c r="I36" i="67"/>
  <c r="I36" i="97" s="1"/>
  <c r="M34" i="68"/>
  <c r="I34" i="72"/>
  <c r="D69" i="72"/>
  <c r="G69" i="72" s="1"/>
  <c r="G36" i="77"/>
  <c r="G36" i="99" s="1"/>
  <c r="T34" i="59"/>
  <c r="N34" i="68"/>
  <c r="G34" i="77"/>
  <c r="G34" i="99" s="1"/>
  <c r="H36" i="77"/>
  <c r="K36" i="67"/>
  <c r="Q34" i="68"/>
  <c r="J34" i="73"/>
  <c r="H34" i="77"/>
  <c r="H34" i="99" s="1"/>
  <c r="I36" i="77"/>
  <c r="I36" i="99" s="1"/>
  <c r="H61" i="65"/>
  <c r="G69" i="77"/>
  <c r="H69" i="77"/>
  <c r="L34" i="55"/>
  <c r="K36" i="55"/>
  <c r="D82" i="62"/>
  <c r="D82" i="87"/>
  <c r="D82" i="88"/>
  <c r="D54" i="88"/>
  <c r="D54" i="87"/>
  <c r="D82" i="83"/>
  <c r="D82" i="84"/>
  <c r="D54" i="83"/>
  <c r="D82" i="81"/>
  <c r="D54" i="84"/>
  <c r="D54" i="81"/>
  <c r="M34" i="55"/>
  <c r="E23" i="61"/>
  <c r="O34" i="61"/>
  <c r="D67" i="61"/>
  <c r="H67" i="61" s="1"/>
  <c r="H34" i="62"/>
  <c r="F36" i="62"/>
  <c r="R34" i="64"/>
  <c r="G34" i="65"/>
  <c r="I61" i="65"/>
  <c r="D49" i="69"/>
  <c r="J49" i="69" s="1"/>
  <c r="F34" i="71"/>
  <c r="L36" i="71"/>
  <c r="K34" i="73"/>
  <c r="F36" i="73"/>
  <c r="F36" i="98" s="1"/>
  <c r="R36" i="73"/>
  <c r="R36" i="98" s="1"/>
  <c r="M36" i="55"/>
  <c r="D48" i="61"/>
  <c r="O48" i="61" s="1"/>
  <c r="D69" i="61"/>
  <c r="G69" i="61" s="1"/>
  <c r="L34" i="62"/>
  <c r="L37" i="62" s="1"/>
  <c r="L37" i="96" s="1"/>
  <c r="K36" i="62"/>
  <c r="D56" i="63"/>
  <c r="L56" i="63" s="1"/>
  <c r="O36" i="64"/>
  <c r="M36" i="65"/>
  <c r="N34" i="73"/>
  <c r="I36" i="73"/>
  <c r="I36" i="98" s="1"/>
  <c r="K36" i="64"/>
  <c r="R34" i="65"/>
  <c r="Q36" i="55"/>
  <c r="E23" i="58"/>
  <c r="N34" i="62"/>
  <c r="L36" i="62"/>
  <c r="S36" i="65"/>
  <c r="O34" i="71"/>
  <c r="O38" i="71" s="1"/>
  <c r="O34" i="73"/>
  <c r="J36" i="73"/>
  <c r="M34" i="73"/>
  <c r="H36" i="73"/>
  <c r="H36" i="98" s="1"/>
  <c r="T36" i="73"/>
  <c r="T36" i="98" s="1"/>
  <c r="O34" i="62"/>
  <c r="N36" i="62"/>
  <c r="N36" i="96" s="1"/>
  <c r="D47" i="64"/>
  <c r="S47" i="64" s="1"/>
  <c r="P34" i="71"/>
  <c r="P37" i="71" s="1"/>
  <c r="P34" i="73"/>
  <c r="K36" i="73"/>
  <c r="E23" i="79"/>
  <c r="L36" i="55"/>
  <c r="D46" i="65"/>
  <c r="T46" i="65" s="1"/>
  <c r="Q34" i="71"/>
  <c r="Q34" i="73"/>
  <c r="Q34" i="98" s="1"/>
  <c r="L36" i="73"/>
  <c r="D49" i="61"/>
  <c r="G49" i="61" s="1"/>
  <c r="R34" i="62"/>
  <c r="Q36" i="62"/>
  <c r="D49" i="65"/>
  <c r="P49" i="65" s="1"/>
  <c r="R34" i="71"/>
  <c r="D61" i="71"/>
  <c r="P61" i="71" s="1"/>
  <c r="F34" i="73"/>
  <c r="R34" i="73"/>
  <c r="M36" i="73"/>
  <c r="M36" i="98" s="1"/>
  <c r="O34" i="65"/>
  <c r="T34" i="62"/>
  <c r="T37" i="62" s="1"/>
  <c r="R36" i="62"/>
  <c r="D56" i="65"/>
  <c r="P56" i="65" s="1"/>
  <c r="S34" i="71"/>
  <c r="G34" i="73"/>
  <c r="S34" i="73"/>
  <c r="N36" i="73"/>
  <c r="N36" i="98" s="1"/>
  <c r="K88" i="75"/>
  <c r="L88" i="75"/>
  <c r="M88" i="75"/>
  <c r="R88" i="75"/>
  <c r="N88" i="75"/>
  <c r="O88" i="75"/>
  <c r="P88" i="75"/>
  <c r="Q88" i="75"/>
  <c r="S88" i="75"/>
  <c r="T88" i="75"/>
  <c r="J88" i="75"/>
  <c r="G34" i="61"/>
  <c r="I36" i="71"/>
  <c r="I37" i="71" s="1"/>
  <c r="H34" i="73"/>
  <c r="T34" i="73"/>
  <c r="O36" i="73"/>
  <c r="O36" i="98" s="1"/>
  <c r="G37" i="77"/>
  <c r="G37" i="99" s="1"/>
  <c r="E23" i="62"/>
  <c r="H34" i="64"/>
  <c r="J36" i="71"/>
  <c r="I34" i="73"/>
  <c r="J92" i="75"/>
  <c r="K92" i="75"/>
  <c r="L92" i="75"/>
  <c r="M92" i="75"/>
  <c r="N92" i="75"/>
  <c r="R92" i="75"/>
  <c r="O92" i="75"/>
  <c r="P92" i="75"/>
  <c r="Q92" i="75"/>
  <c r="S92" i="75"/>
  <c r="T92" i="75"/>
  <c r="D47" i="79"/>
  <c r="I47" i="79" s="1"/>
  <c r="N36" i="64"/>
  <c r="T36" i="64"/>
  <c r="E23" i="64"/>
  <c r="F96" i="61"/>
  <c r="G96" i="61"/>
  <c r="S96" i="61"/>
  <c r="T96" i="61"/>
  <c r="H96" i="61"/>
  <c r="I96" i="61"/>
  <c r="N96" i="61"/>
  <c r="O96" i="61"/>
  <c r="J96" i="61"/>
  <c r="L96" i="61"/>
  <c r="M96" i="61"/>
  <c r="R96" i="61"/>
  <c r="K96" i="61"/>
  <c r="P96" i="61"/>
  <c r="Q96" i="61"/>
  <c r="S52" i="72"/>
  <c r="H52" i="72"/>
  <c r="M97" i="55"/>
  <c r="N97" i="55"/>
  <c r="O97" i="55"/>
  <c r="H97" i="55"/>
  <c r="T97" i="55"/>
  <c r="I97" i="55"/>
  <c r="R97" i="55"/>
  <c r="S97" i="55"/>
  <c r="F97" i="55"/>
  <c r="G97" i="55"/>
  <c r="J97" i="55"/>
  <c r="Q97" i="55"/>
  <c r="K97" i="55"/>
  <c r="L97" i="55"/>
  <c r="P97" i="55"/>
  <c r="D69" i="75"/>
  <c r="L69" i="75" s="1"/>
  <c r="D67" i="75"/>
  <c r="K67" i="75" s="1"/>
  <c r="D55" i="75"/>
  <c r="H55" i="75" s="1"/>
  <c r="D47" i="75"/>
  <c r="L47" i="75" s="1"/>
  <c r="J81" i="55"/>
  <c r="K81" i="55"/>
  <c r="L81" i="55"/>
  <c r="Q81" i="55"/>
  <c r="R81" i="55"/>
  <c r="S81" i="55"/>
  <c r="T81" i="55"/>
  <c r="F81" i="55"/>
  <c r="G81" i="55"/>
  <c r="H81" i="55"/>
  <c r="I81" i="55"/>
  <c r="O81" i="55"/>
  <c r="M81" i="55"/>
  <c r="N81" i="55"/>
  <c r="P81" i="55"/>
  <c r="K80" i="55"/>
  <c r="L80" i="55"/>
  <c r="M80" i="55"/>
  <c r="R80" i="55"/>
  <c r="N80" i="55"/>
  <c r="O80" i="55"/>
  <c r="P80" i="55"/>
  <c r="Q80" i="55"/>
  <c r="S80" i="55"/>
  <c r="T80" i="55"/>
  <c r="F80" i="55"/>
  <c r="I80" i="55"/>
  <c r="J80" i="55"/>
  <c r="G80" i="55"/>
  <c r="H80" i="55"/>
  <c r="G83" i="55"/>
  <c r="S83" i="55"/>
  <c r="T83" i="55"/>
  <c r="H83" i="55"/>
  <c r="I83" i="55"/>
  <c r="N83" i="55"/>
  <c r="F83" i="55"/>
  <c r="J83" i="55"/>
  <c r="K83" i="55"/>
  <c r="Q83" i="55"/>
  <c r="R83" i="55"/>
  <c r="L83" i="55"/>
  <c r="M83" i="55"/>
  <c r="O83" i="55"/>
  <c r="P83" i="55"/>
  <c r="T36" i="55"/>
  <c r="S34" i="55"/>
  <c r="R36" i="55"/>
  <c r="R34" i="55"/>
  <c r="R38" i="55" s="1"/>
  <c r="P34" i="55"/>
  <c r="S36" i="55"/>
  <c r="Q34" i="55"/>
  <c r="J36" i="55"/>
  <c r="G34" i="55"/>
  <c r="G36" i="55"/>
  <c r="F36" i="55"/>
  <c r="I36" i="55"/>
  <c r="F34" i="55"/>
  <c r="R68" i="64"/>
  <c r="P68" i="64"/>
  <c r="M68" i="64"/>
  <c r="L68" i="64"/>
  <c r="H68" i="64"/>
  <c r="D69" i="66"/>
  <c r="G69" i="66" s="1"/>
  <c r="D67" i="66"/>
  <c r="R67" i="66" s="1"/>
  <c r="D52" i="66"/>
  <c r="Q52" i="66" s="1"/>
  <c r="R37" i="68"/>
  <c r="H93" i="64"/>
  <c r="T93" i="64"/>
  <c r="I93" i="64"/>
  <c r="J93" i="64"/>
  <c r="K93" i="64"/>
  <c r="L93" i="64"/>
  <c r="P93" i="64"/>
  <c r="Q93" i="64"/>
  <c r="S93" i="64"/>
  <c r="G93" i="64"/>
  <c r="O93" i="64"/>
  <c r="F93" i="64"/>
  <c r="M93" i="64"/>
  <c r="N93" i="64"/>
  <c r="R93" i="64"/>
  <c r="P92" i="64"/>
  <c r="Q92" i="64"/>
  <c r="R92" i="64"/>
  <c r="G92" i="64"/>
  <c r="S92" i="64"/>
  <c r="K92" i="64"/>
  <c r="L92" i="64"/>
  <c r="M92" i="64"/>
  <c r="O92" i="64"/>
  <c r="N92" i="64"/>
  <c r="T92" i="64"/>
  <c r="F92" i="64"/>
  <c r="H92" i="64"/>
  <c r="I92" i="64"/>
  <c r="J92" i="64"/>
  <c r="N36" i="79"/>
  <c r="K34" i="79"/>
  <c r="M36" i="79"/>
  <c r="J34" i="79"/>
  <c r="L36" i="79"/>
  <c r="I34" i="79"/>
  <c r="K36" i="79"/>
  <c r="K37" i="79" s="1"/>
  <c r="T34" i="79"/>
  <c r="H34" i="79"/>
  <c r="H38" i="79" s="1"/>
  <c r="J36" i="79"/>
  <c r="J37" i="79" s="1"/>
  <c r="S34" i="79"/>
  <c r="G34" i="79"/>
  <c r="R36" i="79"/>
  <c r="F36" i="79"/>
  <c r="O34" i="79"/>
  <c r="Q36" i="79"/>
  <c r="N34" i="79"/>
  <c r="P34" i="79"/>
  <c r="T36" i="79"/>
  <c r="M34" i="79"/>
  <c r="S36" i="79"/>
  <c r="L34" i="79"/>
  <c r="P36" i="79"/>
  <c r="P36" i="98" s="1"/>
  <c r="F34" i="79"/>
  <c r="O36" i="79"/>
  <c r="R34" i="79"/>
  <c r="Q34" i="79"/>
  <c r="K34" i="55"/>
  <c r="K38" i="55" s="1"/>
  <c r="R76" i="61"/>
  <c r="G76" i="61"/>
  <c r="S76" i="61"/>
  <c r="H76" i="61"/>
  <c r="T76" i="61"/>
  <c r="I76" i="61"/>
  <c r="F76" i="61"/>
  <c r="J76" i="61"/>
  <c r="L76" i="61"/>
  <c r="P76" i="61"/>
  <c r="Q76" i="61"/>
  <c r="K76" i="61"/>
  <c r="M76" i="61"/>
  <c r="N76" i="61"/>
  <c r="O76" i="61"/>
  <c r="M93" i="55"/>
  <c r="N93" i="55"/>
  <c r="O93" i="55"/>
  <c r="H93" i="55"/>
  <c r="T93" i="55"/>
  <c r="I93" i="55"/>
  <c r="Q93" i="55"/>
  <c r="R93" i="55"/>
  <c r="S93" i="55"/>
  <c r="F93" i="55"/>
  <c r="G93" i="55"/>
  <c r="P93" i="55"/>
  <c r="J93" i="55"/>
  <c r="K93" i="55"/>
  <c r="L93" i="55"/>
  <c r="O92" i="71"/>
  <c r="T92" i="71"/>
  <c r="M92" i="71"/>
  <c r="P92" i="71"/>
  <c r="G92" i="71"/>
  <c r="F92" i="71"/>
  <c r="Q92" i="71"/>
  <c r="H92" i="71"/>
  <c r="J92" i="71"/>
  <c r="R92" i="71"/>
  <c r="S92" i="71"/>
  <c r="I92" i="71"/>
  <c r="K92" i="71"/>
  <c r="L92" i="71"/>
  <c r="N92" i="71"/>
  <c r="S37" i="73"/>
  <c r="G95" i="55"/>
  <c r="S95" i="55"/>
  <c r="H95" i="55"/>
  <c r="T95" i="55"/>
  <c r="I95" i="55"/>
  <c r="N95" i="55"/>
  <c r="O95" i="55"/>
  <c r="F95" i="55"/>
  <c r="J95" i="55"/>
  <c r="K95" i="55"/>
  <c r="L95" i="55"/>
  <c r="M95" i="55"/>
  <c r="R95" i="55"/>
  <c r="P95" i="55"/>
  <c r="Q95" i="55"/>
  <c r="D46" i="57"/>
  <c r="O37" i="59"/>
  <c r="O38" i="59"/>
  <c r="T81" i="63"/>
  <c r="Q81" i="63"/>
  <c r="R81" i="63"/>
  <c r="G81" i="63"/>
  <c r="S81" i="63"/>
  <c r="L81" i="63"/>
  <c r="M81" i="63"/>
  <c r="O81" i="63"/>
  <c r="F81" i="63"/>
  <c r="P81" i="63"/>
  <c r="H81" i="63"/>
  <c r="I81" i="63"/>
  <c r="J81" i="63"/>
  <c r="N81" i="63"/>
  <c r="K81" i="63"/>
  <c r="K36" i="68"/>
  <c r="O74" i="71"/>
  <c r="S74" i="71"/>
  <c r="T74" i="71"/>
  <c r="P74" i="71"/>
  <c r="J74" i="71"/>
  <c r="Q74" i="71"/>
  <c r="H74" i="71"/>
  <c r="R74" i="71"/>
  <c r="G74" i="71"/>
  <c r="I74" i="71"/>
  <c r="F74" i="71"/>
  <c r="K74" i="71"/>
  <c r="L74" i="71"/>
  <c r="N74" i="71"/>
  <c r="M74" i="71"/>
  <c r="M36" i="72"/>
  <c r="M37" i="72" s="1"/>
  <c r="T34" i="72"/>
  <c r="H34" i="72"/>
  <c r="L36" i="72"/>
  <c r="S34" i="72"/>
  <c r="S38" i="72" s="1"/>
  <c r="G34" i="72"/>
  <c r="G38" i="72" s="1"/>
  <c r="K36" i="72"/>
  <c r="R34" i="72"/>
  <c r="F34" i="72"/>
  <c r="F37" i="72" s="1"/>
  <c r="J36" i="72"/>
  <c r="Q34" i="72"/>
  <c r="I36" i="72"/>
  <c r="P34" i="72"/>
  <c r="Q36" i="72"/>
  <c r="L34" i="72"/>
  <c r="P36" i="72"/>
  <c r="K34" i="72"/>
  <c r="D69" i="54"/>
  <c r="P69" i="54" s="1"/>
  <c r="D47" i="54"/>
  <c r="P96" i="55"/>
  <c r="Q96" i="55"/>
  <c r="F96" i="55"/>
  <c r="R96" i="55"/>
  <c r="K96" i="55"/>
  <c r="L96" i="55"/>
  <c r="M96" i="55"/>
  <c r="O96" i="55"/>
  <c r="N96" i="55"/>
  <c r="S96" i="55"/>
  <c r="T96" i="55"/>
  <c r="I96" i="55"/>
  <c r="G96" i="55"/>
  <c r="H96" i="55"/>
  <c r="J96" i="55"/>
  <c r="D52" i="58"/>
  <c r="T52" i="58" s="1"/>
  <c r="D60" i="58"/>
  <c r="Q60" i="58" s="1"/>
  <c r="P38" i="59"/>
  <c r="P37" i="59"/>
  <c r="Q96" i="60"/>
  <c r="R96" i="60"/>
  <c r="G96" i="60"/>
  <c r="S96" i="60"/>
  <c r="L96" i="60"/>
  <c r="M96" i="60"/>
  <c r="I96" i="60"/>
  <c r="K96" i="60"/>
  <c r="J96" i="60"/>
  <c r="N96" i="60"/>
  <c r="O96" i="60"/>
  <c r="F96" i="60"/>
  <c r="H96" i="60"/>
  <c r="P96" i="60"/>
  <c r="T96" i="60"/>
  <c r="Q36" i="63"/>
  <c r="I36" i="63"/>
  <c r="I36" i="96" s="1"/>
  <c r="Q34" i="63"/>
  <c r="H36" i="63"/>
  <c r="P34" i="63"/>
  <c r="T36" i="63"/>
  <c r="G36" i="63"/>
  <c r="O34" i="63"/>
  <c r="O38" i="63" s="1"/>
  <c r="S36" i="63"/>
  <c r="S37" i="63" s="1"/>
  <c r="F36" i="63"/>
  <c r="F37" i="63" s="1"/>
  <c r="N34" i="63"/>
  <c r="R36" i="63"/>
  <c r="R37" i="63" s="1"/>
  <c r="M34" i="63"/>
  <c r="M38" i="63" s="1"/>
  <c r="M36" i="63"/>
  <c r="H34" i="63"/>
  <c r="L36" i="63"/>
  <c r="L37" i="63" s="1"/>
  <c r="T34" i="63"/>
  <c r="G34" i="63"/>
  <c r="L36" i="68"/>
  <c r="L36" i="97" s="1"/>
  <c r="K75" i="71"/>
  <c r="O75" i="71"/>
  <c r="L75" i="71"/>
  <c r="M75" i="71"/>
  <c r="Q75" i="71"/>
  <c r="N75" i="71"/>
  <c r="P75" i="71"/>
  <c r="R75" i="71"/>
  <c r="F75" i="71"/>
  <c r="G75" i="71"/>
  <c r="S75" i="71"/>
  <c r="H75" i="71"/>
  <c r="T75" i="71"/>
  <c r="I75" i="71"/>
  <c r="J75" i="71"/>
  <c r="H36" i="72"/>
  <c r="H37" i="72" s="1"/>
  <c r="D47" i="72"/>
  <c r="Q47" i="72" s="1"/>
  <c r="E23" i="80"/>
  <c r="E23" i="59"/>
  <c r="O36" i="61"/>
  <c r="O37" i="61" s="1"/>
  <c r="J36" i="61"/>
  <c r="H36" i="61"/>
  <c r="G36" i="61"/>
  <c r="G37" i="61" s="1"/>
  <c r="T34" i="61"/>
  <c r="T36" i="61"/>
  <c r="J34" i="61"/>
  <c r="R36" i="61"/>
  <c r="H34" i="61"/>
  <c r="N88" i="55"/>
  <c r="O88" i="55"/>
  <c r="P88" i="55"/>
  <c r="I88" i="55"/>
  <c r="F88" i="55"/>
  <c r="Q88" i="55"/>
  <c r="T88" i="55"/>
  <c r="R88" i="55"/>
  <c r="S88" i="55"/>
  <c r="L88" i="55"/>
  <c r="G88" i="55"/>
  <c r="H88" i="55"/>
  <c r="J88" i="55"/>
  <c r="K88" i="55"/>
  <c r="M88" i="55"/>
  <c r="N96" i="59"/>
  <c r="O96" i="59"/>
  <c r="P96" i="59"/>
  <c r="I96" i="59"/>
  <c r="J96" i="59"/>
  <c r="M96" i="59"/>
  <c r="R96" i="59"/>
  <c r="Q96" i="59"/>
  <c r="F96" i="59"/>
  <c r="S96" i="59"/>
  <c r="T96" i="59"/>
  <c r="K96" i="59"/>
  <c r="G96" i="59"/>
  <c r="H96" i="59"/>
  <c r="L96" i="59"/>
  <c r="E23" i="60"/>
  <c r="P36" i="61"/>
  <c r="J34" i="63"/>
  <c r="K96" i="64"/>
  <c r="L96" i="64"/>
  <c r="M96" i="64"/>
  <c r="N96" i="64"/>
  <c r="O96" i="64"/>
  <c r="G96" i="64"/>
  <c r="S96" i="64"/>
  <c r="H96" i="64"/>
  <c r="T96" i="64"/>
  <c r="F96" i="64"/>
  <c r="I96" i="64"/>
  <c r="J96" i="64"/>
  <c r="P96" i="64"/>
  <c r="Q96" i="64"/>
  <c r="R96" i="64"/>
  <c r="E23" i="65"/>
  <c r="N81" i="68"/>
  <c r="R81" i="68"/>
  <c r="O81" i="68"/>
  <c r="H81" i="68"/>
  <c r="P81" i="68"/>
  <c r="I81" i="68"/>
  <c r="Q81" i="68"/>
  <c r="G81" i="68"/>
  <c r="S81" i="68"/>
  <c r="T81" i="68"/>
  <c r="F81" i="68"/>
  <c r="J81" i="68"/>
  <c r="K81" i="68"/>
  <c r="M81" i="68"/>
  <c r="L81" i="68"/>
  <c r="E23" i="70"/>
  <c r="N34" i="72"/>
  <c r="N38" i="72" s="1"/>
  <c r="P89" i="55"/>
  <c r="Q89" i="55"/>
  <c r="F89" i="55"/>
  <c r="R89" i="55"/>
  <c r="K89" i="55"/>
  <c r="L89" i="55"/>
  <c r="N89" i="55"/>
  <c r="M89" i="55"/>
  <c r="O89" i="55"/>
  <c r="S89" i="55"/>
  <c r="J89" i="55"/>
  <c r="T89" i="55"/>
  <c r="G89" i="55"/>
  <c r="H89" i="55"/>
  <c r="I89" i="55"/>
  <c r="J80" i="64"/>
  <c r="K80" i="64"/>
  <c r="L80" i="64"/>
  <c r="M80" i="64"/>
  <c r="Q80" i="64"/>
  <c r="R80" i="64"/>
  <c r="S80" i="64"/>
  <c r="F80" i="64"/>
  <c r="T80" i="64"/>
  <c r="P80" i="64"/>
  <c r="G80" i="64"/>
  <c r="H80" i="64"/>
  <c r="I80" i="64"/>
  <c r="N80" i="64"/>
  <c r="O80" i="64"/>
  <c r="H97" i="64"/>
  <c r="I97" i="64"/>
  <c r="J97" i="64"/>
  <c r="K97" i="64"/>
  <c r="L97" i="64"/>
  <c r="P97" i="64"/>
  <c r="Q97" i="64"/>
  <c r="R97" i="64"/>
  <c r="T97" i="64"/>
  <c r="S97" i="64"/>
  <c r="F97" i="64"/>
  <c r="N97" i="64"/>
  <c r="O97" i="64"/>
  <c r="G97" i="64"/>
  <c r="M97" i="64"/>
  <c r="Q36" i="68"/>
  <c r="Q37" i="68" s="1"/>
  <c r="L34" i="68"/>
  <c r="P36" i="68"/>
  <c r="K34" i="68"/>
  <c r="O36" i="68"/>
  <c r="O36" i="97" s="1"/>
  <c r="J34" i="68"/>
  <c r="N36" i="68"/>
  <c r="N37" i="68" s="1"/>
  <c r="I34" i="68"/>
  <c r="M36" i="68"/>
  <c r="T34" i="68"/>
  <c r="H34" i="68"/>
  <c r="I36" i="68"/>
  <c r="P34" i="68"/>
  <c r="T36" i="68"/>
  <c r="H36" i="68"/>
  <c r="O34" i="68"/>
  <c r="E23" i="71"/>
  <c r="O34" i="72"/>
  <c r="E23" i="76"/>
  <c r="H92" i="55"/>
  <c r="T92" i="55"/>
  <c r="I92" i="55"/>
  <c r="F92" i="55"/>
  <c r="J92" i="55"/>
  <c r="O92" i="55"/>
  <c r="K92" i="55"/>
  <c r="L92" i="55"/>
  <c r="M92" i="55"/>
  <c r="N92" i="55"/>
  <c r="P92" i="55"/>
  <c r="Q92" i="55"/>
  <c r="R92" i="55"/>
  <c r="S92" i="55"/>
  <c r="G92" i="55"/>
  <c r="K95" i="63"/>
  <c r="L95" i="63"/>
  <c r="M95" i="63"/>
  <c r="N95" i="63"/>
  <c r="R95" i="63"/>
  <c r="G95" i="63"/>
  <c r="S95" i="63"/>
  <c r="H95" i="63"/>
  <c r="I95" i="63"/>
  <c r="J95" i="63"/>
  <c r="Q95" i="63"/>
  <c r="O95" i="63"/>
  <c r="P95" i="63"/>
  <c r="T95" i="63"/>
  <c r="F95" i="63"/>
  <c r="D61" i="64"/>
  <c r="Q61" i="64" s="1"/>
  <c r="D60" i="64"/>
  <c r="J60" i="64" s="1"/>
  <c r="D56" i="64"/>
  <c r="F56" i="64" s="1"/>
  <c r="D48" i="64"/>
  <c r="L48" i="64" s="1"/>
  <c r="D55" i="64"/>
  <c r="J55" i="64" s="1"/>
  <c r="L81" i="64"/>
  <c r="M81" i="64"/>
  <c r="N81" i="64"/>
  <c r="O81" i="64"/>
  <c r="G81" i="64"/>
  <c r="S81" i="64"/>
  <c r="T81" i="64"/>
  <c r="H81" i="64"/>
  <c r="F81" i="64"/>
  <c r="I81" i="64"/>
  <c r="J81" i="64"/>
  <c r="K81" i="64"/>
  <c r="P81" i="64"/>
  <c r="Q81" i="64"/>
  <c r="R81" i="64"/>
  <c r="K37" i="73"/>
  <c r="K37" i="98" s="1"/>
  <c r="Q34" i="59"/>
  <c r="I36" i="59"/>
  <c r="I37" i="59" s="1"/>
  <c r="D56" i="61"/>
  <c r="J56" i="61" s="1"/>
  <c r="K80" i="61"/>
  <c r="L80" i="61"/>
  <c r="M80" i="61"/>
  <c r="N80" i="61"/>
  <c r="P80" i="61"/>
  <c r="O80" i="61"/>
  <c r="F80" i="61"/>
  <c r="H80" i="61"/>
  <c r="I80" i="61"/>
  <c r="J80" i="61"/>
  <c r="Q80" i="61"/>
  <c r="G80" i="61"/>
  <c r="R80" i="61"/>
  <c r="S80" i="61"/>
  <c r="T80" i="61"/>
  <c r="F37" i="62"/>
  <c r="L81" i="62"/>
  <c r="L39" i="62" s="1"/>
  <c r="M81" i="62"/>
  <c r="M39" i="62" s="1"/>
  <c r="N81" i="62"/>
  <c r="N39" i="62" s="1"/>
  <c r="G81" i="62"/>
  <c r="G39" i="62" s="1"/>
  <c r="S81" i="62"/>
  <c r="S39" i="62" s="1"/>
  <c r="T81" i="62"/>
  <c r="T39" i="62" s="1"/>
  <c r="H81" i="62"/>
  <c r="H39" i="62" s="1"/>
  <c r="R81" i="62"/>
  <c r="R39" i="62" s="1"/>
  <c r="F81" i="62"/>
  <c r="I81" i="62"/>
  <c r="I39" i="62" s="1"/>
  <c r="J81" i="62"/>
  <c r="J39" i="62" s="1"/>
  <c r="Q81" i="62"/>
  <c r="Q39" i="62" s="1"/>
  <c r="K81" i="62"/>
  <c r="K39" i="62" s="1"/>
  <c r="O81" i="62"/>
  <c r="O39" i="62" s="1"/>
  <c r="P81" i="62"/>
  <c r="P39" i="62" s="1"/>
  <c r="I96" i="63"/>
  <c r="J96" i="63"/>
  <c r="L96" i="63"/>
  <c r="K96" i="63"/>
  <c r="P96" i="63"/>
  <c r="F96" i="63"/>
  <c r="Q96" i="63"/>
  <c r="N96" i="63"/>
  <c r="O96" i="63"/>
  <c r="R96" i="63"/>
  <c r="S96" i="63"/>
  <c r="T96" i="63"/>
  <c r="M96" i="63"/>
  <c r="G96" i="63"/>
  <c r="H96" i="63"/>
  <c r="H36" i="67"/>
  <c r="T36" i="67"/>
  <c r="T36" i="97" s="1"/>
  <c r="I88" i="71"/>
  <c r="F88" i="71"/>
  <c r="J88" i="71"/>
  <c r="M88" i="71"/>
  <c r="P88" i="71"/>
  <c r="G88" i="71"/>
  <c r="K88" i="71"/>
  <c r="O88" i="71"/>
  <c r="L88" i="71"/>
  <c r="N88" i="71"/>
  <c r="S88" i="71"/>
  <c r="Q88" i="71"/>
  <c r="R88" i="71"/>
  <c r="H88" i="71"/>
  <c r="T88" i="71"/>
  <c r="F34" i="59"/>
  <c r="F37" i="59" s="1"/>
  <c r="R34" i="59"/>
  <c r="R38" i="59" s="1"/>
  <c r="J36" i="59"/>
  <c r="Q37" i="62"/>
  <c r="R80" i="63"/>
  <c r="G80" i="63"/>
  <c r="S80" i="63"/>
  <c r="H80" i="63"/>
  <c r="M80" i="63"/>
  <c r="N80" i="63"/>
  <c r="I80" i="63"/>
  <c r="J80" i="63"/>
  <c r="K80" i="63"/>
  <c r="L80" i="63"/>
  <c r="F80" i="63"/>
  <c r="O80" i="63"/>
  <c r="P80" i="63"/>
  <c r="Q80" i="63"/>
  <c r="T80" i="63"/>
  <c r="G97" i="63"/>
  <c r="S97" i="63"/>
  <c r="H97" i="63"/>
  <c r="T97" i="63"/>
  <c r="I97" i="63"/>
  <c r="J97" i="63"/>
  <c r="N97" i="63"/>
  <c r="F97" i="63"/>
  <c r="O97" i="63"/>
  <c r="K97" i="63"/>
  <c r="L97" i="63"/>
  <c r="M97" i="63"/>
  <c r="R97" i="63"/>
  <c r="P97" i="63"/>
  <c r="Q97" i="63"/>
  <c r="N95" i="64"/>
  <c r="O95" i="64"/>
  <c r="P95" i="64"/>
  <c r="Q95" i="64"/>
  <c r="F95" i="64"/>
  <c r="R95" i="64"/>
  <c r="J95" i="64"/>
  <c r="K95" i="64"/>
  <c r="T95" i="64"/>
  <c r="S95" i="64"/>
  <c r="G95" i="64"/>
  <c r="H95" i="64"/>
  <c r="I95" i="64"/>
  <c r="L95" i="64"/>
  <c r="M95" i="64"/>
  <c r="D53" i="65"/>
  <c r="Q53" i="65" s="1"/>
  <c r="D64" i="65"/>
  <c r="H64" i="65" s="1"/>
  <c r="D65" i="70"/>
  <c r="Q65" i="70" s="1"/>
  <c r="D69" i="71"/>
  <c r="N69" i="71" s="1"/>
  <c r="K89" i="71"/>
  <c r="O89" i="71"/>
  <c r="R89" i="71"/>
  <c r="L89" i="71"/>
  <c r="M89" i="71"/>
  <c r="N89" i="71"/>
  <c r="F89" i="71"/>
  <c r="I89" i="71"/>
  <c r="P89" i="71"/>
  <c r="Q89" i="71"/>
  <c r="G89" i="71"/>
  <c r="S89" i="71"/>
  <c r="H89" i="71"/>
  <c r="T89" i="71"/>
  <c r="J89" i="71"/>
  <c r="P89" i="73"/>
  <c r="K89" i="73"/>
  <c r="N89" i="73"/>
  <c r="Q89" i="73"/>
  <c r="H89" i="73"/>
  <c r="R89" i="73"/>
  <c r="J89" i="73"/>
  <c r="G89" i="73"/>
  <c r="S89" i="73"/>
  <c r="I89" i="73"/>
  <c r="T89" i="73"/>
  <c r="F89" i="73"/>
  <c r="L89" i="73"/>
  <c r="M89" i="73"/>
  <c r="O89" i="73"/>
  <c r="J34" i="77"/>
  <c r="J34" i="99" s="1"/>
  <c r="N36" i="77"/>
  <c r="D52" i="79"/>
  <c r="T52" i="79" s="1"/>
  <c r="J34" i="59"/>
  <c r="N36" i="59"/>
  <c r="L97" i="59"/>
  <c r="M97" i="59"/>
  <c r="N97" i="59"/>
  <c r="G97" i="59"/>
  <c r="S97" i="59"/>
  <c r="H97" i="59"/>
  <c r="T97" i="59"/>
  <c r="F97" i="59"/>
  <c r="I97" i="59"/>
  <c r="J97" i="59"/>
  <c r="K97" i="59"/>
  <c r="R97" i="59"/>
  <c r="O97" i="59"/>
  <c r="P97" i="59"/>
  <c r="Q97" i="59"/>
  <c r="N88" i="61"/>
  <c r="O88" i="61"/>
  <c r="P88" i="61"/>
  <c r="Q88" i="61"/>
  <c r="R88" i="61"/>
  <c r="T88" i="61"/>
  <c r="L88" i="61"/>
  <c r="M88" i="61"/>
  <c r="G88" i="61"/>
  <c r="S88" i="61"/>
  <c r="H88" i="61"/>
  <c r="I88" i="61"/>
  <c r="F88" i="61"/>
  <c r="J88" i="61"/>
  <c r="K88" i="61"/>
  <c r="K38" i="62"/>
  <c r="F83" i="64"/>
  <c r="R83" i="64"/>
  <c r="G83" i="64"/>
  <c r="S83" i="64"/>
  <c r="H83" i="64"/>
  <c r="T83" i="64"/>
  <c r="I83" i="64"/>
  <c r="M83" i="64"/>
  <c r="N83" i="64"/>
  <c r="O83" i="64"/>
  <c r="Q83" i="64"/>
  <c r="P83" i="64"/>
  <c r="L83" i="64"/>
  <c r="J83" i="64"/>
  <c r="K83" i="64"/>
  <c r="M34" i="65"/>
  <c r="D48" i="65"/>
  <c r="R48" i="65" s="1"/>
  <c r="D67" i="65"/>
  <c r="L67" i="65" s="1"/>
  <c r="N80" i="65"/>
  <c r="O80" i="65"/>
  <c r="P80" i="65"/>
  <c r="Q80" i="65"/>
  <c r="R80" i="65"/>
  <c r="J80" i="65"/>
  <c r="K80" i="65"/>
  <c r="M80" i="65"/>
  <c r="T80" i="65"/>
  <c r="S80" i="65"/>
  <c r="F80" i="65"/>
  <c r="G80" i="65"/>
  <c r="H80" i="65"/>
  <c r="I80" i="65"/>
  <c r="L80" i="65"/>
  <c r="M36" i="67"/>
  <c r="M36" i="97" s="1"/>
  <c r="H76" i="71"/>
  <c r="T76" i="71"/>
  <c r="I76" i="71"/>
  <c r="M76" i="71"/>
  <c r="J76" i="71"/>
  <c r="L76" i="71"/>
  <c r="O76" i="71"/>
  <c r="K76" i="71"/>
  <c r="N76" i="71"/>
  <c r="P76" i="71"/>
  <c r="Q76" i="71"/>
  <c r="F76" i="71"/>
  <c r="G76" i="71"/>
  <c r="R76" i="71"/>
  <c r="S76" i="71"/>
  <c r="H74" i="72"/>
  <c r="T74" i="72"/>
  <c r="L74" i="72"/>
  <c r="N74" i="72"/>
  <c r="I74" i="72"/>
  <c r="F74" i="72"/>
  <c r="M74" i="72"/>
  <c r="J74" i="72"/>
  <c r="R74" i="72"/>
  <c r="K74" i="72"/>
  <c r="O74" i="72"/>
  <c r="P74" i="72"/>
  <c r="Q74" i="72"/>
  <c r="G74" i="72"/>
  <c r="S74" i="72"/>
  <c r="N34" i="77"/>
  <c r="F36" i="77"/>
  <c r="R36" i="77"/>
  <c r="R36" i="99" s="1"/>
  <c r="O92" i="77"/>
  <c r="O39" i="77" s="1"/>
  <c r="H92" i="77"/>
  <c r="H39" i="77" s="1"/>
  <c r="M92" i="77"/>
  <c r="M39" i="77" s="1"/>
  <c r="P92" i="77"/>
  <c r="P39" i="77" s="1"/>
  <c r="G92" i="77"/>
  <c r="J92" i="77"/>
  <c r="J39" i="77" s="1"/>
  <c r="Q92" i="77"/>
  <c r="Q39" i="77" s="1"/>
  <c r="S92" i="77"/>
  <c r="S39" i="77" s="1"/>
  <c r="T92" i="77"/>
  <c r="T39" i="77" s="1"/>
  <c r="R92" i="77"/>
  <c r="R39" i="77" s="1"/>
  <c r="I92" i="77"/>
  <c r="I39" i="77" s="1"/>
  <c r="F92" i="77"/>
  <c r="K92" i="77"/>
  <c r="K39" i="77" s="1"/>
  <c r="L92" i="77"/>
  <c r="L39" i="77" s="1"/>
  <c r="N92" i="77"/>
  <c r="N39" i="77" s="1"/>
  <c r="O84" i="64"/>
  <c r="P84" i="64"/>
  <c r="Q84" i="64"/>
  <c r="F84" i="64"/>
  <c r="R84" i="64"/>
  <c r="J84" i="64"/>
  <c r="K84" i="64"/>
  <c r="G84" i="64"/>
  <c r="H84" i="64"/>
  <c r="M84" i="64"/>
  <c r="I84" i="64"/>
  <c r="L84" i="64"/>
  <c r="N84" i="64"/>
  <c r="S84" i="64"/>
  <c r="T84" i="64"/>
  <c r="P81" i="65"/>
  <c r="Q81" i="65"/>
  <c r="F81" i="65"/>
  <c r="R81" i="65"/>
  <c r="G81" i="65"/>
  <c r="S81" i="65"/>
  <c r="H81" i="65"/>
  <c r="T81" i="65"/>
  <c r="L81" i="65"/>
  <c r="M81" i="65"/>
  <c r="I81" i="65"/>
  <c r="J81" i="65"/>
  <c r="K81" i="65"/>
  <c r="N81" i="65"/>
  <c r="O81" i="65"/>
  <c r="Q77" i="71"/>
  <c r="F77" i="71"/>
  <c r="R77" i="71"/>
  <c r="I77" i="71"/>
  <c r="G77" i="71"/>
  <c r="S77" i="71"/>
  <c r="H77" i="71"/>
  <c r="T77" i="71"/>
  <c r="K77" i="71"/>
  <c r="J77" i="71"/>
  <c r="L77" i="71"/>
  <c r="M77" i="71"/>
  <c r="N77" i="71"/>
  <c r="O77" i="71"/>
  <c r="P77" i="71"/>
  <c r="E23" i="72"/>
  <c r="O37" i="77"/>
  <c r="O37" i="99" s="1"/>
  <c r="G48" i="61"/>
  <c r="J83" i="65"/>
  <c r="K83" i="65"/>
  <c r="N83" i="65"/>
  <c r="L83" i="65"/>
  <c r="M83" i="65"/>
  <c r="F83" i="65"/>
  <c r="R83" i="65"/>
  <c r="G83" i="65"/>
  <c r="S83" i="65"/>
  <c r="H83" i="65"/>
  <c r="I83" i="65"/>
  <c r="Q83" i="65"/>
  <c r="O83" i="65"/>
  <c r="P83" i="65"/>
  <c r="T83" i="65"/>
  <c r="O80" i="71"/>
  <c r="H80" i="71"/>
  <c r="J80" i="71"/>
  <c r="P80" i="71"/>
  <c r="I80" i="71"/>
  <c r="Q80" i="71"/>
  <c r="R80" i="71"/>
  <c r="G80" i="71"/>
  <c r="S80" i="71"/>
  <c r="T80" i="71"/>
  <c r="F80" i="71"/>
  <c r="K80" i="71"/>
  <c r="L80" i="71"/>
  <c r="M80" i="71"/>
  <c r="N80" i="71"/>
  <c r="M80" i="73"/>
  <c r="R80" i="73"/>
  <c r="N80" i="73"/>
  <c r="H80" i="73"/>
  <c r="O80" i="73"/>
  <c r="Q80" i="73"/>
  <c r="P80" i="73"/>
  <c r="G80" i="73"/>
  <c r="T80" i="73"/>
  <c r="K80" i="73"/>
  <c r="S80" i="73"/>
  <c r="I80" i="73"/>
  <c r="F80" i="73"/>
  <c r="J80" i="73"/>
  <c r="L80" i="73"/>
  <c r="D60" i="78"/>
  <c r="J60" i="78" s="1"/>
  <c r="F95" i="79"/>
  <c r="R95" i="79"/>
  <c r="P95" i="79"/>
  <c r="G95" i="79"/>
  <c r="S95" i="79"/>
  <c r="K95" i="79"/>
  <c r="H95" i="79"/>
  <c r="T95" i="79"/>
  <c r="J95" i="79"/>
  <c r="I95" i="79"/>
  <c r="M95" i="79"/>
  <c r="L95" i="79"/>
  <c r="N95" i="79"/>
  <c r="O95" i="79"/>
  <c r="Q95" i="79"/>
  <c r="I36" i="57"/>
  <c r="M34" i="59"/>
  <c r="M38" i="59" s="1"/>
  <c r="Q36" i="59"/>
  <c r="Q92" i="63"/>
  <c r="R92" i="63"/>
  <c r="H92" i="63"/>
  <c r="G92" i="63"/>
  <c r="S92" i="63"/>
  <c r="T92" i="63"/>
  <c r="L92" i="63"/>
  <c r="M92" i="63"/>
  <c r="J92" i="63"/>
  <c r="K92" i="63"/>
  <c r="I92" i="63"/>
  <c r="N92" i="63"/>
  <c r="O92" i="63"/>
  <c r="P92" i="63"/>
  <c r="F92" i="63"/>
  <c r="Q89" i="68"/>
  <c r="K89" i="68"/>
  <c r="R89" i="68"/>
  <c r="J89" i="68"/>
  <c r="G89" i="68"/>
  <c r="S89" i="68"/>
  <c r="I89" i="68"/>
  <c r="H89" i="68"/>
  <c r="T89" i="68"/>
  <c r="F89" i="68"/>
  <c r="L89" i="68"/>
  <c r="M89" i="68"/>
  <c r="N89" i="68"/>
  <c r="P89" i="68"/>
  <c r="O89" i="68"/>
  <c r="D46" i="71"/>
  <c r="N46" i="71" s="1"/>
  <c r="Q81" i="71"/>
  <c r="J81" i="71"/>
  <c r="F81" i="71"/>
  <c r="R81" i="71"/>
  <c r="G81" i="71"/>
  <c r="S81" i="71"/>
  <c r="I81" i="71"/>
  <c r="O81" i="71"/>
  <c r="H81" i="71"/>
  <c r="T81" i="71"/>
  <c r="K81" i="71"/>
  <c r="L81" i="71"/>
  <c r="M81" i="71"/>
  <c r="N81" i="71"/>
  <c r="P81" i="71"/>
  <c r="Q37" i="77"/>
  <c r="Q37" i="99" s="1"/>
  <c r="O96" i="79"/>
  <c r="G96" i="79"/>
  <c r="H96" i="79"/>
  <c r="P96" i="79"/>
  <c r="I96" i="79"/>
  <c r="Q96" i="79"/>
  <c r="J96" i="79"/>
  <c r="F96" i="79"/>
  <c r="R96" i="79"/>
  <c r="S96" i="79"/>
  <c r="T96" i="79"/>
  <c r="M96" i="79"/>
  <c r="K96" i="79"/>
  <c r="L96" i="79"/>
  <c r="N96" i="79"/>
  <c r="N34" i="59"/>
  <c r="F36" i="59"/>
  <c r="K75" i="61"/>
  <c r="L75" i="61"/>
  <c r="M75" i="61"/>
  <c r="J75" i="61"/>
  <c r="N75" i="61"/>
  <c r="O75" i="61"/>
  <c r="H75" i="61"/>
  <c r="I75" i="61"/>
  <c r="P75" i="61"/>
  <c r="Q75" i="61"/>
  <c r="T75" i="61"/>
  <c r="R75" i="61"/>
  <c r="G75" i="61"/>
  <c r="S75" i="61"/>
  <c r="F75" i="61"/>
  <c r="O93" i="63"/>
  <c r="P93" i="63"/>
  <c r="Q93" i="63"/>
  <c r="R93" i="63"/>
  <c r="J93" i="63"/>
  <c r="K93" i="63"/>
  <c r="H93" i="63"/>
  <c r="I93" i="63"/>
  <c r="L93" i="63"/>
  <c r="M93" i="63"/>
  <c r="N93" i="63"/>
  <c r="S93" i="63"/>
  <c r="T93" i="63"/>
  <c r="F93" i="63"/>
  <c r="G93" i="63"/>
  <c r="I36" i="65"/>
  <c r="H92" i="68"/>
  <c r="T92" i="68"/>
  <c r="I92" i="68"/>
  <c r="F92" i="68"/>
  <c r="L92" i="68"/>
  <c r="J92" i="68"/>
  <c r="K92" i="68"/>
  <c r="M92" i="68"/>
  <c r="N92" i="68"/>
  <c r="O92" i="68"/>
  <c r="P92" i="68"/>
  <c r="Q92" i="68"/>
  <c r="R92" i="68"/>
  <c r="G92" i="68"/>
  <c r="S92" i="68"/>
  <c r="D48" i="71"/>
  <c r="K48" i="71" s="1"/>
  <c r="K83" i="71"/>
  <c r="O83" i="71"/>
  <c r="L83" i="71"/>
  <c r="M83" i="71"/>
  <c r="P83" i="71"/>
  <c r="N83" i="71"/>
  <c r="F83" i="71"/>
  <c r="Q83" i="71"/>
  <c r="R83" i="71"/>
  <c r="G83" i="71"/>
  <c r="S83" i="71"/>
  <c r="H83" i="71"/>
  <c r="T83" i="71"/>
  <c r="I83" i="71"/>
  <c r="J83" i="71"/>
  <c r="F37" i="73"/>
  <c r="R37" i="73"/>
  <c r="F34" i="77"/>
  <c r="R34" i="77"/>
  <c r="L97" i="79"/>
  <c r="Q97" i="79"/>
  <c r="S97" i="79"/>
  <c r="M97" i="79"/>
  <c r="P97" i="79"/>
  <c r="N97" i="79"/>
  <c r="J97" i="79"/>
  <c r="O97" i="79"/>
  <c r="G97" i="79"/>
  <c r="F97" i="79"/>
  <c r="R97" i="79"/>
  <c r="H97" i="79"/>
  <c r="T97" i="79"/>
  <c r="I97" i="79"/>
  <c r="K97" i="79"/>
  <c r="Q64" i="60"/>
  <c r="G49" i="60"/>
  <c r="R49" i="60"/>
  <c r="O47" i="60"/>
  <c r="O55" i="60"/>
  <c r="R67" i="60"/>
  <c r="O52" i="60"/>
  <c r="G46" i="60"/>
  <c r="I49" i="60"/>
  <c r="G64" i="60"/>
  <c r="I67" i="60"/>
  <c r="I46" i="60"/>
  <c r="N49" i="60"/>
  <c r="I64" i="60"/>
  <c r="N67" i="60"/>
  <c r="N46" i="60"/>
  <c r="O49" i="60"/>
  <c r="N64" i="60"/>
  <c r="O67" i="60"/>
  <c r="O46" i="60"/>
  <c r="Q49" i="60"/>
  <c r="O64" i="60"/>
  <c r="Q67" i="60"/>
  <c r="Q46" i="60"/>
  <c r="R46" i="60"/>
  <c r="R64" i="60"/>
  <c r="S67" i="60"/>
  <c r="O68" i="60"/>
  <c r="O65" i="60"/>
  <c r="O60" i="60"/>
  <c r="G69" i="60"/>
  <c r="E23" i="57"/>
  <c r="E23" i="54"/>
  <c r="K38" i="79"/>
  <c r="H37" i="79"/>
  <c r="D52" i="78"/>
  <c r="S52" i="78" s="1"/>
  <c r="D64" i="78"/>
  <c r="M64" i="78" s="1"/>
  <c r="D47" i="78"/>
  <c r="H47" i="78" s="1"/>
  <c r="D64" i="75"/>
  <c r="J64" i="75" s="1"/>
  <c r="D46" i="75"/>
  <c r="D49" i="75"/>
  <c r="P49" i="75" s="1"/>
  <c r="D68" i="75"/>
  <c r="I68" i="75" s="1"/>
  <c r="D52" i="75"/>
  <c r="T52" i="75" s="1"/>
  <c r="D65" i="75"/>
  <c r="D60" i="75"/>
  <c r="R60" i="75" s="1"/>
  <c r="M37" i="73"/>
  <c r="L19" i="73"/>
  <c r="G37" i="73"/>
  <c r="L38" i="72"/>
  <c r="F38" i="72"/>
  <c r="J38" i="71"/>
  <c r="D49" i="70"/>
  <c r="M49" i="70" s="1"/>
  <c r="D60" i="70"/>
  <c r="N60" i="70" s="1"/>
  <c r="D46" i="70"/>
  <c r="L67" i="69"/>
  <c r="D68" i="69"/>
  <c r="R68" i="69" s="1"/>
  <c r="K67" i="69"/>
  <c r="N67" i="69"/>
  <c r="D46" i="69"/>
  <c r="S46" i="69" s="1"/>
  <c r="D64" i="69"/>
  <c r="M64" i="69" s="1"/>
  <c r="M37" i="68"/>
  <c r="D47" i="67"/>
  <c r="I47" i="67" s="1"/>
  <c r="D46" i="67"/>
  <c r="D60" i="67"/>
  <c r="D68" i="67"/>
  <c r="H68" i="67" s="1"/>
  <c r="D52" i="67"/>
  <c r="N52" i="67" s="1"/>
  <c r="D65" i="67"/>
  <c r="H65" i="67" s="1"/>
  <c r="D55" i="67"/>
  <c r="P55" i="67" s="1"/>
  <c r="D49" i="66"/>
  <c r="T49" i="66" s="1"/>
  <c r="D64" i="66"/>
  <c r="F64" i="66" s="1"/>
  <c r="D47" i="66"/>
  <c r="J47" i="66" s="1"/>
  <c r="I38" i="63"/>
  <c r="I38" i="62"/>
  <c r="D82" i="54"/>
  <c r="D82" i="55"/>
  <c r="L82" i="55" s="1"/>
  <c r="D82" i="63"/>
  <c r="D82" i="58"/>
  <c r="D82" i="60"/>
  <c r="D54" i="61"/>
  <c r="T54" i="61" s="1"/>
  <c r="D54" i="66"/>
  <c r="T54" i="66" s="1"/>
  <c r="D82" i="65"/>
  <c r="D82" i="73"/>
  <c r="D82" i="75"/>
  <c r="D82" i="67"/>
  <c r="D82" i="71"/>
  <c r="D82" i="76"/>
  <c r="D82" i="68"/>
  <c r="D54" i="69"/>
  <c r="O54" i="69" s="1"/>
  <c r="D82" i="72"/>
  <c r="D54" i="65"/>
  <c r="F54" i="65" s="1"/>
  <c r="D82" i="70"/>
  <c r="D54" i="72"/>
  <c r="S54" i="72" s="1"/>
  <c r="D82" i="64"/>
  <c r="D82" i="69"/>
  <c r="D82" i="79"/>
  <c r="D82" i="56"/>
  <c r="D82" i="80"/>
  <c r="D82" i="57"/>
  <c r="D82" i="61"/>
  <c r="D82" i="78"/>
  <c r="D82" i="59"/>
  <c r="D82" i="66"/>
  <c r="D54" i="75"/>
  <c r="K54" i="75" s="1"/>
  <c r="D82" i="77"/>
  <c r="D54" i="60"/>
  <c r="H54" i="60" s="1"/>
  <c r="M37" i="59"/>
  <c r="K37" i="59"/>
  <c r="I38" i="59"/>
  <c r="D64" i="58"/>
  <c r="T64" i="58" s="1"/>
  <c r="D67" i="58"/>
  <c r="F67" i="58" s="1"/>
  <c r="D65" i="58"/>
  <c r="G65" i="58" s="1"/>
  <c r="D68" i="58"/>
  <c r="N68" i="58" s="1"/>
  <c r="D53" i="58"/>
  <c r="O53" i="58" s="1"/>
  <c r="D54" i="58"/>
  <c r="F54" i="58" s="1"/>
  <c r="D55" i="58"/>
  <c r="K55" i="58" s="1"/>
  <c r="N36" i="57"/>
  <c r="K36" i="57"/>
  <c r="L36" i="57"/>
  <c r="O36" i="57"/>
  <c r="M36" i="57"/>
  <c r="P36" i="57"/>
  <c r="Q36" i="57"/>
  <c r="F36" i="57"/>
  <c r="R36" i="57"/>
  <c r="G36" i="57"/>
  <c r="S36" i="57"/>
  <c r="H36" i="57"/>
  <c r="T36" i="57"/>
  <c r="D68" i="56"/>
  <c r="H68" i="56" s="1"/>
  <c r="D47" i="56"/>
  <c r="S47" i="56" s="1"/>
  <c r="D52" i="56"/>
  <c r="L52" i="56" s="1"/>
  <c r="D55" i="56"/>
  <c r="O55" i="56" s="1"/>
  <c r="D60" i="56"/>
  <c r="F60" i="56" s="1"/>
  <c r="D65" i="56"/>
  <c r="F65" i="56" s="1"/>
  <c r="O77" i="55"/>
  <c r="F77" i="55"/>
  <c r="R77" i="55"/>
  <c r="G77" i="55"/>
  <c r="T77" i="55"/>
  <c r="I77" i="55"/>
  <c r="M77" i="55"/>
  <c r="P77" i="55"/>
  <c r="S77" i="55"/>
  <c r="L77" i="55"/>
  <c r="Q77" i="55"/>
  <c r="H77" i="55"/>
  <c r="J77" i="55"/>
  <c r="K77" i="55"/>
  <c r="N77" i="55"/>
  <c r="I75" i="55"/>
  <c r="P75" i="55"/>
  <c r="F75" i="55"/>
  <c r="H75" i="55"/>
  <c r="J75" i="55"/>
  <c r="N75" i="55"/>
  <c r="O75" i="55"/>
  <c r="K75" i="55"/>
  <c r="L75" i="55"/>
  <c r="S75" i="55"/>
  <c r="T75" i="55"/>
  <c r="M75" i="55"/>
  <c r="Q75" i="55"/>
  <c r="R75" i="55"/>
  <c r="G75" i="55"/>
  <c r="F76" i="55"/>
  <c r="R76" i="55"/>
  <c r="K76" i="55"/>
  <c r="G76" i="55"/>
  <c r="S76" i="55"/>
  <c r="I76" i="55"/>
  <c r="M76" i="55"/>
  <c r="N76" i="55"/>
  <c r="P76" i="55"/>
  <c r="Q76" i="55"/>
  <c r="H76" i="55"/>
  <c r="T76" i="55"/>
  <c r="J76" i="55"/>
  <c r="L76" i="55"/>
  <c r="O76" i="55"/>
  <c r="E23" i="55"/>
  <c r="M74" i="55"/>
  <c r="T74" i="55"/>
  <c r="I74" i="55"/>
  <c r="N74" i="55"/>
  <c r="P74" i="55"/>
  <c r="Q74" i="55"/>
  <c r="R74" i="55"/>
  <c r="G74" i="55"/>
  <c r="F74" i="55"/>
  <c r="K74" i="55"/>
  <c r="O74" i="55"/>
  <c r="L74" i="55"/>
  <c r="S74" i="55"/>
  <c r="H74" i="55"/>
  <c r="J74" i="55"/>
  <c r="L37" i="55"/>
  <c r="L38" i="55"/>
  <c r="M38" i="55"/>
  <c r="P53" i="71"/>
  <c r="O53" i="71"/>
  <c r="N53" i="71"/>
  <c r="M53" i="71"/>
  <c r="L53" i="71"/>
  <c r="K53" i="71"/>
  <c r="J53" i="71"/>
  <c r="S53" i="71"/>
  <c r="G53" i="71"/>
  <c r="T53" i="71"/>
  <c r="R53" i="71"/>
  <c r="Q53" i="71"/>
  <c r="I53" i="71"/>
  <c r="H53" i="71"/>
  <c r="F53" i="71"/>
  <c r="N61" i="71"/>
  <c r="M61" i="71"/>
  <c r="L61" i="71"/>
  <c r="S61" i="71"/>
  <c r="G61" i="71"/>
  <c r="I61" i="71"/>
  <c r="T61" i="71"/>
  <c r="R61" i="71"/>
  <c r="H61" i="71"/>
  <c r="O37" i="71"/>
  <c r="D48" i="69"/>
  <c r="D53" i="69"/>
  <c r="D56" i="69"/>
  <c r="D61" i="69"/>
  <c r="M67" i="69"/>
  <c r="D69" i="69"/>
  <c r="R52" i="72"/>
  <c r="F52" i="72"/>
  <c r="N52" i="72"/>
  <c r="Q52" i="72"/>
  <c r="P52" i="72"/>
  <c r="O52" i="72"/>
  <c r="M52" i="72"/>
  <c r="L52" i="72"/>
  <c r="K52" i="72"/>
  <c r="J52" i="72"/>
  <c r="I52" i="72"/>
  <c r="G52" i="72"/>
  <c r="H37" i="73"/>
  <c r="O67" i="69"/>
  <c r="D52" i="70"/>
  <c r="I37" i="73"/>
  <c r="P61" i="72"/>
  <c r="O61" i="72"/>
  <c r="N61" i="72"/>
  <c r="M61" i="72"/>
  <c r="J61" i="72"/>
  <c r="I61" i="72"/>
  <c r="T61" i="72"/>
  <c r="H61" i="72"/>
  <c r="S61" i="72"/>
  <c r="R61" i="72"/>
  <c r="Q61" i="72"/>
  <c r="L61" i="72"/>
  <c r="K61" i="72"/>
  <c r="G61" i="72"/>
  <c r="F61" i="72"/>
  <c r="P67" i="69"/>
  <c r="D47" i="70"/>
  <c r="D55" i="70"/>
  <c r="T52" i="72"/>
  <c r="Q67" i="69"/>
  <c r="D68" i="71"/>
  <c r="D65" i="71"/>
  <c r="D60" i="71"/>
  <c r="D55" i="71"/>
  <c r="D52" i="71"/>
  <c r="D47" i="71"/>
  <c r="D67" i="71"/>
  <c r="D64" i="71"/>
  <c r="O38" i="72"/>
  <c r="F67" i="69"/>
  <c r="R67" i="69"/>
  <c r="D49" i="71"/>
  <c r="G67" i="69"/>
  <c r="S67" i="69"/>
  <c r="D56" i="71"/>
  <c r="H67" i="69"/>
  <c r="T67" i="69"/>
  <c r="D67" i="70"/>
  <c r="D64" i="70"/>
  <c r="D54" i="70"/>
  <c r="D69" i="70"/>
  <c r="D61" i="70"/>
  <c r="D56" i="70"/>
  <c r="D53" i="70"/>
  <c r="D48" i="70"/>
  <c r="D68" i="70"/>
  <c r="P38" i="71"/>
  <c r="D47" i="69"/>
  <c r="D52" i="69"/>
  <c r="D55" i="69"/>
  <c r="D60" i="69"/>
  <c r="D65" i="69"/>
  <c r="I67" i="69"/>
  <c r="I38" i="71"/>
  <c r="D54" i="71"/>
  <c r="L37" i="72"/>
  <c r="D53" i="72"/>
  <c r="D55" i="72"/>
  <c r="H34" i="71"/>
  <c r="L18" i="71" s="1"/>
  <c r="T34" i="71"/>
  <c r="N36" i="71"/>
  <c r="J37" i="71"/>
  <c r="E23" i="73"/>
  <c r="D68" i="72"/>
  <c r="D65" i="72"/>
  <c r="D60" i="72"/>
  <c r="D67" i="72"/>
  <c r="D64" i="72"/>
  <c r="D48" i="72"/>
  <c r="K34" i="71"/>
  <c r="Q36" i="71"/>
  <c r="Q37" i="71" s="1"/>
  <c r="D56" i="72"/>
  <c r="L34" i="71"/>
  <c r="F36" i="71"/>
  <c r="R36" i="71"/>
  <c r="R38" i="71" s="1"/>
  <c r="M34" i="71"/>
  <c r="G36" i="71"/>
  <c r="G37" i="71" s="1"/>
  <c r="S36" i="71"/>
  <c r="S37" i="71" s="1"/>
  <c r="N34" i="71"/>
  <c r="H36" i="71"/>
  <c r="D46" i="72"/>
  <c r="D49" i="72"/>
  <c r="L18" i="73"/>
  <c r="D47" i="73"/>
  <c r="D52" i="73"/>
  <c r="D55" i="73"/>
  <c r="D60" i="73"/>
  <c r="D65" i="73"/>
  <c r="D68" i="73"/>
  <c r="N37" i="73"/>
  <c r="D68" i="76"/>
  <c r="D65" i="76"/>
  <c r="D60" i="76"/>
  <c r="D55" i="76"/>
  <c r="D67" i="76"/>
  <c r="D64" i="76"/>
  <c r="D54" i="76"/>
  <c r="D49" i="76"/>
  <c r="D47" i="76"/>
  <c r="D61" i="76"/>
  <c r="D46" i="76"/>
  <c r="D69" i="76"/>
  <c r="D56" i="76"/>
  <c r="D53" i="76"/>
  <c r="D48" i="76"/>
  <c r="D48" i="73"/>
  <c r="D53" i="73"/>
  <c r="D56" i="73"/>
  <c r="D61" i="73"/>
  <c r="D69" i="73"/>
  <c r="D52" i="76"/>
  <c r="E23" i="75"/>
  <c r="D46" i="73"/>
  <c r="D49" i="73"/>
  <c r="D54" i="73"/>
  <c r="D64" i="73"/>
  <c r="D67" i="73"/>
  <c r="J69" i="77"/>
  <c r="E23" i="78"/>
  <c r="T37" i="77"/>
  <c r="T37" i="99" s="1"/>
  <c r="S69" i="77"/>
  <c r="D48" i="75"/>
  <c r="D53" i="75"/>
  <c r="D56" i="75"/>
  <c r="D61" i="75"/>
  <c r="E23" i="77"/>
  <c r="R69" i="77"/>
  <c r="F69" i="77"/>
  <c r="Q69" i="77"/>
  <c r="P69" i="77"/>
  <c r="O69" i="77"/>
  <c r="N69" i="77"/>
  <c r="M69" i="77"/>
  <c r="L69" i="77"/>
  <c r="K69" i="77"/>
  <c r="I69" i="77"/>
  <c r="D46" i="77"/>
  <c r="D49" i="77"/>
  <c r="D54" i="77"/>
  <c r="D64" i="77"/>
  <c r="D67" i="77"/>
  <c r="K37" i="77"/>
  <c r="K37" i="99" s="1"/>
  <c r="D69" i="78"/>
  <c r="D61" i="78"/>
  <c r="D68" i="78"/>
  <c r="D65" i="78"/>
  <c r="D48" i="78"/>
  <c r="D53" i="78"/>
  <c r="M37" i="77"/>
  <c r="M37" i="99" s="1"/>
  <c r="D47" i="77"/>
  <c r="D52" i="77"/>
  <c r="D55" i="77"/>
  <c r="D60" i="77"/>
  <c r="D65" i="77"/>
  <c r="D68" i="77"/>
  <c r="D55" i="78"/>
  <c r="D56" i="78"/>
  <c r="D67" i="78"/>
  <c r="D54" i="78"/>
  <c r="D46" i="78"/>
  <c r="D49" i="78"/>
  <c r="D48" i="77"/>
  <c r="D53" i="77"/>
  <c r="D56" i="77"/>
  <c r="D61" i="77"/>
  <c r="S53" i="80"/>
  <c r="O53" i="80"/>
  <c r="N53" i="80"/>
  <c r="L53" i="80"/>
  <c r="J53" i="80"/>
  <c r="T53" i="80"/>
  <c r="R53" i="80"/>
  <c r="Q53" i="80"/>
  <c r="P53" i="80"/>
  <c r="M53" i="80"/>
  <c r="K53" i="80"/>
  <c r="I53" i="80"/>
  <c r="H53" i="80"/>
  <c r="G53" i="80"/>
  <c r="F53" i="80"/>
  <c r="D69" i="80"/>
  <c r="D61" i="80"/>
  <c r="D56" i="80"/>
  <c r="D68" i="80"/>
  <c r="D65" i="80"/>
  <c r="D60" i="80"/>
  <c r="D55" i="80"/>
  <c r="D48" i="80"/>
  <c r="D55" i="79"/>
  <c r="D60" i="79"/>
  <c r="D65" i="79"/>
  <c r="D68" i="79"/>
  <c r="D46" i="80"/>
  <c r="D49" i="80"/>
  <c r="D48" i="79"/>
  <c r="D53" i="79"/>
  <c r="D56" i="79"/>
  <c r="D61" i="79"/>
  <c r="D69" i="79"/>
  <c r="D64" i="80"/>
  <c r="D67" i="80"/>
  <c r="D47" i="80"/>
  <c r="D52" i="80"/>
  <c r="D46" i="79"/>
  <c r="D49" i="79"/>
  <c r="D54" i="79"/>
  <c r="D64" i="79"/>
  <c r="D67" i="79"/>
  <c r="D54" i="80"/>
  <c r="D49" i="62"/>
  <c r="F53" i="61"/>
  <c r="D68" i="61"/>
  <c r="D65" i="61"/>
  <c r="D60" i="61"/>
  <c r="D55" i="61"/>
  <c r="D52" i="61"/>
  <c r="D47" i="61"/>
  <c r="P34" i="61"/>
  <c r="L36" i="61"/>
  <c r="L37" i="61" s="1"/>
  <c r="G53" i="61"/>
  <c r="T53" i="61"/>
  <c r="L61" i="61"/>
  <c r="I37" i="62"/>
  <c r="I37" i="96" s="1"/>
  <c r="D53" i="62"/>
  <c r="E23" i="63"/>
  <c r="O37" i="63"/>
  <c r="J36" i="64"/>
  <c r="P34" i="64"/>
  <c r="S36" i="64"/>
  <c r="G36" i="64"/>
  <c r="M34" i="64"/>
  <c r="R36" i="64"/>
  <c r="F36" i="64"/>
  <c r="L34" i="64"/>
  <c r="P36" i="64"/>
  <c r="J34" i="64"/>
  <c r="M36" i="64"/>
  <c r="S34" i="64"/>
  <c r="G34" i="64"/>
  <c r="Q36" i="64"/>
  <c r="F34" i="64"/>
  <c r="L36" i="64"/>
  <c r="H36" i="64"/>
  <c r="H38" i="64" s="1"/>
  <c r="Q34" i="64"/>
  <c r="O34" i="64"/>
  <c r="N34" i="64"/>
  <c r="K34" i="64"/>
  <c r="H69" i="65"/>
  <c r="L19" i="68"/>
  <c r="G37" i="68"/>
  <c r="Q34" i="61"/>
  <c r="O38" i="61"/>
  <c r="M36" i="61"/>
  <c r="H53" i="61"/>
  <c r="D67" i="62"/>
  <c r="D68" i="63"/>
  <c r="D65" i="63"/>
  <c r="D60" i="63"/>
  <c r="D55" i="63"/>
  <c r="D52" i="63"/>
  <c r="D47" i="63"/>
  <c r="D67" i="63"/>
  <c r="D49" i="63"/>
  <c r="D48" i="63"/>
  <c r="D69" i="63"/>
  <c r="D53" i="63"/>
  <c r="D64" i="63"/>
  <c r="D61" i="63"/>
  <c r="D46" i="63"/>
  <c r="L38" i="63"/>
  <c r="D54" i="63"/>
  <c r="O69" i="65"/>
  <c r="E23" i="66"/>
  <c r="Q69" i="68"/>
  <c r="O69" i="68"/>
  <c r="N69" i="68"/>
  <c r="M69" i="68"/>
  <c r="L69" i="68"/>
  <c r="K69" i="68"/>
  <c r="J69" i="68"/>
  <c r="I69" i="68"/>
  <c r="P69" i="68"/>
  <c r="F69" i="68"/>
  <c r="T69" i="68"/>
  <c r="S69" i="68"/>
  <c r="G69" i="68"/>
  <c r="R69" i="68"/>
  <c r="H69" i="68"/>
  <c r="R34" i="61"/>
  <c r="N36" i="61"/>
  <c r="N37" i="61" s="1"/>
  <c r="I53" i="61"/>
  <c r="I38" i="64"/>
  <c r="I37" i="64"/>
  <c r="R53" i="61"/>
  <c r="S53" i="61"/>
  <c r="S69" i="65"/>
  <c r="G69" i="65"/>
  <c r="P69" i="65"/>
  <c r="M69" i="65"/>
  <c r="L69" i="65"/>
  <c r="K69" i="65"/>
  <c r="J69" i="65"/>
  <c r="R69" i="65"/>
  <c r="Q69" i="65"/>
  <c r="N69" i="65"/>
  <c r="F69" i="65"/>
  <c r="I69" i="65"/>
  <c r="F34" i="61"/>
  <c r="S34" i="61"/>
  <c r="F48" i="61"/>
  <c r="S48" i="61"/>
  <c r="J53" i="61"/>
  <c r="D55" i="62"/>
  <c r="K53" i="61"/>
  <c r="D64" i="62"/>
  <c r="I37" i="63"/>
  <c r="Q36" i="61"/>
  <c r="K34" i="61"/>
  <c r="H37" i="62"/>
  <c r="T38" i="63"/>
  <c r="L53" i="61"/>
  <c r="I34" i="61"/>
  <c r="F36" i="61"/>
  <c r="S36" i="61"/>
  <c r="I48" i="61"/>
  <c r="N53" i="61"/>
  <c r="D64" i="61"/>
  <c r="D61" i="62"/>
  <c r="D48" i="62"/>
  <c r="D60" i="62"/>
  <c r="D47" i="62"/>
  <c r="D46" i="62"/>
  <c r="D65" i="62"/>
  <c r="D52" i="62"/>
  <c r="D69" i="62"/>
  <c r="D56" i="62"/>
  <c r="D54" i="62"/>
  <c r="P53" i="61"/>
  <c r="M34" i="61"/>
  <c r="I36" i="61"/>
  <c r="D46" i="61"/>
  <c r="Q53" i="61"/>
  <c r="D68" i="62"/>
  <c r="P34" i="62"/>
  <c r="P34" i="96" s="1"/>
  <c r="J36" i="62"/>
  <c r="K34" i="65"/>
  <c r="M37" i="63"/>
  <c r="I68" i="64"/>
  <c r="K68" i="64"/>
  <c r="T68" i="64"/>
  <c r="G68" i="64"/>
  <c r="S68" i="64"/>
  <c r="F68" i="64"/>
  <c r="Q68" i="64"/>
  <c r="N68" i="64"/>
  <c r="K36" i="65"/>
  <c r="Q34" i="65"/>
  <c r="T36" i="65"/>
  <c r="H36" i="65"/>
  <c r="N34" i="65"/>
  <c r="P36" i="65"/>
  <c r="J34" i="65"/>
  <c r="O36" i="65"/>
  <c r="I34" i="65"/>
  <c r="N36" i="65"/>
  <c r="T34" i="65"/>
  <c r="H34" i="65"/>
  <c r="R36" i="65"/>
  <c r="R38" i="65" s="1"/>
  <c r="F34" i="65"/>
  <c r="L36" i="65"/>
  <c r="J36" i="65"/>
  <c r="S34" i="65"/>
  <c r="G36" i="65"/>
  <c r="G37" i="65" s="1"/>
  <c r="P34" i="65"/>
  <c r="L34" i="65"/>
  <c r="L49" i="65"/>
  <c r="I49" i="65"/>
  <c r="T49" i="65"/>
  <c r="H49" i="65"/>
  <c r="G49" i="65"/>
  <c r="R49" i="65"/>
  <c r="F49" i="65"/>
  <c r="J49" i="65"/>
  <c r="N49" i="65"/>
  <c r="J67" i="66"/>
  <c r="I67" i="66"/>
  <c r="G34" i="62"/>
  <c r="G34" i="96" s="1"/>
  <c r="S34" i="62"/>
  <c r="S34" i="96" s="1"/>
  <c r="M36" i="62"/>
  <c r="M36" i="96" s="1"/>
  <c r="J68" i="64"/>
  <c r="S61" i="65"/>
  <c r="G61" i="65"/>
  <c r="P61" i="65"/>
  <c r="M61" i="65"/>
  <c r="L61" i="65"/>
  <c r="K61" i="65"/>
  <c r="J61" i="65"/>
  <c r="R61" i="65"/>
  <c r="Q61" i="65"/>
  <c r="N61" i="65"/>
  <c r="F61" i="65"/>
  <c r="J34" i="62"/>
  <c r="J34" i="96" s="1"/>
  <c r="P36" i="62"/>
  <c r="D69" i="64"/>
  <c r="D67" i="64"/>
  <c r="D64" i="64"/>
  <c r="D54" i="64"/>
  <c r="D49" i="64"/>
  <c r="D46" i="64"/>
  <c r="D53" i="64"/>
  <c r="O68" i="64"/>
  <c r="M38" i="65"/>
  <c r="R37" i="65"/>
  <c r="O61" i="65"/>
  <c r="M34" i="62"/>
  <c r="M34" i="96" s="1"/>
  <c r="G36" i="62"/>
  <c r="G36" i="96" s="1"/>
  <c r="D52" i="64"/>
  <c r="D65" i="64"/>
  <c r="F36" i="65"/>
  <c r="F38" i="68"/>
  <c r="F37" i="68"/>
  <c r="D68" i="65"/>
  <c r="D65" i="65"/>
  <c r="D60" i="65"/>
  <c r="D55" i="65"/>
  <c r="D52" i="65"/>
  <c r="D47" i="65"/>
  <c r="E23" i="68"/>
  <c r="G38" i="68"/>
  <c r="K34" i="63"/>
  <c r="G52" i="66"/>
  <c r="R52" i="66"/>
  <c r="J52" i="66"/>
  <c r="K38" i="68"/>
  <c r="D53" i="66"/>
  <c r="E23" i="67"/>
  <c r="K37" i="68"/>
  <c r="D56" i="66"/>
  <c r="D61" i="66"/>
  <c r="D68" i="66"/>
  <c r="D65" i="66"/>
  <c r="D60" i="66"/>
  <c r="D55" i="66"/>
  <c r="D48" i="66"/>
  <c r="D46" i="66"/>
  <c r="T38" i="68"/>
  <c r="D46" i="68"/>
  <c r="D49" i="68"/>
  <c r="D54" i="68"/>
  <c r="D64" i="68"/>
  <c r="D67" i="68"/>
  <c r="D48" i="67"/>
  <c r="D53" i="67"/>
  <c r="D56" i="67"/>
  <c r="D61" i="67"/>
  <c r="D69" i="67"/>
  <c r="D47" i="68"/>
  <c r="D52" i="68"/>
  <c r="D55" i="68"/>
  <c r="D60" i="68"/>
  <c r="D65" i="68"/>
  <c r="D68" i="68"/>
  <c r="D49" i="67"/>
  <c r="D54" i="67"/>
  <c r="D64" i="67"/>
  <c r="D67" i="67"/>
  <c r="D48" i="68"/>
  <c r="D53" i="68"/>
  <c r="D56" i="68"/>
  <c r="D61" i="68"/>
  <c r="L69" i="59"/>
  <c r="K69" i="59"/>
  <c r="J69" i="59"/>
  <c r="I69" i="59"/>
  <c r="S69" i="59"/>
  <c r="G69" i="59"/>
  <c r="O69" i="59"/>
  <c r="M69" i="59"/>
  <c r="H69" i="59"/>
  <c r="F69" i="59"/>
  <c r="Q69" i="59"/>
  <c r="P69" i="59"/>
  <c r="Q34" i="60"/>
  <c r="Q35" i="60" s="1"/>
  <c r="L19" i="58"/>
  <c r="L19" i="57"/>
  <c r="D69" i="57"/>
  <c r="D61" i="57"/>
  <c r="D56" i="57"/>
  <c r="D53" i="57"/>
  <c r="D48" i="57"/>
  <c r="D68" i="57"/>
  <c r="D65" i="57"/>
  <c r="D60" i="57"/>
  <c r="D55" i="57"/>
  <c r="D52" i="57"/>
  <c r="D47" i="57"/>
  <c r="D67" i="57"/>
  <c r="D64" i="57"/>
  <c r="D54" i="57"/>
  <c r="D49" i="57"/>
  <c r="R69" i="59"/>
  <c r="K36" i="60"/>
  <c r="T69" i="59"/>
  <c r="O36" i="60"/>
  <c r="I36" i="60"/>
  <c r="O34" i="60"/>
  <c r="O35" i="60" s="1"/>
  <c r="T36" i="60"/>
  <c r="H36" i="60"/>
  <c r="N34" i="60"/>
  <c r="N35" i="60" s="1"/>
  <c r="S36" i="60"/>
  <c r="G36" i="60"/>
  <c r="M34" i="60"/>
  <c r="M35" i="60" s="1"/>
  <c r="R36" i="60"/>
  <c r="F36" i="60"/>
  <c r="L34" i="60"/>
  <c r="L35" i="60" s="1"/>
  <c r="P36" i="60"/>
  <c r="J34" i="60"/>
  <c r="J35" i="60" s="1"/>
  <c r="L36" i="60"/>
  <c r="R34" i="60"/>
  <c r="R35" i="60" s="1"/>
  <c r="F34" i="60"/>
  <c r="F35" i="60" s="1"/>
  <c r="J36" i="60"/>
  <c r="P34" i="60"/>
  <c r="P35" i="60" s="1"/>
  <c r="K34" i="60"/>
  <c r="K35" i="60" s="1"/>
  <c r="I34" i="60"/>
  <c r="I35" i="60" s="1"/>
  <c r="H34" i="60"/>
  <c r="H35" i="60" s="1"/>
  <c r="G34" i="60"/>
  <c r="G35" i="60" s="1"/>
  <c r="N36" i="60"/>
  <c r="T34" i="60"/>
  <c r="T35" i="60" s="1"/>
  <c r="M36" i="60"/>
  <c r="S34" i="60"/>
  <c r="S35" i="60" s="1"/>
  <c r="Q69" i="60"/>
  <c r="P69" i="60"/>
  <c r="O69" i="60"/>
  <c r="N69" i="60"/>
  <c r="L69" i="60"/>
  <c r="T69" i="60"/>
  <c r="H69" i="60"/>
  <c r="S69" i="60"/>
  <c r="R69" i="60"/>
  <c r="M69" i="60"/>
  <c r="K69" i="60"/>
  <c r="J69" i="60"/>
  <c r="F69" i="60"/>
  <c r="D47" i="58"/>
  <c r="D69" i="58"/>
  <c r="D61" i="58"/>
  <c r="D56" i="58"/>
  <c r="D48" i="58"/>
  <c r="K38" i="59"/>
  <c r="I47" i="60"/>
  <c r="T47" i="60"/>
  <c r="H47" i="60"/>
  <c r="S47" i="60"/>
  <c r="G47" i="60"/>
  <c r="R47" i="60"/>
  <c r="F47" i="60"/>
  <c r="P47" i="60"/>
  <c r="L47" i="60"/>
  <c r="I52" i="60"/>
  <c r="T52" i="60"/>
  <c r="H52" i="60"/>
  <c r="S52" i="60"/>
  <c r="G52" i="60"/>
  <c r="R52" i="60"/>
  <c r="F52" i="60"/>
  <c r="P52" i="60"/>
  <c r="L52" i="60"/>
  <c r="I55" i="60"/>
  <c r="T55" i="60"/>
  <c r="H55" i="60"/>
  <c r="S55" i="60"/>
  <c r="G55" i="60"/>
  <c r="R55" i="60"/>
  <c r="F55" i="60"/>
  <c r="P55" i="60"/>
  <c r="L55" i="60"/>
  <c r="I60" i="60"/>
  <c r="T60" i="60"/>
  <c r="H60" i="60"/>
  <c r="S60" i="60"/>
  <c r="G60" i="60"/>
  <c r="R60" i="60"/>
  <c r="F60" i="60"/>
  <c r="P60" i="60"/>
  <c r="L60" i="60"/>
  <c r="I65" i="60"/>
  <c r="T65" i="60"/>
  <c r="H65" i="60"/>
  <c r="S65" i="60"/>
  <c r="G65" i="60"/>
  <c r="R65" i="60"/>
  <c r="F65" i="60"/>
  <c r="P65" i="60"/>
  <c r="L65" i="60"/>
  <c r="I68" i="60"/>
  <c r="T68" i="60"/>
  <c r="H68" i="60"/>
  <c r="S68" i="60"/>
  <c r="G68" i="60"/>
  <c r="R68" i="60"/>
  <c r="F68" i="60"/>
  <c r="P68" i="60"/>
  <c r="L68" i="60"/>
  <c r="D48" i="59"/>
  <c r="D53" i="59"/>
  <c r="D56" i="59"/>
  <c r="D61" i="59"/>
  <c r="J47" i="60"/>
  <c r="J52" i="60"/>
  <c r="J55" i="60"/>
  <c r="J60" i="60"/>
  <c r="J65" i="60"/>
  <c r="J68" i="60"/>
  <c r="D46" i="58"/>
  <c r="D49" i="58"/>
  <c r="D67" i="59"/>
  <c r="D64" i="59"/>
  <c r="D54" i="59"/>
  <c r="D49" i="59"/>
  <c r="D46" i="59"/>
  <c r="K47" i="60"/>
  <c r="K52" i="60"/>
  <c r="K55" i="60"/>
  <c r="K60" i="60"/>
  <c r="K65" i="60"/>
  <c r="K68" i="60"/>
  <c r="M46" i="60"/>
  <c r="L46" i="60"/>
  <c r="K46" i="60"/>
  <c r="J46" i="60"/>
  <c r="T46" i="60"/>
  <c r="H46" i="60"/>
  <c r="P46" i="60"/>
  <c r="M47" i="60"/>
  <c r="M49" i="60"/>
  <c r="L49" i="60"/>
  <c r="K49" i="60"/>
  <c r="J49" i="60"/>
  <c r="T49" i="60"/>
  <c r="H49" i="60"/>
  <c r="P49" i="60"/>
  <c r="M52" i="60"/>
  <c r="M55" i="60"/>
  <c r="M60" i="60"/>
  <c r="M64" i="60"/>
  <c r="L64" i="60"/>
  <c r="K64" i="60"/>
  <c r="J64" i="60"/>
  <c r="T64" i="60"/>
  <c r="H64" i="60"/>
  <c r="P64" i="60"/>
  <c r="M65" i="60"/>
  <c r="M67" i="60"/>
  <c r="L67" i="60"/>
  <c r="K67" i="60"/>
  <c r="J67" i="60"/>
  <c r="T67" i="60"/>
  <c r="H67" i="60"/>
  <c r="P67" i="60"/>
  <c r="M68" i="60"/>
  <c r="D47" i="59"/>
  <c r="D52" i="59"/>
  <c r="D55" i="59"/>
  <c r="D60" i="59"/>
  <c r="D65" i="59"/>
  <c r="D68" i="59"/>
  <c r="F46" i="60"/>
  <c r="N47" i="60"/>
  <c r="F49" i="60"/>
  <c r="N52" i="60"/>
  <c r="N55" i="60"/>
  <c r="N60" i="60"/>
  <c r="F64" i="60"/>
  <c r="N65" i="60"/>
  <c r="F67" i="60"/>
  <c r="N68" i="60"/>
  <c r="S37" i="59"/>
  <c r="D53" i="60"/>
  <c r="D56" i="60"/>
  <c r="D61" i="60"/>
  <c r="E23" i="56"/>
  <c r="D56" i="56"/>
  <c r="D61" i="56"/>
  <c r="D69" i="56"/>
  <c r="D48" i="56"/>
  <c r="D53" i="56"/>
  <c r="D46" i="56"/>
  <c r="D49" i="56"/>
  <c r="D54" i="56"/>
  <c r="D64" i="56"/>
  <c r="D67" i="56"/>
  <c r="Q69" i="55"/>
  <c r="P69" i="55"/>
  <c r="O69" i="55"/>
  <c r="N69" i="55"/>
  <c r="M69" i="55"/>
  <c r="L69" i="55"/>
  <c r="K69" i="55"/>
  <c r="I69" i="55"/>
  <c r="H69" i="55"/>
  <c r="G69" i="55"/>
  <c r="J69" i="55"/>
  <c r="T69" i="55"/>
  <c r="S69" i="55"/>
  <c r="R69" i="55"/>
  <c r="D46" i="55"/>
  <c r="D49" i="55"/>
  <c r="D54" i="55"/>
  <c r="D64" i="55"/>
  <c r="H34" i="55"/>
  <c r="T34" i="55"/>
  <c r="N36" i="55"/>
  <c r="D67" i="55"/>
  <c r="I34" i="55"/>
  <c r="O36" i="55"/>
  <c r="O37" i="55" s="1"/>
  <c r="J34" i="55"/>
  <c r="P36" i="55"/>
  <c r="D47" i="55"/>
  <c r="D52" i="55"/>
  <c r="D55" i="55"/>
  <c r="D60" i="55"/>
  <c r="D65" i="55"/>
  <c r="D68" i="55"/>
  <c r="N34" i="55"/>
  <c r="H36" i="55"/>
  <c r="D48" i="55"/>
  <c r="D53" i="55"/>
  <c r="D56" i="55"/>
  <c r="D61" i="55"/>
  <c r="D46" i="54"/>
  <c r="D49" i="54"/>
  <c r="D54" i="54"/>
  <c r="D64" i="54"/>
  <c r="D67" i="54"/>
  <c r="D52" i="54"/>
  <c r="D55" i="54"/>
  <c r="D60" i="54"/>
  <c r="D65" i="54"/>
  <c r="D68" i="54"/>
  <c r="D48" i="54"/>
  <c r="D53" i="54"/>
  <c r="D56" i="54"/>
  <c r="D61" i="54"/>
  <c r="F93" i="90" a="1"/>
  <c r="N46" i="90" a="1"/>
  <c r="S55" i="90" a="1"/>
  <c r="L24" i="90" a="1"/>
  <c r="B51" i="90" a="1"/>
  <c r="S54" i="90" a="1"/>
  <c r="N55" i="90" a="1"/>
  <c r="C13" i="90" a="1"/>
  <c r="D46" i="90" a="1"/>
  <c r="R50" i="90" a="1"/>
  <c r="D100" i="90" a="1"/>
  <c r="G15" i="90" a="1"/>
  <c r="N54" i="90" a="1"/>
  <c r="F18" i="90" a="1"/>
  <c r="F14" i="90" a="1"/>
  <c r="S50" i="90" a="1"/>
  <c r="B63" i="90" a="1"/>
  <c r="G91" i="90" a="1"/>
  <c r="O17" i="90" a="1"/>
  <c r="D52" i="90" a="1"/>
  <c r="Q51" i="90" a="1"/>
  <c r="S70" i="90" a="1"/>
  <c r="I18" i="90" a="1"/>
  <c r="B46" i="90" a="1"/>
  <c r="D90" i="90" a="1"/>
  <c r="G55" i="90" a="1"/>
  <c r="G59" i="90" a="1"/>
  <c r="L90" i="90" a="1"/>
  <c r="N51" i="90" a="1"/>
  <c r="R90" i="90" a="1"/>
  <c r="N93" i="90" a="1"/>
  <c r="Q8" i="90" a="1"/>
  <c r="Q17" i="90" a="1"/>
  <c r="F100" i="90" a="1"/>
  <c r="F56" i="90" a="1"/>
  <c r="M21" i="90" a="1"/>
  <c r="B84" i="90" a="1"/>
  <c r="Q60" i="90" a="1"/>
  <c r="I56" i="90" a="1"/>
  <c r="C84" i="90" a="1"/>
  <c r="C24" i="90" a="1"/>
  <c r="N104" i="90" a="1"/>
  <c r="C51" i="90" a="1"/>
  <c r="S32" i="90" a="1"/>
  <c r="Q108" i="90" a="1"/>
  <c r="G71" i="90" a="1"/>
  <c r="E51" i="90" a="1"/>
  <c r="R14" i="90" a="1"/>
  <c r="F24" i="90" a="1"/>
  <c r="R46" i="90" a="1"/>
  <c r="C89" i="90" a="1"/>
  <c r="C52" i="90" a="1"/>
  <c r="S88" i="90" a="1"/>
  <c r="B101" i="90" a="1"/>
  <c r="M100" i="90" a="1"/>
  <c r="F90" i="90" a="1"/>
  <c r="I89" i="90" a="1"/>
  <c r="M59" i="90" a="1"/>
  <c r="F62" i="90" a="1"/>
  <c r="L8" i="90" a="1"/>
  <c r="C90" i="90" a="1"/>
  <c r="N30" i="90" a="1"/>
  <c r="G92" i="90" a="1"/>
  <c r="Q55" i="90" a="1"/>
  <c r="Q32" i="90" a="1"/>
  <c r="F26" i="90" a="1"/>
  <c r="R108" i="90" a="1"/>
  <c r="O13" i="90" a="1"/>
  <c r="Q84" i="90" a="1"/>
  <c r="O8" i="90" a="1"/>
  <c r="B89" i="90" a="1"/>
  <c r="S93" i="90" a="1"/>
  <c r="E46" i="90" a="1"/>
  <c r="G8" i="90" a="1"/>
  <c r="N8" i="90" a="1"/>
  <c r="N21" i="90" a="1"/>
  <c r="R12" i="90" a="1"/>
  <c r="F52" i="90" a="1"/>
  <c r="L46" i="90" a="1"/>
  <c r="F64" i="90" a="1"/>
  <c r="R70" i="90" a="1"/>
  <c r="E24" i="90" a="1"/>
  <c r="F92" i="90" a="1"/>
  <c r="O16" i="90" a="1"/>
  <c r="L13" i="90" a="1"/>
  <c r="O46" i="90" a="1"/>
  <c r="R93" i="90" a="1"/>
  <c r="L104" i="90" a="1"/>
  <c r="R88" i="90" a="1"/>
  <c r="S17" i="90" a="1"/>
  <c r="N92" i="90" a="1"/>
  <c r="G33" i="90" a="1"/>
  <c r="E62" i="90" a="1"/>
  <c r="G17" i="90" a="1"/>
  <c r="S92" i="90" a="1"/>
  <c r="E100" i="90" a="1"/>
  <c r="O89" i="90" a="1"/>
  <c r="L51" i="90" a="1"/>
  <c r="E13" i="90" a="1"/>
  <c r="S16" i="90" a="1"/>
  <c r="L89" i="90" a="1"/>
  <c r="N13" i="90" a="1"/>
  <c r="G84" i="90" a="1"/>
  <c r="R51" i="90" a="1"/>
  <c r="I100" i="90" a="1"/>
  <c r="I46" i="90" a="1"/>
  <c r="I51" i="90" a="1"/>
  <c r="N97" i="90" a="1"/>
  <c r="F54" i="90" a="1"/>
  <c r="G24" i="90" a="1"/>
  <c r="I62" i="90" a="1"/>
  <c r="G53" i="90" a="1"/>
  <c r="G97" i="90" a="1"/>
  <c r="R89" i="90" a="1"/>
  <c r="I13" i="90" a="1"/>
  <c r="F55" i="90" a="1"/>
  <c r="C8" i="90" a="1"/>
  <c r="I94" i="90" a="1"/>
  <c r="M24" i="90" a="1"/>
  <c r="F102" i="90" a="1"/>
  <c r="M8" i="90" a="1"/>
  <c r="N89" i="90" a="1"/>
  <c r="B13" i="90" a="1"/>
  <c r="Q22" i="90" a="1"/>
  <c r="Q13" i="90" a="1"/>
  <c r="Q70" i="90" a="1"/>
  <c r="Q16" i="90" a="1"/>
  <c r="O51" i="90" a="1"/>
  <c r="B24" i="90" a="1"/>
  <c r="G18" i="90" a="1"/>
  <c r="N28" i="90" a="1"/>
  <c r="H31" i="95" a="1"/>
  <c r="F94" i="90" a="1"/>
  <c r="M26" i="90" a="1"/>
  <c r="Q89" i="90" a="1"/>
  <c r="N100" i="90" a="1"/>
  <c r="O93" i="90" a="1"/>
  <c r="E8" i="90" a="1"/>
  <c r="F8" i="90" a="1"/>
  <c r="N62" i="90" a="1"/>
  <c r="M84" i="90" a="1"/>
  <c r="I17" i="90" a="1"/>
  <c r="R13" i="90" a="1"/>
  <c r="Q54" i="90" a="1"/>
  <c r="S51" i="90" a="1"/>
  <c r="N24" i="90" a="1"/>
  <c r="C46" i="90" a="1"/>
  <c r="F84" i="90" a="1"/>
  <c r="I24" i="90" a="1"/>
  <c r="B8" i="90" a="1"/>
  <c r="G100" i="90" a="1"/>
  <c r="L62" i="90" a="1"/>
  <c r="N59" i="90" a="1"/>
  <c r="N106" i="90" a="1"/>
  <c r="O84" i="90" a="1"/>
  <c r="E89" i="90" a="1"/>
  <c r="G109" i="90" a="1"/>
  <c r="S89" i="90" a="1"/>
  <c r="F16" i="90" a="1"/>
  <c r="I8" i="90" a="1"/>
  <c r="S108" i="90" a="1"/>
  <c r="C62" i="90" a="1"/>
  <c r="C14" i="90" a="1"/>
  <c r="G62" i="90" a="1"/>
  <c r="R52" i="90" a="1"/>
  <c r="L100" i="90" a="1"/>
  <c r="R55" i="90" a="1"/>
  <c r="O55" i="90" a="1"/>
  <c r="G94" i="90" a="1"/>
  <c r="G16" i="90" a="1"/>
  <c r="R8" i="90" a="1"/>
  <c r="R54" i="90" a="1"/>
  <c r="H5" i="95" a="1"/>
  <c r="M62" i="90" a="1"/>
  <c r="L14" i="90" a="1"/>
  <c r="L52" i="90" a="1"/>
  <c r="N16" i="90" a="1"/>
  <c r="Q46" i="90" a="1"/>
  <c r="B62" i="90" a="1"/>
  <c r="Q93" i="90" a="1"/>
  <c r="G46" i="90" a="1"/>
  <c r="J93" i="90" a="1"/>
  <c r="I55" i="90" a="1"/>
  <c r="F89" i="90" a="1"/>
  <c r="B25" i="90" a="1"/>
  <c r="R16" i="90" a="1"/>
  <c r="L28" i="90" a="1"/>
  <c r="F17" i="90" a="1"/>
  <c r="N17" i="90" a="1"/>
  <c r="C100" i="90" a="1"/>
  <c r="S13" i="90" a="1"/>
  <c r="M97" i="90" a="1"/>
  <c r="S46" i="90" a="1"/>
  <c r="I84" i="90" a="1"/>
  <c r="O92" i="90" a="1"/>
  <c r="R32" i="90" a="1"/>
  <c r="S84" i="90" a="1"/>
  <c r="D24" i="90" a="1"/>
  <c r="B100" i="90" a="1"/>
  <c r="F46" i="90" a="1"/>
  <c r="Q92" i="90" a="1"/>
  <c r="Q98" i="90" a="1"/>
  <c r="F13" i="90" a="1"/>
  <c r="E84" i="90" a="1"/>
  <c r="N84" i="90" a="1"/>
  <c r="D62" i="90" a="1"/>
  <c r="L84" i="90" a="1"/>
  <c r="G56" i="90" a="1"/>
  <c r="N66" i="90" a="1"/>
  <c r="D14" i="90" a="1"/>
  <c r="O54" i="90" a="1"/>
  <c r="M102" i="90" a="1"/>
  <c r="F51" i="90" a="1"/>
  <c r="J17" i="90" a="1"/>
  <c r="G54" i="90" a="1"/>
  <c r="M46" i="90" a="1"/>
  <c r="I93" i="90" a="1"/>
  <c r="S8" i="90" a="1"/>
  <c r="D84" i="90" a="1"/>
  <c r="J55" i="90" a="1"/>
  <c r="L66" i="90" a="1"/>
  <c r="G21" i="90" a="1"/>
  <c r="D8" i="90" a="1"/>
  <c r="R17" i="90" a="1"/>
  <c r="G93" i="90" a="1"/>
  <c r="R84" i="90" a="1"/>
  <c r="M64" i="90" a="1"/>
  <c r="S12" i="90" a="1"/>
  <c r="N68" i="90" a="1"/>
  <c r="R92" i="90" a="1"/>
  <c r="H5" i="95" l="1"/>
  <c r="M47" i="79"/>
  <c r="F47" i="79"/>
  <c r="F47" i="72"/>
  <c r="T60" i="64"/>
  <c r="L67" i="61"/>
  <c r="I60" i="64"/>
  <c r="F61" i="71"/>
  <c r="O61" i="71"/>
  <c r="J61" i="71"/>
  <c r="K61" i="71"/>
  <c r="O49" i="65"/>
  <c r="H60" i="64"/>
  <c r="Q49" i="65"/>
  <c r="K49" i="65"/>
  <c r="S49" i="65"/>
  <c r="H31" i="95"/>
  <c r="G49" i="69"/>
  <c r="M52" i="58"/>
  <c r="Q49" i="69"/>
  <c r="H69" i="72"/>
  <c r="L52" i="58"/>
  <c r="O52" i="58"/>
  <c r="R49" i="69"/>
  <c r="G52" i="58"/>
  <c r="K52" i="58"/>
  <c r="R52" i="58"/>
  <c r="O46" i="65"/>
  <c r="Q46" i="65"/>
  <c r="I46" i="65"/>
  <c r="K46" i="65"/>
  <c r="M46" i="65"/>
  <c r="S46" i="65"/>
  <c r="L46" i="65"/>
  <c r="P46" i="65"/>
  <c r="N46" i="65"/>
  <c r="J46" i="65"/>
  <c r="F46" i="65"/>
  <c r="R46" i="65"/>
  <c r="G46" i="65"/>
  <c r="L60" i="58"/>
  <c r="M60" i="58"/>
  <c r="H46" i="65"/>
  <c r="P60" i="58"/>
  <c r="N84" i="90"/>
  <c r="R89" i="90"/>
  <c r="E89" i="90"/>
  <c r="B84" i="90"/>
  <c r="D84" i="90"/>
  <c r="I100" i="90"/>
  <c r="G100" i="90"/>
  <c r="J93" i="90"/>
  <c r="C84" i="90"/>
  <c r="O92" i="90"/>
  <c r="I93" i="90"/>
  <c r="S88" i="90"/>
  <c r="M100" i="90"/>
  <c r="R93" i="90"/>
  <c r="Q89" i="90"/>
  <c r="S89" i="90"/>
  <c r="E84" i="90"/>
  <c r="Q108" i="90"/>
  <c r="B89" i="90"/>
  <c r="L89" i="90"/>
  <c r="S108" i="90"/>
  <c r="F100" i="90"/>
  <c r="L100" i="90"/>
  <c r="G93" i="90"/>
  <c r="R84" i="90"/>
  <c r="F84" i="90"/>
  <c r="S84" i="90"/>
  <c r="Q98" i="90"/>
  <c r="C90" i="90"/>
  <c r="R108" i="90"/>
  <c r="R92" i="90"/>
  <c r="G91" i="90"/>
  <c r="F93" i="90"/>
  <c r="L84" i="90"/>
  <c r="C100" i="90"/>
  <c r="I84" i="90"/>
  <c r="R90" i="90"/>
  <c r="D100" i="90"/>
  <c r="Q92" i="90"/>
  <c r="B100" i="90"/>
  <c r="D90" i="90"/>
  <c r="Q84" i="90"/>
  <c r="L104" i="90"/>
  <c r="N93" i="90"/>
  <c r="N104" i="90"/>
  <c r="O89" i="90"/>
  <c r="C89" i="90"/>
  <c r="G109" i="90"/>
  <c r="N97" i="90"/>
  <c r="N106" i="90"/>
  <c r="B101" i="90"/>
  <c r="E100" i="90"/>
  <c r="G97" i="90"/>
  <c r="R88" i="90"/>
  <c r="G84" i="90"/>
  <c r="L90" i="90"/>
  <c r="M97" i="90"/>
  <c r="N92" i="90"/>
  <c r="F102" i="90"/>
  <c r="F94" i="90"/>
  <c r="F90" i="90"/>
  <c r="S93" i="90"/>
  <c r="O93" i="90"/>
  <c r="N89" i="90"/>
  <c r="F89" i="90"/>
  <c r="I89" i="90"/>
  <c r="I94" i="90"/>
  <c r="G94" i="90"/>
  <c r="Q93" i="90"/>
  <c r="S92" i="90"/>
  <c r="F92" i="90"/>
  <c r="G92" i="90"/>
  <c r="O84" i="90"/>
  <c r="M102" i="90"/>
  <c r="M84" i="90"/>
  <c r="N100" i="90"/>
  <c r="M84" i="65"/>
  <c r="G84" i="65"/>
  <c r="I38" i="96"/>
  <c r="K61" i="64"/>
  <c r="T84" i="65"/>
  <c r="I56" i="65"/>
  <c r="P67" i="65"/>
  <c r="F49" i="61"/>
  <c r="H84" i="65"/>
  <c r="I69" i="61"/>
  <c r="F69" i="61"/>
  <c r="J49" i="61"/>
  <c r="S84" i="65"/>
  <c r="L84" i="65"/>
  <c r="F84" i="65"/>
  <c r="N56" i="65"/>
  <c r="Q84" i="65"/>
  <c r="F56" i="65"/>
  <c r="R84" i="65"/>
  <c r="L56" i="65"/>
  <c r="R69" i="61"/>
  <c r="N84" i="65"/>
  <c r="J56" i="65"/>
  <c r="H56" i="65"/>
  <c r="G56" i="65"/>
  <c r="N49" i="61"/>
  <c r="P84" i="65"/>
  <c r="O84" i="65"/>
  <c r="K67" i="65"/>
  <c r="J84" i="65"/>
  <c r="S56" i="65"/>
  <c r="K67" i="66"/>
  <c r="L61" i="64"/>
  <c r="S56" i="61"/>
  <c r="I61" i="64"/>
  <c r="Q70" i="90"/>
  <c r="Q32" i="90"/>
  <c r="D62" i="90"/>
  <c r="D24" i="90"/>
  <c r="R54" i="90"/>
  <c r="R16" i="90"/>
  <c r="G53" i="90"/>
  <c r="G15" i="90"/>
  <c r="F55" i="90"/>
  <c r="F17" i="90"/>
  <c r="L46" i="90"/>
  <c r="L8" i="90"/>
  <c r="C62" i="90"/>
  <c r="C24" i="90"/>
  <c r="R46" i="90"/>
  <c r="R8" i="90"/>
  <c r="L52" i="90"/>
  <c r="L14" i="90"/>
  <c r="M64" i="90"/>
  <c r="M26" i="90"/>
  <c r="Q54" i="90"/>
  <c r="Q16" i="90"/>
  <c r="Q60" i="90"/>
  <c r="Q22" i="90"/>
  <c r="N59" i="90"/>
  <c r="N21" i="90"/>
  <c r="N46" i="90"/>
  <c r="N8" i="90"/>
  <c r="B62" i="90"/>
  <c r="B24" i="90"/>
  <c r="D46" i="90"/>
  <c r="D8" i="90"/>
  <c r="C46" i="90"/>
  <c r="C8" i="90"/>
  <c r="M59" i="90"/>
  <c r="M21" i="90"/>
  <c r="E62" i="90"/>
  <c r="E24" i="90"/>
  <c r="Q46" i="90"/>
  <c r="Q8" i="90"/>
  <c r="I51" i="90"/>
  <c r="I13" i="90"/>
  <c r="N54" i="90"/>
  <c r="N16" i="90"/>
  <c r="N68" i="90"/>
  <c r="N30" i="90"/>
  <c r="B63" i="90"/>
  <c r="B25" i="90"/>
  <c r="B51" i="90"/>
  <c r="B13" i="90"/>
  <c r="L51" i="90"/>
  <c r="L13" i="90"/>
  <c r="F64" i="90"/>
  <c r="F26" i="90"/>
  <c r="F56" i="90"/>
  <c r="F18" i="90"/>
  <c r="G59" i="90"/>
  <c r="G21" i="90"/>
  <c r="R50" i="90"/>
  <c r="R12" i="90"/>
  <c r="D52" i="90"/>
  <c r="D14" i="90"/>
  <c r="F46" i="90"/>
  <c r="F8" i="90"/>
  <c r="S46" i="90"/>
  <c r="S8" i="90"/>
  <c r="E51" i="90"/>
  <c r="E13" i="90"/>
  <c r="G71" i="90"/>
  <c r="G33" i="90"/>
  <c r="I56" i="90"/>
  <c r="I18" i="90"/>
  <c r="G56" i="90"/>
  <c r="G18" i="90"/>
  <c r="F52" i="90"/>
  <c r="F14" i="90"/>
  <c r="S55" i="90"/>
  <c r="S17" i="90"/>
  <c r="I46" i="90"/>
  <c r="I8" i="90"/>
  <c r="R52" i="90"/>
  <c r="R14" i="90"/>
  <c r="O51" i="90"/>
  <c r="O13" i="90"/>
  <c r="C51" i="90"/>
  <c r="C13" i="90"/>
  <c r="I62" i="90"/>
  <c r="I24" i="90"/>
  <c r="G62" i="90"/>
  <c r="G24" i="90"/>
  <c r="Q55" i="90"/>
  <c r="Q17" i="90"/>
  <c r="S54" i="90"/>
  <c r="S16" i="90"/>
  <c r="F54" i="90"/>
  <c r="F16" i="90"/>
  <c r="N55" i="90"/>
  <c r="N17" i="90"/>
  <c r="B46" i="90"/>
  <c r="B8" i="90"/>
  <c r="O54" i="90"/>
  <c r="O16" i="90"/>
  <c r="J55" i="90"/>
  <c r="J17" i="90"/>
  <c r="M46" i="90"/>
  <c r="M8" i="90"/>
  <c r="E46" i="90"/>
  <c r="E8" i="90"/>
  <c r="S51" i="90"/>
  <c r="S13" i="90"/>
  <c r="S70" i="90"/>
  <c r="S32" i="90"/>
  <c r="I55" i="90"/>
  <c r="I17" i="90"/>
  <c r="S50" i="90"/>
  <c r="S12" i="90"/>
  <c r="M62" i="90"/>
  <c r="M24" i="90"/>
  <c r="G54" i="90"/>
  <c r="G16" i="90"/>
  <c r="Q51" i="90"/>
  <c r="Q13" i="90"/>
  <c r="N51" i="90"/>
  <c r="N13" i="90"/>
  <c r="R51" i="90"/>
  <c r="R13" i="90"/>
  <c r="F51" i="90"/>
  <c r="F13" i="90"/>
  <c r="C52" i="90"/>
  <c r="C14" i="90"/>
  <c r="R70" i="90"/>
  <c r="R32" i="90"/>
  <c r="F62" i="90"/>
  <c r="F24" i="90"/>
  <c r="R55" i="90"/>
  <c r="R17" i="90"/>
  <c r="O55" i="90"/>
  <c r="O17" i="90"/>
  <c r="N66" i="90"/>
  <c r="N28" i="90"/>
  <c r="L62" i="90"/>
  <c r="L24" i="90"/>
  <c r="G55" i="90"/>
  <c r="G17" i="90"/>
  <c r="N62" i="90"/>
  <c r="N24" i="90"/>
  <c r="O46" i="90"/>
  <c r="O8" i="90"/>
  <c r="G46" i="90"/>
  <c r="G8" i="90"/>
  <c r="L66" i="90"/>
  <c r="L28" i="90"/>
  <c r="O38" i="62"/>
  <c r="O38" i="96" s="1"/>
  <c r="L18" i="59"/>
  <c r="J36" i="96"/>
  <c r="F38" i="62"/>
  <c r="O69" i="61"/>
  <c r="K69" i="61"/>
  <c r="S69" i="61"/>
  <c r="R34" i="96"/>
  <c r="R38" i="68"/>
  <c r="S37" i="77"/>
  <c r="S37" i="99" s="1"/>
  <c r="S34" i="99"/>
  <c r="S36" i="98"/>
  <c r="L18" i="96"/>
  <c r="D13" i="95" s="1"/>
  <c r="T34" i="99"/>
  <c r="G37" i="59"/>
  <c r="O38" i="65"/>
  <c r="Q61" i="61"/>
  <c r="J69" i="61"/>
  <c r="I84" i="65"/>
  <c r="N37" i="77"/>
  <c r="N37" i="99" s="1"/>
  <c r="N36" i="99"/>
  <c r="M38" i="68"/>
  <c r="Q37" i="55"/>
  <c r="L36" i="96"/>
  <c r="K37" i="62"/>
  <c r="K36" i="96"/>
  <c r="Q38" i="77"/>
  <c r="Q38" i="99" s="1"/>
  <c r="Q36" i="99"/>
  <c r="T36" i="96"/>
  <c r="L34" i="96"/>
  <c r="F61" i="61"/>
  <c r="O61" i="61"/>
  <c r="T37" i="73"/>
  <c r="T34" i="98"/>
  <c r="K61" i="61"/>
  <c r="L47" i="72"/>
  <c r="H37" i="98"/>
  <c r="R37" i="55"/>
  <c r="J38" i="63"/>
  <c r="H34" i="98"/>
  <c r="H34" i="96"/>
  <c r="J34" i="98"/>
  <c r="L34" i="99"/>
  <c r="N61" i="61"/>
  <c r="S38" i="68"/>
  <c r="M61" i="61"/>
  <c r="R48" i="61"/>
  <c r="F38" i="73"/>
  <c r="T38" i="64"/>
  <c r="R34" i="98"/>
  <c r="Q36" i="98"/>
  <c r="O37" i="62"/>
  <c r="O37" i="96" s="1"/>
  <c r="O34" i="96"/>
  <c r="I47" i="72"/>
  <c r="H52" i="56"/>
  <c r="P61" i="61"/>
  <c r="P48" i="61"/>
  <c r="G38" i="73"/>
  <c r="R37" i="77"/>
  <c r="R37" i="99" s="1"/>
  <c r="R34" i="99"/>
  <c r="F39" i="77"/>
  <c r="F34" i="98"/>
  <c r="M34" i="98"/>
  <c r="L37" i="77"/>
  <c r="L37" i="99" s="1"/>
  <c r="K36" i="97"/>
  <c r="P34" i="99"/>
  <c r="S47" i="72"/>
  <c r="L34" i="98"/>
  <c r="T69" i="61"/>
  <c r="G38" i="77"/>
  <c r="G38" i="99" s="1"/>
  <c r="L19" i="77"/>
  <c r="F36" i="99"/>
  <c r="T84" i="71"/>
  <c r="K34" i="98"/>
  <c r="H37" i="77"/>
  <c r="H37" i="99" s="1"/>
  <c r="H36" i="99"/>
  <c r="K34" i="96"/>
  <c r="R37" i="59"/>
  <c r="F37" i="96"/>
  <c r="H61" i="61"/>
  <c r="G61" i="61"/>
  <c r="O37" i="72"/>
  <c r="F34" i="99"/>
  <c r="L18" i="99" s="1"/>
  <c r="D26" i="95" s="1"/>
  <c r="T38" i="59"/>
  <c r="L38" i="59"/>
  <c r="S61" i="61"/>
  <c r="M69" i="61"/>
  <c r="N34" i="99"/>
  <c r="L19" i="67"/>
  <c r="H36" i="97"/>
  <c r="P38" i="63"/>
  <c r="I37" i="72"/>
  <c r="S38" i="77"/>
  <c r="S38" i="99" s="1"/>
  <c r="I34" i="98"/>
  <c r="K36" i="98"/>
  <c r="J37" i="73"/>
  <c r="J37" i="98" s="1"/>
  <c r="J36" i="98"/>
  <c r="L19" i="98" s="1"/>
  <c r="N34" i="98"/>
  <c r="K34" i="99"/>
  <c r="S36" i="97"/>
  <c r="O34" i="99"/>
  <c r="P40" i="77"/>
  <c r="T34" i="96"/>
  <c r="L19" i="97"/>
  <c r="H38" i="73"/>
  <c r="H38" i="98" s="1"/>
  <c r="L48" i="61"/>
  <c r="N69" i="61"/>
  <c r="R61" i="61"/>
  <c r="I61" i="61"/>
  <c r="R53" i="65"/>
  <c r="P69" i="61"/>
  <c r="R38" i="77"/>
  <c r="R38" i="99" s="1"/>
  <c r="I37" i="77"/>
  <c r="I37" i="99" s="1"/>
  <c r="I38" i="68"/>
  <c r="J37" i="61"/>
  <c r="S38" i="73"/>
  <c r="S34" i="98"/>
  <c r="P34" i="98"/>
  <c r="O34" i="98"/>
  <c r="I38" i="77"/>
  <c r="I38" i="99" s="1"/>
  <c r="R37" i="62"/>
  <c r="R37" i="96" s="1"/>
  <c r="R36" i="96"/>
  <c r="N34" i="96"/>
  <c r="T38" i="73"/>
  <c r="L36" i="98"/>
  <c r="R37" i="64"/>
  <c r="F36" i="96"/>
  <c r="L19" i="96" s="1"/>
  <c r="I37" i="68"/>
  <c r="J61" i="61"/>
  <c r="H37" i="59"/>
  <c r="P36" i="96"/>
  <c r="N48" i="64"/>
  <c r="T37" i="64"/>
  <c r="O37" i="73"/>
  <c r="I38" i="73"/>
  <c r="S40" i="77"/>
  <c r="H38" i="63"/>
  <c r="S37" i="98"/>
  <c r="G34" i="98"/>
  <c r="Q38" i="62"/>
  <c r="Q36" i="96"/>
  <c r="M34" i="99"/>
  <c r="S36" i="96"/>
  <c r="N36" i="97"/>
  <c r="F49" i="69"/>
  <c r="O49" i="69"/>
  <c r="T49" i="69"/>
  <c r="H49" i="69"/>
  <c r="I49" i="69"/>
  <c r="S49" i="69"/>
  <c r="L49" i="69"/>
  <c r="H48" i="61"/>
  <c r="M84" i="75"/>
  <c r="L64" i="66"/>
  <c r="S84" i="75"/>
  <c r="L84" i="75"/>
  <c r="K84" i="75"/>
  <c r="N67" i="65"/>
  <c r="N69" i="75"/>
  <c r="Q61" i="71"/>
  <c r="I67" i="65"/>
  <c r="J48" i="61"/>
  <c r="Q48" i="61"/>
  <c r="K53" i="65"/>
  <c r="J67" i="65"/>
  <c r="M53" i="65"/>
  <c r="L53" i="65"/>
  <c r="S67" i="65"/>
  <c r="H53" i="65"/>
  <c r="P53" i="65"/>
  <c r="J53" i="65"/>
  <c r="T67" i="65"/>
  <c r="I53" i="65"/>
  <c r="G53" i="65"/>
  <c r="O53" i="65"/>
  <c r="S53" i="65"/>
  <c r="O67" i="65"/>
  <c r="T53" i="65"/>
  <c r="F53" i="65"/>
  <c r="N53" i="65"/>
  <c r="N49" i="69"/>
  <c r="M49" i="69"/>
  <c r="K49" i="69"/>
  <c r="O48" i="64"/>
  <c r="Q67" i="65"/>
  <c r="P49" i="69"/>
  <c r="R67" i="65"/>
  <c r="T47" i="72"/>
  <c r="O64" i="66"/>
  <c r="F67" i="65"/>
  <c r="Q64" i="66"/>
  <c r="N64" i="66"/>
  <c r="K64" i="66"/>
  <c r="L84" i="71"/>
  <c r="I84" i="71"/>
  <c r="T65" i="58"/>
  <c r="O56" i="63"/>
  <c r="F56" i="63"/>
  <c r="S56" i="63"/>
  <c r="P56" i="63"/>
  <c r="H47" i="72"/>
  <c r="H56" i="63"/>
  <c r="M56" i="64"/>
  <c r="I56" i="63"/>
  <c r="L56" i="64"/>
  <c r="K84" i="61"/>
  <c r="Q56" i="64"/>
  <c r="J56" i="63"/>
  <c r="N47" i="64"/>
  <c r="Q47" i="64"/>
  <c r="I84" i="61"/>
  <c r="I39" i="61" s="1"/>
  <c r="G56" i="63"/>
  <c r="T84" i="61"/>
  <c r="T39" i="61" s="1"/>
  <c r="K56" i="63"/>
  <c r="N56" i="63"/>
  <c r="L47" i="64"/>
  <c r="Q56" i="63"/>
  <c r="F47" i="64"/>
  <c r="H84" i="61"/>
  <c r="G47" i="64"/>
  <c r="S84" i="61"/>
  <c r="J56" i="64"/>
  <c r="M56" i="63"/>
  <c r="Q69" i="72"/>
  <c r="R69" i="72"/>
  <c r="F84" i="61"/>
  <c r="S69" i="72"/>
  <c r="T69" i="72"/>
  <c r="I69" i="72"/>
  <c r="P84" i="61"/>
  <c r="J69" i="72"/>
  <c r="K69" i="72"/>
  <c r="G84" i="61"/>
  <c r="G39" i="61" s="1"/>
  <c r="G40" i="61" s="1"/>
  <c r="R84" i="61"/>
  <c r="R39" i="61" s="1"/>
  <c r="N69" i="72"/>
  <c r="Q84" i="61"/>
  <c r="Q39" i="61" s="1"/>
  <c r="M69" i="72"/>
  <c r="F69" i="72"/>
  <c r="O69" i="72"/>
  <c r="M84" i="61"/>
  <c r="M39" i="61" s="1"/>
  <c r="L67" i="58"/>
  <c r="L69" i="72"/>
  <c r="P69" i="72"/>
  <c r="L84" i="61"/>
  <c r="L39" i="61" s="1"/>
  <c r="L40" i="61" s="1"/>
  <c r="T84" i="75"/>
  <c r="O56" i="97"/>
  <c r="S56" i="97"/>
  <c r="G56" i="97"/>
  <c r="K56" i="97"/>
  <c r="J56" i="97"/>
  <c r="I56" i="97"/>
  <c r="Q56" i="97"/>
  <c r="M56" i="97"/>
  <c r="P56" i="97"/>
  <c r="N56" i="97"/>
  <c r="R56" i="97"/>
  <c r="F56" i="97"/>
  <c r="L56" i="97"/>
  <c r="T56" i="97"/>
  <c r="H56" i="97"/>
  <c r="T56" i="99"/>
  <c r="L56" i="99"/>
  <c r="H56" i="99"/>
  <c r="K56" i="99"/>
  <c r="S56" i="99"/>
  <c r="G56" i="99"/>
  <c r="P56" i="99"/>
  <c r="J56" i="99"/>
  <c r="R56" i="99"/>
  <c r="F56" i="99"/>
  <c r="Q56" i="99"/>
  <c r="O56" i="99"/>
  <c r="N56" i="99"/>
  <c r="I56" i="99"/>
  <c r="M56" i="99"/>
  <c r="J68" i="67"/>
  <c r="M56" i="98"/>
  <c r="L56" i="98"/>
  <c r="Q56" i="98"/>
  <c r="G56" i="98"/>
  <c r="K56" i="98"/>
  <c r="R56" i="98"/>
  <c r="H56" i="98"/>
  <c r="O56" i="98"/>
  <c r="S56" i="98"/>
  <c r="J56" i="98"/>
  <c r="N56" i="98"/>
  <c r="I56" i="98"/>
  <c r="P56" i="98"/>
  <c r="T56" i="98"/>
  <c r="F56" i="98"/>
  <c r="K68" i="67"/>
  <c r="T56" i="96"/>
  <c r="I56" i="96"/>
  <c r="G56" i="96"/>
  <c r="F56" i="96"/>
  <c r="J56" i="96"/>
  <c r="Q56" i="96"/>
  <c r="S56" i="96"/>
  <c r="P56" i="96"/>
  <c r="N56" i="96"/>
  <c r="M56" i="96"/>
  <c r="R56" i="96"/>
  <c r="H56" i="96"/>
  <c r="O56" i="96"/>
  <c r="L56" i="96"/>
  <c r="K56" i="96"/>
  <c r="J84" i="75"/>
  <c r="J84" i="55"/>
  <c r="J84" i="61"/>
  <c r="J39" i="61" s="1"/>
  <c r="J40" i="61" s="1"/>
  <c r="O84" i="61"/>
  <c r="O39" i="61" s="1"/>
  <c r="O40" i="61" s="1"/>
  <c r="R64" i="65"/>
  <c r="S64" i="65"/>
  <c r="G67" i="65"/>
  <c r="M49" i="65"/>
  <c r="O84" i="55"/>
  <c r="N84" i="75"/>
  <c r="O47" i="67"/>
  <c r="N84" i="55"/>
  <c r="L84" i="55"/>
  <c r="K47" i="67"/>
  <c r="K40" i="77"/>
  <c r="Q48" i="65"/>
  <c r="I84" i="55"/>
  <c r="M48" i="65"/>
  <c r="H84" i="55"/>
  <c r="P48" i="65"/>
  <c r="G84" i="55"/>
  <c r="K84" i="55"/>
  <c r="R84" i="55"/>
  <c r="T84" i="55"/>
  <c r="F84" i="55"/>
  <c r="S84" i="55"/>
  <c r="Q84" i="55"/>
  <c r="G52" i="56"/>
  <c r="G56" i="64"/>
  <c r="M84" i="55"/>
  <c r="R84" i="75"/>
  <c r="N60" i="78"/>
  <c r="L68" i="56"/>
  <c r="L60" i="64"/>
  <c r="S60" i="64"/>
  <c r="G64" i="58"/>
  <c r="F48" i="65"/>
  <c r="Q84" i="75"/>
  <c r="L48" i="71"/>
  <c r="T54" i="58"/>
  <c r="O48" i="71"/>
  <c r="R64" i="66"/>
  <c r="P64" i="66"/>
  <c r="T64" i="66"/>
  <c r="G64" i="66"/>
  <c r="J64" i="66"/>
  <c r="F64" i="78"/>
  <c r="H53" i="58"/>
  <c r="S53" i="58"/>
  <c r="P52" i="79"/>
  <c r="R54" i="61"/>
  <c r="G84" i="71"/>
  <c r="P84" i="75"/>
  <c r="S52" i="66"/>
  <c r="P52" i="66"/>
  <c r="H52" i="66"/>
  <c r="P54" i="61"/>
  <c r="I52" i="79"/>
  <c r="M52" i="66"/>
  <c r="K54" i="99"/>
  <c r="N54" i="99"/>
  <c r="J54" i="99"/>
  <c r="O54" i="99"/>
  <c r="Q54" i="99"/>
  <c r="H54" i="99"/>
  <c r="R54" i="99"/>
  <c r="P54" i="99"/>
  <c r="G54" i="99"/>
  <c r="S54" i="99"/>
  <c r="L54" i="99"/>
  <c r="I54" i="99"/>
  <c r="F54" i="99"/>
  <c r="M54" i="99"/>
  <c r="T54" i="99"/>
  <c r="L52" i="66"/>
  <c r="F54" i="97"/>
  <c r="J54" i="97"/>
  <c r="Q54" i="97"/>
  <c r="P54" i="97"/>
  <c r="H54" i="97"/>
  <c r="O54" i="97"/>
  <c r="I54" i="97"/>
  <c r="M54" i="97"/>
  <c r="K54" i="97"/>
  <c r="R54" i="97"/>
  <c r="T54" i="97"/>
  <c r="N54" i="97"/>
  <c r="G54" i="97"/>
  <c r="S54" i="97"/>
  <c r="L54" i="97"/>
  <c r="K52" i="66"/>
  <c r="F55" i="64"/>
  <c r="R64" i="78"/>
  <c r="I52" i="66"/>
  <c r="T54" i="98"/>
  <c r="L54" i="98"/>
  <c r="N54" i="98"/>
  <c r="K54" i="98"/>
  <c r="I54" i="98"/>
  <c r="S54" i="98"/>
  <c r="M54" i="98"/>
  <c r="G54" i="98"/>
  <c r="J54" i="98"/>
  <c r="P54" i="98"/>
  <c r="H54" i="98"/>
  <c r="O54" i="98"/>
  <c r="R54" i="98"/>
  <c r="F54" i="98"/>
  <c r="Q54" i="98"/>
  <c r="T52" i="66"/>
  <c r="R55" i="64"/>
  <c r="O54" i="61"/>
  <c r="O54" i="96"/>
  <c r="G54" i="96"/>
  <c r="T54" i="96"/>
  <c r="L54" i="96"/>
  <c r="N54" i="96"/>
  <c r="M54" i="96"/>
  <c r="I54" i="96"/>
  <c r="K54" i="96"/>
  <c r="H54" i="96"/>
  <c r="J54" i="96"/>
  <c r="P54" i="96"/>
  <c r="S54" i="96"/>
  <c r="F54" i="96"/>
  <c r="R54" i="96"/>
  <c r="Q54" i="96"/>
  <c r="N52" i="66"/>
  <c r="G47" i="78"/>
  <c r="O52" i="66"/>
  <c r="R56" i="63"/>
  <c r="F52" i="66"/>
  <c r="T56" i="63"/>
  <c r="M48" i="71"/>
  <c r="Q67" i="58"/>
  <c r="H64" i="66"/>
  <c r="G54" i="61"/>
  <c r="M40" i="77"/>
  <c r="M65" i="58"/>
  <c r="J67" i="58"/>
  <c r="M64" i="66"/>
  <c r="I54" i="65"/>
  <c r="I54" i="61"/>
  <c r="N40" i="77"/>
  <c r="F54" i="61"/>
  <c r="O40" i="62"/>
  <c r="K48" i="65"/>
  <c r="S64" i="66"/>
  <c r="L54" i="61"/>
  <c r="H54" i="61"/>
  <c r="R48" i="71"/>
  <c r="O53" i="61"/>
  <c r="L48" i="65"/>
  <c r="I64" i="66"/>
  <c r="G48" i="71"/>
  <c r="G82" i="72"/>
  <c r="G39" i="72" s="1"/>
  <c r="S82" i="72"/>
  <c r="S39" i="72" s="1"/>
  <c r="H82" i="72"/>
  <c r="H39" i="72" s="1"/>
  <c r="H40" i="72" s="1"/>
  <c r="T82" i="72"/>
  <c r="I82" i="72"/>
  <c r="I39" i="72" s="1"/>
  <c r="I40" i="72" s="1"/>
  <c r="F82" i="72"/>
  <c r="L82" i="72"/>
  <c r="L39" i="72" s="1"/>
  <c r="L40" i="72" s="1"/>
  <c r="M82" i="72"/>
  <c r="M39" i="72" s="1"/>
  <c r="M40" i="72" s="1"/>
  <c r="N82" i="72"/>
  <c r="N39" i="72" s="1"/>
  <c r="R82" i="72"/>
  <c r="R39" i="72" s="1"/>
  <c r="O82" i="72"/>
  <c r="O39" i="72" s="1"/>
  <c r="O40" i="72" s="1"/>
  <c r="P82" i="72"/>
  <c r="P39" i="72" s="1"/>
  <c r="Q82" i="72"/>
  <c r="Q39" i="72" s="1"/>
  <c r="J82" i="72"/>
  <c r="J39" i="72" s="1"/>
  <c r="K82" i="72"/>
  <c r="K39" i="72" s="1"/>
  <c r="T39" i="72"/>
  <c r="O64" i="78"/>
  <c r="L64" i="78"/>
  <c r="P60" i="78"/>
  <c r="S60" i="78"/>
  <c r="N53" i="58"/>
  <c r="I67" i="58"/>
  <c r="K67" i="61"/>
  <c r="O60" i="78"/>
  <c r="J84" i="71"/>
  <c r="G56" i="81"/>
  <c r="H56" i="81"/>
  <c r="K56" i="81"/>
  <c r="M56" i="81"/>
  <c r="J56" i="81"/>
  <c r="N56" i="81"/>
  <c r="T56" i="81"/>
  <c r="F56" i="81"/>
  <c r="L56" i="81"/>
  <c r="Q56" i="81"/>
  <c r="O56" i="81"/>
  <c r="S56" i="81"/>
  <c r="P56" i="81"/>
  <c r="R56" i="81"/>
  <c r="I56" i="81"/>
  <c r="S67" i="58"/>
  <c r="P47" i="79"/>
  <c r="R60" i="78"/>
  <c r="N84" i="71"/>
  <c r="G60" i="78"/>
  <c r="S84" i="71"/>
  <c r="M84" i="71"/>
  <c r="J56" i="83"/>
  <c r="K56" i="83"/>
  <c r="G56" i="83"/>
  <c r="M56" i="83"/>
  <c r="R56" i="83"/>
  <c r="L56" i="83"/>
  <c r="Q56" i="83"/>
  <c r="P56" i="83"/>
  <c r="N56" i="83"/>
  <c r="O56" i="83"/>
  <c r="I56" i="83"/>
  <c r="F56" i="83"/>
  <c r="T56" i="83"/>
  <c r="H56" i="83"/>
  <c r="S56" i="83"/>
  <c r="P56" i="84"/>
  <c r="R56" i="84"/>
  <c r="M56" i="84"/>
  <c r="O56" i="84"/>
  <c r="F56" i="84"/>
  <c r="N56" i="84"/>
  <c r="G56" i="84"/>
  <c r="L56" i="84"/>
  <c r="K56" i="84"/>
  <c r="I56" i="84"/>
  <c r="J56" i="84"/>
  <c r="Q56" i="84"/>
  <c r="T56" i="84"/>
  <c r="H56" i="84"/>
  <c r="S56" i="84"/>
  <c r="T47" i="79"/>
  <c r="Q84" i="71"/>
  <c r="H84" i="71"/>
  <c r="H60" i="78"/>
  <c r="Q69" i="75"/>
  <c r="I65" i="58"/>
  <c r="O67" i="61"/>
  <c r="K47" i="79"/>
  <c r="T60" i="78"/>
  <c r="R69" i="75"/>
  <c r="P84" i="71"/>
  <c r="N84" i="83"/>
  <c r="G84" i="83"/>
  <c r="O84" i="83"/>
  <c r="S84" i="83"/>
  <c r="P84" i="83"/>
  <c r="I84" i="83"/>
  <c r="R84" i="83"/>
  <c r="J84" i="83"/>
  <c r="H84" i="83"/>
  <c r="T84" i="83"/>
  <c r="F84" i="83"/>
  <c r="K84" i="83"/>
  <c r="Q84" i="83"/>
  <c r="L84" i="83"/>
  <c r="M84" i="83"/>
  <c r="R67" i="61"/>
  <c r="N64" i="65"/>
  <c r="G54" i="66"/>
  <c r="J47" i="79"/>
  <c r="S47" i="79"/>
  <c r="S47" i="78"/>
  <c r="P47" i="78"/>
  <c r="K60" i="78"/>
  <c r="I60" i="78"/>
  <c r="G69" i="75"/>
  <c r="H48" i="71"/>
  <c r="F84" i="71"/>
  <c r="S56" i="88"/>
  <c r="O56" i="88"/>
  <c r="P56" i="88"/>
  <c r="K56" i="88"/>
  <c r="I56" i="88"/>
  <c r="F56" i="88"/>
  <c r="R56" i="88"/>
  <c r="T56" i="88"/>
  <c r="H56" i="88"/>
  <c r="G56" i="88"/>
  <c r="N56" i="88"/>
  <c r="M56" i="88"/>
  <c r="J56" i="88"/>
  <c r="L56" i="88"/>
  <c r="Q56" i="88"/>
  <c r="J65" i="58"/>
  <c r="G47" i="79"/>
  <c r="L60" i="78"/>
  <c r="R84" i="71"/>
  <c r="T56" i="87"/>
  <c r="N56" i="87"/>
  <c r="Q56" i="87"/>
  <c r="H56" i="87"/>
  <c r="P56" i="87"/>
  <c r="S56" i="87"/>
  <c r="O56" i="87"/>
  <c r="G56" i="87"/>
  <c r="M56" i="87"/>
  <c r="L56" i="87"/>
  <c r="R56" i="87"/>
  <c r="J56" i="87"/>
  <c r="I56" i="87"/>
  <c r="K56" i="87"/>
  <c r="F56" i="87"/>
  <c r="R52" i="79"/>
  <c r="M60" i="78"/>
  <c r="K84" i="71"/>
  <c r="R53" i="58"/>
  <c r="T53" i="58"/>
  <c r="L64" i="65"/>
  <c r="R47" i="79"/>
  <c r="Q60" i="78"/>
  <c r="S48" i="71"/>
  <c r="T68" i="58"/>
  <c r="T47" i="67"/>
  <c r="G39" i="59"/>
  <c r="G40" i="59" s="1"/>
  <c r="F38" i="59"/>
  <c r="J47" i="67"/>
  <c r="J48" i="65"/>
  <c r="M52" i="79"/>
  <c r="J52" i="79"/>
  <c r="H52" i="79"/>
  <c r="G47" i="72"/>
  <c r="J38" i="59"/>
  <c r="T37" i="68"/>
  <c r="L47" i="67"/>
  <c r="R38" i="62"/>
  <c r="R38" i="96" s="1"/>
  <c r="S52" i="79"/>
  <c r="Q52" i="79"/>
  <c r="S37" i="72"/>
  <c r="P37" i="68"/>
  <c r="R47" i="67"/>
  <c r="N37" i="62"/>
  <c r="N37" i="96" s="1"/>
  <c r="K60" i="56"/>
  <c r="S60" i="56"/>
  <c r="G47" i="67"/>
  <c r="G48" i="65"/>
  <c r="P69" i="66"/>
  <c r="H64" i="78"/>
  <c r="J47" i="72"/>
  <c r="T40" i="62"/>
  <c r="M47" i="67"/>
  <c r="P47" i="67"/>
  <c r="G52" i="79"/>
  <c r="N47" i="67"/>
  <c r="G47" i="66"/>
  <c r="S48" i="65"/>
  <c r="L52" i="79"/>
  <c r="J64" i="78"/>
  <c r="K47" i="72"/>
  <c r="P38" i="79"/>
  <c r="F52" i="79"/>
  <c r="M47" i="72"/>
  <c r="P38" i="72"/>
  <c r="Q37" i="79"/>
  <c r="J38" i="79"/>
  <c r="Q47" i="67"/>
  <c r="N38" i="68"/>
  <c r="H47" i="67"/>
  <c r="N48" i="65"/>
  <c r="P47" i="72"/>
  <c r="O47" i="72"/>
  <c r="N47" i="72"/>
  <c r="L19" i="79"/>
  <c r="K52" i="79"/>
  <c r="I64" i="65"/>
  <c r="R47" i="72"/>
  <c r="H38" i="77"/>
  <c r="H38" i="99" s="1"/>
  <c r="H64" i="58"/>
  <c r="Q67" i="66"/>
  <c r="O67" i="66"/>
  <c r="G67" i="75"/>
  <c r="P69" i="71"/>
  <c r="H68" i="69"/>
  <c r="H67" i="66"/>
  <c r="H69" i="71"/>
  <c r="I68" i="69"/>
  <c r="M67" i="66"/>
  <c r="P68" i="69"/>
  <c r="Q49" i="66"/>
  <c r="N67" i="66"/>
  <c r="H67" i="65"/>
  <c r="Q68" i="69"/>
  <c r="L67" i="66"/>
  <c r="J64" i="58"/>
  <c r="G47" i="56"/>
  <c r="O67" i="58"/>
  <c r="G49" i="66"/>
  <c r="P67" i="66"/>
  <c r="K49" i="66"/>
  <c r="T67" i="66"/>
  <c r="F67" i="66"/>
  <c r="G67" i="66"/>
  <c r="M67" i="65"/>
  <c r="T48" i="71"/>
  <c r="H67" i="75"/>
  <c r="S67" i="66"/>
  <c r="R56" i="64"/>
  <c r="S67" i="61"/>
  <c r="F39" i="62"/>
  <c r="L21" i="62" s="1"/>
  <c r="L64" i="58"/>
  <c r="Q67" i="61"/>
  <c r="T56" i="64"/>
  <c r="H56" i="64"/>
  <c r="F48" i="71"/>
  <c r="N48" i="71"/>
  <c r="P49" i="66"/>
  <c r="I67" i="61"/>
  <c r="K56" i="64"/>
  <c r="H47" i="79"/>
  <c r="Q48" i="71"/>
  <c r="P48" i="71"/>
  <c r="J67" i="61"/>
  <c r="R49" i="66"/>
  <c r="S56" i="64"/>
  <c r="L49" i="66"/>
  <c r="M49" i="66"/>
  <c r="P67" i="61"/>
  <c r="G67" i="61"/>
  <c r="F67" i="61"/>
  <c r="I56" i="64"/>
  <c r="L47" i="79"/>
  <c r="Q47" i="79"/>
  <c r="I48" i="71"/>
  <c r="O68" i="69"/>
  <c r="H39" i="59"/>
  <c r="H40" i="59" s="1"/>
  <c r="O47" i="79"/>
  <c r="N47" i="79"/>
  <c r="N56" i="64"/>
  <c r="O56" i="64"/>
  <c r="H52" i="75"/>
  <c r="J48" i="71"/>
  <c r="P56" i="64"/>
  <c r="F60" i="78"/>
  <c r="R65" i="70"/>
  <c r="S65" i="70"/>
  <c r="F65" i="70"/>
  <c r="G65" i="70"/>
  <c r="H65" i="70"/>
  <c r="J65" i="70"/>
  <c r="I65" i="70"/>
  <c r="M65" i="70"/>
  <c r="N65" i="70"/>
  <c r="O65" i="70"/>
  <c r="Q38" i="55"/>
  <c r="K37" i="55"/>
  <c r="S69" i="54"/>
  <c r="T69" i="54"/>
  <c r="G39" i="77"/>
  <c r="G40" i="77" s="1"/>
  <c r="K40" i="62"/>
  <c r="G82" i="55"/>
  <c r="T54" i="60"/>
  <c r="F54" i="60"/>
  <c r="L54" i="60"/>
  <c r="S54" i="61"/>
  <c r="J54" i="60"/>
  <c r="M54" i="60"/>
  <c r="K54" i="60"/>
  <c r="Q40" i="77"/>
  <c r="Q40" i="62"/>
  <c r="P54" i="60"/>
  <c r="M54" i="61"/>
  <c r="J54" i="87"/>
  <c r="I54" i="87"/>
  <c r="O54" i="87"/>
  <c r="H54" i="87"/>
  <c r="T54" i="87"/>
  <c r="G54" i="87"/>
  <c r="F54" i="87"/>
  <c r="R54" i="87"/>
  <c r="L54" i="87"/>
  <c r="K54" i="87"/>
  <c r="Q54" i="87"/>
  <c r="P54" i="87"/>
  <c r="S54" i="87"/>
  <c r="M54" i="87"/>
  <c r="N54" i="87"/>
  <c r="Q54" i="88"/>
  <c r="N54" i="88"/>
  <c r="L54" i="88"/>
  <c r="P54" i="88"/>
  <c r="M54" i="88"/>
  <c r="T54" i="88"/>
  <c r="S54" i="88"/>
  <c r="J54" i="88"/>
  <c r="O54" i="88"/>
  <c r="H54" i="88"/>
  <c r="G54" i="88"/>
  <c r="R54" i="88"/>
  <c r="F54" i="88"/>
  <c r="K54" i="88"/>
  <c r="I54" i="88"/>
  <c r="R54" i="81"/>
  <c r="S54" i="81"/>
  <c r="L54" i="81"/>
  <c r="F54" i="81"/>
  <c r="H54" i="81"/>
  <c r="J54" i="81"/>
  <c r="I54" i="81"/>
  <c r="M54" i="81"/>
  <c r="Q54" i="81"/>
  <c r="N54" i="81"/>
  <c r="O54" i="81"/>
  <c r="T54" i="81"/>
  <c r="P54" i="81"/>
  <c r="K54" i="81"/>
  <c r="G54" i="81"/>
  <c r="M54" i="84"/>
  <c r="Q54" i="84"/>
  <c r="H54" i="84"/>
  <c r="T54" i="84"/>
  <c r="I54" i="84"/>
  <c r="N54" i="84"/>
  <c r="P54" i="84"/>
  <c r="K54" i="84"/>
  <c r="O54" i="84"/>
  <c r="F54" i="84"/>
  <c r="G54" i="84"/>
  <c r="R54" i="84"/>
  <c r="S54" i="84"/>
  <c r="L54" i="84"/>
  <c r="J54" i="84"/>
  <c r="I40" i="62"/>
  <c r="M54" i="65"/>
  <c r="G54" i="65"/>
  <c r="T54" i="83"/>
  <c r="I54" i="83"/>
  <c r="S54" i="83"/>
  <c r="R54" i="83"/>
  <c r="M54" i="83"/>
  <c r="J54" i="83"/>
  <c r="O54" i="83"/>
  <c r="F54" i="83"/>
  <c r="G54" i="83"/>
  <c r="H54" i="83"/>
  <c r="K54" i="83"/>
  <c r="P54" i="83"/>
  <c r="Q54" i="83"/>
  <c r="L54" i="83"/>
  <c r="N54" i="83"/>
  <c r="S54" i="65"/>
  <c r="L40" i="62"/>
  <c r="J47" i="56"/>
  <c r="T67" i="58"/>
  <c r="O47" i="56"/>
  <c r="T47" i="56"/>
  <c r="F64" i="58"/>
  <c r="J52" i="67"/>
  <c r="M56" i="65"/>
  <c r="R64" i="58"/>
  <c r="R67" i="58"/>
  <c r="H49" i="66"/>
  <c r="R54" i="65"/>
  <c r="O49" i="61"/>
  <c r="K47" i="64"/>
  <c r="T64" i="65"/>
  <c r="J47" i="64"/>
  <c r="T40" i="77"/>
  <c r="Q64" i="78"/>
  <c r="R69" i="71"/>
  <c r="O69" i="71"/>
  <c r="T60" i="70"/>
  <c r="M37" i="65"/>
  <c r="I49" i="61"/>
  <c r="T56" i="65"/>
  <c r="O56" i="65"/>
  <c r="P37" i="55"/>
  <c r="M64" i="58"/>
  <c r="G67" i="58"/>
  <c r="M67" i="58"/>
  <c r="S49" i="66"/>
  <c r="H54" i="65"/>
  <c r="Q64" i="65"/>
  <c r="O64" i="65"/>
  <c r="I47" i="64"/>
  <c r="M49" i="61"/>
  <c r="T47" i="64"/>
  <c r="G64" i="78"/>
  <c r="Q69" i="71"/>
  <c r="M37" i="55"/>
  <c r="Q38" i="79"/>
  <c r="P47" i="56"/>
  <c r="R47" i="56"/>
  <c r="N64" i="58"/>
  <c r="H67" i="58"/>
  <c r="N67" i="58"/>
  <c r="J49" i="66"/>
  <c r="T54" i="65"/>
  <c r="K64" i="65"/>
  <c r="H47" i="64"/>
  <c r="S64" i="78"/>
  <c r="G69" i="71"/>
  <c r="Q38" i="72"/>
  <c r="Q37" i="73"/>
  <c r="Q37" i="98" s="1"/>
  <c r="S69" i="71"/>
  <c r="P37" i="63"/>
  <c r="P37" i="73"/>
  <c r="J65" i="56"/>
  <c r="K67" i="58"/>
  <c r="J64" i="65"/>
  <c r="M47" i="64"/>
  <c r="T64" i="78"/>
  <c r="F69" i="71"/>
  <c r="I69" i="71"/>
  <c r="O40" i="77"/>
  <c r="Q56" i="65"/>
  <c r="L54" i="65"/>
  <c r="R49" i="61"/>
  <c r="K65" i="56"/>
  <c r="P67" i="58"/>
  <c r="I49" i="66"/>
  <c r="L18" i="62"/>
  <c r="R56" i="65"/>
  <c r="Q54" i="65"/>
  <c r="O54" i="65"/>
  <c r="S49" i="61"/>
  <c r="F64" i="65"/>
  <c r="P47" i="64"/>
  <c r="I64" i="78"/>
  <c r="J69" i="71"/>
  <c r="H49" i="61"/>
  <c r="J39" i="59"/>
  <c r="H69" i="61"/>
  <c r="Q69" i="61"/>
  <c r="L69" i="61"/>
  <c r="T69" i="71"/>
  <c r="K69" i="71"/>
  <c r="L19" i="59"/>
  <c r="R40" i="62"/>
  <c r="K49" i="61"/>
  <c r="L39" i="68"/>
  <c r="O39" i="68"/>
  <c r="I39" i="59"/>
  <c r="I40" i="59" s="1"/>
  <c r="J38" i="61"/>
  <c r="K37" i="72"/>
  <c r="M48" i="61"/>
  <c r="T48" i="61"/>
  <c r="N48" i="61"/>
  <c r="K48" i="61"/>
  <c r="K56" i="65"/>
  <c r="N54" i="65"/>
  <c r="G64" i="65"/>
  <c r="R47" i="64"/>
  <c r="N64" i="78"/>
  <c r="K64" i="78"/>
  <c r="L69" i="71"/>
  <c r="L65" i="70"/>
  <c r="P82" i="55"/>
  <c r="M38" i="72"/>
  <c r="L49" i="61"/>
  <c r="R39" i="68"/>
  <c r="R40" i="68" s="1"/>
  <c r="P39" i="59"/>
  <c r="P40" i="59" s="1"/>
  <c r="T37" i="61"/>
  <c r="J54" i="65"/>
  <c r="M69" i="71"/>
  <c r="Q49" i="61"/>
  <c r="Q64" i="58"/>
  <c r="L19" i="61"/>
  <c r="O47" i="64"/>
  <c r="P49" i="61"/>
  <c r="P64" i="78"/>
  <c r="S60" i="70"/>
  <c r="T49" i="61"/>
  <c r="N39" i="59"/>
  <c r="T67" i="61"/>
  <c r="N67" i="61"/>
  <c r="M67" i="61"/>
  <c r="H39" i="61"/>
  <c r="I68" i="56"/>
  <c r="S49" i="70"/>
  <c r="H49" i="70"/>
  <c r="G49" i="70"/>
  <c r="K65" i="70"/>
  <c r="T65" i="70"/>
  <c r="P65" i="70"/>
  <c r="I60" i="70"/>
  <c r="L60" i="70"/>
  <c r="I49" i="70"/>
  <c r="M60" i="70"/>
  <c r="J49" i="70"/>
  <c r="F60" i="70"/>
  <c r="O60" i="70"/>
  <c r="T49" i="70"/>
  <c r="J60" i="70"/>
  <c r="R49" i="70"/>
  <c r="K49" i="70"/>
  <c r="K60" i="70"/>
  <c r="L49" i="70"/>
  <c r="P60" i="70"/>
  <c r="N49" i="70"/>
  <c r="Q60" i="70"/>
  <c r="Q49" i="70"/>
  <c r="O49" i="70"/>
  <c r="G60" i="70"/>
  <c r="P49" i="70"/>
  <c r="R60" i="70"/>
  <c r="F49" i="70"/>
  <c r="J52" i="75"/>
  <c r="O69" i="75"/>
  <c r="P69" i="75"/>
  <c r="F69" i="75"/>
  <c r="S69" i="75"/>
  <c r="G49" i="75"/>
  <c r="H69" i="75"/>
  <c r="I69" i="75"/>
  <c r="T69" i="75"/>
  <c r="K69" i="75"/>
  <c r="R52" i="75"/>
  <c r="M69" i="75"/>
  <c r="J69" i="75"/>
  <c r="Q47" i="75"/>
  <c r="I47" i="75"/>
  <c r="O67" i="75"/>
  <c r="J67" i="75"/>
  <c r="K47" i="75"/>
  <c r="H47" i="75"/>
  <c r="R55" i="75"/>
  <c r="O47" i="75"/>
  <c r="R47" i="75"/>
  <c r="M47" i="75"/>
  <c r="M67" i="75"/>
  <c r="N67" i="75"/>
  <c r="N47" i="75"/>
  <c r="S67" i="75"/>
  <c r="J47" i="75"/>
  <c r="S47" i="75"/>
  <c r="F47" i="75"/>
  <c r="G47" i="75"/>
  <c r="T47" i="75"/>
  <c r="P47" i="75"/>
  <c r="I67" i="75"/>
  <c r="M55" i="75"/>
  <c r="K68" i="75"/>
  <c r="G68" i="75"/>
  <c r="J55" i="75"/>
  <c r="Q46" i="71"/>
  <c r="M46" i="71"/>
  <c r="G46" i="71"/>
  <c r="R46" i="71"/>
  <c r="F46" i="71"/>
  <c r="O46" i="71"/>
  <c r="I46" i="71"/>
  <c r="P54" i="58"/>
  <c r="G54" i="58"/>
  <c r="K54" i="58"/>
  <c r="O54" i="58"/>
  <c r="I54" i="58"/>
  <c r="N54" i="58"/>
  <c r="H54" i="58"/>
  <c r="M54" i="58"/>
  <c r="L19" i="72"/>
  <c r="I52" i="78"/>
  <c r="P52" i="78"/>
  <c r="Q52" i="78"/>
  <c r="T52" i="78"/>
  <c r="H52" i="78"/>
  <c r="R52" i="78"/>
  <c r="F52" i="78"/>
  <c r="M52" i="78"/>
  <c r="S46" i="57"/>
  <c r="K46" i="57"/>
  <c r="G46" i="57"/>
  <c r="H46" i="57"/>
  <c r="I46" i="57"/>
  <c r="J46" i="57"/>
  <c r="R54" i="58"/>
  <c r="M47" i="66"/>
  <c r="G55" i="64"/>
  <c r="O82" i="55"/>
  <c r="P68" i="67"/>
  <c r="O68" i="67"/>
  <c r="M68" i="67"/>
  <c r="L68" i="67"/>
  <c r="T68" i="67"/>
  <c r="L46" i="70"/>
  <c r="N46" i="70"/>
  <c r="G46" i="70"/>
  <c r="M46" i="70"/>
  <c r="K46" i="70"/>
  <c r="J46" i="70"/>
  <c r="S46" i="70"/>
  <c r="T103" i="54"/>
  <c r="T36" i="54" s="1"/>
  <c r="H103" i="54"/>
  <c r="H36" i="54" s="1"/>
  <c r="Q103" i="54"/>
  <c r="Q36" i="54" s="1"/>
  <c r="S103" i="54"/>
  <c r="S36" i="54" s="1"/>
  <c r="G103" i="54"/>
  <c r="G36" i="54" s="1"/>
  <c r="R103" i="54"/>
  <c r="R36" i="54" s="1"/>
  <c r="F103" i="54"/>
  <c r="F36" i="54" s="1"/>
  <c r="L103" i="54"/>
  <c r="L36" i="54" s="1"/>
  <c r="J103" i="54"/>
  <c r="J36" i="54" s="1"/>
  <c r="K103" i="54"/>
  <c r="K36" i="54" s="1"/>
  <c r="I103" i="54"/>
  <c r="I36" i="54" s="1"/>
  <c r="O103" i="54"/>
  <c r="O36" i="54" s="1"/>
  <c r="N103" i="54"/>
  <c r="N36" i="54" s="1"/>
  <c r="M103" i="54"/>
  <c r="M36" i="54" s="1"/>
  <c r="P103" i="54"/>
  <c r="P36" i="54" s="1"/>
  <c r="J38" i="72"/>
  <c r="J37" i="72"/>
  <c r="Q102" i="57"/>
  <c r="Q34" i="57" s="1"/>
  <c r="P102" i="57"/>
  <c r="P34" i="57" s="1"/>
  <c r="M102" i="57"/>
  <c r="M34" i="57" s="1"/>
  <c r="I102" i="57"/>
  <c r="I34" i="57" s="1"/>
  <c r="T102" i="57"/>
  <c r="T34" i="57" s="1"/>
  <c r="H102" i="57"/>
  <c r="H34" i="57" s="1"/>
  <c r="R102" i="57"/>
  <c r="R34" i="57" s="1"/>
  <c r="R38" i="57" s="1"/>
  <c r="O102" i="57"/>
  <c r="O34" i="57" s="1"/>
  <c r="O38" i="57" s="1"/>
  <c r="L102" i="57"/>
  <c r="L34" i="57" s="1"/>
  <c r="L38" i="57" s="1"/>
  <c r="K102" i="57"/>
  <c r="K34" i="57" s="1"/>
  <c r="K38" i="57" s="1"/>
  <c r="N102" i="57"/>
  <c r="N34" i="57" s="1"/>
  <c r="S102" i="57"/>
  <c r="S34" i="57" s="1"/>
  <c r="S38" i="57" s="1"/>
  <c r="J102" i="57"/>
  <c r="J34" i="57" s="1"/>
  <c r="G102" i="57"/>
  <c r="G34" i="57" s="1"/>
  <c r="G38" i="57" s="1"/>
  <c r="F102" i="57"/>
  <c r="F34" i="57" s="1"/>
  <c r="F38" i="57" s="1"/>
  <c r="O38" i="79"/>
  <c r="O37" i="79"/>
  <c r="G60" i="58"/>
  <c r="T46" i="57"/>
  <c r="K65" i="58"/>
  <c r="J54" i="58"/>
  <c r="I68" i="67"/>
  <c r="P47" i="66"/>
  <c r="Q55" i="75"/>
  <c r="M82" i="55"/>
  <c r="R60" i="67"/>
  <c r="L60" i="67"/>
  <c r="O55" i="75"/>
  <c r="H39" i="68"/>
  <c r="H38" i="61"/>
  <c r="H37" i="61"/>
  <c r="Q102" i="56"/>
  <c r="Q34" i="56" s="1"/>
  <c r="P102" i="56"/>
  <c r="P34" i="56" s="1"/>
  <c r="N102" i="56"/>
  <c r="N34" i="56" s="1"/>
  <c r="O102" i="56"/>
  <c r="O34" i="56" s="1"/>
  <c r="M102" i="56"/>
  <c r="M34" i="56" s="1"/>
  <c r="I102" i="56"/>
  <c r="I34" i="56" s="1"/>
  <c r="F102" i="56"/>
  <c r="F34" i="56" s="1"/>
  <c r="T102" i="56"/>
  <c r="T34" i="56" s="1"/>
  <c r="H102" i="56"/>
  <c r="H34" i="56" s="1"/>
  <c r="S102" i="56"/>
  <c r="S34" i="56" s="1"/>
  <c r="G102" i="56"/>
  <c r="G34" i="56" s="1"/>
  <c r="R102" i="56"/>
  <c r="R34" i="56" s="1"/>
  <c r="K102" i="56"/>
  <c r="K34" i="56" s="1"/>
  <c r="J102" i="56"/>
  <c r="J34" i="56" s="1"/>
  <c r="L102" i="56"/>
  <c r="L34" i="56" s="1"/>
  <c r="R37" i="79"/>
  <c r="R37" i="98" s="1"/>
  <c r="R38" i="79"/>
  <c r="S38" i="55"/>
  <c r="S37" i="55"/>
  <c r="R55" i="58"/>
  <c r="N55" i="58"/>
  <c r="S55" i="58"/>
  <c r="Q55" i="58"/>
  <c r="O55" i="58"/>
  <c r="Q55" i="64"/>
  <c r="H55" i="64"/>
  <c r="O55" i="64"/>
  <c r="L55" i="64"/>
  <c r="K55" i="64"/>
  <c r="P55" i="64"/>
  <c r="M55" i="64"/>
  <c r="I55" i="64"/>
  <c r="S55" i="64"/>
  <c r="R37" i="72"/>
  <c r="R38" i="72"/>
  <c r="F38" i="55"/>
  <c r="F37" i="55"/>
  <c r="N55" i="64"/>
  <c r="M39" i="68"/>
  <c r="M40" i="68" s="1"/>
  <c r="L39" i="59"/>
  <c r="L40" i="59" s="1"/>
  <c r="J69" i="66"/>
  <c r="L69" i="66"/>
  <c r="H69" i="66"/>
  <c r="F69" i="66"/>
  <c r="R69" i="66"/>
  <c r="S69" i="66"/>
  <c r="Q69" i="66"/>
  <c r="N69" i="66"/>
  <c r="R60" i="58"/>
  <c r="F55" i="58"/>
  <c r="R46" i="57"/>
  <c r="O46" i="57"/>
  <c r="S68" i="67"/>
  <c r="T55" i="64"/>
  <c r="H40" i="62"/>
  <c r="I69" i="66"/>
  <c r="N52" i="78"/>
  <c r="H46" i="71"/>
  <c r="P46" i="71"/>
  <c r="R46" i="70"/>
  <c r="N60" i="56"/>
  <c r="H60" i="56"/>
  <c r="I82" i="64"/>
  <c r="J82" i="64"/>
  <c r="K82" i="64"/>
  <c r="L82" i="64"/>
  <c r="P82" i="64"/>
  <c r="Q82" i="64"/>
  <c r="F82" i="64"/>
  <c r="G82" i="64"/>
  <c r="H82" i="64"/>
  <c r="M82" i="64"/>
  <c r="N82" i="64"/>
  <c r="S82" i="64"/>
  <c r="O82" i="64"/>
  <c r="R82" i="64"/>
  <c r="T82" i="64"/>
  <c r="M46" i="75"/>
  <c r="O46" i="75"/>
  <c r="N46" i="75"/>
  <c r="O60" i="64"/>
  <c r="K60" i="64"/>
  <c r="N60" i="64"/>
  <c r="G60" i="64"/>
  <c r="R60" i="64"/>
  <c r="F60" i="64"/>
  <c r="P60" i="64"/>
  <c r="M60" i="64"/>
  <c r="Q60" i="64"/>
  <c r="H37" i="68"/>
  <c r="D37" i="68" s="1"/>
  <c r="I18" i="68" s="1"/>
  <c r="H38" i="68"/>
  <c r="J39" i="68"/>
  <c r="T38" i="61"/>
  <c r="T37" i="63"/>
  <c r="T37" i="96" s="1"/>
  <c r="J52" i="58"/>
  <c r="I52" i="58"/>
  <c r="S52" i="58"/>
  <c r="H52" i="58"/>
  <c r="F52" i="58"/>
  <c r="P52" i="58"/>
  <c r="Q52" i="58"/>
  <c r="N52" i="58"/>
  <c r="G38" i="61"/>
  <c r="P67" i="75"/>
  <c r="R67" i="75"/>
  <c r="Q67" i="75"/>
  <c r="F67" i="75"/>
  <c r="L67" i="75"/>
  <c r="T67" i="75"/>
  <c r="L54" i="58"/>
  <c r="L19" i="55"/>
  <c r="J37" i="59"/>
  <c r="O52" i="78"/>
  <c r="T46" i="71"/>
  <c r="H46" i="70"/>
  <c r="F37" i="77"/>
  <c r="L18" i="77"/>
  <c r="Q38" i="59"/>
  <c r="Q37" i="59"/>
  <c r="P61" i="64"/>
  <c r="M61" i="64"/>
  <c r="T61" i="64"/>
  <c r="S61" i="64"/>
  <c r="J61" i="64"/>
  <c r="H61" i="64"/>
  <c r="R61" i="64"/>
  <c r="F61" i="64"/>
  <c r="G61" i="64"/>
  <c r="O61" i="64"/>
  <c r="N61" i="64"/>
  <c r="L38" i="68"/>
  <c r="L37" i="68"/>
  <c r="F39" i="68"/>
  <c r="K39" i="59"/>
  <c r="K40" i="59" s="1"/>
  <c r="G38" i="55"/>
  <c r="G37" i="55"/>
  <c r="N38" i="59"/>
  <c r="N37" i="59"/>
  <c r="D37" i="59" s="1"/>
  <c r="I18" i="59" s="1"/>
  <c r="N38" i="79"/>
  <c r="N37" i="79"/>
  <c r="N37" i="98" s="1"/>
  <c r="L38" i="79"/>
  <c r="L37" i="79"/>
  <c r="L37" i="98" s="1"/>
  <c r="M55" i="58"/>
  <c r="I38" i="72"/>
  <c r="N37" i="63"/>
  <c r="N38" i="63"/>
  <c r="L46" i="57"/>
  <c r="G55" i="58"/>
  <c r="F46" i="57"/>
  <c r="M38" i="57"/>
  <c r="J38" i="68"/>
  <c r="J37" i="68"/>
  <c r="S103" i="56"/>
  <c r="S36" i="56" s="1"/>
  <c r="G103" i="56"/>
  <c r="G36" i="56" s="1"/>
  <c r="N103" i="56"/>
  <c r="N36" i="56" s="1"/>
  <c r="P103" i="56"/>
  <c r="P36" i="56" s="1"/>
  <c r="O103" i="56"/>
  <c r="O36" i="56" s="1"/>
  <c r="M103" i="56"/>
  <c r="M36" i="56" s="1"/>
  <c r="L103" i="56"/>
  <c r="L36" i="56" s="1"/>
  <c r="F103" i="56"/>
  <c r="F36" i="56" s="1"/>
  <c r="R103" i="56"/>
  <c r="R36" i="56" s="1"/>
  <c r="Q103" i="56"/>
  <c r="Q36" i="56" s="1"/>
  <c r="T103" i="56"/>
  <c r="T36" i="56" s="1"/>
  <c r="J103" i="56"/>
  <c r="J36" i="56" s="1"/>
  <c r="I103" i="56"/>
  <c r="I36" i="56" s="1"/>
  <c r="H103" i="56"/>
  <c r="H36" i="56" s="1"/>
  <c r="K103" i="56"/>
  <c r="K36" i="56" s="1"/>
  <c r="M46" i="57"/>
  <c r="K52" i="78"/>
  <c r="H65" i="58"/>
  <c r="F65" i="58"/>
  <c r="N65" i="58"/>
  <c r="S65" i="58"/>
  <c r="H56" i="61"/>
  <c r="L56" i="61"/>
  <c r="Q56" i="61"/>
  <c r="R56" i="61"/>
  <c r="G56" i="61"/>
  <c r="P56" i="61"/>
  <c r="M56" i="61"/>
  <c r="I56" i="61"/>
  <c r="F56" i="61"/>
  <c r="N56" i="61"/>
  <c r="K56" i="61"/>
  <c r="T56" i="61"/>
  <c r="P48" i="64"/>
  <c r="M48" i="64"/>
  <c r="J48" i="64"/>
  <c r="H48" i="64"/>
  <c r="S48" i="64"/>
  <c r="T48" i="64"/>
  <c r="I48" i="64"/>
  <c r="G48" i="64"/>
  <c r="Q48" i="64"/>
  <c r="K48" i="64"/>
  <c r="F48" i="64"/>
  <c r="O60" i="58"/>
  <c r="H60" i="58"/>
  <c r="F60" i="58"/>
  <c r="N60" i="58"/>
  <c r="S60" i="58"/>
  <c r="Q69" i="54"/>
  <c r="H69" i="54"/>
  <c r="O69" i="54"/>
  <c r="G69" i="54"/>
  <c r="N69" i="54"/>
  <c r="M69" i="54"/>
  <c r="I69" i="54"/>
  <c r="N46" i="57"/>
  <c r="P55" i="58"/>
  <c r="Q46" i="57"/>
  <c r="R48" i="64"/>
  <c r="L52" i="78"/>
  <c r="S46" i="71"/>
  <c r="F46" i="70"/>
  <c r="O49" i="75"/>
  <c r="Q49" i="75"/>
  <c r="K103" i="80"/>
  <c r="K36" i="80" s="1"/>
  <c r="J103" i="80"/>
  <c r="J36" i="80" s="1"/>
  <c r="I103" i="80"/>
  <c r="I36" i="80" s="1"/>
  <c r="T103" i="80"/>
  <c r="T36" i="80" s="1"/>
  <c r="H103" i="80"/>
  <c r="H36" i="80" s="1"/>
  <c r="S103" i="80"/>
  <c r="S36" i="80" s="1"/>
  <c r="G103" i="80"/>
  <c r="G36" i="80" s="1"/>
  <c r="O103" i="80"/>
  <c r="O36" i="80" s="1"/>
  <c r="N103" i="80"/>
  <c r="N36" i="80" s="1"/>
  <c r="R103" i="80"/>
  <c r="R36" i="80" s="1"/>
  <c r="Q103" i="80"/>
  <c r="Q36" i="80" s="1"/>
  <c r="F103" i="80"/>
  <c r="F36" i="80" s="1"/>
  <c r="M103" i="80"/>
  <c r="M36" i="80" s="1"/>
  <c r="L103" i="80"/>
  <c r="L36" i="80" s="1"/>
  <c r="P103" i="80"/>
  <c r="P36" i="80" s="1"/>
  <c r="G37" i="63"/>
  <c r="G38" i="63"/>
  <c r="L18" i="63"/>
  <c r="L102" i="58"/>
  <c r="L34" i="58" s="1"/>
  <c r="L35" i="58" s="1"/>
  <c r="K102" i="58"/>
  <c r="K34" i="58" s="1"/>
  <c r="K35" i="58" s="1"/>
  <c r="T102" i="58"/>
  <c r="T34" i="58" s="1"/>
  <c r="T35" i="58" s="1"/>
  <c r="H102" i="58"/>
  <c r="H34" i="58" s="1"/>
  <c r="H35" i="58" s="1"/>
  <c r="P102" i="58"/>
  <c r="P34" i="58" s="1"/>
  <c r="P35" i="58" s="1"/>
  <c r="O102" i="58"/>
  <c r="O34" i="58" s="1"/>
  <c r="O35" i="58" s="1"/>
  <c r="M102" i="58"/>
  <c r="M34" i="58" s="1"/>
  <c r="M35" i="58" s="1"/>
  <c r="J102" i="58"/>
  <c r="J34" i="58" s="1"/>
  <c r="J35" i="58" s="1"/>
  <c r="G102" i="58"/>
  <c r="G34" i="58" s="1"/>
  <c r="G35" i="58" s="1"/>
  <c r="I102" i="58"/>
  <c r="I34" i="58" s="1"/>
  <c r="I35" i="58" s="1"/>
  <c r="F102" i="58"/>
  <c r="F34" i="58" s="1"/>
  <c r="F35" i="58" s="1"/>
  <c r="S102" i="58"/>
  <c r="S34" i="58" s="1"/>
  <c r="S35" i="58" s="1"/>
  <c r="R102" i="58"/>
  <c r="R34" i="58" s="1"/>
  <c r="R35" i="58" s="1"/>
  <c r="Q102" i="58"/>
  <c r="Q34" i="58" s="1"/>
  <c r="Q35" i="58" s="1"/>
  <c r="N102" i="58"/>
  <c r="N34" i="58" s="1"/>
  <c r="N35" i="58" s="1"/>
  <c r="J69" i="54"/>
  <c r="K69" i="54"/>
  <c r="T60" i="58"/>
  <c r="L65" i="58"/>
  <c r="H55" i="58"/>
  <c r="T69" i="66"/>
  <c r="R69" i="54"/>
  <c r="O65" i="58"/>
  <c r="I60" i="58"/>
  <c r="P65" i="58"/>
  <c r="T55" i="58"/>
  <c r="O56" i="61"/>
  <c r="K69" i="66"/>
  <c r="Q47" i="78"/>
  <c r="J46" i="71"/>
  <c r="T46" i="70"/>
  <c r="S64" i="58"/>
  <c r="P64" i="58"/>
  <c r="K64" i="58"/>
  <c r="O64" i="58"/>
  <c r="I64" i="58"/>
  <c r="L18" i="72"/>
  <c r="L102" i="70"/>
  <c r="L34" i="70" s="1"/>
  <c r="K102" i="70"/>
  <c r="K34" i="70" s="1"/>
  <c r="J102" i="70"/>
  <c r="J34" i="70" s="1"/>
  <c r="I102" i="70"/>
  <c r="I34" i="70" s="1"/>
  <c r="T102" i="70"/>
  <c r="T34" i="70" s="1"/>
  <c r="H102" i="70"/>
  <c r="H34" i="70" s="1"/>
  <c r="P102" i="70"/>
  <c r="P34" i="70" s="1"/>
  <c r="O102" i="70"/>
  <c r="O34" i="70" s="1"/>
  <c r="M102" i="70"/>
  <c r="M34" i="70" s="1"/>
  <c r="G102" i="70"/>
  <c r="G34" i="70" s="1"/>
  <c r="F102" i="70"/>
  <c r="F34" i="70" s="1"/>
  <c r="S102" i="70"/>
  <c r="S34" i="70" s="1"/>
  <c r="R102" i="70"/>
  <c r="R34" i="70" s="1"/>
  <c r="Q102" i="70"/>
  <c r="Q34" i="70" s="1"/>
  <c r="N102" i="70"/>
  <c r="N34" i="70" s="1"/>
  <c r="P38" i="68"/>
  <c r="T39" i="68"/>
  <c r="T40" i="68" s="1"/>
  <c r="T39" i="59"/>
  <c r="T40" i="59" s="1"/>
  <c r="N102" i="76"/>
  <c r="N34" i="76" s="1"/>
  <c r="M102" i="76"/>
  <c r="M34" i="76" s="1"/>
  <c r="L102" i="76"/>
  <c r="L34" i="76" s="1"/>
  <c r="K102" i="76"/>
  <c r="K34" i="76" s="1"/>
  <c r="J102" i="76"/>
  <c r="J34" i="76" s="1"/>
  <c r="R102" i="76"/>
  <c r="R34" i="76" s="1"/>
  <c r="F102" i="76"/>
  <c r="F34" i="76" s="1"/>
  <c r="Q102" i="76"/>
  <c r="Q34" i="76" s="1"/>
  <c r="O102" i="76"/>
  <c r="O34" i="76" s="1"/>
  <c r="I102" i="76"/>
  <c r="I34" i="76" s="1"/>
  <c r="H102" i="76"/>
  <c r="H34" i="76" s="1"/>
  <c r="G102" i="76"/>
  <c r="G34" i="76" s="1"/>
  <c r="P102" i="76"/>
  <c r="P34" i="76" s="1"/>
  <c r="T102" i="76"/>
  <c r="T34" i="76" s="1"/>
  <c r="S102" i="76"/>
  <c r="S34" i="76" s="1"/>
  <c r="J52" i="78"/>
  <c r="L55" i="58"/>
  <c r="N82" i="55"/>
  <c r="Q82" i="55"/>
  <c r="I82" i="55"/>
  <c r="K82" i="55"/>
  <c r="F82" i="55"/>
  <c r="R82" i="55"/>
  <c r="T82" i="55"/>
  <c r="N102" i="80"/>
  <c r="N34" i="80" s="1"/>
  <c r="N35" i="80" s="1"/>
  <c r="M102" i="80"/>
  <c r="M34" i="80" s="1"/>
  <c r="M35" i="80" s="1"/>
  <c r="L102" i="80"/>
  <c r="L34" i="80" s="1"/>
  <c r="L35" i="80" s="1"/>
  <c r="K102" i="80"/>
  <c r="K34" i="80" s="1"/>
  <c r="K35" i="80" s="1"/>
  <c r="J102" i="80"/>
  <c r="J34" i="80" s="1"/>
  <c r="J35" i="80" s="1"/>
  <c r="R102" i="80"/>
  <c r="R34" i="80" s="1"/>
  <c r="R35" i="80" s="1"/>
  <c r="F102" i="80"/>
  <c r="F34" i="80" s="1"/>
  <c r="F35" i="80" s="1"/>
  <c r="Q102" i="80"/>
  <c r="Q34" i="80" s="1"/>
  <c r="Q35" i="80" s="1"/>
  <c r="O102" i="80"/>
  <c r="O34" i="80" s="1"/>
  <c r="O35" i="80" s="1"/>
  <c r="I102" i="80"/>
  <c r="I34" i="80" s="1"/>
  <c r="I35" i="80" s="1"/>
  <c r="G102" i="80"/>
  <c r="G34" i="80" s="1"/>
  <c r="G35" i="80" s="1"/>
  <c r="H102" i="80"/>
  <c r="H34" i="80" s="1"/>
  <c r="H35" i="80" s="1"/>
  <c r="P102" i="80"/>
  <c r="P34" i="80" s="1"/>
  <c r="P35" i="80" s="1"/>
  <c r="T102" i="80"/>
  <c r="T34" i="80" s="1"/>
  <c r="T35" i="80" s="1"/>
  <c r="S102" i="80"/>
  <c r="S34" i="80" s="1"/>
  <c r="S35" i="80" s="1"/>
  <c r="L55" i="75"/>
  <c r="T55" i="75"/>
  <c r="N55" i="75"/>
  <c r="I55" i="75"/>
  <c r="G55" i="75"/>
  <c r="K55" i="75"/>
  <c r="S55" i="75"/>
  <c r="F55" i="75"/>
  <c r="J60" i="58"/>
  <c r="Q65" i="58"/>
  <c r="I55" i="58"/>
  <c r="Q54" i="58"/>
  <c r="L18" i="68"/>
  <c r="F38" i="61"/>
  <c r="M69" i="66"/>
  <c r="K46" i="71"/>
  <c r="I46" i="70"/>
  <c r="T52" i="56"/>
  <c r="M52" i="56"/>
  <c r="H82" i="55"/>
  <c r="L19" i="63"/>
  <c r="G68" i="69"/>
  <c r="N68" i="69"/>
  <c r="M68" i="69"/>
  <c r="T68" i="69"/>
  <c r="J68" i="69"/>
  <c r="L68" i="69"/>
  <c r="K68" i="69"/>
  <c r="F68" i="69"/>
  <c r="S68" i="69"/>
  <c r="G37" i="72"/>
  <c r="P55" i="75"/>
  <c r="R47" i="78"/>
  <c r="N47" i="78"/>
  <c r="K47" i="78"/>
  <c r="J47" i="78"/>
  <c r="S102" i="78"/>
  <c r="S34" i="78" s="1"/>
  <c r="S35" i="78" s="1"/>
  <c r="G102" i="78"/>
  <c r="G34" i="78" s="1"/>
  <c r="G35" i="78" s="1"/>
  <c r="R102" i="78"/>
  <c r="R34" i="78" s="1"/>
  <c r="R35" i="78" s="1"/>
  <c r="F102" i="78"/>
  <c r="F34" i="78" s="1"/>
  <c r="F35" i="78" s="1"/>
  <c r="Q102" i="78"/>
  <c r="Q34" i="78" s="1"/>
  <c r="Q35" i="78" s="1"/>
  <c r="P102" i="78"/>
  <c r="P34" i="78" s="1"/>
  <c r="P35" i="78" s="1"/>
  <c r="O102" i="78"/>
  <c r="O34" i="78" s="1"/>
  <c r="O35" i="78" s="1"/>
  <c r="K102" i="78"/>
  <c r="K34" i="78" s="1"/>
  <c r="K35" i="78" s="1"/>
  <c r="J102" i="78"/>
  <c r="J34" i="78" s="1"/>
  <c r="J35" i="78" s="1"/>
  <c r="T102" i="78"/>
  <c r="T34" i="78" s="1"/>
  <c r="T35" i="78" s="1"/>
  <c r="N102" i="78"/>
  <c r="N34" i="78" s="1"/>
  <c r="N35" i="78" s="1"/>
  <c r="M102" i="78"/>
  <c r="M34" i="78" s="1"/>
  <c r="M35" i="78" s="1"/>
  <c r="L102" i="78"/>
  <c r="L34" i="78" s="1"/>
  <c r="L35" i="78" s="1"/>
  <c r="I102" i="78"/>
  <c r="I34" i="78" s="1"/>
  <c r="I35" i="78" s="1"/>
  <c r="H102" i="78"/>
  <c r="H34" i="78" s="1"/>
  <c r="H35" i="78" s="1"/>
  <c r="J37" i="77"/>
  <c r="I103" i="70"/>
  <c r="I36" i="70" s="1"/>
  <c r="T103" i="70"/>
  <c r="T36" i="70" s="1"/>
  <c r="H103" i="70"/>
  <c r="H36" i="70" s="1"/>
  <c r="S103" i="70"/>
  <c r="S36" i="70" s="1"/>
  <c r="G103" i="70"/>
  <c r="G36" i="70" s="1"/>
  <c r="R103" i="70"/>
  <c r="R36" i="70" s="1"/>
  <c r="F103" i="70"/>
  <c r="F36" i="70" s="1"/>
  <c r="Q103" i="70"/>
  <c r="Q36" i="70" s="1"/>
  <c r="M103" i="70"/>
  <c r="M36" i="70" s="1"/>
  <c r="L103" i="70"/>
  <c r="L36" i="70" s="1"/>
  <c r="O103" i="70"/>
  <c r="O36" i="70" s="1"/>
  <c r="P103" i="70"/>
  <c r="P36" i="70" s="1"/>
  <c r="K103" i="70"/>
  <c r="K36" i="70" s="1"/>
  <c r="J103" i="70"/>
  <c r="J36" i="70" s="1"/>
  <c r="N103" i="70"/>
  <c r="N36" i="70" s="1"/>
  <c r="G52" i="78"/>
  <c r="F68" i="75"/>
  <c r="R68" i="75"/>
  <c r="H68" i="75"/>
  <c r="T68" i="75"/>
  <c r="Q68" i="75"/>
  <c r="S68" i="75"/>
  <c r="J68" i="75"/>
  <c r="L69" i="54"/>
  <c r="F69" i="54"/>
  <c r="K60" i="58"/>
  <c r="R65" i="58"/>
  <c r="J55" i="58"/>
  <c r="S54" i="58"/>
  <c r="P46" i="57"/>
  <c r="O69" i="66"/>
  <c r="L46" i="71"/>
  <c r="O46" i="70"/>
  <c r="S82" i="55"/>
  <c r="P103" i="78"/>
  <c r="P36" i="78" s="1"/>
  <c r="O103" i="78"/>
  <c r="O36" i="78" s="1"/>
  <c r="N103" i="78"/>
  <c r="N36" i="78" s="1"/>
  <c r="M103" i="78"/>
  <c r="M36" i="78" s="1"/>
  <c r="L103" i="78"/>
  <c r="L36" i="78" s="1"/>
  <c r="T103" i="78"/>
  <c r="T36" i="78" s="1"/>
  <c r="H103" i="78"/>
  <c r="H36" i="78" s="1"/>
  <c r="S103" i="78"/>
  <c r="S36" i="78" s="1"/>
  <c r="G103" i="78"/>
  <c r="G36" i="78" s="1"/>
  <c r="K103" i="78"/>
  <c r="K36" i="78" s="1"/>
  <c r="J103" i="78"/>
  <c r="J36" i="78" s="1"/>
  <c r="I103" i="78"/>
  <c r="I36" i="78" s="1"/>
  <c r="F103" i="78"/>
  <c r="F36" i="78" s="1"/>
  <c r="R103" i="78"/>
  <c r="R36" i="78" s="1"/>
  <c r="Q103" i="78"/>
  <c r="Q36" i="78" s="1"/>
  <c r="I37" i="79"/>
  <c r="I37" i="98" s="1"/>
  <c r="I38" i="79"/>
  <c r="L18" i="79"/>
  <c r="N82" i="71"/>
  <c r="O82" i="71"/>
  <c r="R82" i="71"/>
  <c r="G82" i="71"/>
  <c r="P82" i="71"/>
  <c r="I82" i="71"/>
  <c r="Q82" i="71"/>
  <c r="F82" i="71"/>
  <c r="L82" i="71"/>
  <c r="S82" i="71"/>
  <c r="H82" i="71"/>
  <c r="T82" i="71"/>
  <c r="J82" i="71"/>
  <c r="K82" i="71"/>
  <c r="M82" i="71"/>
  <c r="P39" i="61"/>
  <c r="N52" i="79"/>
  <c r="O52" i="79"/>
  <c r="O38" i="68"/>
  <c r="O37" i="68"/>
  <c r="K39" i="68"/>
  <c r="K40" i="68" s="1"/>
  <c r="N39" i="68"/>
  <c r="N40" i="68" s="1"/>
  <c r="O39" i="59"/>
  <c r="O40" i="59" s="1"/>
  <c r="F102" i="54"/>
  <c r="F34" i="54" s="1"/>
  <c r="F35" i="54" s="1"/>
  <c r="K102" i="54"/>
  <c r="K34" i="54" s="1"/>
  <c r="K35" i="54" s="1"/>
  <c r="J102" i="54"/>
  <c r="J34" i="54" s="1"/>
  <c r="J35" i="54" s="1"/>
  <c r="H102" i="54"/>
  <c r="H34" i="54" s="1"/>
  <c r="H35" i="54" s="1"/>
  <c r="I102" i="54"/>
  <c r="I34" i="54" s="1"/>
  <c r="I35" i="54" s="1"/>
  <c r="T102" i="54"/>
  <c r="T34" i="54" s="1"/>
  <c r="T35" i="54" s="1"/>
  <c r="O102" i="54"/>
  <c r="O34" i="54" s="1"/>
  <c r="O35" i="54" s="1"/>
  <c r="M102" i="54"/>
  <c r="M34" i="54" s="1"/>
  <c r="M35" i="54" s="1"/>
  <c r="N102" i="54"/>
  <c r="N34" i="54" s="1"/>
  <c r="N35" i="54" s="1"/>
  <c r="L102" i="54"/>
  <c r="L34" i="54" s="1"/>
  <c r="L35" i="54" s="1"/>
  <c r="S102" i="54"/>
  <c r="S34" i="54" s="1"/>
  <c r="S35" i="54" s="1"/>
  <c r="R102" i="54"/>
  <c r="R34" i="54" s="1"/>
  <c r="R35" i="54" s="1"/>
  <c r="Q102" i="54"/>
  <c r="Q34" i="54" s="1"/>
  <c r="Q35" i="54" s="1"/>
  <c r="P102" i="54"/>
  <c r="P34" i="54" s="1"/>
  <c r="P35" i="54" s="1"/>
  <c r="G102" i="54"/>
  <c r="G34" i="54" s="1"/>
  <c r="G35" i="54" s="1"/>
  <c r="K103" i="76"/>
  <c r="K36" i="76" s="1"/>
  <c r="J103" i="76"/>
  <c r="J36" i="76" s="1"/>
  <c r="I103" i="76"/>
  <c r="I36" i="76" s="1"/>
  <c r="T103" i="76"/>
  <c r="T36" i="76" s="1"/>
  <c r="H103" i="76"/>
  <c r="H36" i="76" s="1"/>
  <c r="S103" i="76"/>
  <c r="S36" i="76" s="1"/>
  <c r="G103" i="76"/>
  <c r="G36" i="76" s="1"/>
  <c r="O103" i="76"/>
  <c r="O36" i="76" s="1"/>
  <c r="N103" i="76"/>
  <c r="N36" i="76" s="1"/>
  <c r="R103" i="76"/>
  <c r="R36" i="76" s="1"/>
  <c r="F103" i="76"/>
  <c r="F36" i="76" s="1"/>
  <c r="Q103" i="76"/>
  <c r="Q36" i="76" s="1"/>
  <c r="Q37" i="76" s="1"/>
  <c r="P103" i="76"/>
  <c r="P36" i="76" s="1"/>
  <c r="M103" i="76"/>
  <c r="M36" i="76" s="1"/>
  <c r="L103" i="76"/>
  <c r="L36" i="76" s="1"/>
  <c r="J102" i="75"/>
  <c r="J34" i="75" s="1"/>
  <c r="I102" i="75"/>
  <c r="I34" i="75" s="1"/>
  <c r="T102" i="75"/>
  <c r="T34" i="75" s="1"/>
  <c r="H102" i="75"/>
  <c r="H34" i="75" s="1"/>
  <c r="S102" i="75"/>
  <c r="S34" i="75" s="1"/>
  <c r="G102" i="75"/>
  <c r="G34" i="75" s="1"/>
  <c r="R102" i="75"/>
  <c r="R34" i="75" s="1"/>
  <c r="F102" i="75"/>
  <c r="F34" i="75" s="1"/>
  <c r="N102" i="75"/>
  <c r="N34" i="75" s="1"/>
  <c r="M102" i="75"/>
  <c r="M34" i="75" s="1"/>
  <c r="P102" i="75"/>
  <c r="P34" i="75" s="1"/>
  <c r="O102" i="75"/>
  <c r="O34" i="75" s="1"/>
  <c r="L102" i="75"/>
  <c r="L34" i="75" s="1"/>
  <c r="K102" i="75"/>
  <c r="K34" i="75" s="1"/>
  <c r="Q102" i="75"/>
  <c r="Q34" i="75" s="1"/>
  <c r="Q38" i="68"/>
  <c r="S38" i="63"/>
  <c r="R38" i="64"/>
  <c r="H60" i="70"/>
  <c r="N39" i="61"/>
  <c r="N40" i="61" s="1"/>
  <c r="S39" i="68"/>
  <c r="S40" i="68" s="1"/>
  <c r="S39" i="59"/>
  <c r="S40" i="59" s="1"/>
  <c r="H37" i="63"/>
  <c r="H37" i="96" s="1"/>
  <c r="K38" i="72"/>
  <c r="F37" i="79"/>
  <c r="F37" i="98" s="1"/>
  <c r="G37" i="79"/>
  <c r="G37" i="98" s="1"/>
  <c r="G38" i="79"/>
  <c r="N37" i="72"/>
  <c r="S103" i="75"/>
  <c r="S36" i="75" s="1"/>
  <c r="G103" i="75"/>
  <c r="G36" i="75" s="1"/>
  <c r="R103" i="75"/>
  <c r="R36" i="75" s="1"/>
  <c r="F103" i="75"/>
  <c r="F36" i="75" s="1"/>
  <c r="Q103" i="75"/>
  <c r="Q36" i="75" s="1"/>
  <c r="P103" i="75"/>
  <c r="P36" i="75" s="1"/>
  <c r="O103" i="75"/>
  <c r="O36" i="75" s="1"/>
  <c r="K103" i="75"/>
  <c r="K36" i="75" s="1"/>
  <c r="J103" i="75"/>
  <c r="J36" i="75" s="1"/>
  <c r="L103" i="75"/>
  <c r="L36" i="75" s="1"/>
  <c r="I103" i="75"/>
  <c r="I36" i="75" s="1"/>
  <c r="H103" i="75"/>
  <c r="H36" i="75" s="1"/>
  <c r="T103" i="75"/>
  <c r="T36" i="75" s="1"/>
  <c r="N103" i="75"/>
  <c r="N36" i="75" s="1"/>
  <c r="M103" i="75"/>
  <c r="M36" i="75" s="1"/>
  <c r="S38" i="71"/>
  <c r="M82" i="65"/>
  <c r="N82" i="65"/>
  <c r="O82" i="65"/>
  <c r="P82" i="65"/>
  <c r="Q82" i="65"/>
  <c r="I82" i="65"/>
  <c r="J82" i="65"/>
  <c r="R82" i="65"/>
  <c r="T82" i="65"/>
  <c r="S82" i="65"/>
  <c r="F82" i="65"/>
  <c r="L82" i="65"/>
  <c r="G82" i="65"/>
  <c r="H82" i="65"/>
  <c r="K82" i="65"/>
  <c r="N38" i="77"/>
  <c r="N38" i="99" s="1"/>
  <c r="M64" i="65"/>
  <c r="P64" i="65"/>
  <c r="G39" i="68"/>
  <c r="G40" i="68" s="1"/>
  <c r="F39" i="59"/>
  <c r="Q37" i="63"/>
  <c r="Q37" i="96" s="1"/>
  <c r="Q38" i="63"/>
  <c r="P37" i="72"/>
  <c r="P37" i="79"/>
  <c r="S37" i="79"/>
  <c r="S38" i="79"/>
  <c r="F38" i="63"/>
  <c r="F38" i="79"/>
  <c r="Q39" i="68"/>
  <c r="Q40" i="68" s="1"/>
  <c r="Q39" i="59"/>
  <c r="H38" i="72"/>
  <c r="S39" i="61"/>
  <c r="I39" i="68"/>
  <c r="I40" i="68" s="1"/>
  <c r="R39" i="59"/>
  <c r="R40" i="59" s="1"/>
  <c r="Q37" i="72"/>
  <c r="T37" i="72"/>
  <c r="T38" i="72"/>
  <c r="P102" i="66"/>
  <c r="P34" i="66" s="1"/>
  <c r="O102" i="66"/>
  <c r="O34" i="66" s="1"/>
  <c r="N102" i="66"/>
  <c r="N34" i="66" s="1"/>
  <c r="M102" i="66"/>
  <c r="M34" i="66" s="1"/>
  <c r="L102" i="66"/>
  <c r="L34" i="66" s="1"/>
  <c r="T102" i="66"/>
  <c r="T34" i="66" s="1"/>
  <c r="H102" i="66"/>
  <c r="H34" i="66" s="1"/>
  <c r="S102" i="66"/>
  <c r="S34" i="66" s="1"/>
  <c r="G102" i="66"/>
  <c r="G34" i="66" s="1"/>
  <c r="R102" i="66"/>
  <c r="R34" i="66" s="1"/>
  <c r="Q102" i="66"/>
  <c r="Q34" i="66" s="1"/>
  <c r="I102" i="66"/>
  <c r="I34" i="66" s="1"/>
  <c r="K102" i="66"/>
  <c r="K34" i="66" s="1"/>
  <c r="J102" i="66"/>
  <c r="J34" i="66" s="1"/>
  <c r="F102" i="66"/>
  <c r="F34" i="66" s="1"/>
  <c r="K39" i="61"/>
  <c r="T48" i="65"/>
  <c r="O48" i="65"/>
  <c r="I48" i="65"/>
  <c r="H48" i="65"/>
  <c r="P39" i="68"/>
  <c r="P40" i="68" s="1"/>
  <c r="M39" i="59"/>
  <c r="M40" i="59" s="1"/>
  <c r="M38" i="79"/>
  <c r="M37" i="79"/>
  <c r="M37" i="98" s="1"/>
  <c r="T37" i="79"/>
  <c r="T38" i="79"/>
  <c r="M103" i="66"/>
  <c r="M36" i="66" s="1"/>
  <c r="L103" i="66"/>
  <c r="L36" i="66" s="1"/>
  <c r="K103" i="66"/>
  <c r="K36" i="66" s="1"/>
  <c r="J103" i="66"/>
  <c r="J36" i="66" s="1"/>
  <c r="I103" i="66"/>
  <c r="I36" i="66" s="1"/>
  <c r="Q103" i="66"/>
  <c r="Q36" i="66" s="1"/>
  <c r="P103" i="66"/>
  <c r="P36" i="66" s="1"/>
  <c r="T103" i="66"/>
  <c r="T36" i="66" s="1"/>
  <c r="T38" i="66" s="1"/>
  <c r="N103" i="66"/>
  <c r="N36" i="66" s="1"/>
  <c r="F103" i="66"/>
  <c r="F36" i="66" s="1"/>
  <c r="H103" i="66"/>
  <c r="H36" i="66" s="1"/>
  <c r="G103" i="66"/>
  <c r="G36" i="66" s="1"/>
  <c r="O103" i="66"/>
  <c r="O36" i="66" s="1"/>
  <c r="S103" i="66"/>
  <c r="S36" i="66" s="1"/>
  <c r="R103" i="66"/>
  <c r="R36" i="66" s="1"/>
  <c r="T47" i="78"/>
  <c r="I47" i="78"/>
  <c r="L47" i="78"/>
  <c r="M47" i="78"/>
  <c r="O47" i="78"/>
  <c r="F47" i="78"/>
  <c r="O37" i="76"/>
  <c r="M64" i="75"/>
  <c r="K64" i="75"/>
  <c r="R49" i="75"/>
  <c r="P46" i="75"/>
  <c r="T49" i="75"/>
  <c r="F52" i="75"/>
  <c r="S64" i="75"/>
  <c r="S49" i="75"/>
  <c r="S52" i="75"/>
  <c r="I64" i="75"/>
  <c r="G64" i="75"/>
  <c r="I49" i="75"/>
  <c r="G52" i="75"/>
  <c r="J49" i="75"/>
  <c r="I52" i="75"/>
  <c r="L64" i="75"/>
  <c r="I46" i="75"/>
  <c r="K49" i="75"/>
  <c r="O64" i="75"/>
  <c r="Q52" i="75"/>
  <c r="Q64" i="75"/>
  <c r="J46" i="75"/>
  <c r="L49" i="75"/>
  <c r="N64" i="75"/>
  <c r="K46" i="75"/>
  <c r="M49" i="75"/>
  <c r="L46" i="75"/>
  <c r="F49" i="75"/>
  <c r="N49" i="75"/>
  <c r="K52" i="75"/>
  <c r="F46" i="75"/>
  <c r="H49" i="75"/>
  <c r="L52" i="75"/>
  <c r="O52" i="75"/>
  <c r="P52" i="75"/>
  <c r="N52" i="75"/>
  <c r="M52" i="75"/>
  <c r="K60" i="75"/>
  <c r="L68" i="75"/>
  <c r="P68" i="75"/>
  <c r="O68" i="75"/>
  <c r="N68" i="75"/>
  <c r="M68" i="75"/>
  <c r="L65" i="75"/>
  <c r="N65" i="75"/>
  <c r="P65" i="75"/>
  <c r="O65" i="75"/>
  <c r="M65" i="75"/>
  <c r="J65" i="75"/>
  <c r="S65" i="75"/>
  <c r="Q65" i="75"/>
  <c r="P64" i="75"/>
  <c r="T64" i="75"/>
  <c r="R64" i="75"/>
  <c r="H64" i="75"/>
  <c r="F64" i="75"/>
  <c r="G65" i="75"/>
  <c r="R46" i="75"/>
  <c r="T46" i="75"/>
  <c r="S46" i="75"/>
  <c r="Q46" i="75"/>
  <c r="H46" i="75"/>
  <c r="G46" i="75"/>
  <c r="J60" i="75"/>
  <c r="T65" i="75"/>
  <c r="R65" i="75"/>
  <c r="Q60" i="75"/>
  <c r="H65" i="75"/>
  <c r="S60" i="75"/>
  <c r="F65" i="75"/>
  <c r="G60" i="75"/>
  <c r="T60" i="75"/>
  <c r="L60" i="75"/>
  <c r="N60" i="75"/>
  <c r="M60" i="75"/>
  <c r="O60" i="75"/>
  <c r="P60" i="75"/>
  <c r="K65" i="75"/>
  <c r="I60" i="75"/>
  <c r="I65" i="75"/>
  <c r="H60" i="75"/>
  <c r="F60" i="75"/>
  <c r="P46" i="70"/>
  <c r="Q46" i="70"/>
  <c r="G46" i="69"/>
  <c r="R46" i="69"/>
  <c r="F46" i="69"/>
  <c r="F54" i="69"/>
  <c r="T103" i="69"/>
  <c r="T36" i="69" s="1"/>
  <c r="H103" i="69"/>
  <c r="H36" i="69" s="1"/>
  <c r="L103" i="69"/>
  <c r="L36" i="69" s="1"/>
  <c r="I103" i="69"/>
  <c r="I36" i="69" s="1"/>
  <c r="S103" i="69"/>
  <c r="S36" i="69" s="1"/>
  <c r="G103" i="69"/>
  <c r="G36" i="69" s="1"/>
  <c r="R103" i="69"/>
  <c r="R36" i="69" s="1"/>
  <c r="F103" i="69"/>
  <c r="F36" i="69" s="1"/>
  <c r="Q103" i="69"/>
  <c r="Q36" i="69" s="1"/>
  <c r="P103" i="69"/>
  <c r="P36" i="69" s="1"/>
  <c r="O103" i="69"/>
  <c r="O36" i="69" s="1"/>
  <c r="N103" i="69"/>
  <c r="N36" i="69" s="1"/>
  <c r="M103" i="69"/>
  <c r="M36" i="69" s="1"/>
  <c r="K103" i="69"/>
  <c r="K36" i="69" s="1"/>
  <c r="J103" i="69"/>
  <c r="J36" i="69" s="1"/>
  <c r="S64" i="69"/>
  <c r="P54" i="69"/>
  <c r="K102" i="69"/>
  <c r="K34" i="69" s="1"/>
  <c r="O102" i="69"/>
  <c r="O34" i="69" s="1"/>
  <c r="L102" i="69"/>
  <c r="L34" i="69" s="1"/>
  <c r="J102" i="69"/>
  <c r="J34" i="69" s="1"/>
  <c r="I102" i="69"/>
  <c r="I34" i="69" s="1"/>
  <c r="T102" i="69"/>
  <c r="T34" i="69" s="1"/>
  <c r="H102" i="69"/>
  <c r="H34" i="69" s="1"/>
  <c r="S102" i="69"/>
  <c r="S34" i="69" s="1"/>
  <c r="G102" i="69"/>
  <c r="G34" i="69" s="1"/>
  <c r="R102" i="69"/>
  <c r="R34" i="69" s="1"/>
  <c r="F102" i="69"/>
  <c r="F34" i="69" s="1"/>
  <c r="Q102" i="69"/>
  <c r="Q34" i="69" s="1"/>
  <c r="P102" i="69"/>
  <c r="P34" i="69" s="1"/>
  <c r="N102" i="69"/>
  <c r="N34" i="69" s="1"/>
  <c r="M102" i="69"/>
  <c r="M34" i="69" s="1"/>
  <c r="T54" i="69"/>
  <c r="G64" i="69"/>
  <c r="Q46" i="69"/>
  <c r="O46" i="69"/>
  <c r="T46" i="69"/>
  <c r="H46" i="69"/>
  <c r="P46" i="69"/>
  <c r="I46" i="69"/>
  <c r="J64" i="69"/>
  <c r="L64" i="69"/>
  <c r="K64" i="69"/>
  <c r="N64" i="69"/>
  <c r="I54" i="69"/>
  <c r="H54" i="69"/>
  <c r="R54" i="69"/>
  <c r="J46" i="69"/>
  <c r="L46" i="69"/>
  <c r="K46" i="69"/>
  <c r="N46" i="69"/>
  <c r="M54" i="69"/>
  <c r="Q64" i="69"/>
  <c r="S54" i="69"/>
  <c r="G54" i="69"/>
  <c r="Q54" i="69"/>
  <c r="M46" i="69"/>
  <c r="T64" i="69"/>
  <c r="O64" i="69"/>
  <c r="I64" i="69"/>
  <c r="H64" i="69"/>
  <c r="R64" i="69"/>
  <c r="F64" i="69"/>
  <c r="P64" i="69"/>
  <c r="G60" i="67"/>
  <c r="N60" i="67"/>
  <c r="O60" i="67"/>
  <c r="Q60" i="67"/>
  <c r="H60" i="67"/>
  <c r="T60" i="67"/>
  <c r="F60" i="67"/>
  <c r="I60" i="67"/>
  <c r="I102" i="67"/>
  <c r="I34" i="67" s="1"/>
  <c r="I34" i="97" s="1"/>
  <c r="K102" i="67"/>
  <c r="K34" i="67" s="1"/>
  <c r="K34" i="97" s="1"/>
  <c r="J102" i="67"/>
  <c r="J34" i="67" s="1"/>
  <c r="J34" i="97" s="1"/>
  <c r="T102" i="67"/>
  <c r="T34" i="67" s="1"/>
  <c r="T34" i="97" s="1"/>
  <c r="H102" i="67"/>
  <c r="H34" i="67" s="1"/>
  <c r="H34" i="97" s="1"/>
  <c r="S102" i="67"/>
  <c r="S34" i="67" s="1"/>
  <c r="S34" i="97" s="1"/>
  <c r="G102" i="67"/>
  <c r="G34" i="67" s="1"/>
  <c r="G34" i="97" s="1"/>
  <c r="L102" i="67"/>
  <c r="L34" i="67" s="1"/>
  <c r="L34" i="97" s="1"/>
  <c r="R102" i="67"/>
  <c r="R34" i="67" s="1"/>
  <c r="R34" i="97" s="1"/>
  <c r="F102" i="67"/>
  <c r="F34" i="67" s="1"/>
  <c r="F34" i="97" s="1"/>
  <c r="Q102" i="67"/>
  <c r="Q34" i="67" s="1"/>
  <c r="Q34" i="97" s="1"/>
  <c r="P102" i="67"/>
  <c r="P34" i="67" s="1"/>
  <c r="P34" i="97" s="1"/>
  <c r="O102" i="67"/>
  <c r="O34" i="67" s="1"/>
  <c r="O34" i="97" s="1"/>
  <c r="N102" i="67"/>
  <c r="N34" i="67" s="1"/>
  <c r="N34" i="97" s="1"/>
  <c r="M102" i="67"/>
  <c r="M34" i="67" s="1"/>
  <c r="M34" i="97" s="1"/>
  <c r="J60" i="67"/>
  <c r="M60" i="67"/>
  <c r="S60" i="67"/>
  <c r="P60" i="67"/>
  <c r="K60" i="67"/>
  <c r="T65" i="67"/>
  <c r="I65" i="67"/>
  <c r="J65" i="67"/>
  <c r="K65" i="67"/>
  <c r="L65" i="67"/>
  <c r="N65" i="67"/>
  <c r="M65" i="67"/>
  <c r="P65" i="67"/>
  <c r="H52" i="67"/>
  <c r="T52" i="67"/>
  <c r="I52" i="67"/>
  <c r="L52" i="67"/>
  <c r="K52" i="67"/>
  <c r="M52" i="67"/>
  <c r="P52" i="67"/>
  <c r="S55" i="67"/>
  <c r="H55" i="67"/>
  <c r="T55" i="67"/>
  <c r="I55" i="67"/>
  <c r="O55" i="67"/>
  <c r="J55" i="67"/>
  <c r="K55" i="67"/>
  <c r="L55" i="67"/>
  <c r="M55" i="67"/>
  <c r="G55" i="67"/>
  <c r="F55" i="67"/>
  <c r="R55" i="67"/>
  <c r="Q55" i="67"/>
  <c r="N55" i="67"/>
  <c r="R65" i="67"/>
  <c r="Q65" i="67"/>
  <c r="O65" i="67"/>
  <c r="G65" i="67"/>
  <c r="F65" i="67"/>
  <c r="S65" i="67"/>
  <c r="S52" i="67"/>
  <c r="R52" i="67"/>
  <c r="Q52" i="67"/>
  <c r="O52" i="67"/>
  <c r="F52" i="67"/>
  <c r="G52" i="67"/>
  <c r="S47" i="67"/>
  <c r="F47" i="67"/>
  <c r="R68" i="67"/>
  <c r="G68" i="67"/>
  <c r="Q68" i="67"/>
  <c r="N68" i="67"/>
  <c r="F68" i="67"/>
  <c r="K47" i="66"/>
  <c r="N47" i="66"/>
  <c r="O47" i="66"/>
  <c r="S47" i="66"/>
  <c r="H47" i="66"/>
  <c r="T47" i="66"/>
  <c r="I47" i="66"/>
  <c r="Q47" i="66"/>
  <c r="L47" i="66"/>
  <c r="F47" i="66"/>
  <c r="R47" i="66"/>
  <c r="J54" i="66"/>
  <c r="R54" i="66"/>
  <c r="O49" i="66"/>
  <c r="N49" i="66"/>
  <c r="F49" i="66"/>
  <c r="L19" i="62"/>
  <c r="S54" i="66"/>
  <c r="I54" i="66"/>
  <c r="K54" i="66"/>
  <c r="F54" i="66"/>
  <c r="L54" i="66"/>
  <c r="K54" i="61"/>
  <c r="Q54" i="66"/>
  <c r="O54" i="66"/>
  <c r="I54" i="75"/>
  <c r="Q54" i="61"/>
  <c r="H54" i="66"/>
  <c r="L54" i="75"/>
  <c r="N54" i="72"/>
  <c r="M54" i="66"/>
  <c r="Q54" i="72"/>
  <c r="N54" i="66"/>
  <c r="P54" i="66"/>
  <c r="J82" i="55"/>
  <c r="N54" i="61"/>
  <c r="J54" i="61"/>
  <c r="J54" i="75"/>
  <c r="O54" i="72"/>
  <c r="P54" i="72"/>
  <c r="H54" i="75"/>
  <c r="Q54" i="75"/>
  <c r="T54" i="75"/>
  <c r="M54" i="75"/>
  <c r="F54" i="72"/>
  <c r="N54" i="75"/>
  <c r="R54" i="72"/>
  <c r="P54" i="65"/>
  <c r="K54" i="65"/>
  <c r="O54" i="75"/>
  <c r="J54" i="72"/>
  <c r="P54" i="75"/>
  <c r="K54" i="72"/>
  <c r="T54" i="72"/>
  <c r="G54" i="72"/>
  <c r="L54" i="72"/>
  <c r="R54" i="75"/>
  <c r="F54" i="75"/>
  <c r="H54" i="72"/>
  <c r="J54" i="69"/>
  <c r="N54" i="69"/>
  <c r="L54" i="69"/>
  <c r="K54" i="69"/>
  <c r="G54" i="75"/>
  <c r="I54" i="72"/>
  <c r="S54" i="75"/>
  <c r="M54" i="72"/>
  <c r="G54" i="60"/>
  <c r="S54" i="60"/>
  <c r="R54" i="60"/>
  <c r="Q54" i="60"/>
  <c r="O54" i="60"/>
  <c r="N54" i="60"/>
  <c r="I54" i="60"/>
  <c r="F68" i="58"/>
  <c r="R68" i="58"/>
  <c r="H68" i="58"/>
  <c r="O68" i="58"/>
  <c r="G68" i="58"/>
  <c r="K68" i="58"/>
  <c r="J68" i="58"/>
  <c r="L68" i="58"/>
  <c r="I68" i="58"/>
  <c r="P68" i="58"/>
  <c r="Q68" i="58"/>
  <c r="S68" i="58"/>
  <c r="M68" i="58"/>
  <c r="P53" i="58"/>
  <c r="Q53" i="58"/>
  <c r="G53" i="58"/>
  <c r="I53" i="58"/>
  <c r="J53" i="58"/>
  <c r="K53" i="58"/>
  <c r="L53" i="58"/>
  <c r="F53" i="58"/>
  <c r="M53" i="58"/>
  <c r="F37" i="57"/>
  <c r="N55" i="56"/>
  <c r="J52" i="56"/>
  <c r="F52" i="56"/>
  <c r="I52" i="56"/>
  <c r="N52" i="56"/>
  <c r="K52" i="56"/>
  <c r="R52" i="56"/>
  <c r="S55" i="56"/>
  <c r="M55" i="56"/>
  <c r="S52" i="56"/>
  <c r="O52" i="56"/>
  <c r="P52" i="56"/>
  <c r="Q55" i="56"/>
  <c r="Q52" i="56"/>
  <c r="F55" i="56"/>
  <c r="G55" i="56"/>
  <c r="L60" i="56"/>
  <c r="M60" i="56"/>
  <c r="S65" i="56"/>
  <c r="R60" i="56"/>
  <c r="H65" i="56"/>
  <c r="N68" i="56"/>
  <c r="T65" i="56"/>
  <c r="I65" i="56"/>
  <c r="O60" i="56"/>
  <c r="L65" i="56"/>
  <c r="P68" i="56"/>
  <c r="M65" i="56"/>
  <c r="S68" i="56"/>
  <c r="T68" i="56"/>
  <c r="I60" i="56"/>
  <c r="M68" i="56"/>
  <c r="G60" i="56"/>
  <c r="G68" i="56"/>
  <c r="Q60" i="56"/>
  <c r="F68" i="56"/>
  <c r="J68" i="56"/>
  <c r="T60" i="56"/>
  <c r="K68" i="56"/>
  <c r="J60" i="56"/>
  <c r="O68" i="56"/>
  <c r="P60" i="56"/>
  <c r="P55" i="56"/>
  <c r="K47" i="56"/>
  <c r="Q47" i="56"/>
  <c r="H55" i="56"/>
  <c r="H47" i="56"/>
  <c r="J55" i="56"/>
  <c r="F47" i="56"/>
  <c r="N47" i="56"/>
  <c r="I47" i="56"/>
  <c r="K55" i="56"/>
  <c r="L47" i="56"/>
  <c r="P65" i="56"/>
  <c r="R65" i="56"/>
  <c r="Q65" i="56"/>
  <c r="O65" i="56"/>
  <c r="N65" i="56"/>
  <c r="G65" i="56"/>
  <c r="R68" i="56"/>
  <c r="Q68" i="56"/>
  <c r="I55" i="56"/>
  <c r="M47" i="56"/>
  <c r="L55" i="56"/>
  <c r="T55" i="56"/>
  <c r="R55" i="56"/>
  <c r="N55" i="79"/>
  <c r="M55" i="79"/>
  <c r="L55" i="79"/>
  <c r="K55" i="79"/>
  <c r="J55" i="79"/>
  <c r="I55" i="79"/>
  <c r="T55" i="79"/>
  <c r="H55" i="79"/>
  <c r="S55" i="79"/>
  <c r="G55" i="79"/>
  <c r="R55" i="79"/>
  <c r="F55" i="79"/>
  <c r="Q55" i="79"/>
  <c r="P55" i="79"/>
  <c r="O55" i="79"/>
  <c r="S56" i="80"/>
  <c r="G56" i="80"/>
  <c r="Q56" i="80"/>
  <c r="P56" i="80"/>
  <c r="O56" i="80"/>
  <c r="N56" i="80"/>
  <c r="M56" i="80"/>
  <c r="L56" i="80"/>
  <c r="J56" i="80"/>
  <c r="H56" i="80"/>
  <c r="F56" i="80"/>
  <c r="T56" i="80"/>
  <c r="R56" i="80"/>
  <c r="K56" i="80"/>
  <c r="I56" i="80"/>
  <c r="J52" i="77"/>
  <c r="I52" i="77"/>
  <c r="T52" i="77"/>
  <c r="H52" i="77"/>
  <c r="S52" i="77"/>
  <c r="G52" i="77"/>
  <c r="R52" i="77"/>
  <c r="F52" i="77"/>
  <c r="Q52" i="77"/>
  <c r="P52" i="77"/>
  <c r="O52" i="77"/>
  <c r="M52" i="77"/>
  <c r="N52" i="77"/>
  <c r="L52" i="77"/>
  <c r="K52" i="77"/>
  <c r="N54" i="77"/>
  <c r="M54" i="77"/>
  <c r="L54" i="77"/>
  <c r="K54" i="77"/>
  <c r="J54" i="77"/>
  <c r="I54" i="77"/>
  <c r="T54" i="77"/>
  <c r="H54" i="77"/>
  <c r="S54" i="77"/>
  <c r="G54" i="77"/>
  <c r="Q54" i="77"/>
  <c r="R54" i="77"/>
  <c r="P54" i="77"/>
  <c r="O54" i="77"/>
  <c r="F54" i="77"/>
  <c r="L48" i="76"/>
  <c r="K48" i="76"/>
  <c r="J48" i="76"/>
  <c r="I48" i="76"/>
  <c r="T48" i="76"/>
  <c r="R48" i="76"/>
  <c r="F48" i="76"/>
  <c r="S48" i="76"/>
  <c r="Q48" i="76"/>
  <c r="P48" i="76"/>
  <c r="O48" i="76"/>
  <c r="N48" i="76"/>
  <c r="H48" i="76"/>
  <c r="G48" i="76"/>
  <c r="M48" i="76"/>
  <c r="I67" i="76"/>
  <c r="T67" i="76"/>
  <c r="H67" i="76"/>
  <c r="S67" i="76"/>
  <c r="G67" i="76"/>
  <c r="R67" i="76"/>
  <c r="F67" i="76"/>
  <c r="Q67" i="76"/>
  <c r="P67" i="76"/>
  <c r="N67" i="76"/>
  <c r="L67" i="76"/>
  <c r="O67" i="76"/>
  <c r="M67" i="76"/>
  <c r="K67" i="76"/>
  <c r="J67" i="76"/>
  <c r="N37" i="71"/>
  <c r="N38" i="71"/>
  <c r="M37" i="71"/>
  <c r="M38" i="71"/>
  <c r="T38" i="71"/>
  <c r="T37" i="71"/>
  <c r="T55" i="72"/>
  <c r="H55" i="72"/>
  <c r="S55" i="72"/>
  <c r="G55" i="72"/>
  <c r="R55" i="72"/>
  <c r="F55" i="72"/>
  <c r="Q55" i="72"/>
  <c r="N55" i="72"/>
  <c r="M55" i="72"/>
  <c r="L55" i="72"/>
  <c r="P55" i="72"/>
  <c r="O55" i="72"/>
  <c r="K55" i="72"/>
  <c r="J55" i="72"/>
  <c r="I55" i="72"/>
  <c r="R52" i="69"/>
  <c r="F52" i="69"/>
  <c r="Q52" i="69"/>
  <c r="P52" i="69"/>
  <c r="O52" i="69"/>
  <c r="N52" i="69"/>
  <c r="M52" i="69"/>
  <c r="L52" i="69"/>
  <c r="K52" i="69"/>
  <c r="I52" i="69"/>
  <c r="H52" i="69"/>
  <c r="G52" i="69"/>
  <c r="J52" i="69"/>
  <c r="T52" i="69"/>
  <c r="S52" i="69"/>
  <c r="S64" i="70"/>
  <c r="G64" i="70"/>
  <c r="R64" i="70"/>
  <c r="F64" i="70"/>
  <c r="Q64" i="70"/>
  <c r="P64" i="70"/>
  <c r="M64" i="70"/>
  <c r="J64" i="70"/>
  <c r="I64" i="70"/>
  <c r="H64" i="70"/>
  <c r="O64" i="70"/>
  <c r="T64" i="70"/>
  <c r="N64" i="70"/>
  <c r="K64" i="70"/>
  <c r="L64" i="70"/>
  <c r="R54" i="79"/>
  <c r="F54" i="79"/>
  <c r="Q54" i="79"/>
  <c r="P54" i="79"/>
  <c r="O54" i="79"/>
  <c r="N54" i="79"/>
  <c r="M54" i="79"/>
  <c r="L54" i="79"/>
  <c r="K54" i="79"/>
  <c r="J54" i="79"/>
  <c r="I54" i="79"/>
  <c r="T54" i="79"/>
  <c r="H54" i="79"/>
  <c r="S54" i="79"/>
  <c r="G54" i="79"/>
  <c r="K49" i="80"/>
  <c r="J49" i="80"/>
  <c r="I49" i="80"/>
  <c r="T49" i="80"/>
  <c r="H49" i="80"/>
  <c r="S49" i="80"/>
  <c r="G49" i="80"/>
  <c r="R49" i="80"/>
  <c r="F49" i="80"/>
  <c r="Q49" i="80"/>
  <c r="P49" i="80"/>
  <c r="O49" i="80"/>
  <c r="N49" i="80"/>
  <c r="M49" i="80"/>
  <c r="L49" i="80"/>
  <c r="S61" i="80"/>
  <c r="G61" i="80"/>
  <c r="Q61" i="80"/>
  <c r="P61" i="80"/>
  <c r="O61" i="80"/>
  <c r="N61" i="80"/>
  <c r="M61" i="80"/>
  <c r="L61" i="80"/>
  <c r="J61" i="80"/>
  <c r="T61" i="80"/>
  <c r="R61" i="80"/>
  <c r="K61" i="80"/>
  <c r="I61" i="80"/>
  <c r="H61" i="80"/>
  <c r="F61" i="80"/>
  <c r="M67" i="78"/>
  <c r="L67" i="78"/>
  <c r="K67" i="78"/>
  <c r="J67" i="78"/>
  <c r="I67" i="78"/>
  <c r="T67" i="78"/>
  <c r="H67" i="78"/>
  <c r="S67" i="78"/>
  <c r="G67" i="78"/>
  <c r="R67" i="78"/>
  <c r="F67" i="78"/>
  <c r="Q67" i="78"/>
  <c r="P67" i="78"/>
  <c r="O67" i="78"/>
  <c r="N67" i="78"/>
  <c r="J47" i="77"/>
  <c r="I47" i="77"/>
  <c r="T47" i="77"/>
  <c r="H47" i="77"/>
  <c r="S47" i="77"/>
  <c r="G47" i="77"/>
  <c r="R47" i="77"/>
  <c r="F47" i="77"/>
  <c r="Q47" i="77"/>
  <c r="P47" i="77"/>
  <c r="O47" i="77"/>
  <c r="M47" i="77"/>
  <c r="N47" i="77"/>
  <c r="L47" i="77"/>
  <c r="K47" i="77"/>
  <c r="Q69" i="78"/>
  <c r="P69" i="78"/>
  <c r="O69" i="78"/>
  <c r="N69" i="78"/>
  <c r="M69" i="78"/>
  <c r="L69" i="78"/>
  <c r="K69" i="78"/>
  <c r="J69" i="78"/>
  <c r="T69" i="78"/>
  <c r="S69" i="78"/>
  <c r="R69" i="78"/>
  <c r="I69" i="78"/>
  <c r="H69" i="78"/>
  <c r="G69" i="78"/>
  <c r="F69" i="78"/>
  <c r="N49" i="77"/>
  <c r="M49" i="77"/>
  <c r="L49" i="77"/>
  <c r="K49" i="77"/>
  <c r="J49" i="77"/>
  <c r="I49" i="77"/>
  <c r="T49" i="77"/>
  <c r="H49" i="77"/>
  <c r="S49" i="77"/>
  <c r="G49" i="77"/>
  <c r="Q49" i="77"/>
  <c r="R49" i="77"/>
  <c r="P49" i="77"/>
  <c r="O49" i="77"/>
  <c r="F49" i="77"/>
  <c r="M53" i="76"/>
  <c r="L53" i="76"/>
  <c r="K53" i="76"/>
  <c r="J53" i="76"/>
  <c r="I53" i="76"/>
  <c r="T53" i="76"/>
  <c r="H53" i="76"/>
  <c r="R53" i="76"/>
  <c r="F53" i="76"/>
  <c r="P53" i="76"/>
  <c r="S53" i="76"/>
  <c r="Q53" i="76"/>
  <c r="O53" i="76"/>
  <c r="G53" i="76"/>
  <c r="N53" i="76"/>
  <c r="M68" i="73"/>
  <c r="L68" i="73"/>
  <c r="K68" i="73"/>
  <c r="J68" i="73"/>
  <c r="I68" i="73"/>
  <c r="T68" i="73"/>
  <c r="H68" i="73"/>
  <c r="S68" i="73"/>
  <c r="G68" i="73"/>
  <c r="R68" i="73"/>
  <c r="F68" i="73"/>
  <c r="Q68" i="73"/>
  <c r="N68" i="73"/>
  <c r="P68" i="73"/>
  <c r="O68" i="73"/>
  <c r="P56" i="72"/>
  <c r="O56" i="72"/>
  <c r="N56" i="72"/>
  <c r="M56" i="72"/>
  <c r="J56" i="72"/>
  <c r="I56" i="72"/>
  <c r="T56" i="72"/>
  <c r="H56" i="72"/>
  <c r="K56" i="72"/>
  <c r="G56" i="72"/>
  <c r="F56" i="72"/>
  <c r="R56" i="72"/>
  <c r="S56" i="72"/>
  <c r="Q56" i="72"/>
  <c r="L56" i="72"/>
  <c r="H38" i="71"/>
  <c r="H37" i="71"/>
  <c r="P53" i="72"/>
  <c r="N53" i="72"/>
  <c r="J53" i="72"/>
  <c r="Q53" i="72"/>
  <c r="O53" i="72"/>
  <c r="M53" i="72"/>
  <c r="L53" i="72"/>
  <c r="K53" i="72"/>
  <c r="I53" i="72"/>
  <c r="H53" i="72"/>
  <c r="G53" i="72"/>
  <c r="T53" i="72"/>
  <c r="S53" i="72"/>
  <c r="R53" i="72"/>
  <c r="F53" i="72"/>
  <c r="R37" i="71"/>
  <c r="F38" i="71"/>
  <c r="S67" i="70"/>
  <c r="G67" i="70"/>
  <c r="R67" i="70"/>
  <c r="F67" i="70"/>
  <c r="Q67" i="70"/>
  <c r="P67" i="70"/>
  <c r="M67" i="70"/>
  <c r="T67" i="70"/>
  <c r="O67" i="70"/>
  <c r="N67" i="70"/>
  <c r="L67" i="70"/>
  <c r="J67" i="70"/>
  <c r="K67" i="70"/>
  <c r="I67" i="70"/>
  <c r="H67" i="70"/>
  <c r="T47" i="71"/>
  <c r="H47" i="71"/>
  <c r="S47" i="71"/>
  <c r="G47" i="71"/>
  <c r="R47" i="71"/>
  <c r="F47" i="71"/>
  <c r="Q47" i="71"/>
  <c r="P47" i="71"/>
  <c r="O47" i="71"/>
  <c r="N47" i="71"/>
  <c r="K47" i="71"/>
  <c r="M47" i="71"/>
  <c r="L47" i="71"/>
  <c r="J47" i="71"/>
  <c r="I47" i="71"/>
  <c r="O55" i="70"/>
  <c r="M55" i="70"/>
  <c r="I55" i="70"/>
  <c r="L55" i="70"/>
  <c r="K55" i="70"/>
  <c r="J55" i="70"/>
  <c r="H55" i="70"/>
  <c r="G55" i="70"/>
  <c r="F55" i="70"/>
  <c r="R55" i="70"/>
  <c r="T55" i="70"/>
  <c r="S55" i="70"/>
  <c r="Q55" i="70"/>
  <c r="P55" i="70"/>
  <c r="N55" i="70"/>
  <c r="K68" i="80"/>
  <c r="J68" i="80"/>
  <c r="I68" i="80"/>
  <c r="T68" i="80"/>
  <c r="H68" i="80"/>
  <c r="S68" i="80"/>
  <c r="G68" i="80"/>
  <c r="R68" i="80"/>
  <c r="F68" i="80"/>
  <c r="Q68" i="80"/>
  <c r="P68" i="80"/>
  <c r="N68" i="80"/>
  <c r="O68" i="80"/>
  <c r="M68" i="80"/>
  <c r="L68" i="80"/>
  <c r="Q61" i="78"/>
  <c r="P61" i="78"/>
  <c r="O61" i="78"/>
  <c r="N61" i="78"/>
  <c r="M61" i="78"/>
  <c r="L61" i="78"/>
  <c r="K61" i="78"/>
  <c r="J61" i="78"/>
  <c r="I61" i="78"/>
  <c r="H61" i="78"/>
  <c r="G61" i="78"/>
  <c r="F61" i="78"/>
  <c r="T61" i="78"/>
  <c r="R61" i="78"/>
  <c r="S61" i="78"/>
  <c r="I64" i="76"/>
  <c r="T64" i="76"/>
  <c r="H64" i="76"/>
  <c r="S64" i="76"/>
  <c r="G64" i="76"/>
  <c r="R64" i="76"/>
  <c r="F64" i="76"/>
  <c r="Q64" i="76"/>
  <c r="P64" i="76"/>
  <c r="N64" i="76"/>
  <c r="L64" i="76"/>
  <c r="O64" i="76"/>
  <c r="M64" i="76"/>
  <c r="K64" i="76"/>
  <c r="J64" i="76"/>
  <c r="T52" i="71"/>
  <c r="H52" i="71"/>
  <c r="S52" i="71"/>
  <c r="G52" i="71"/>
  <c r="R52" i="71"/>
  <c r="F52" i="71"/>
  <c r="Q52" i="71"/>
  <c r="P52" i="71"/>
  <c r="O52" i="71"/>
  <c r="N52" i="71"/>
  <c r="K52" i="71"/>
  <c r="M52" i="71"/>
  <c r="L52" i="71"/>
  <c r="J52" i="71"/>
  <c r="I52" i="71"/>
  <c r="R49" i="79"/>
  <c r="F49" i="79"/>
  <c r="Q49" i="79"/>
  <c r="P49" i="79"/>
  <c r="O49" i="79"/>
  <c r="N49" i="79"/>
  <c r="M49" i="79"/>
  <c r="L49" i="79"/>
  <c r="K49" i="79"/>
  <c r="J49" i="79"/>
  <c r="I49" i="79"/>
  <c r="T49" i="79"/>
  <c r="H49" i="79"/>
  <c r="G49" i="79"/>
  <c r="S49" i="79"/>
  <c r="S69" i="80"/>
  <c r="G69" i="80"/>
  <c r="R69" i="80"/>
  <c r="F69" i="80"/>
  <c r="Q69" i="80"/>
  <c r="P69" i="80"/>
  <c r="O69" i="80"/>
  <c r="N69" i="80"/>
  <c r="M69" i="80"/>
  <c r="L69" i="80"/>
  <c r="J69" i="80"/>
  <c r="T69" i="80"/>
  <c r="K69" i="80"/>
  <c r="I69" i="80"/>
  <c r="H69" i="80"/>
  <c r="Q64" i="73"/>
  <c r="P64" i="73"/>
  <c r="O64" i="73"/>
  <c r="N64" i="73"/>
  <c r="M64" i="73"/>
  <c r="L64" i="73"/>
  <c r="K64" i="73"/>
  <c r="J64" i="73"/>
  <c r="I64" i="73"/>
  <c r="T64" i="73"/>
  <c r="S64" i="73"/>
  <c r="R64" i="73"/>
  <c r="H64" i="73"/>
  <c r="G64" i="73"/>
  <c r="F64" i="73"/>
  <c r="M56" i="76"/>
  <c r="L56" i="76"/>
  <c r="K56" i="76"/>
  <c r="J56" i="76"/>
  <c r="I56" i="76"/>
  <c r="T56" i="76"/>
  <c r="H56" i="76"/>
  <c r="R56" i="76"/>
  <c r="F56" i="76"/>
  <c r="P56" i="76"/>
  <c r="S56" i="76"/>
  <c r="Q56" i="76"/>
  <c r="O56" i="76"/>
  <c r="N56" i="76"/>
  <c r="G56" i="76"/>
  <c r="Q60" i="76"/>
  <c r="P60" i="76"/>
  <c r="O60" i="76"/>
  <c r="N60" i="76"/>
  <c r="M60" i="76"/>
  <c r="L60" i="76"/>
  <c r="J60" i="76"/>
  <c r="T60" i="76"/>
  <c r="H60" i="76"/>
  <c r="S60" i="76"/>
  <c r="R60" i="76"/>
  <c r="K60" i="76"/>
  <c r="I60" i="76"/>
  <c r="G60" i="76"/>
  <c r="F60" i="76"/>
  <c r="M60" i="73"/>
  <c r="L60" i="73"/>
  <c r="K60" i="73"/>
  <c r="J60" i="73"/>
  <c r="I60" i="73"/>
  <c r="T60" i="73"/>
  <c r="H60" i="73"/>
  <c r="S60" i="73"/>
  <c r="G60" i="73"/>
  <c r="R60" i="73"/>
  <c r="F60" i="73"/>
  <c r="Q60" i="73"/>
  <c r="N60" i="73"/>
  <c r="P60" i="73"/>
  <c r="O60" i="73"/>
  <c r="K38" i="71"/>
  <c r="K37" i="71"/>
  <c r="G38" i="71"/>
  <c r="O68" i="70"/>
  <c r="N68" i="70"/>
  <c r="M68" i="70"/>
  <c r="L68" i="70"/>
  <c r="I68" i="70"/>
  <c r="G68" i="70"/>
  <c r="F68" i="70"/>
  <c r="T68" i="70"/>
  <c r="S68" i="70"/>
  <c r="R68" i="70"/>
  <c r="Q68" i="70"/>
  <c r="P68" i="70"/>
  <c r="K68" i="70"/>
  <c r="J68" i="70"/>
  <c r="H68" i="70"/>
  <c r="L49" i="71"/>
  <c r="K49" i="71"/>
  <c r="J49" i="71"/>
  <c r="I49" i="71"/>
  <c r="T49" i="71"/>
  <c r="H49" i="71"/>
  <c r="S49" i="71"/>
  <c r="G49" i="71"/>
  <c r="R49" i="71"/>
  <c r="F49" i="71"/>
  <c r="O49" i="71"/>
  <c r="Q49" i="71"/>
  <c r="P49" i="71"/>
  <c r="N49" i="71"/>
  <c r="M49" i="71"/>
  <c r="T55" i="71"/>
  <c r="H55" i="71"/>
  <c r="S55" i="71"/>
  <c r="G55" i="71"/>
  <c r="R55" i="71"/>
  <c r="F55" i="71"/>
  <c r="Q55" i="71"/>
  <c r="P55" i="71"/>
  <c r="O55" i="71"/>
  <c r="N55" i="71"/>
  <c r="K55" i="71"/>
  <c r="M55" i="71"/>
  <c r="L55" i="71"/>
  <c r="J55" i="71"/>
  <c r="I55" i="71"/>
  <c r="M52" i="70"/>
  <c r="I52" i="70"/>
  <c r="N52" i="70"/>
  <c r="L52" i="70"/>
  <c r="K52" i="70"/>
  <c r="J52" i="70"/>
  <c r="H52" i="70"/>
  <c r="G52" i="70"/>
  <c r="T52" i="70"/>
  <c r="F52" i="70"/>
  <c r="S52" i="70"/>
  <c r="R52" i="70"/>
  <c r="Q52" i="70"/>
  <c r="P52" i="70"/>
  <c r="O52" i="70"/>
  <c r="R61" i="77"/>
  <c r="F61" i="77"/>
  <c r="Q61" i="77"/>
  <c r="P61" i="77"/>
  <c r="O61" i="77"/>
  <c r="N61" i="77"/>
  <c r="M61" i="77"/>
  <c r="L61" i="77"/>
  <c r="K61" i="77"/>
  <c r="I61" i="77"/>
  <c r="T61" i="77"/>
  <c r="S61" i="77"/>
  <c r="J61" i="77"/>
  <c r="H61" i="77"/>
  <c r="G61" i="77"/>
  <c r="T54" i="78"/>
  <c r="H54" i="78"/>
  <c r="S54" i="78"/>
  <c r="G54" i="78"/>
  <c r="R54" i="78"/>
  <c r="F54" i="78"/>
  <c r="K54" i="78"/>
  <c r="J54" i="78"/>
  <c r="I54" i="78"/>
  <c r="Q54" i="78"/>
  <c r="P54" i="78"/>
  <c r="N54" i="78"/>
  <c r="O54" i="78"/>
  <c r="L54" i="78"/>
  <c r="M54" i="78"/>
  <c r="I69" i="73"/>
  <c r="T69" i="73"/>
  <c r="H69" i="73"/>
  <c r="S69" i="73"/>
  <c r="G69" i="73"/>
  <c r="R69" i="73"/>
  <c r="F69" i="73"/>
  <c r="Q69" i="73"/>
  <c r="P69" i="73"/>
  <c r="O69" i="73"/>
  <c r="N69" i="73"/>
  <c r="M69" i="73"/>
  <c r="L69" i="73"/>
  <c r="J69" i="73"/>
  <c r="K69" i="73"/>
  <c r="M69" i="76"/>
  <c r="L69" i="76"/>
  <c r="K69" i="76"/>
  <c r="J69" i="76"/>
  <c r="I69" i="76"/>
  <c r="T69" i="76"/>
  <c r="H69" i="76"/>
  <c r="R69" i="76"/>
  <c r="F69" i="76"/>
  <c r="P69" i="76"/>
  <c r="S69" i="76"/>
  <c r="Q69" i="76"/>
  <c r="O69" i="76"/>
  <c r="N69" i="76"/>
  <c r="G69" i="76"/>
  <c r="Q65" i="76"/>
  <c r="P65" i="76"/>
  <c r="O65" i="76"/>
  <c r="N65" i="76"/>
  <c r="M65" i="76"/>
  <c r="L65" i="76"/>
  <c r="J65" i="76"/>
  <c r="T65" i="76"/>
  <c r="H65" i="76"/>
  <c r="R65" i="76"/>
  <c r="K65" i="76"/>
  <c r="I65" i="76"/>
  <c r="G65" i="76"/>
  <c r="F65" i="76"/>
  <c r="S65" i="76"/>
  <c r="M55" i="73"/>
  <c r="L55" i="73"/>
  <c r="K55" i="73"/>
  <c r="J55" i="73"/>
  <c r="I55" i="73"/>
  <c r="T55" i="73"/>
  <c r="H55" i="73"/>
  <c r="S55" i="73"/>
  <c r="G55" i="73"/>
  <c r="R55" i="73"/>
  <c r="F55" i="73"/>
  <c r="Q55" i="73"/>
  <c r="N55" i="73"/>
  <c r="P55" i="73"/>
  <c r="O55" i="73"/>
  <c r="I48" i="72"/>
  <c r="T48" i="72"/>
  <c r="H48" i="72"/>
  <c r="S48" i="72"/>
  <c r="G48" i="72"/>
  <c r="R48" i="72"/>
  <c r="F48" i="72"/>
  <c r="Q48" i="72"/>
  <c r="P48" i="72"/>
  <c r="O48" i="72"/>
  <c r="N48" i="72"/>
  <c r="L48" i="72"/>
  <c r="M48" i="72"/>
  <c r="K48" i="72"/>
  <c r="J48" i="72"/>
  <c r="S48" i="70"/>
  <c r="G48" i="70"/>
  <c r="R48" i="70"/>
  <c r="F48" i="70"/>
  <c r="Q48" i="70"/>
  <c r="P48" i="70"/>
  <c r="O48" i="70"/>
  <c r="N48" i="70"/>
  <c r="M48" i="70"/>
  <c r="L48" i="70"/>
  <c r="K48" i="70"/>
  <c r="J48" i="70"/>
  <c r="T48" i="70"/>
  <c r="I48" i="70"/>
  <c r="H48" i="70"/>
  <c r="T60" i="71"/>
  <c r="H60" i="71"/>
  <c r="S60" i="71"/>
  <c r="G60" i="71"/>
  <c r="R60" i="71"/>
  <c r="F60" i="71"/>
  <c r="Q60" i="71"/>
  <c r="P60" i="71"/>
  <c r="O60" i="71"/>
  <c r="N60" i="71"/>
  <c r="K60" i="71"/>
  <c r="M60" i="71"/>
  <c r="L60" i="71"/>
  <c r="J60" i="71"/>
  <c r="I60" i="71"/>
  <c r="N56" i="69"/>
  <c r="M56" i="69"/>
  <c r="L56" i="69"/>
  <c r="F56" i="69"/>
  <c r="K56" i="69"/>
  <c r="J56" i="69"/>
  <c r="I56" i="69"/>
  <c r="T56" i="69"/>
  <c r="H56" i="69"/>
  <c r="S56" i="69"/>
  <c r="G56" i="69"/>
  <c r="R56" i="69"/>
  <c r="Q56" i="69"/>
  <c r="P56" i="69"/>
  <c r="O56" i="69"/>
  <c r="S46" i="78"/>
  <c r="G46" i="78"/>
  <c r="R46" i="78"/>
  <c r="F46" i="78"/>
  <c r="Q46" i="78"/>
  <c r="P46" i="78"/>
  <c r="O46" i="78"/>
  <c r="N46" i="78"/>
  <c r="M46" i="78"/>
  <c r="L46" i="78"/>
  <c r="J46" i="78"/>
  <c r="T46" i="78"/>
  <c r="K46" i="78"/>
  <c r="H46" i="78"/>
  <c r="I46" i="78"/>
  <c r="T68" i="72"/>
  <c r="H68" i="72"/>
  <c r="S68" i="72"/>
  <c r="G68" i="72"/>
  <c r="R68" i="72"/>
  <c r="F68" i="72"/>
  <c r="Q68" i="72"/>
  <c r="O68" i="72"/>
  <c r="N68" i="72"/>
  <c r="M68" i="72"/>
  <c r="L68" i="72"/>
  <c r="K68" i="72"/>
  <c r="J68" i="72"/>
  <c r="I68" i="72"/>
  <c r="P68" i="72"/>
  <c r="K46" i="80"/>
  <c r="J46" i="80"/>
  <c r="I46" i="80"/>
  <c r="T46" i="80"/>
  <c r="H46" i="80"/>
  <c r="S46" i="80"/>
  <c r="G46" i="80"/>
  <c r="R46" i="80"/>
  <c r="F46" i="80"/>
  <c r="Q46" i="80"/>
  <c r="P46" i="80"/>
  <c r="O46" i="80"/>
  <c r="N46" i="80"/>
  <c r="M46" i="80"/>
  <c r="L46" i="80"/>
  <c r="L56" i="78"/>
  <c r="K56" i="78"/>
  <c r="J56" i="78"/>
  <c r="I56" i="78"/>
  <c r="H56" i="78"/>
  <c r="G56" i="78"/>
  <c r="F56" i="78"/>
  <c r="T56" i="78"/>
  <c r="S56" i="78"/>
  <c r="R56" i="78"/>
  <c r="Q56" i="78"/>
  <c r="O56" i="78"/>
  <c r="P56" i="78"/>
  <c r="N56" i="78"/>
  <c r="M56" i="78"/>
  <c r="T61" i="75"/>
  <c r="H61" i="75"/>
  <c r="S61" i="75"/>
  <c r="G61" i="75"/>
  <c r="R61" i="75"/>
  <c r="F61" i="75"/>
  <c r="Q61" i="75"/>
  <c r="P61" i="75"/>
  <c r="O61" i="75"/>
  <c r="N61" i="75"/>
  <c r="M61" i="75"/>
  <c r="K61" i="75"/>
  <c r="I61" i="75"/>
  <c r="L61" i="75"/>
  <c r="J61" i="75"/>
  <c r="R46" i="79"/>
  <c r="F46" i="79"/>
  <c r="Q46" i="79"/>
  <c r="P46" i="79"/>
  <c r="O46" i="79"/>
  <c r="N46" i="79"/>
  <c r="M46" i="79"/>
  <c r="L46" i="79"/>
  <c r="K46" i="79"/>
  <c r="J46" i="79"/>
  <c r="I46" i="79"/>
  <c r="T46" i="79"/>
  <c r="H46" i="79"/>
  <c r="S46" i="79"/>
  <c r="G46" i="79"/>
  <c r="R52" i="80"/>
  <c r="T52" i="80"/>
  <c r="G52" i="80"/>
  <c r="S52" i="80"/>
  <c r="F52" i="80"/>
  <c r="Q52" i="80"/>
  <c r="P52" i="80"/>
  <c r="O52" i="80"/>
  <c r="N52" i="80"/>
  <c r="M52" i="80"/>
  <c r="L52" i="80"/>
  <c r="K52" i="80"/>
  <c r="J52" i="80"/>
  <c r="I52" i="80"/>
  <c r="H52" i="80"/>
  <c r="O67" i="80"/>
  <c r="N67" i="80"/>
  <c r="M67" i="80"/>
  <c r="L67" i="80"/>
  <c r="K67" i="80"/>
  <c r="J67" i="80"/>
  <c r="I67" i="80"/>
  <c r="T67" i="80"/>
  <c r="H67" i="80"/>
  <c r="R67" i="80"/>
  <c r="F67" i="80"/>
  <c r="Q67" i="80"/>
  <c r="P67" i="80"/>
  <c r="G67" i="80"/>
  <c r="S67" i="80"/>
  <c r="J69" i="79"/>
  <c r="I69" i="79"/>
  <c r="T69" i="79"/>
  <c r="H69" i="79"/>
  <c r="S69" i="79"/>
  <c r="G69" i="79"/>
  <c r="R69" i="79"/>
  <c r="F69" i="79"/>
  <c r="Q69" i="79"/>
  <c r="P69" i="79"/>
  <c r="O69" i="79"/>
  <c r="N69" i="79"/>
  <c r="M69" i="79"/>
  <c r="L69" i="79"/>
  <c r="K69" i="79"/>
  <c r="R56" i="77"/>
  <c r="F56" i="77"/>
  <c r="Q56" i="77"/>
  <c r="P56" i="77"/>
  <c r="O56" i="77"/>
  <c r="N56" i="77"/>
  <c r="M56" i="77"/>
  <c r="L56" i="77"/>
  <c r="K56" i="77"/>
  <c r="I56" i="77"/>
  <c r="T56" i="77"/>
  <c r="S56" i="77"/>
  <c r="J56" i="77"/>
  <c r="H56" i="77"/>
  <c r="G56" i="77"/>
  <c r="P55" i="78"/>
  <c r="O55" i="78"/>
  <c r="N55" i="78"/>
  <c r="J55" i="78"/>
  <c r="I55" i="78"/>
  <c r="H55" i="78"/>
  <c r="G55" i="78"/>
  <c r="F55" i="78"/>
  <c r="T55" i="78"/>
  <c r="S55" i="78"/>
  <c r="R55" i="78"/>
  <c r="M55" i="78"/>
  <c r="Q55" i="78"/>
  <c r="L55" i="78"/>
  <c r="K55" i="78"/>
  <c r="T56" i="75"/>
  <c r="H56" i="75"/>
  <c r="S56" i="75"/>
  <c r="G56" i="75"/>
  <c r="R56" i="75"/>
  <c r="F56" i="75"/>
  <c r="Q56" i="75"/>
  <c r="P56" i="75"/>
  <c r="O56" i="75"/>
  <c r="N56" i="75"/>
  <c r="M56" i="75"/>
  <c r="K56" i="75"/>
  <c r="L56" i="75"/>
  <c r="J56" i="75"/>
  <c r="I56" i="75"/>
  <c r="Q54" i="73"/>
  <c r="P54" i="73"/>
  <c r="O54" i="73"/>
  <c r="N54" i="73"/>
  <c r="M54" i="73"/>
  <c r="L54" i="73"/>
  <c r="K54" i="73"/>
  <c r="J54" i="73"/>
  <c r="I54" i="73"/>
  <c r="T54" i="73"/>
  <c r="S54" i="73"/>
  <c r="R54" i="73"/>
  <c r="H54" i="73"/>
  <c r="G54" i="73"/>
  <c r="F54" i="73"/>
  <c r="N46" i="76"/>
  <c r="I46" i="76"/>
  <c r="H46" i="76"/>
  <c r="T46" i="76"/>
  <c r="G46" i="76"/>
  <c r="S46" i="76"/>
  <c r="F46" i="76"/>
  <c r="R46" i="76"/>
  <c r="Q46" i="76"/>
  <c r="P46" i="76"/>
  <c r="O46" i="76"/>
  <c r="L46" i="76"/>
  <c r="K46" i="76"/>
  <c r="J46" i="76"/>
  <c r="M46" i="76"/>
  <c r="Q68" i="76"/>
  <c r="P68" i="76"/>
  <c r="O68" i="76"/>
  <c r="N68" i="76"/>
  <c r="M68" i="76"/>
  <c r="L68" i="76"/>
  <c r="J68" i="76"/>
  <c r="T68" i="76"/>
  <c r="H68" i="76"/>
  <c r="F68" i="76"/>
  <c r="S68" i="76"/>
  <c r="K68" i="76"/>
  <c r="I68" i="76"/>
  <c r="G68" i="76"/>
  <c r="R68" i="76"/>
  <c r="M52" i="73"/>
  <c r="L52" i="73"/>
  <c r="K52" i="73"/>
  <c r="J52" i="73"/>
  <c r="I52" i="73"/>
  <c r="T52" i="73"/>
  <c r="H52" i="73"/>
  <c r="S52" i="73"/>
  <c r="G52" i="73"/>
  <c r="R52" i="73"/>
  <c r="F52" i="73"/>
  <c r="Q52" i="73"/>
  <c r="N52" i="73"/>
  <c r="P52" i="73"/>
  <c r="O52" i="73"/>
  <c r="K53" i="70"/>
  <c r="I53" i="70"/>
  <c r="Q53" i="70"/>
  <c r="M53" i="70"/>
  <c r="R53" i="70"/>
  <c r="L53" i="70"/>
  <c r="J53" i="70"/>
  <c r="H53" i="70"/>
  <c r="G53" i="70"/>
  <c r="F53" i="70"/>
  <c r="T53" i="70"/>
  <c r="S53" i="70"/>
  <c r="P53" i="70"/>
  <c r="N53" i="70"/>
  <c r="O53" i="70"/>
  <c r="T65" i="71"/>
  <c r="H65" i="71"/>
  <c r="S65" i="71"/>
  <c r="G65" i="71"/>
  <c r="R65" i="71"/>
  <c r="F65" i="71"/>
  <c r="Q65" i="71"/>
  <c r="P65" i="71"/>
  <c r="O65" i="71"/>
  <c r="N65" i="71"/>
  <c r="M65" i="71"/>
  <c r="K65" i="71"/>
  <c r="J65" i="71"/>
  <c r="I65" i="71"/>
  <c r="L65" i="71"/>
  <c r="L67" i="71"/>
  <c r="K67" i="71"/>
  <c r="J67" i="71"/>
  <c r="I67" i="71"/>
  <c r="T67" i="71"/>
  <c r="H67" i="71"/>
  <c r="S67" i="71"/>
  <c r="G67" i="71"/>
  <c r="R67" i="71"/>
  <c r="F67" i="71"/>
  <c r="Q67" i="71"/>
  <c r="O67" i="71"/>
  <c r="P67" i="71"/>
  <c r="N67" i="71"/>
  <c r="M67" i="71"/>
  <c r="Q55" i="76"/>
  <c r="P55" i="76"/>
  <c r="O55" i="76"/>
  <c r="N55" i="76"/>
  <c r="M55" i="76"/>
  <c r="L55" i="76"/>
  <c r="J55" i="76"/>
  <c r="T55" i="76"/>
  <c r="H55" i="76"/>
  <c r="F55" i="76"/>
  <c r="S55" i="76"/>
  <c r="K55" i="76"/>
  <c r="I55" i="76"/>
  <c r="G55" i="76"/>
  <c r="R55" i="76"/>
  <c r="S47" i="80"/>
  <c r="G47" i="80"/>
  <c r="R47" i="80"/>
  <c r="F47" i="80"/>
  <c r="Q47" i="80"/>
  <c r="P47" i="80"/>
  <c r="O47" i="80"/>
  <c r="N47" i="80"/>
  <c r="M47" i="80"/>
  <c r="L47" i="80"/>
  <c r="K47" i="80"/>
  <c r="J47" i="80"/>
  <c r="I47" i="80"/>
  <c r="T47" i="80"/>
  <c r="H47" i="80"/>
  <c r="O64" i="80"/>
  <c r="N64" i="80"/>
  <c r="M64" i="80"/>
  <c r="L64" i="80"/>
  <c r="K64" i="80"/>
  <c r="J64" i="80"/>
  <c r="I64" i="80"/>
  <c r="T64" i="80"/>
  <c r="H64" i="80"/>
  <c r="R64" i="80"/>
  <c r="F64" i="80"/>
  <c r="Q64" i="80"/>
  <c r="P64" i="80"/>
  <c r="G64" i="80"/>
  <c r="S64" i="80"/>
  <c r="O48" i="80"/>
  <c r="N48" i="80"/>
  <c r="M48" i="80"/>
  <c r="L48" i="80"/>
  <c r="K48" i="80"/>
  <c r="J48" i="80"/>
  <c r="I48" i="80"/>
  <c r="T48" i="80"/>
  <c r="H48" i="80"/>
  <c r="S48" i="80"/>
  <c r="G48" i="80"/>
  <c r="R48" i="80"/>
  <c r="F48" i="80"/>
  <c r="Q48" i="80"/>
  <c r="P48" i="80"/>
  <c r="R53" i="77"/>
  <c r="F53" i="77"/>
  <c r="Q53" i="77"/>
  <c r="P53" i="77"/>
  <c r="O53" i="77"/>
  <c r="N53" i="77"/>
  <c r="M53" i="77"/>
  <c r="L53" i="77"/>
  <c r="K53" i="77"/>
  <c r="I53" i="77"/>
  <c r="T53" i="77"/>
  <c r="S53" i="77"/>
  <c r="J53" i="77"/>
  <c r="H53" i="77"/>
  <c r="G53" i="77"/>
  <c r="Q49" i="73"/>
  <c r="P49" i="73"/>
  <c r="O49" i="73"/>
  <c r="N49" i="73"/>
  <c r="M49" i="73"/>
  <c r="L49" i="73"/>
  <c r="K49" i="73"/>
  <c r="J49" i="73"/>
  <c r="I49" i="73"/>
  <c r="T49" i="73"/>
  <c r="S49" i="73"/>
  <c r="R49" i="73"/>
  <c r="H49" i="73"/>
  <c r="G49" i="73"/>
  <c r="F49" i="73"/>
  <c r="I61" i="73"/>
  <c r="T61" i="73"/>
  <c r="H61" i="73"/>
  <c r="S61" i="73"/>
  <c r="G61" i="73"/>
  <c r="R61" i="73"/>
  <c r="F61" i="73"/>
  <c r="Q61" i="73"/>
  <c r="P61" i="73"/>
  <c r="O61" i="73"/>
  <c r="N61" i="73"/>
  <c r="M61" i="73"/>
  <c r="L61" i="73"/>
  <c r="J61" i="73"/>
  <c r="K61" i="73"/>
  <c r="M61" i="76"/>
  <c r="L61" i="76"/>
  <c r="K61" i="76"/>
  <c r="J61" i="76"/>
  <c r="I61" i="76"/>
  <c r="T61" i="76"/>
  <c r="H61" i="76"/>
  <c r="R61" i="76"/>
  <c r="F61" i="76"/>
  <c r="P61" i="76"/>
  <c r="N61" i="76"/>
  <c r="G61" i="76"/>
  <c r="S61" i="76"/>
  <c r="Q61" i="76"/>
  <c r="O61" i="76"/>
  <c r="M47" i="73"/>
  <c r="L47" i="73"/>
  <c r="K47" i="73"/>
  <c r="J47" i="73"/>
  <c r="I47" i="73"/>
  <c r="T47" i="73"/>
  <c r="H47" i="73"/>
  <c r="S47" i="73"/>
  <c r="G47" i="73"/>
  <c r="R47" i="73"/>
  <c r="F47" i="73"/>
  <c r="Q47" i="73"/>
  <c r="N47" i="73"/>
  <c r="P47" i="73"/>
  <c r="O47" i="73"/>
  <c r="L64" i="72"/>
  <c r="K64" i="72"/>
  <c r="J64" i="72"/>
  <c r="I64" i="72"/>
  <c r="S64" i="72"/>
  <c r="G64" i="72"/>
  <c r="R64" i="72"/>
  <c r="F64" i="72"/>
  <c r="Q64" i="72"/>
  <c r="P64" i="72"/>
  <c r="T64" i="72"/>
  <c r="N64" i="72"/>
  <c r="O64" i="72"/>
  <c r="M64" i="72"/>
  <c r="H64" i="72"/>
  <c r="R65" i="69"/>
  <c r="F65" i="69"/>
  <c r="Q65" i="69"/>
  <c r="P65" i="69"/>
  <c r="O65" i="69"/>
  <c r="N65" i="69"/>
  <c r="M65" i="69"/>
  <c r="L65" i="69"/>
  <c r="J65" i="69"/>
  <c r="K65" i="69"/>
  <c r="I65" i="69"/>
  <c r="T65" i="69"/>
  <c r="S65" i="69"/>
  <c r="H65" i="69"/>
  <c r="G65" i="69"/>
  <c r="K56" i="70"/>
  <c r="I56" i="70"/>
  <c r="T56" i="70"/>
  <c r="Q56" i="70"/>
  <c r="M56" i="70"/>
  <c r="L56" i="70"/>
  <c r="R56" i="70"/>
  <c r="J56" i="70"/>
  <c r="H56" i="70"/>
  <c r="G56" i="70"/>
  <c r="F56" i="70"/>
  <c r="S56" i="70"/>
  <c r="P56" i="70"/>
  <c r="O56" i="70"/>
  <c r="N56" i="70"/>
  <c r="T68" i="71"/>
  <c r="H68" i="71"/>
  <c r="S68" i="71"/>
  <c r="G68" i="71"/>
  <c r="R68" i="71"/>
  <c r="F68" i="71"/>
  <c r="Q68" i="71"/>
  <c r="P68" i="71"/>
  <c r="O68" i="71"/>
  <c r="N68" i="71"/>
  <c r="M68" i="71"/>
  <c r="K68" i="71"/>
  <c r="J68" i="71"/>
  <c r="I68" i="71"/>
  <c r="L68" i="71"/>
  <c r="N53" i="69"/>
  <c r="M53" i="69"/>
  <c r="L53" i="69"/>
  <c r="K53" i="69"/>
  <c r="J53" i="69"/>
  <c r="I53" i="69"/>
  <c r="T53" i="69"/>
  <c r="H53" i="69"/>
  <c r="S53" i="69"/>
  <c r="G53" i="69"/>
  <c r="Q53" i="69"/>
  <c r="R53" i="69"/>
  <c r="P53" i="69"/>
  <c r="O53" i="69"/>
  <c r="F53" i="69"/>
  <c r="N60" i="79"/>
  <c r="M60" i="79"/>
  <c r="L60" i="79"/>
  <c r="K60" i="79"/>
  <c r="J60" i="79"/>
  <c r="I60" i="79"/>
  <c r="T60" i="79"/>
  <c r="H60" i="79"/>
  <c r="S60" i="79"/>
  <c r="G60" i="79"/>
  <c r="R60" i="79"/>
  <c r="F60" i="79"/>
  <c r="Q60" i="79"/>
  <c r="P60" i="79"/>
  <c r="O60" i="79"/>
  <c r="J55" i="77"/>
  <c r="I55" i="77"/>
  <c r="T55" i="77"/>
  <c r="H55" i="77"/>
  <c r="S55" i="77"/>
  <c r="G55" i="77"/>
  <c r="R55" i="77"/>
  <c r="F55" i="77"/>
  <c r="Q55" i="77"/>
  <c r="P55" i="77"/>
  <c r="O55" i="77"/>
  <c r="M55" i="77"/>
  <c r="N55" i="77"/>
  <c r="L55" i="77"/>
  <c r="K55" i="77"/>
  <c r="J61" i="79"/>
  <c r="I61" i="79"/>
  <c r="T61" i="79"/>
  <c r="H61" i="79"/>
  <c r="S61" i="79"/>
  <c r="G61" i="79"/>
  <c r="R61" i="79"/>
  <c r="F61" i="79"/>
  <c r="Q61" i="79"/>
  <c r="P61" i="79"/>
  <c r="O61" i="79"/>
  <c r="N61" i="79"/>
  <c r="M61" i="79"/>
  <c r="L61" i="79"/>
  <c r="K61" i="79"/>
  <c r="R48" i="77"/>
  <c r="F48" i="77"/>
  <c r="Q48" i="77"/>
  <c r="P48" i="77"/>
  <c r="O48" i="77"/>
  <c r="N48" i="77"/>
  <c r="M48" i="77"/>
  <c r="L48" i="77"/>
  <c r="K48" i="77"/>
  <c r="I48" i="77"/>
  <c r="T48" i="77"/>
  <c r="S48" i="77"/>
  <c r="J48" i="77"/>
  <c r="H48" i="77"/>
  <c r="G48" i="77"/>
  <c r="L53" i="78"/>
  <c r="K53" i="78"/>
  <c r="J53" i="78"/>
  <c r="I53" i="78"/>
  <c r="H53" i="78"/>
  <c r="T53" i="78"/>
  <c r="G53" i="78"/>
  <c r="S53" i="78"/>
  <c r="F53" i="78"/>
  <c r="R53" i="78"/>
  <c r="Q53" i="78"/>
  <c r="O53" i="78"/>
  <c r="M53" i="78"/>
  <c r="P53" i="78"/>
  <c r="N53" i="78"/>
  <c r="T53" i="75"/>
  <c r="H53" i="75"/>
  <c r="S53" i="75"/>
  <c r="G53" i="75"/>
  <c r="R53" i="75"/>
  <c r="F53" i="75"/>
  <c r="Q53" i="75"/>
  <c r="P53" i="75"/>
  <c r="O53" i="75"/>
  <c r="N53" i="75"/>
  <c r="M53" i="75"/>
  <c r="K53" i="75"/>
  <c r="L53" i="75"/>
  <c r="J53" i="75"/>
  <c r="I53" i="75"/>
  <c r="Q46" i="73"/>
  <c r="P46" i="73"/>
  <c r="O46" i="73"/>
  <c r="N46" i="73"/>
  <c r="M46" i="73"/>
  <c r="L46" i="73"/>
  <c r="K46" i="73"/>
  <c r="J46" i="73"/>
  <c r="I46" i="73"/>
  <c r="T46" i="73"/>
  <c r="S46" i="73"/>
  <c r="R46" i="73"/>
  <c r="H46" i="73"/>
  <c r="G46" i="73"/>
  <c r="F46" i="73"/>
  <c r="I56" i="73"/>
  <c r="T56" i="73"/>
  <c r="H56" i="73"/>
  <c r="S56" i="73"/>
  <c r="G56" i="73"/>
  <c r="R56" i="73"/>
  <c r="F56" i="73"/>
  <c r="Q56" i="73"/>
  <c r="P56" i="73"/>
  <c r="O56" i="73"/>
  <c r="N56" i="73"/>
  <c r="M56" i="73"/>
  <c r="L56" i="73"/>
  <c r="J56" i="73"/>
  <c r="K56" i="73"/>
  <c r="M47" i="76"/>
  <c r="J47" i="76"/>
  <c r="T47" i="76"/>
  <c r="F47" i="76"/>
  <c r="S47" i="76"/>
  <c r="R47" i="76"/>
  <c r="Q47" i="76"/>
  <c r="P47" i="76"/>
  <c r="O47" i="76"/>
  <c r="N47" i="76"/>
  <c r="L47" i="76"/>
  <c r="I47" i="76"/>
  <c r="H47" i="76"/>
  <c r="G47" i="76"/>
  <c r="K47" i="76"/>
  <c r="L19" i="71"/>
  <c r="F37" i="71"/>
  <c r="L67" i="72"/>
  <c r="K67" i="72"/>
  <c r="J67" i="72"/>
  <c r="I67" i="72"/>
  <c r="S67" i="72"/>
  <c r="G67" i="72"/>
  <c r="R67" i="72"/>
  <c r="F67" i="72"/>
  <c r="Q67" i="72"/>
  <c r="P67" i="72"/>
  <c r="T67" i="72"/>
  <c r="O67" i="72"/>
  <c r="N67" i="72"/>
  <c r="M67" i="72"/>
  <c r="H67" i="72"/>
  <c r="K61" i="70"/>
  <c r="J61" i="70"/>
  <c r="I61" i="70"/>
  <c r="T61" i="70"/>
  <c r="H61" i="70"/>
  <c r="Q61" i="70"/>
  <c r="S61" i="70"/>
  <c r="R61" i="70"/>
  <c r="P61" i="70"/>
  <c r="O61" i="70"/>
  <c r="N61" i="70"/>
  <c r="M61" i="70"/>
  <c r="L61" i="70"/>
  <c r="G61" i="70"/>
  <c r="F61" i="70"/>
  <c r="R64" i="79"/>
  <c r="F64" i="79"/>
  <c r="Q64" i="79"/>
  <c r="P64" i="79"/>
  <c r="O64" i="79"/>
  <c r="N64" i="79"/>
  <c r="M64" i="79"/>
  <c r="L64" i="79"/>
  <c r="K64" i="79"/>
  <c r="J64" i="79"/>
  <c r="I64" i="79"/>
  <c r="T64" i="79"/>
  <c r="H64" i="79"/>
  <c r="S64" i="79"/>
  <c r="G64" i="79"/>
  <c r="Q67" i="73"/>
  <c r="P67" i="73"/>
  <c r="O67" i="73"/>
  <c r="N67" i="73"/>
  <c r="M67" i="73"/>
  <c r="L67" i="73"/>
  <c r="K67" i="73"/>
  <c r="J67" i="73"/>
  <c r="I67" i="73"/>
  <c r="T67" i="73"/>
  <c r="S67" i="73"/>
  <c r="R67" i="73"/>
  <c r="H67" i="73"/>
  <c r="G67" i="73"/>
  <c r="F67" i="73"/>
  <c r="M65" i="73"/>
  <c r="L65" i="73"/>
  <c r="K65" i="73"/>
  <c r="J65" i="73"/>
  <c r="I65" i="73"/>
  <c r="T65" i="73"/>
  <c r="H65" i="73"/>
  <c r="S65" i="73"/>
  <c r="G65" i="73"/>
  <c r="R65" i="73"/>
  <c r="F65" i="73"/>
  <c r="Q65" i="73"/>
  <c r="N65" i="73"/>
  <c r="P65" i="73"/>
  <c r="O65" i="73"/>
  <c r="K47" i="70"/>
  <c r="J47" i="70"/>
  <c r="I47" i="70"/>
  <c r="T47" i="70"/>
  <c r="H47" i="70"/>
  <c r="O47" i="70"/>
  <c r="S47" i="70"/>
  <c r="G47" i="70"/>
  <c r="R47" i="70"/>
  <c r="F47" i="70"/>
  <c r="Q47" i="70"/>
  <c r="P47" i="70"/>
  <c r="N47" i="70"/>
  <c r="M47" i="70"/>
  <c r="L47" i="70"/>
  <c r="J56" i="79"/>
  <c r="I56" i="79"/>
  <c r="T56" i="79"/>
  <c r="H56" i="79"/>
  <c r="S56" i="79"/>
  <c r="G56" i="79"/>
  <c r="R56" i="79"/>
  <c r="F56" i="79"/>
  <c r="Q56" i="79"/>
  <c r="P56" i="79"/>
  <c r="O56" i="79"/>
  <c r="N56" i="79"/>
  <c r="M56" i="79"/>
  <c r="L56" i="79"/>
  <c r="K56" i="79"/>
  <c r="K55" i="80"/>
  <c r="I55" i="80"/>
  <c r="T55" i="80"/>
  <c r="H55" i="80"/>
  <c r="S55" i="80"/>
  <c r="G55" i="80"/>
  <c r="R55" i="80"/>
  <c r="F55" i="80"/>
  <c r="Q55" i="80"/>
  <c r="P55" i="80"/>
  <c r="N55" i="80"/>
  <c r="O55" i="80"/>
  <c r="M55" i="80"/>
  <c r="L55" i="80"/>
  <c r="J55" i="80"/>
  <c r="J68" i="77"/>
  <c r="I68" i="77"/>
  <c r="T68" i="77"/>
  <c r="H68" i="77"/>
  <c r="S68" i="77"/>
  <c r="G68" i="77"/>
  <c r="R68" i="77"/>
  <c r="F68" i="77"/>
  <c r="Q68" i="77"/>
  <c r="P68" i="77"/>
  <c r="O68" i="77"/>
  <c r="M68" i="77"/>
  <c r="N68" i="77"/>
  <c r="L68" i="77"/>
  <c r="K68" i="77"/>
  <c r="K48" i="78"/>
  <c r="J48" i="78"/>
  <c r="I48" i="78"/>
  <c r="T48" i="78"/>
  <c r="H48" i="78"/>
  <c r="S48" i="78"/>
  <c r="G48" i="78"/>
  <c r="R48" i="78"/>
  <c r="F48" i="78"/>
  <c r="Q48" i="78"/>
  <c r="P48" i="78"/>
  <c r="N48" i="78"/>
  <c r="L48" i="78"/>
  <c r="O48" i="78"/>
  <c r="M48" i="78"/>
  <c r="I53" i="73"/>
  <c r="T53" i="73"/>
  <c r="H53" i="73"/>
  <c r="S53" i="73"/>
  <c r="G53" i="73"/>
  <c r="R53" i="73"/>
  <c r="F53" i="73"/>
  <c r="Q53" i="73"/>
  <c r="P53" i="73"/>
  <c r="O53" i="73"/>
  <c r="N53" i="73"/>
  <c r="M53" i="73"/>
  <c r="L53" i="73"/>
  <c r="J53" i="73"/>
  <c r="K53" i="73"/>
  <c r="T49" i="76"/>
  <c r="H49" i="76"/>
  <c r="S49" i="76"/>
  <c r="G49" i="76"/>
  <c r="R49" i="76"/>
  <c r="F49" i="76"/>
  <c r="Q49" i="76"/>
  <c r="P49" i="76"/>
  <c r="N49" i="76"/>
  <c r="K49" i="76"/>
  <c r="J49" i="76"/>
  <c r="I49" i="76"/>
  <c r="O49" i="76"/>
  <c r="M49" i="76"/>
  <c r="L49" i="76"/>
  <c r="L37" i="71"/>
  <c r="L38" i="71"/>
  <c r="L54" i="71"/>
  <c r="K54" i="71"/>
  <c r="J54" i="71"/>
  <c r="I54" i="71"/>
  <c r="T54" i="71"/>
  <c r="H54" i="71"/>
  <c r="S54" i="71"/>
  <c r="G54" i="71"/>
  <c r="R54" i="71"/>
  <c r="F54" i="71"/>
  <c r="O54" i="71"/>
  <c r="Q54" i="71"/>
  <c r="P54" i="71"/>
  <c r="N54" i="71"/>
  <c r="M54" i="71"/>
  <c r="R60" i="69"/>
  <c r="F60" i="69"/>
  <c r="Q60" i="69"/>
  <c r="P60" i="69"/>
  <c r="O60" i="69"/>
  <c r="J60" i="69"/>
  <c r="N60" i="69"/>
  <c r="M60" i="69"/>
  <c r="L60" i="69"/>
  <c r="K60" i="69"/>
  <c r="I60" i="69"/>
  <c r="H60" i="69"/>
  <c r="G60" i="69"/>
  <c r="S60" i="69"/>
  <c r="T60" i="69"/>
  <c r="P56" i="71"/>
  <c r="O56" i="71"/>
  <c r="N56" i="71"/>
  <c r="M56" i="71"/>
  <c r="L56" i="71"/>
  <c r="K56" i="71"/>
  <c r="J56" i="71"/>
  <c r="S56" i="71"/>
  <c r="G56" i="71"/>
  <c r="I56" i="71"/>
  <c r="H56" i="71"/>
  <c r="F56" i="71"/>
  <c r="T56" i="71"/>
  <c r="R56" i="71"/>
  <c r="Q56" i="71"/>
  <c r="N48" i="69"/>
  <c r="M48" i="69"/>
  <c r="L48" i="69"/>
  <c r="K48" i="69"/>
  <c r="J48" i="69"/>
  <c r="I48" i="69"/>
  <c r="T48" i="69"/>
  <c r="H48" i="69"/>
  <c r="S48" i="69"/>
  <c r="G48" i="69"/>
  <c r="Q48" i="69"/>
  <c r="R48" i="69"/>
  <c r="P48" i="69"/>
  <c r="O48" i="69"/>
  <c r="F48" i="69"/>
  <c r="Q38" i="71"/>
  <c r="J48" i="79"/>
  <c r="I48" i="79"/>
  <c r="T48" i="79"/>
  <c r="H48" i="79"/>
  <c r="S48" i="79"/>
  <c r="G48" i="79"/>
  <c r="R48" i="79"/>
  <c r="F48" i="79"/>
  <c r="Q48" i="79"/>
  <c r="P48" i="79"/>
  <c r="O48" i="79"/>
  <c r="N48" i="79"/>
  <c r="M48" i="79"/>
  <c r="L48" i="79"/>
  <c r="K48" i="79"/>
  <c r="R47" i="69"/>
  <c r="F47" i="69"/>
  <c r="Q47" i="69"/>
  <c r="P47" i="69"/>
  <c r="O47" i="69"/>
  <c r="N47" i="69"/>
  <c r="M47" i="69"/>
  <c r="L47" i="69"/>
  <c r="K47" i="69"/>
  <c r="I47" i="69"/>
  <c r="J47" i="69"/>
  <c r="H47" i="69"/>
  <c r="G47" i="69"/>
  <c r="S47" i="69"/>
  <c r="T47" i="69"/>
  <c r="J53" i="79"/>
  <c r="I53" i="79"/>
  <c r="T53" i="79"/>
  <c r="H53" i="79"/>
  <c r="S53" i="79"/>
  <c r="G53" i="79"/>
  <c r="R53" i="79"/>
  <c r="F53" i="79"/>
  <c r="Q53" i="79"/>
  <c r="P53" i="79"/>
  <c r="O53" i="79"/>
  <c r="N53" i="79"/>
  <c r="M53" i="79"/>
  <c r="L53" i="79"/>
  <c r="K53" i="79"/>
  <c r="N68" i="79"/>
  <c r="M68" i="79"/>
  <c r="L68" i="79"/>
  <c r="K68" i="79"/>
  <c r="J68" i="79"/>
  <c r="I68" i="79"/>
  <c r="T68" i="79"/>
  <c r="H68" i="79"/>
  <c r="S68" i="79"/>
  <c r="G68" i="79"/>
  <c r="R68" i="79"/>
  <c r="F68" i="79"/>
  <c r="Q68" i="79"/>
  <c r="P68" i="79"/>
  <c r="O68" i="79"/>
  <c r="K60" i="80"/>
  <c r="I60" i="80"/>
  <c r="T60" i="80"/>
  <c r="H60" i="80"/>
  <c r="S60" i="80"/>
  <c r="G60" i="80"/>
  <c r="R60" i="80"/>
  <c r="F60" i="80"/>
  <c r="Q60" i="80"/>
  <c r="P60" i="80"/>
  <c r="N60" i="80"/>
  <c r="L60" i="80"/>
  <c r="J60" i="80"/>
  <c r="O60" i="80"/>
  <c r="M60" i="80"/>
  <c r="J65" i="77"/>
  <c r="I65" i="77"/>
  <c r="T65" i="77"/>
  <c r="H65" i="77"/>
  <c r="S65" i="77"/>
  <c r="G65" i="77"/>
  <c r="R65" i="77"/>
  <c r="F65" i="77"/>
  <c r="Q65" i="77"/>
  <c r="P65" i="77"/>
  <c r="O65" i="77"/>
  <c r="M65" i="77"/>
  <c r="N65" i="77"/>
  <c r="L65" i="77"/>
  <c r="K65" i="77"/>
  <c r="I65" i="78"/>
  <c r="T65" i="78"/>
  <c r="H65" i="78"/>
  <c r="S65" i="78"/>
  <c r="G65" i="78"/>
  <c r="R65" i="78"/>
  <c r="F65" i="78"/>
  <c r="Q65" i="78"/>
  <c r="P65" i="78"/>
  <c r="O65" i="78"/>
  <c r="N65" i="78"/>
  <c r="M65" i="78"/>
  <c r="L65" i="78"/>
  <c r="K65" i="78"/>
  <c r="J65" i="78"/>
  <c r="N67" i="77"/>
  <c r="M67" i="77"/>
  <c r="L67" i="77"/>
  <c r="K67" i="77"/>
  <c r="J67" i="77"/>
  <c r="I67" i="77"/>
  <c r="T67" i="77"/>
  <c r="H67" i="77"/>
  <c r="S67" i="77"/>
  <c r="G67" i="77"/>
  <c r="Q67" i="77"/>
  <c r="R67" i="77"/>
  <c r="P67" i="77"/>
  <c r="O67" i="77"/>
  <c r="F67" i="77"/>
  <c r="T48" i="75"/>
  <c r="H48" i="75"/>
  <c r="S48" i="75"/>
  <c r="G48" i="75"/>
  <c r="R48" i="75"/>
  <c r="F48" i="75"/>
  <c r="Q48" i="75"/>
  <c r="P48" i="75"/>
  <c r="O48" i="75"/>
  <c r="N48" i="75"/>
  <c r="M48" i="75"/>
  <c r="K48" i="75"/>
  <c r="I48" i="75"/>
  <c r="L48" i="75"/>
  <c r="J48" i="75"/>
  <c r="I48" i="73"/>
  <c r="T48" i="73"/>
  <c r="H48" i="73"/>
  <c r="S48" i="73"/>
  <c r="G48" i="73"/>
  <c r="R48" i="73"/>
  <c r="F48" i="73"/>
  <c r="Q48" i="73"/>
  <c r="P48" i="73"/>
  <c r="O48" i="73"/>
  <c r="N48" i="73"/>
  <c r="M48" i="73"/>
  <c r="L48" i="73"/>
  <c r="J48" i="73"/>
  <c r="K48" i="73"/>
  <c r="I54" i="76"/>
  <c r="T54" i="76"/>
  <c r="H54" i="76"/>
  <c r="S54" i="76"/>
  <c r="G54" i="76"/>
  <c r="R54" i="76"/>
  <c r="F54" i="76"/>
  <c r="Q54" i="76"/>
  <c r="P54" i="76"/>
  <c r="N54" i="76"/>
  <c r="L54" i="76"/>
  <c r="O54" i="76"/>
  <c r="M54" i="76"/>
  <c r="K54" i="76"/>
  <c r="J54" i="76"/>
  <c r="R49" i="72"/>
  <c r="F49" i="72"/>
  <c r="S49" i="72"/>
  <c r="Q49" i="72"/>
  <c r="P49" i="72"/>
  <c r="O49" i="72"/>
  <c r="N49" i="72"/>
  <c r="M49" i="72"/>
  <c r="L49" i="72"/>
  <c r="K49" i="72"/>
  <c r="I49" i="72"/>
  <c r="H49" i="72"/>
  <c r="G49" i="72"/>
  <c r="T49" i="72"/>
  <c r="J49" i="72"/>
  <c r="D37" i="73"/>
  <c r="I18" i="73" s="1"/>
  <c r="T60" i="72"/>
  <c r="H60" i="72"/>
  <c r="S60" i="72"/>
  <c r="G60" i="72"/>
  <c r="R60" i="72"/>
  <c r="F60" i="72"/>
  <c r="Q60" i="72"/>
  <c r="N60" i="72"/>
  <c r="M60" i="72"/>
  <c r="L60" i="72"/>
  <c r="I60" i="72"/>
  <c r="O60" i="72"/>
  <c r="P60" i="72"/>
  <c r="K60" i="72"/>
  <c r="J60" i="72"/>
  <c r="K69" i="70"/>
  <c r="J69" i="70"/>
  <c r="I69" i="70"/>
  <c r="T69" i="70"/>
  <c r="H69" i="70"/>
  <c r="Q69" i="70"/>
  <c r="M69" i="70"/>
  <c r="L69" i="70"/>
  <c r="G69" i="70"/>
  <c r="F69" i="70"/>
  <c r="R69" i="70"/>
  <c r="S69" i="70"/>
  <c r="P69" i="70"/>
  <c r="O69" i="70"/>
  <c r="N69" i="70"/>
  <c r="N46" i="77"/>
  <c r="M46" i="77"/>
  <c r="L46" i="77"/>
  <c r="K46" i="77"/>
  <c r="J46" i="77"/>
  <c r="I46" i="77"/>
  <c r="T46" i="77"/>
  <c r="H46" i="77"/>
  <c r="S46" i="77"/>
  <c r="G46" i="77"/>
  <c r="Q46" i="77"/>
  <c r="R46" i="77"/>
  <c r="P46" i="77"/>
  <c r="O46" i="77"/>
  <c r="F46" i="77"/>
  <c r="N61" i="69"/>
  <c r="M61" i="69"/>
  <c r="L61" i="69"/>
  <c r="K61" i="69"/>
  <c r="J61" i="69"/>
  <c r="R61" i="69"/>
  <c r="I61" i="69"/>
  <c r="T61" i="69"/>
  <c r="H61" i="69"/>
  <c r="S61" i="69"/>
  <c r="G61" i="69"/>
  <c r="F61" i="69"/>
  <c r="Q61" i="69"/>
  <c r="P61" i="69"/>
  <c r="O61" i="69"/>
  <c r="O54" i="80"/>
  <c r="M54" i="80"/>
  <c r="L54" i="80"/>
  <c r="K54" i="80"/>
  <c r="J54" i="80"/>
  <c r="T54" i="80"/>
  <c r="H54" i="80"/>
  <c r="R54" i="80"/>
  <c r="F54" i="80"/>
  <c r="S54" i="80"/>
  <c r="Q54" i="80"/>
  <c r="P54" i="80"/>
  <c r="N54" i="80"/>
  <c r="I54" i="80"/>
  <c r="G54" i="80"/>
  <c r="R67" i="79"/>
  <c r="F67" i="79"/>
  <c r="Q67" i="79"/>
  <c r="P67" i="79"/>
  <c r="O67" i="79"/>
  <c r="N67" i="79"/>
  <c r="M67" i="79"/>
  <c r="L67" i="79"/>
  <c r="K67" i="79"/>
  <c r="J67" i="79"/>
  <c r="I67" i="79"/>
  <c r="T67" i="79"/>
  <c r="H67" i="79"/>
  <c r="S67" i="79"/>
  <c r="G67" i="79"/>
  <c r="N65" i="79"/>
  <c r="M65" i="79"/>
  <c r="L65" i="79"/>
  <c r="K65" i="79"/>
  <c r="J65" i="79"/>
  <c r="I65" i="79"/>
  <c r="T65" i="79"/>
  <c r="H65" i="79"/>
  <c r="S65" i="79"/>
  <c r="G65" i="79"/>
  <c r="R65" i="79"/>
  <c r="F65" i="79"/>
  <c r="Q65" i="79"/>
  <c r="P65" i="79"/>
  <c r="O65" i="79"/>
  <c r="K65" i="80"/>
  <c r="J65" i="80"/>
  <c r="I65" i="80"/>
  <c r="T65" i="80"/>
  <c r="H65" i="80"/>
  <c r="S65" i="80"/>
  <c r="G65" i="80"/>
  <c r="R65" i="80"/>
  <c r="F65" i="80"/>
  <c r="Q65" i="80"/>
  <c r="P65" i="80"/>
  <c r="N65" i="80"/>
  <c r="O65" i="80"/>
  <c r="M65" i="80"/>
  <c r="L65" i="80"/>
  <c r="S49" i="78"/>
  <c r="G49" i="78"/>
  <c r="R49" i="78"/>
  <c r="F49" i="78"/>
  <c r="Q49" i="78"/>
  <c r="P49" i="78"/>
  <c r="O49" i="78"/>
  <c r="N49" i="78"/>
  <c r="M49" i="78"/>
  <c r="L49" i="78"/>
  <c r="J49" i="78"/>
  <c r="T49" i="78"/>
  <c r="K49" i="78"/>
  <c r="H49" i="78"/>
  <c r="I49" i="78"/>
  <c r="J60" i="77"/>
  <c r="I60" i="77"/>
  <c r="T60" i="77"/>
  <c r="H60" i="77"/>
  <c r="S60" i="77"/>
  <c r="G60" i="77"/>
  <c r="R60" i="77"/>
  <c r="F60" i="77"/>
  <c r="Q60" i="77"/>
  <c r="P60" i="77"/>
  <c r="O60" i="77"/>
  <c r="M60" i="77"/>
  <c r="N60" i="77"/>
  <c r="L60" i="77"/>
  <c r="K60" i="77"/>
  <c r="I68" i="78"/>
  <c r="T68" i="78"/>
  <c r="H68" i="78"/>
  <c r="S68" i="78"/>
  <c r="G68" i="78"/>
  <c r="R68" i="78"/>
  <c r="F68" i="78"/>
  <c r="Q68" i="78"/>
  <c r="P68" i="78"/>
  <c r="O68" i="78"/>
  <c r="N68" i="78"/>
  <c r="L68" i="78"/>
  <c r="M68" i="78"/>
  <c r="K68" i="78"/>
  <c r="J68" i="78"/>
  <c r="N64" i="77"/>
  <c r="M64" i="77"/>
  <c r="L64" i="77"/>
  <c r="K64" i="77"/>
  <c r="J64" i="77"/>
  <c r="I64" i="77"/>
  <c r="T64" i="77"/>
  <c r="H64" i="77"/>
  <c r="S64" i="77"/>
  <c r="G64" i="77"/>
  <c r="Q64" i="77"/>
  <c r="R64" i="77"/>
  <c r="P64" i="77"/>
  <c r="O64" i="77"/>
  <c r="F64" i="77"/>
  <c r="P52" i="76"/>
  <c r="O52" i="76"/>
  <c r="N52" i="76"/>
  <c r="M52" i="76"/>
  <c r="L52" i="76"/>
  <c r="J52" i="76"/>
  <c r="S52" i="76"/>
  <c r="R52" i="76"/>
  <c r="Q52" i="76"/>
  <c r="K52" i="76"/>
  <c r="I52" i="76"/>
  <c r="H52" i="76"/>
  <c r="G52" i="76"/>
  <c r="F52" i="76"/>
  <c r="T52" i="76"/>
  <c r="Q46" i="72"/>
  <c r="P46" i="72"/>
  <c r="O46" i="72"/>
  <c r="N46" i="72"/>
  <c r="M46" i="72"/>
  <c r="L46" i="72"/>
  <c r="K46" i="72"/>
  <c r="J46" i="72"/>
  <c r="T46" i="72"/>
  <c r="H46" i="72"/>
  <c r="G46" i="72"/>
  <c r="F46" i="72"/>
  <c r="S46" i="72"/>
  <c r="R46" i="72"/>
  <c r="I46" i="72"/>
  <c r="T65" i="72"/>
  <c r="H65" i="72"/>
  <c r="S65" i="72"/>
  <c r="G65" i="72"/>
  <c r="R65" i="72"/>
  <c r="F65" i="72"/>
  <c r="Q65" i="72"/>
  <c r="O65" i="72"/>
  <c r="N65" i="72"/>
  <c r="M65" i="72"/>
  <c r="L65" i="72"/>
  <c r="P65" i="72"/>
  <c r="K65" i="72"/>
  <c r="J65" i="72"/>
  <c r="I65" i="72"/>
  <c r="R55" i="69"/>
  <c r="F55" i="69"/>
  <c r="Q55" i="69"/>
  <c r="P55" i="69"/>
  <c r="O55" i="69"/>
  <c r="N55" i="69"/>
  <c r="M55" i="69"/>
  <c r="L55" i="69"/>
  <c r="K55" i="69"/>
  <c r="I55" i="69"/>
  <c r="G55" i="69"/>
  <c r="T55" i="69"/>
  <c r="H55" i="69"/>
  <c r="S55" i="69"/>
  <c r="J55" i="69"/>
  <c r="S54" i="70"/>
  <c r="G54" i="70"/>
  <c r="Q54" i="70"/>
  <c r="M54" i="70"/>
  <c r="L54" i="70"/>
  <c r="K54" i="70"/>
  <c r="J54" i="70"/>
  <c r="I54" i="70"/>
  <c r="H54" i="70"/>
  <c r="F54" i="70"/>
  <c r="T54" i="70"/>
  <c r="R54" i="70"/>
  <c r="P54" i="70"/>
  <c r="O54" i="70"/>
  <c r="N54" i="70"/>
  <c r="L64" i="71"/>
  <c r="K64" i="71"/>
  <c r="J64" i="71"/>
  <c r="I64" i="71"/>
  <c r="T64" i="71"/>
  <c r="H64" i="71"/>
  <c r="S64" i="71"/>
  <c r="G64" i="71"/>
  <c r="R64" i="71"/>
  <c r="F64" i="71"/>
  <c r="Q64" i="71"/>
  <c r="O64" i="71"/>
  <c r="P64" i="71"/>
  <c r="N64" i="71"/>
  <c r="M64" i="71"/>
  <c r="N69" i="69"/>
  <c r="M69" i="69"/>
  <c r="L69" i="69"/>
  <c r="K69" i="69"/>
  <c r="F69" i="69"/>
  <c r="J69" i="69"/>
  <c r="R69" i="69"/>
  <c r="I69" i="69"/>
  <c r="T69" i="69"/>
  <c r="H69" i="69"/>
  <c r="S69" i="69"/>
  <c r="G69" i="69"/>
  <c r="Q69" i="69"/>
  <c r="P69" i="69"/>
  <c r="O69" i="69"/>
  <c r="J52" i="64"/>
  <c r="S52" i="64"/>
  <c r="G52" i="64"/>
  <c r="R52" i="64"/>
  <c r="F52" i="64"/>
  <c r="P52" i="64"/>
  <c r="M52" i="64"/>
  <c r="O52" i="64"/>
  <c r="N52" i="64"/>
  <c r="L52" i="64"/>
  <c r="K52" i="64"/>
  <c r="T52" i="64"/>
  <c r="Q52" i="64"/>
  <c r="I52" i="64"/>
  <c r="H52" i="64"/>
  <c r="R53" i="64"/>
  <c r="F53" i="64"/>
  <c r="O53" i="64"/>
  <c r="N53" i="64"/>
  <c r="L53" i="64"/>
  <c r="I53" i="64"/>
  <c r="J53" i="64"/>
  <c r="T53" i="64"/>
  <c r="S53" i="64"/>
  <c r="Q53" i="64"/>
  <c r="P53" i="64"/>
  <c r="K53" i="64"/>
  <c r="H53" i="64"/>
  <c r="G53" i="64"/>
  <c r="M53" i="64"/>
  <c r="I38" i="65"/>
  <c r="I37" i="65"/>
  <c r="L68" i="62"/>
  <c r="Q68" i="62"/>
  <c r="N68" i="62"/>
  <c r="J68" i="62"/>
  <c r="I68" i="62"/>
  <c r="H68" i="62"/>
  <c r="T68" i="62"/>
  <c r="G68" i="62"/>
  <c r="S68" i="62"/>
  <c r="R68" i="62"/>
  <c r="P68" i="62"/>
  <c r="O68" i="62"/>
  <c r="M68" i="62"/>
  <c r="K68" i="62"/>
  <c r="F68" i="62"/>
  <c r="M37" i="61"/>
  <c r="M38" i="61"/>
  <c r="T69" i="62"/>
  <c r="H69" i="62"/>
  <c r="N69" i="62"/>
  <c r="K69" i="62"/>
  <c r="G69" i="62"/>
  <c r="S69" i="62"/>
  <c r="F69" i="62"/>
  <c r="R69" i="62"/>
  <c r="Q69" i="62"/>
  <c r="O69" i="62"/>
  <c r="M69" i="62"/>
  <c r="L69" i="62"/>
  <c r="J69" i="62"/>
  <c r="I69" i="62"/>
  <c r="P69" i="62"/>
  <c r="L18" i="61"/>
  <c r="F37" i="61"/>
  <c r="Q52" i="63"/>
  <c r="O52" i="63"/>
  <c r="L52" i="63"/>
  <c r="I52" i="63"/>
  <c r="H52" i="63"/>
  <c r="T52" i="63"/>
  <c r="G52" i="63"/>
  <c r="S52" i="63"/>
  <c r="F52" i="63"/>
  <c r="R52" i="63"/>
  <c r="P52" i="63"/>
  <c r="N52" i="63"/>
  <c r="M52" i="63"/>
  <c r="K52" i="63"/>
  <c r="J52" i="63"/>
  <c r="F37" i="64"/>
  <c r="F38" i="64"/>
  <c r="L18" i="64"/>
  <c r="P37" i="61"/>
  <c r="P38" i="61"/>
  <c r="T46" i="67"/>
  <c r="H46" i="67"/>
  <c r="Q46" i="67"/>
  <c r="P46" i="67"/>
  <c r="O46" i="67"/>
  <c r="N46" i="67"/>
  <c r="M46" i="67"/>
  <c r="L46" i="67"/>
  <c r="S46" i="67"/>
  <c r="J46" i="67"/>
  <c r="F46" i="67"/>
  <c r="G46" i="67"/>
  <c r="R46" i="67"/>
  <c r="K46" i="67"/>
  <c r="I46" i="67"/>
  <c r="L61" i="67"/>
  <c r="I61" i="67"/>
  <c r="T61" i="67"/>
  <c r="H61" i="67"/>
  <c r="S61" i="67"/>
  <c r="G61" i="67"/>
  <c r="R61" i="67"/>
  <c r="F61" i="67"/>
  <c r="Q61" i="67"/>
  <c r="P61" i="67"/>
  <c r="N61" i="67"/>
  <c r="J61" i="67"/>
  <c r="O61" i="67"/>
  <c r="M61" i="67"/>
  <c r="K61" i="67"/>
  <c r="K68" i="65"/>
  <c r="T68" i="65"/>
  <c r="H68" i="65"/>
  <c r="Q68" i="65"/>
  <c r="P68" i="65"/>
  <c r="O68" i="65"/>
  <c r="N68" i="65"/>
  <c r="R68" i="65"/>
  <c r="J68" i="65"/>
  <c r="I68" i="65"/>
  <c r="F68" i="65"/>
  <c r="S68" i="65"/>
  <c r="G68" i="65"/>
  <c r="L68" i="65"/>
  <c r="M68" i="65"/>
  <c r="L37" i="65"/>
  <c r="L38" i="65"/>
  <c r="K38" i="65"/>
  <c r="K37" i="65"/>
  <c r="L52" i="62"/>
  <c r="M52" i="62"/>
  <c r="I52" i="62"/>
  <c r="S52" i="62"/>
  <c r="F52" i="62"/>
  <c r="R52" i="62"/>
  <c r="Q52" i="62"/>
  <c r="P52" i="62"/>
  <c r="N52" i="62"/>
  <c r="K52" i="62"/>
  <c r="J52" i="62"/>
  <c r="H52" i="62"/>
  <c r="G52" i="62"/>
  <c r="T52" i="62"/>
  <c r="O52" i="62"/>
  <c r="K38" i="61"/>
  <c r="K37" i="61"/>
  <c r="Q55" i="63"/>
  <c r="T55" i="63"/>
  <c r="G55" i="63"/>
  <c r="P55" i="63"/>
  <c r="M55" i="63"/>
  <c r="L55" i="63"/>
  <c r="K55" i="63"/>
  <c r="J55" i="63"/>
  <c r="F55" i="63"/>
  <c r="S55" i="63"/>
  <c r="R55" i="63"/>
  <c r="O55" i="63"/>
  <c r="N55" i="63"/>
  <c r="I55" i="63"/>
  <c r="H55" i="63"/>
  <c r="P38" i="64"/>
  <c r="P37" i="64"/>
  <c r="Q47" i="61"/>
  <c r="O47" i="61"/>
  <c r="N47" i="61"/>
  <c r="M47" i="61"/>
  <c r="L47" i="61"/>
  <c r="K47" i="61"/>
  <c r="P47" i="61"/>
  <c r="J47" i="61"/>
  <c r="I47" i="61"/>
  <c r="H47" i="61"/>
  <c r="R47" i="61"/>
  <c r="T47" i="61"/>
  <c r="G47" i="61"/>
  <c r="S47" i="61"/>
  <c r="F47" i="61"/>
  <c r="I68" i="68"/>
  <c r="S68" i="68"/>
  <c r="G68" i="68"/>
  <c r="R68" i="68"/>
  <c r="F68" i="68"/>
  <c r="Q68" i="68"/>
  <c r="P68" i="68"/>
  <c r="O68" i="68"/>
  <c r="N68" i="68"/>
  <c r="M68" i="68"/>
  <c r="K68" i="68"/>
  <c r="J68" i="68"/>
  <c r="H68" i="68"/>
  <c r="T68" i="68"/>
  <c r="L68" i="68"/>
  <c r="L56" i="67"/>
  <c r="I56" i="67"/>
  <c r="T56" i="67"/>
  <c r="H56" i="67"/>
  <c r="S56" i="67"/>
  <c r="G56" i="67"/>
  <c r="R56" i="67"/>
  <c r="F56" i="67"/>
  <c r="Q56" i="67"/>
  <c r="P56" i="67"/>
  <c r="O56" i="67"/>
  <c r="N56" i="67"/>
  <c r="M56" i="67"/>
  <c r="J56" i="67"/>
  <c r="K56" i="67"/>
  <c r="S61" i="66"/>
  <c r="G61" i="66"/>
  <c r="P61" i="66"/>
  <c r="O61" i="66"/>
  <c r="N61" i="66"/>
  <c r="M61" i="66"/>
  <c r="K61" i="66"/>
  <c r="T61" i="66"/>
  <c r="L61" i="66"/>
  <c r="H61" i="66"/>
  <c r="F61" i="66"/>
  <c r="R61" i="66"/>
  <c r="Q61" i="66"/>
  <c r="I61" i="66"/>
  <c r="J61" i="66"/>
  <c r="N46" i="64"/>
  <c r="K46" i="64"/>
  <c r="J46" i="64"/>
  <c r="T46" i="64"/>
  <c r="H46" i="64"/>
  <c r="Q46" i="64"/>
  <c r="G46" i="64"/>
  <c r="R46" i="64"/>
  <c r="P46" i="64"/>
  <c r="O46" i="64"/>
  <c r="M46" i="64"/>
  <c r="L46" i="64"/>
  <c r="I46" i="64"/>
  <c r="F46" i="64"/>
  <c r="S46" i="64"/>
  <c r="P37" i="65"/>
  <c r="P38" i="65"/>
  <c r="J37" i="65"/>
  <c r="J38" i="65"/>
  <c r="L65" i="62"/>
  <c r="M65" i="62"/>
  <c r="I65" i="62"/>
  <c r="S65" i="62"/>
  <c r="F65" i="62"/>
  <c r="R65" i="62"/>
  <c r="Q65" i="62"/>
  <c r="P65" i="62"/>
  <c r="T65" i="62"/>
  <c r="O65" i="62"/>
  <c r="N65" i="62"/>
  <c r="K65" i="62"/>
  <c r="J65" i="62"/>
  <c r="H65" i="62"/>
  <c r="G65" i="62"/>
  <c r="R37" i="61"/>
  <c r="R38" i="61"/>
  <c r="I46" i="63"/>
  <c r="N46" i="63"/>
  <c r="K46" i="63"/>
  <c r="T46" i="63"/>
  <c r="G46" i="63"/>
  <c r="S46" i="63"/>
  <c r="F46" i="63"/>
  <c r="R46" i="63"/>
  <c r="Q46" i="63"/>
  <c r="M46" i="63"/>
  <c r="L46" i="63"/>
  <c r="J46" i="63"/>
  <c r="H46" i="63"/>
  <c r="P46" i="63"/>
  <c r="O46" i="63"/>
  <c r="Q60" i="63"/>
  <c r="N60" i="63"/>
  <c r="K60" i="63"/>
  <c r="P60" i="63"/>
  <c r="L60" i="63"/>
  <c r="H60" i="63"/>
  <c r="G60" i="63"/>
  <c r="F60" i="63"/>
  <c r="T60" i="63"/>
  <c r="O60" i="63"/>
  <c r="M60" i="63"/>
  <c r="J60" i="63"/>
  <c r="I60" i="63"/>
  <c r="S60" i="63"/>
  <c r="R60" i="63"/>
  <c r="G38" i="64"/>
  <c r="G37" i="64"/>
  <c r="Q52" i="61"/>
  <c r="T52" i="61"/>
  <c r="G52" i="61"/>
  <c r="F52" i="61"/>
  <c r="S52" i="61"/>
  <c r="R52" i="61"/>
  <c r="P52" i="61"/>
  <c r="H52" i="61"/>
  <c r="O52" i="61"/>
  <c r="N52" i="61"/>
  <c r="M52" i="61"/>
  <c r="L52" i="61"/>
  <c r="K52" i="61"/>
  <c r="J52" i="61"/>
  <c r="I52" i="61"/>
  <c r="I64" i="63"/>
  <c r="R64" i="63"/>
  <c r="F64" i="63"/>
  <c r="O64" i="63"/>
  <c r="P64" i="63"/>
  <c r="L64" i="63"/>
  <c r="H64" i="63"/>
  <c r="G64" i="63"/>
  <c r="T64" i="63"/>
  <c r="N64" i="63"/>
  <c r="M64" i="63"/>
  <c r="K64" i="63"/>
  <c r="J64" i="63"/>
  <c r="S64" i="63"/>
  <c r="Q64" i="63"/>
  <c r="Q68" i="63"/>
  <c r="N68" i="63"/>
  <c r="M68" i="63"/>
  <c r="K68" i="63"/>
  <c r="T68" i="63"/>
  <c r="H68" i="63"/>
  <c r="L68" i="63"/>
  <c r="G68" i="63"/>
  <c r="S68" i="63"/>
  <c r="R68" i="63"/>
  <c r="P68" i="63"/>
  <c r="O68" i="63"/>
  <c r="J68" i="63"/>
  <c r="I68" i="63"/>
  <c r="F68" i="63"/>
  <c r="G38" i="65"/>
  <c r="N60" i="61"/>
  <c r="K60" i="61"/>
  <c r="T60" i="61"/>
  <c r="H60" i="61"/>
  <c r="Q60" i="61"/>
  <c r="F60" i="61"/>
  <c r="S60" i="61"/>
  <c r="R60" i="61"/>
  <c r="P60" i="61"/>
  <c r="O60" i="61"/>
  <c r="I60" i="61"/>
  <c r="M60" i="61"/>
  <c r="L60" i="61"/>
  <c r="J60" i="61"/>
  <c r="G60" i="61"/>
  <c r="N49" i="64"/>
  <c r="K49" i="64"/>
  <c r="J49" i="64"/>
  <c r="T49" i="64"/>
  <c r="H49" i="64"/>
  <c r="Q49" i="64"/>
  <c r="P49" i="64"/>
  <c r="L49" i="64"/>
  <c r="I49" i="64"/>
  <c r="G49" i="64"/>
  <c r="F49" i="64"/>
  <c r="S49" i="64"/>
  <c r="R49" i="64"/>
  <c r="O49" i="64"/>
  <c r="M49" i="64"/>
  <c r="N38" i="65"/>
  <c r="N37" i="65"/>
  <c r="Q56" i="68"/>
  <c r="N56" i="68"/>
  <c r="M56" i="68"/>
  <c r="L56" i="68"/>
  <c r="K56" i="68"/>
  <c r="J56" i="68"/>
  <c r="I56" i="68"/>
  <c r="S56" i="68"/>
  <c r="O56" i="68"/>
  <c r="H56" i="68"/>
  <c r="G56" i="68"/>
  <c r="F56" i="68"/>
  <c r="T56" i="68"/>
  <c r="R56" i="68"/>
  <c r="P56" i="68"/>
  <c r="J38" i="64"/>
  <c r="J37" i="64"/>
  <c r="P37" i="62"/>
  <c r="S37" i="65"/>
  <c r="S38" i="65"/>
  <c r="I55" i="68"/>
  <c r="R55" i="68"/>
  <c r="F55" i="68"/>
  <c r="Q55" i="68"/>
  <c r="P55" i="68"/>
  <c r="O55" i="68"/>
  <c r="N55" i="68"/>
  <c r="M55" i="68"/>
  <c r="L55" i="68"/>
  <c r="H55" i="68"/>
  <c r="T55" i="68"/>
  <c r="J55" i="68"/>
  <c r="G55" i="68"/>
  <c r="S55" i="68"/>
  <c r="K55" i="68"/>
  <c r="M53" i="63"/>
  <c r="L53" i="63"/>
  <c r="I53" i="63"/>
  <c r="S53" i="63"/>
  <c r="F53" i="63"/>
  <c r="R53" i="63"/>
  <c r="Q53" i="63"/>
  <c r="P53" i="63"/>
  <c r="K53" i="63"/>
  <c r="J53" i="63"/>
  <c r="H53" i="63"/>
  <c r="G53" i="63"/>
  <c r="T53" i="63"/>
  <c r="O53" i="63"/>
  <c r="N53" i="63"/>
  <c r="N65" i="61"/>
  <c r="K65" i="61"/>
  <c r="T65" i="61"/>
  <c r="H65" i="61"/>
  <c r="Q65" i="61"/>
  <c r="L65" i="61"/>
  <c r="J65" i="61"/>
  <c r="I65" i="61"/>
  <c r="G65" i="61"/>
  <c r="F65" i="61"/>
  <c r="S65" i="61"/>
  <c r="O65" i="61"/>
  <c r="R65" i="61"/>
  <c r="P65" i="61"/>
  <c r="M65" i="61"/>
  <c r="Q53" i="68"/>
  <c r="N53" i="68"/>
  <c r="M53" i="68"/>
  <c r="L53" i="68"/>
  <c r="K53" i="68"/>
  <c r="J53" i="68"/>
  <c r="I53" i="68"/>
  <c r="R53" i="68"/>
  <c r="H53" i="68"/>
  <c r="T53" i="68"/>
  <c r="O53" i="68"/>
  <c r="S53" i="68"/>
  <c r="F53" i="68"/>
  <c r="P53" i="68"/>
  <c r="G53" i="68"/>
  <c r="I52" i="68"/>
  <c r="R52" i="68"/>
  <c r="F52" i="68"/>
  <c r="Q52" i="68"/>
  <c r="P52" i="68"/>
  <c r="O52" i="68"/>
  <c r="N52" i="68"/>
  <c r="M52" i="68"/>
  <c r="G52" i="68"/>
  <c r="T52" i="68"/>
  <c r="S52" i="68"/>
  <c r="L52" i="68"/>
  <c r="K52" i="68"/>
  <c r="J52" i="68"/>
  <c r="H52" i="68"/>
  <c r="M67" i="68"/>
  <c r="K67" i="68"/>
  <c r="J67" i="68"/>
  <c r="I67" i="68"/>
  <c r="T67" i="68"/>
  <c r="H67" i="68"/>
  <c r="S67" i="68"/>
  <c r="G67" i="68"/>
  <c r="R67" i="68"/>
  <c r="F67" i="68"/>
  <c r="Q67" i="68"/>
  <c r="L67" i="68"/>
  <c r="P67" i="68"/>
  <c r="O67" i="68"/>
  <c r="N67" i="68"/>
  <c r="N64" i="64"/>
  <c r="K64" i="64"/>
  <c r="J64" i="64"/>
  <c r="T64" i="64"/>
  <c r="H64" i="64"/>
  <c r="Q64" i="64"/>
  <c r="P64" i="64"/>
  <c r="L64" i="64"/>
  <c r="I64" i="64"/>
  <c r="G64" i="64"/>
  <c r="F64" i="64"/>
  <c r="O64" i="64"/>
  <c r="M64" i="64"/>
  <c r="S64" i="64"/>
  <c r="R64" i="64"/>
  <c r="P54" i="62"/>
  <c r="T54" i="62"/>
  <c r="G54" i="62"/>
  <c r="Q54" i="62"/>
  <c r="M54" i="62"/>
  <c r="L54" i="62"/>
  <c r="K54" i="62"/>
  <c r="J54" i="62"/>
  <c r="H54" i="62"/>
  <c r="F54" i="62"/>
  <c r="S54" i="62"/>
  <c r="N54" i="62"/>
  <c r="R54" i="62"/>
  <c r="O54" i="62"/>
  <c r="I54" i="62"/>
  <c r="L47" i="62"/>
  <c r="H47" i="62"/>
  <c r="R47" i="62"/>
  <c r="O47" i="62"/>
  <c r="N47" i="62"/>
  <c r="M47" i="62"/>
  <c r="K47" i="62"/>
  <c r="I47" i="62"/>
  <c r="G47" i="62"/>
  <c r="F47" i="62"/>
  <c r="P47" i="62"/>
  <c r="T47" i="62"/>
  <c r="S47" i="62"/>
  <c r="Q47" i="62"/>
  <c r="J47" i="62"/>
  <c r="M69" i="63"/>
  <c r="J69" i="63"/>
  <c r="I69" i="63"/>
  <c r="S69" i="63"/>
  <c r="G69" i="63"/>
  <c r="P69" i="63"/>
  <c r="Q69" i="63"/>
  <c r="L69" i="63"/>
  <c r="F69" i="63"/>
  <c r="O69" i="63"/>
  <c r="N69" i="63"/>
  <c r="K69" i="63"/>
  <c r="H69" i="63"/>
  <c r="T69" i="63"/>
  <c r="R69" i="63"/>
  <c r="P67" i="62"/>
  <c r="T67" i="62"/>
  <c r="G67" i="62"/>
  <c r="Q67" i="62"/>
  <c r="M67" i="62"/>
  <c r="L67" i="62"/>
  <c r="K67" i="62"/>
  <c r="J67" i="62"/>
  <c r="S67" i="62"/>
  <c r="R67" i="62"/>
  <c r="O67" i="62"/>
  <c r="N67" i="62"/>
  <c r="I67" i="62"/>
  <c r="H67" i="62"/>
  <c r="F67" i="62"/>
  <c r="K37" i="64"/>
  <c r="K38" i="64"/>
  <c r="N68" i="61"/>
  <c r="K68" i="61"/>
  <c r="T68" i="61"/>
  <c r="H68" i="61"/>
  <c r="Q68" i="61"/>
  <c r="R68" i="61"/>
  <c r="O68" i="61"/>
  <c r="P68" i="61"/>
  <c r="M68" i="61"/>
  <c r="L68" i="61"/>
  <c r="J68" i="61"/>
  <c r="I68" i="61"/>
  <c r="G68" i="61"/>
  <c r="S68" i="61"/>
  <c r="F68" i="61"/>
  <c r="K65" i="65"/>
  <c r="T65" i="65"/>
  <c r="H65" i="65"/>
  <c r="Q65" i="65"/>
  <c r="P65" i="65"/>
  <c r="O65" i="65"/>
  <c r="N65" i="65"/>
  <c r="R65" i="65"/>
  <c r="J65" i="65"/>
  <c r="I65" i="65"/>
  <c r="F65" i="65"/>
  <c r="M65" i="65"/>
  <c r="L65" i="65"/>
  <c r="G65" i="65"/>
  <c r="S65" i="65"/>
  <c r="M37" i="62"/>
  <c r="M61" i="63"/>
  <c r="J61" i="63"/>
  <c r="S61" i="63"/>
  <c r="G61" i="63"/>
  <c r="P61" i="63"/>
  <c r="L61" i="63"/>
  <c r="H61" i="63"/>
  <c r="F61" i="63"/>
  <c r="T61" i="63"/>
  <c r="R61" i="63"/>
  <c r="Q61" i="63"/>
  <c r="O61" i="63"/>
  <c r="N61" i="63"/>
  <c r="K61" i="63"/>
  <c r="I61" i="63"/>
  <c r="S38" i="64"/>
  <c r="S37" i="64"/>
  <c r="L48" i="67"/>
  <c r="I48" i="67"/>
  <c r="T48" i="67"/>
  <c r="H48" i="67"/>
  <c r="S48" i="67"/>
  <c r="G48" i="67"/>
  <c r="R48" i="67"/>
  <c r="F48" i="67"/>
  <c r="Q48" i="67"/>
  <c r="P48" i="67"/>
  <c r="N48" i="67"/>
  <c r="J48" i="67"/>
  <c r="M48" i="67"/>
  <c r="K48" i="67"/>
  <c r="O48" i="67"/>
  <c r="Q48" i="68"/>
  <c r="N48" i="68"/>
  <c r="M48" i="68"/>
  <c r="L48" i="68"/>
  <c r="K48" i="68"/>
  <c r="J48" i="68"/>
  <c r="I48" i="68"/>
  <c r="G48" i="68"/>
  <c r="T48" i="68"/>
  <c r="S48" i="68"/>
  <c r="R48" i="68"/>
  <c r="P48" i="68"/>
  <c r="O48" i="68"/>
  <c r="H48" i="68"/>
  <c r="F48" i="68"/>
  <c r="L19" i="65"/>
  <c r="N67" i="64"/>
  <c r="K67" i="64"/>
  <c r="J67" i="64"/>
  <c r="T67" i="64"/>
  <c r="H67" i="64"/>
  <c r="Q67" i="64"/>
  <c r="O67" i="64"/>
  <c r="I67" i="64"/>
  <c r="S67" i="64"/>
  <c r="G67" i="64"/>
  <c r="F67" i="64"/>
  <c r="M67" i="64"/>
  <c r="R67" i="64"/>
  <c r="P67" i="64"/>
  <c r="L67" i="64"/>
  <c r="M48" i="63"/>
  <c r="H48" i="63"/>
  <c r="R48" i="63"/>
  <c r="O48" i="63"/>
  <c r="N48" i="63"/>
  <c r="L48" i="63"/>
  <c r="K48" i="63"/>
  <c r="G48" i="63"/>
  <c r="F48" i="63"/>
  <c r="T48" i="63"/>
  <c r="S48" i="63"/>
  <c r="Q48" i="63"/>
  <c r="P48" i="63"/>
  <c r="J48" i="63"/>
  <c r="I48" i="63"/>
  <c r="L37" i="64"/>
  <c r="L38" i="64"/>
  <c r="I65" i="68"/>
  <c r="S65" i="68"/>
  <c r="G65" i="68"/>
  <c r="R65" i="68"/>
  <c r="F65" i="68"/>
  <c r="Q65" i="68"/>
  <c r="P65" i="68"/>
  <c r="O65" i="68"/>
  <c r="N65" i="68"/>
  <c r="M65" i="68"/>
  <c r="H65" i="68"/>
  <c r="T65" i="68"/>
  <c r="L65" i="68"/>
  <c r="K65" i="68"/>
  <c r="J65" i="68"/>
  <c r="S56" i="66"/>
  <c r="G56" i="66"/>
  <c r="P56" i="66"/>
  <c r="O56" i="66"/>
  <c r="N56" i="66"/>
  <c r="M56" i="66"/>
  <c r="K56" i="66"/>
  <c r="T56" i="66"/>
  <c r="L56" i="66"/>
  <c r="H56" i="66"/>
  <c r="F56" i="66"/>
  <c r="R56" i="66"/>
  <c r="Q56" i="66"/>
  <c r="I56" i="66"/>
  <c r="J56" i="66"/>
  <c r="I60" i="68"/>
  <c r="R60" i="68"/>
  <c r="F60" i="68"/>
  <c r="Q60" i="68"/>
  <c r="P60" i="68"/>
  <c r="O60" i="68"/>
  <c r="N60" i="68"/>
  <c r="M60" i="68"/>
  <c r="S60" i="68"/>
  <c r="J60" i="68"/>
  <c r="H60" i="68"/>
  <c r="G60" i="68"/>
  <c r="T60" i="68"/>
  <c r="L60" i="68"/>
  <c r="K60" i="68"/>
  <c r="N54" i="64"/>
  <c r="K54" i="64"/>
  <c r="J54" i="64"/>
  <c r="T54" i="64"/>
  <c r="H54" i="64"/>
  <c r="Q54" i="64"/>
  <c r="O54" i="64"/>
  <c r="I54" i="64"/>
  <c r="S54" i="64"/>
  <c r="R54" i="64"/>
  <c r="P54" i="64"/>
  <c r="M54" i="64"/>
  <c r="L54" i="64"/>
  <c r="G54" i="64"/>
  <c r="F54" i="64"/>
  <c r="M64" i="68"/>
  <c r="J64" i="68"/>
  <c r="I64" i="68"/>
  <c r="T64" i="68"/>
  <c r="H64" i="68"/>
  <c r="S64" i="68"/>
  <c r="G64" i="68"/>
  <c r="R64" i="68"/>
  <c r="F64" i="68"/>
  <c r="Q64" i="68"/>
  <c r="N64" i="68"/>
  <c r="O64" i="68"/>
  <c r="L64" i="68"/>
  <c r="P64" i="68"/>
  <c r="K64" i="68"/>
  <c r="O48" i="66"/>
  <c r="N48" i="66"/>
  <c r="L48" i="66"/>
  <c r="I48" i="66"/>
  <c r="T48" i="66"/>
  <c r="F48" i="66"/>
  <c r="S48" i="66"/>
  <c r="R48" i="66"/>
  <c r="Q48" i="66"/>
  <c r="G48" i="66"/>
  <c r="K48" i="66"/>
  <c r="J48" i="66"/>
  <c r="H48" i="66"/>
  <c r="P48" i="66"/>
  <c r="M48" i="66"/>
  <c r="F38" i="65"/>
  <c r="L18" i="65"/>
  <c r="F37" i="65"/>
  <c r="L60" i="62"/>
  <c r="H60" i="62"/>
  <c r="R60" i="62"/>
  <c r="O60" i="62"/>
  <c r="N60" i="62"/>
  <c r="M60" i="62"/>
  <c r="K60" i="62"/>
  <c r="T60" i="62"/>
  <c r="S60" i="62"/>
  <c r="Q60" i="62"/>
  <c r="P60" i="62"/>
  <c r="J60" i="62"/>
  <c r="I60" i="62"/>
  <c r="G60" i="62"/>
  <c r="F60" i="62"/>
  <c r="T67" i="67"/>
  <c r="H67" i="67"/>
  <c r="Q67" i="67"/>
  <c r="P67" i="67"/>
  <c r="O67" i="67"/>
  <c r="N67" i="67"/>
  <c r="M67" i="67"/>
  <c r="L67" i="67"/>
  <c r="I67" i="67"/>
  <c r="S67" i="67"/>
  <c r="R67" i="67"/>
  <c r="J67" i="67"/>
  <c r="K67" i="67"/>
  <c r="G67" i="67"/>
  <c r="F67" i="67"/>
  <c r="K55" i="66"/>
  <c r="T55" i="66"/>
  <c r="H55" i="66"/>
  <c r="S55" i="66"/>
  <c r="G55" i="66"/>
  <c r="R55" i="66"/>
  <c r="F55" i="66"/>
  <c r="Q55" i="66"/>
  <c r="O55" i="66"/>
  <c r="L55" i="66"/>
  <c r="P55" i="66"/>
  <c r="J55" i="66"/>
  <c r="M55" i="66"/>
  <c r="N55" i="66"/>
  <c r="I55" i="66"/>
  <c r="K47" i="65"/>
  <c r="T47" i="65"/>
  <c r="H47" i="65"/>
  <c r="Q47" i="65"/>
  <c r="P47" i="65"/>
  <c r="O47" i="65"/>
  <c r="N47" i="65"/>
  <c r="R47" i="65"/>
  <c r="J47" i="65"/>
  <c r="I47" i="65"/>
  <c r="F47" i="65"/>
  <c r="L47" i="65"/>
  <c r="S47" i="65"/>
  <c r="M47" i="65"/>
  <c r="G47" i="65"/>
  <c r="T48" i="62"/>
  <c r="H48" i="62"/>
  <c r="R48" i="62"/>
  <c r="O48" i="62"/>
  <c r="L48" i="62"/>
  <c r="K48" i="62"/>
  <c r="J48" i="62"/>
  <c r="I48" i="62"/>
  <c r="S48" i="62"/>
  <c r="Q48" i="62"/>
  <c r="P48" i="62"/>
  <c r="N48" i="62"/>
  <c r="M48" i="62"/>
  <c r="G48" i="62"/>
  <c r="F48" i="62"/>
  <c r="P64" i="62"/>
  <c r="O64" i="62"/>
  <c r="L64" i="62"/>
  <c r="I64" i="62"/>
  <c r="H64" i="62"/>
  <c r="T64" i="62"/>
  <c r="G64" i="62"/>
  <c r="S64" i="62"/>
  <c r="F64" i="62"/>
  <c r="Q64" i="62"/>
  <c r="N64" i="62"/>
  <c r="M64" i="62"/>
  <c r="K64" i="62"/>
  <c r="J64" i="62"/>
  <c r="R64" i="62"/>
  <c r="L55" i="62"/>
  <c r="Q55" i="62"/>
  <c r="N55" i="62"/>
  <c r="J55" i="62"/>
  <c r="I55" i="62"/>
  <c r="H55" i="62"/>
  <c r="T55" i="62"/>
  <c r="G55" i="62"/>
  <c r="R55" i="62"/>
  <c r="P55" i="62"/>
  <c r="O55" i="62"/>
  <c r="M55" i="62"/>
  <c r="K55" i="62"/>
  <c r="F55" i="62"/>
  <c r="S55" i="62"/>
  <c r="I49" i="63"/>
  <c r="R49" i="63"/>
  <c r="O49" i="63"/>
  <c r="L49" i="63"/>
  <c r="K49" i="63"/>
  <c r="J49" i="63"/>
  <c r="H49" i="63"/>
  <c r="Q49" i="63"/>
  <c r="P49" i="63"/>
  <c r="N49" i="63"/>
  <c r="M49" i="63"/>
  <c r="G49" i="63"/>
  <c r="F49" i="63"/>
  <c r="T49" i="63"/>
  <c r="S49" i="63"/>
  <c r="Q37" i="61"/>
  <c r="Q38" i="61"/>
  <c r="O37" i="64"/>
  <c r="O38" i="64"/>
  <c r="L19" i="64"/>
  <c r="T53" i="62"/>
  <c r="H53" i="62"/>
  <c r="J53" i="62"/>
  <c r="S53" i="62"/>
  <c r="F53" i="62"/>
  <c r="P53" i="62"/>
  <c r="O53" i="62"/>
  <c r="N53" i="62"/>
  <c r="M53" i="62"/>
  <c r="R53" i="62"/>
  <c r="Q53" i="62"/>
  <c r="L53" i="62"/>
  <c r="K53" i="62"/>
  <c r="I53" i="62"/>
  <c r="G53" i="62"/>
  <c r="L38" i="61"/>
  <c r="Q65" i="63"/>
  <c r="N65" i="63"/>
  <c r="M65" i="63"/>
  <c r="K65" i="63"/>
  <c r="T65" i="63"/>
  <c r="H65" i="63"/>
  <c r="S65" i="63"/>
  <c r="O65" i="63"/>
  <c r="I65" i="63"/>
  <c r="G65" i="63"/>
  <c r="F65" i="63"/>
  <c r="R65" i="63"/>
  <c r="P65" i="63"/>
  <c r="L65" i="63"/>
  <c r="J65" i="63"/>
  <c r="Q61" i="68"/>
  <c r="N61" i="68"/>
  <c r="M61" i="68"/>
  <c r="L61" i="68"/>
  <c r="K61" i="68"/>
  <c r="J61" i="68"/>
  <c r="I61" i="68"/>
  <c r="G61" i="68"/>
  <c r="T61" i="68"/>
  <c r="S61" i="68"/>
  <c r="R61" i="68"/>
  <c r="P61" i="68"/>
  <c r="O61" i="68"/>
  <c r="F61" i="68"/>
  <c r="H61" i="68"/>
  <c r="I47" i="68"/>
  <c r="R47" i="68"/>
  <c r="F47" i="68"/>
  <c r="Q47" i="68"/>
  <c r="P47" i="68"/>
  <c r="O47" i="68"/>
  <c r="N47" i="68"/>
  <c r="M47" i="68"/>
  <c r="S47" i="68"/>
  <c r="J47" i="68"/>
  <c r="H47" i="68"/>
  <c r="G47" i="68"/>
  <c r="T47" i="68"/>
  <c r="L47" i="68"/>
  <c r="K47" i="68"/>
  <c r="O37" i="65"/>
  <c r="Q38" i="65"/>
  <c r="Q37" i="65"/>
  <c r="N37" i="64"/>
  <c r="N38" i="64"/>
  <c r="T64" i="67"/>
  <c r="H64" i="67"/>
  <c r="Q64" i="67"/>
  <c r="P64" i="67"/>
  <c r="O64" i="67"/>
  <c r="N64" i="67"/>
  <c r="M64" i="67"/>
  <c r="L64" i="67"/>
  <c r="K64" i="67"/>
  <c r="J64" i="67"/>
  <c r="I64" i="67"/>
  <c r="G64" i="67"/>
  <c r="S64" i="67"/>
  <c r="R64" i="67"/>
  <c r="F64" i="67"/>
  <c r="M54" i="68"/>
  <c r="J54" i="68"/>
  <c r="I54" i="68"/>
  <c r="T54" i="68"/>
  <c r="H54" i="68"/>
  <c r="S54" i="68"/>
  <c r="G54" i="68"/>
  <c r="R54" i="68"/>
  <c r="F54" i="68"/>
  <c r="Q54" i="68"/>
  <c r="O54" i="68"/>
  <c r="N54" i="68"/>
  <c r="L54" i="68"/>
  <c r="K54" i="68"/>
  <c r="P54" i="68"/>
  <c r="K60" i="66"/>
  <c r="T60" i="66"/>
  <c r="H60" i="66"/>
  <c r="S60" i="66"/>
  <c r="G60" i="66"/>
  <c r="R60" i="66"/>
  <c r="F60" i="66"/>
  <c r="Q60" i="66"/>
  <c r="O60" i="66"/>
  <c r="L60" i="66"/>
  <c r="P60" i="66"/>
  <c r="J60" i="66"/>
  <c r="I60" i="66"/>
  <c r="N60" i="66"/>
  <c r="M60" i="66"/>
  <c r="K52" i="65"/>
  <c r="T52" i="65"/>
  <c r="H52" i="65"/>
  <c r="Q52" i="65"/>
  <c r="P52" i="65"/>
  <c r="O52" i="65"/>
  <c r="N52" i="65"/>
  <c r="R52" i="65"/>
  <c r="J52" i="65"/>
  <c r="I52" i="65"/>
  <c r="F52" i="65"/>
  <c r="M52" i="65"/>
  <c r="S52" i="65"/>
  <c r="L52" i="65"/>
  <c r="G52" i="65"/>
  <c r="J65" i="64"/>
  <c r="S65" i="64"/>
  <c r="G65" i="64"/>
  <c r="R65" i="64"/>
  <c r="F65" i="64"/>
  <c r="P65" i="64"/>
  <c r="M65" i="64"/>
  <c r="O65" i="64"/>
  <c r="N65" i="64"/>
  <c r="L65" i="64"/>
  <c r="K65" i="64"/>
  <c r="T65" i="64"/>
  <c r="Q65" i="64"/>
  <c r="I65" i="64"/>
  <c r="H65" i="64"/>
  <c r="Q69" i="64"/>
  <c r="H69" i="64"/>
  <c r="R69" i="64"/>
  <c r="P69" i="64"/>
  <c r="N69" i="64"/>
  <c r="K69" i="64"/>
  <c r="F69" i="64"/>
  <c r="O69" i="64"/>
  <c r="M69" i="64"/>
  <c r="L69" i="64"/>
  <c r="J69" i="64"/>
  <c r="I69" i="64"/>
  <c r="G69" i="64"/>
  <c r="T69" i="64"/>
  <c r="S69" i="64"/>
  <c r="H38" i="65"/>
  <c r="H37" i="65"/>
  <c r="T61" i="62"/>
  <c r="H61" i="62"/>
  <c r="R61" i="62"/>
  <c r="O61" i="62"/>
  <c r="L61" i="62"/>
  <c r="K61" i="62"/>
  <c r="J61" i="62"/>
  <c r="I61" i="62"/>
  <c r="F61" i="62"/>
  <c r="S61" i="62"/>
  <c r="Q61" i="62"/>
  <c r="M61" i="62"/>
  <c r="P61" i="62"/>
  <c r="N61" i="62"/>
  <c r="G61" i="62"/>
  <c r="R64" i="61"/>
  <c r="F64" i="61"/>
  <c r="O64" i="61"/>
  <c r="L64" i="61"/>
  <c r="I64" i="61"/>
  <c r="J64" i="61"/>
  <c r="H64" i="61"/>
  <c r="G64" i="61"/>
  <c r="T64" i="61"/>
  <c r="S64" i="61"/>
  <c r="M64" i="61"/>
  <c r="K64" i="61"/>
  <c r="Q64" i="61"/>
  <c r="P64" i="61"/>
  <c r="N64" i="61"/>
  <c r="H37" i="64"/>
  <c r="I67" i="63"/>
  <c r="R67" i="63"/>
  <c r="F67" i="63"/>
  <c r="Q67" i="63"/>
  <c r="O67" i="63"/>
  <c r="L67" i="63"/>
  <c r="H67" i="63"/>
  <c r="S67" i="63"/>
  <c r="P67" i="63"/>
  <c r="N67" i="63"/>
  <c r="M67" i="63"/>
  <c r="G67" i="63"/>
  <c r="T67" i="63"/>
  <c r="K67" i="63"/>
  <c r="J67" i="63"/>
  <c r="Q37" i="64"/>
  <c r="Q38" i="64"/>
  <c r="P49" i="62"/>
  <c r="O49" i="62"/>
  <c r="L49" i="62"/>
  <c r="I49" i="62"/>
  <c r="H49" i="62"/>
  <c r="T49" i="62"/>
  <c r="G49" i="62"/>
  <c r="S49" i="62"/>
  <c r="F49" i="62"/>
  <c r="R49" i="62"/>
  <c r="Q49" i="62"/>
  <c r="N49" i="62"/>
  <c r="J49" i="62"/>
  <c r="M49" i="62"/>
  <c r="K49" i="62"/>
  <c r="K37" i="63"/>
  <c r="K38" i="63"/>
  <c r="K38" i="96" s="1"/>
  <c r="L53" i="67"/>
  <c r="I53" i="67"/>
  <c r="T53" i="67"/>
  <c r="H53" i="67"/>
  <c r="S53" i="67"/>
  <c r="G53" i="67"/>
  <c r="R53" i="67"/>
  <c r="F53" i="67"/>
  <c r="Q53" i="67"/>
  <c r="P53" i="67"/>
  <c r="O53" i="67"/>
  <c r="K53" i="67"/>
  <c r="J53" i="67"/>
  <c r="M53" i="67"/>
  <c r="N53" i="67"/>
  <c r="N55" i="61"/>
  <c r="K55" i="61"/>
  <c r="T55" i="61"/>
  <c r="H55" i="61"/>
  <c r="Q55" i="61"/>
  <c r="R55" i="61"/>
  <c r="P55" i="61"/>
  <c r="O55" i="61"/>
  <c r="M55" i="61"/>
  <c r="L55" i="61"/>
  <c r="J55" i="61"/>
  <c r="I55" i="61"/>
  <c r="G55" i="61"/>
  <c r="F55" i="61"/>
  <c r="S55" i="61"/>
  <c r="I38" i="61"/>
  <c r="I37" i="61"/>
  <c r="M49" i="68"/>
  <c r="J49" i="68"/>
  <c r="I49" i="68"/>
  <c r="T49" i="68"/>
  <c r="H49" i="68"/>
  <c r="S49" i="68"/>
  <c r="G49" i="68"/>
  <c r="R49" i="68"/>
  <c r="F49" i="68"/>
  <c r="Q49" i="68"/>
  <c r="N49" i="68"/>
  <c r="O49" i="68"/>
  <c r="L49" i="68"/>
  <c r="P49" i="68"/>
  <c r="K49" i="68"/>
  <c r="K55" i="65"/>
  <c r="T55" i="65"/>
  <c r="H55" i="65"/>
  <c r="Q55" i="65"/>
  <c r="P55" i="65"/>
  <c r="O55" i="65"/>
  <c r="N55" i="65"/>
  <c r="R55" i="65"/>
  <c r="J55" i="65"/>
  <c r="I55" i="65"/>
  <c r="F55" i="65"/>
  <c r="G55" i="65"/>
  <c r="S55" i="65"/>
  <c r="M55" i="65"/>
  <c r="L55" i="65"/>
  <c r="S37" i="62"/>
  <c r="T38" i="65"/>
  <c r="T37" i="65"/>
  <c r="I46" i="61"/>
  <c r="R46" i="61"/>
  <c r="Q46" i="61"/>
  <c r="P46" i="61"/>
  <c r="O46" i="61"/>
  <c r="N46" i="61"/>
  <c r="M46" i="61"/>
  <c r="L46" i="61"/>
  <c r="G46" i="61"/>
  <c r="F46" i="61"/>
  <c r="K46" i="61"/>
  <c r="J46" i="61"/>
  <c r="H46" i="61"/>
  <c r="T46" i="61"/>
  <c r="S46" i="61"/>
  <c r="I54" i="63"/>
  <c r="J54" i="63"/>
  <c r="S54" i="63"/>
  <c r="F54" i="63"/>
  <c r="P54" i="63"/>
  <c r="O54" i="63"/>
  <c r="N54" i="63"/>
  <c r="M54" i="63"/>
  <c r="R54" i="63"/>
  <c r="T54" i="63"/>
  <c r="Q54" i="63"/>
  <c r="L54" i="63"/>
  <c r="K54" i="63"/>
  <c r="H54" i="63"/>
  <c r="G54" i="63"/>
  <c r="M38" i="64"/>
  <c r="M37" i="64"/>
  <c r="T49" i="67"/>
  <c r="H49" i="67"/>
  <c r="Q49" i="67"/>
  <c r="P49" i="67"/>
  <c r="O49" i="67"/>
  <c r="N49" i="67"/>
  <c r="M49" i="67"/>
  <c r="L49" i="67"/>
  <c r="K49" i="67"/>
  <c r="J49" i="67"/>
  <c r="I49" i="67"/>
  <c r="G49" i="67"/>
  <c r="R49" i="67"/>
  <c r="S49" i="67"/>
  <c r="F49" i="67"/>
  <c r="P46" i="62"/>
  <c r="K46" i="62"/>
  <c r="H46" i="62"/>
  <c r="R46" i="62"/>
  <c r="Q46" i="62"/>
  <c r="O46" i="62"/>
  <c r="N46" i="62"/>
  <c r="T46" i="62"/>
  <c r="S46" i="62"/>
  <c r="M46" i="62"/>
  <c r="L46" i="62"/>
  <c r="J46" i="62"/>
  <c r="I46" i="62"/>
  <c r="G46" i="62"/>
  <c r="F46" i="62"/>
  <c r="T46" i="66"/>
  <c r="H46" i="66"/>
  <c r="Q46" i="66"/>
  <c r="N46" i="66"/>
  <c r="M46" i="66"/>
  <c r="L46" i="66"/>
  <c r="K46" i="66"/>
  <c r="O46" i="66"/>
  <c r="G46" i="66"/>
  <c r="F46" i="66"/>
  <c r="S46" i="66"/>
  <c r="J46" i="66"/>
  <c r="R46" i="66"/>
  <c r="P46" i="66"/>
  <c r="I46" i="66"/>
  <c r="K65" i="66"/>
  <c r="T65" i="66"/>
  <c r="H65" i="66"/>
  <c r="S65" i="66"/>
  <c r="G65" i="66"/>
  <c r="R65" i="66"/>
  <c r="F65" i="66"/>
  <c r="Q65" i="66"/>
  <c r="O65" i="66"/>
  <c r="L65" i="66"/>
  <c r="P65" i="66"/>
  <c r="J65" i="66"/>
  <c r="N65" i="66"/>
  <c r="M65" i="66"/>
  <c r="I65" i="66"/>
  <c r="S53" i="66"/>
  <c r="G53" i="66"/>
  <c r="P53" i="66"/>
  <c r="O53" i="66"/>
  <c r="N53" i="66"/>
  <c r="K53" i="66"/>
  <c r="T53" i="66"/>
  <c r="M53" i="66"/>
  <c r="I53" i="66"/>
  <c r="H53" i="66"/>
  <c r="F53" i="66"/>
  <c r="R53" i="66"/>
  <c r="Q53" i="66"/>
  <c r="J53" i="66"/>
  <c r="L53" i="66"/>
  <c r="T54" i="67"/>
  <c r="H54" i="67"/>
  <c r="Q54" i="67"/>
  <c r="P54" i="67"/>
  <c r="O54" i="67"/>
  <c r="N54" i="67"/>
  <c r="M54" i="67"/>
  <c r="L54" i="67"/>
  <c r="I54" i="67"/>
  <c r="S54" i="67"/>
  <c r="R54" i="67"/>
  <c r="G54" i="67"/>
  <c r="K54" i="67"/>
  <c r="J54" i="67"/>
  <c r="F54" i="67"/>
  <c r="L69" i="67"/>
  <c r="I69" i="67"/>
  <c r="T69" i="67"/>
  <c r="H69" i="67"/>
  <c r="S69" i="67"/>
  <c r="G69" i="67"/>
  <c r="R69" i="67"/>
  <c r="F69" i="67"/>
  <c r="Q69" i="67"/>
  <c r="P69" i="67"/>
  <c r="O69" i="67"/>
  <c r="N69" i="67"/>
  <c r="M69" i="67"/>
  <c r="K69" i="67"/>
  <c r="J69" i="67"/>
  <c r="M46" i="68"/>
  <c r="J46" i="68"/>
  <c r="I46" i="68"/>
  <c r="T46" i="68"/>
  <c r="H46" i="68"/>
  <c r="S46" i="68"/>
  <c r="G46" i="68"/>
  <c r="R46" i="68"/>
  <c r="F46" i="68"/>
  <c r="Q46" i="68"/>
  <c r="L46" i="68"/>
  <c r="P46" i="68"/>
  <c r="O46" i="68"/>
  <c r="K46" i="68"/>
  <c r="N46" i="68"/>
  <c r="K68" i="66"/>
  <c r="T68" i="66"/>
  <c r="H68" i="66"/>
  <c r="S68" i="66"/>
  <c r="G68" i="66"/>
  <c r="R68" i="66"/>
  <c r="F68" i="66"/>
  <c r="Q68" i="66"/>
  <c r="O68" i="66"/>
  <c r="L68" i="66"/>
  <c r="P68" i="66"/>
  <c r="J68" i="66"/>
  <c r="M68" i="66"/>
  <c r="N68" i="66"/>
  <c r="I68" i="66"/>
  <c r="K60" i="65"/>
  <c r="T60" i="65"/>
  <c r="H60" i="65"/>
  <c r="Q60" i="65"/>
  <c r="P60" i="65"/>
  <c r="O60" i="65"/>
  <c r="N60" i="65"/>
  <c r="R60" i="65"/>
  <c r="J60" i="65"/>
  <c r="I60" i="65"/>
  <c r="F60" i="65"/>
  <c r="S60" i="65"/>
  <c r="M60" i="65"/>
  <c r="L60" i="65"/>
  <c r="G60" i="65"/>
  <c r="J37" i="62"/>
  <c r="G37" i="62"/>
  <c r="G37" i="96" s="1"/>
  <c r="T56" i="62"/>
  <c r="H56" i="62"/>
  <c r="N56" i="62"/>
  <c r="K56" i="62"/>
  <c r="G56" i="62"/>
  <c r="S56" i="62"/>
  <c r="F56" i="62"/>
  <c r="R56" i="62"/>
  <c r="Q56" i="62"/>
  <c r="P56" i="62"/>
  <c r="O56" i="62"/>
  <c r="M56" i="62"/>
  <c r="L56" i="62"/>
  <c r="J56" i="62"/>
  <c r="I56" i="62"/>
  <c r="S37" i="61"/>
  <c r="S38" i="61"/>
  <c r="Q47" i="63"/>
  <c r="K47" i="63"/>
  <c r="H47" i="63"/>
  <c r="R47" i="63"/>
  <c r="P47" i="63"/>
  <c r="O47" i="63"/>
  <c r="N47" i="63"/>
  <c r="T47" i="63"/>
  <c r="S47" i="63"/>
  <c r="M47" i="63"/>
  <c r="L47" i="63"/>
  <c r="J47" i="63"/>
  <c r="I47" i="63"/>
  <c r="G47" i="63"/>
  <c r="F47" i="63"/>
  <c r="N38" i="61"/>
  <c r="Q56" i="60"/>
  <c r="P56" i="60"/>
  <c r="O56" i="60"/>
  <c r="N56" i="60"/>
  <c r="L56" i="60"/>
  <c r="T56" i="60"/>
  <c r="H56" i="60"/>
  <c r="S56" i="60"/>
  <c r="R56" i="60"/>
  <c r="M56" i="60"/>
  <c r="K56" i="60"/>
  <c r="J56" i="60"/>
  <c r="F56" i="60"/>
  <c r="I56" i="60"/>
  <c r="G56" i="60"/>
  <c r="P55" i="59"/>
  <c r="O55" i="59"/>
  <c r="N55" i="59"/>
  <c r="M55" i="59"/>
  <c r="K55" i="59"/>
  <c r="S55" i="59"/>
  <c r="G55" i="59"/>
  <c r="T55" i="59"/>
  <c r="R55" i="59"/>
  <c r="Q55" i="59"/>
  <c r="I55" i="59"/>
  <c r="H55" i="59"/>
  <c r="L55" i="59"/>
  <c r="J55" i="59"/>
  <c r="F55" i="59"/>
  <c r="K48" i="58"/>
  <c r="J48" i="58"/>
  <c r="I48" i="58"/>
  <c r="T48" i="58"/>
  <c r="H48" i="58"/>
  <c r="S48" i="58"/>
  <c r="G48" i="58"/>
  <c r="R48" i="58"/>
  <c r="F48" i="58"/>
  <c r="Q48" i="58"/>
  <c r="N48" i="58"/>
  <c r="M48" i="58"/>
  <c r="P48" i="58"/>
  <c r="O48" i="58"/>
  <c r="L48" i="58"/>
  <c r="R37" i="60"/>
  <c r="R38" i="60"/>
  <c r="R56" i="57"/>
  <c r="F56" i="57"/>
  <c r="Q56" i="57"/>
  <c r="P56" i="57"/>
  <c r="O56" i="57"/>
  <c r="N56" i="57"/>
  <c r="M56" i="57"/>
  <c r="L56" i="57"/>
  <c r="I56" i="57"/>
  <c r="T56" i="57"/>
  <c r="H56" i="57"/>
  <c r="K56" i="57"/>
  <c r="J56" i="57"/>
  <c r="G56" i="57"/>
  <c r="S56" i="57"/>
  <c r="Q53" i="60"/>
  <c r="P53" i="60"/>
  <c r="O53" i="60"/>
  <c r="N53" i="60"/>
  <c r="L53" i="60"/>
  <c r="T53" i="60"/>
  <c r="H53" i="60"/>
  <c r="S53" i="60"/>
  <c r="R53" i="60"/>
  <c r="M53" i="60"/>
  <c r="K53" i="60"/>
  <c r="J53" i="60"/>
  <c r="F53" i="60"/>
  <c r="I53" i="60"/>
  <c r="G53" i="60"/>
  <c r="P52" i="59"/>
  <c r="O52" i="59"/>
  <c r="N52" i="59"/>
  <c r="M52" i="59"/>
  <c r="K52" i="59"/>
  <c r="S52" i="59"/>
  <c r="G52" i="59"/>
  <c r="T52" i="59"/>
  <c r="R52" i="59"/>
  <c r="Q52" i="59"/>
  <c r="I52" i="59"/>
  <c r="H52" i="59"/>
  <c r="L52" i="59"/>
  <c r="J52" i="59"/>
  <c r="F52" i="59"/>
  <c r="T46" i="59"/>
  <c r="H46" i="59"/>
  <c r="S46" i="59"/>
  <c r="G46" i="59"/>
  <c r="R46" i="59"/>
  <c r="F46" i="59"/>
  <c r="Q46" i="59"/>
  <c r="O46" i="59"/>
  <c r="K46" i="59"/>
  <c r="P46" i="59"/>
  <c r="N46" i="59"/>
  <c r="M46" i="59"/>
  <c r="L46" i="59"/>
  <c r="J46" i="59"/>
  <c r="I46" i="59"/>
  <c r="S38" i="60"/>
  <c r="S37" i="60"/>
  <c r="O37" i="60"/>
  <c r="O38" i="60"/>
  <c r="N64" i="57"/>
  <c r="M64" i="57"/>
  <c r="L64" i="57"/>
  <c r="K64" i="57"/>
  <c r="J64" i="57"/>
  <c r="I64" i="57"/>
  <c r="T64" i="57"/>
  <c r="H64" i="57"/>
  <c r="Q64" i="57"/>
  <c r="P64" i="57"/>
  <c r="O64" i="57"/>
  <c r="S64" i="57"/>
  <c r="R64" i="57"/>
  <c r="G64" i="57"/>
  <c r="F64" i="57"/>
  <c r="R61" i="57"/>
  <c r="F61" i="57"/>
  <c r="Q61" i="57"/>
  <c r="P61" i="57"/>
  <c r="O61" i="57"/>
  <c r="N61" i="57"/>
  <c r="M61" i="57"/>
  <c r="L61" i="57"/>
  <c r="I61" i="57"/>
  <c r="T61" i="57"/>
  <c r="H61" i="57"/>
  <c r="K61" i="57"/>
  <c r="J61" i="57"/>
  <c r="G61" i="57"/>
  <c r="S61" i="57"/>
  <c r="T49" i="59"/>
  <c r="H49" i="59"/>
  <c r="S49" i="59"/>
  <c r="G49" i="59"/>
  <c r="R49" i="59"/>
  <c r="F49" i="59"/>
  <c r="Q49" i="59"/>
  <c r="O49" i="59"/>
  <c r="K49" i="59"/>
  <c r="P49" i="59"/>
  <c r="N49" i="59"/>
  <c r="M49" i="59"/>
  <c r="L49" i="59"/>
  <c r="J49" i="59"/>
  <c r="I49" i="59"/>
  <c r="S61" i="58"/>
  <c r="G61" i="58"/>
  <c r="R61" i="58"/>
  <c r="F61" i="58"/>
  <c r="Q61" i="58"/>
  <c r="P61" i="58"/>
  <c r="N61" i="58"/>
  <c r="J61" i="58"/>
  <c r="L61" i="58"/>
  <c r="K61" i="58"/>
  <c r="I61" i="58"/>
  <c r="H61" i="58"/>
  <c r="T61" i="58"/>
  <c r="O61" i="58"/>
  <c r="M61" i="58"/>
  <c r="L38" i="60"/>
  <c r="L37" i="60"/>
  <c r="J47" i="57"/>
  <c r="I47" i="57"/>
  <c r="T47" i="57"/>
  <c r="H47" i="57"/>
  <c r="S47" i="57"/>
  <c r="G47" i="57"/>
  <c r="R47" i="57"/>
  <c r="F47" i="57"/>
  <c r="Q47" i="57"/>
  <c r="P47" i="57"/>
  <c r="L47" i="57"/>
  <c r="K47" i="57"/>
  <c r="M47" i="57"/>
  <c r="O47" i="57"/>
  <c r="N47" i="57"/>
  <c r="N54" i="57"/>
  <c r="M54" i="57"/>
  <c r="L54" i="57"/>
  <c r="K54" i="57"/>
  <c r="J54" i="57"/>
  <c r="I54" i="57"/>
  <c r="T54" i="57"/>
  <c r="H54" i="57"/>
  <c r="Q54" i="57"/>
  <c r="P54" i="57"/>
  <c r="R54" i="57"/>
  <c r="O54" i="57"/>
  <c r="S54" i="57"/>
  <c r="G54" i="57"/>
  <c r="F54" i="57"/>
  <c r="G38" i="60"/>
  <c r="G37" i="60"/>
  <c r="L19" i="60"/>
  <c r="J52" i="57"/>
  <c r="I52" i="57"/>
  <c r="T52" i="57"/>
  <c r="H52" i="57"/>
  <c r="S52" i="57"/>
  <c r="G52" i="57"/>
  <c r="R52" i="57"/>
  <c r="F52" i="57"/>
  <c r="Q52" i="57"/>
  <c r="P52" i="57"/>
  <c r="M52" i="57"/>
  <c r="O52" i="57"/>
  <c r="N52" i="57"/>
  <c r="L52" i="57"/>
  <c r="K52" i="57"/>
  <c r="P47" i="59"/>
  <c r="O47" i="59"/>
  <c r="N47" i="59"/>
  <c r="M47" i="59"/>
  <c r="K47" i="59"/>
  <c r="S47" i="59"/>
  <c r="G47" i="59"/>
  <c r="T47" i="59"/>
  <c r="R47" i="59"/>
  <c r="Q47" i="59"/>
  <c r="I47" i="59"/>
  <c r="H47" i="59"/>
  <c r="L47" i="59"/>
  <c r="J47" i="59"/>
  <c r="F47" i="59"/>
  <c r="T67" i="59"/>
  <c r="H67" i="59"/>
  <c r="S67" i="59"/>
  <c r="G67" i="59"/>
  <c r="R67" i="59"/>
  <c r="F67" i="59"/>
  <c r="Q67" i="59"/>
  <c r="O67" i="59"/>
  <c r="K67" i="59"/>
  <c r="P67" i="59"/>
  <c r="N67" i="59"/>
  <c r="M67" i="59"/>
  <c r="L67" i="59"/>
  <c r="J67" i="59"/>
  <c r="I67" i="59"/>
  <c r="L61" i="59"/>
  <c r="K61" i="59"/>
  <c r="J61" i="59"/>
  <c r="I61" i="59"/>
  <c r="S61" i="59"/>
  <c r="G61" i="59"/>
  <c r="O61" i="59"/>
  <c r="M61" i="59"/>
  <c r="H61" i="59"/>
  <c r="F61" i="59"/>
  <c r="Q61" i="59"/>
  <c r="P61" i="59"/>
  <c r="T61" i="59"/>
  <c r="R61" i="59"/>
  <c r="N61" i="59"/>
  <c r="S69" i="58"/>
  <c r="G69" i="58"/>
  <c r="R69" i="58"/>
  <c r="F69" i="58"/>
  <c r="Q69" i="58"/>
  <c r="P69" i="58"/>
  <c r="N69" i="58"/>
  <c r="J69" i="58"/>
  <c r="L69" i="58"/>
  <c r="K69" i="58"/>
  <c r="I69" i="58"/>
  <c r="H69" i="58"/>
  <c r="T69" i="58"/>
  <c r="O69" i="58"/>
  <c r="M69" i="58"/>
  <c r="H37" i="60"/>
  <c r="H38" i="60"/>
  <c r="J55" i="57"/>
  <c r="I55" i="57"/>
  <c r="T55" i="57"/>
  <c r="H55" i="57"/>
  <c r="S55" i="57"/>
  <c r="G55" i="57"/>
  <c r="R55" i="57"/>
  <c r="F55" i="57"/>
  <c r="Q55" i="57"/>
  <c r="P55" i="57"/>
  <c r="M55" i="57"/>
  <c r="L55" i="57"/>
  <c r="O55" i="57"/>
  <c r="N55" i="57"/>
  <c r="K55" i="57"/>
  <c r="Q61" i="60"/>
  <c r="P61" i="60"/>
  <c r="O61" i="60"/>
  <c r="N61" i="60"/>
  <c r="L61" i="60"/>
  <c r="T61" i="60"/>
  <c r="H61" i="60"/>
  <c r="S61" i="60"/>
  <c r="R61" i="60"/>
  <c r="M61" i="60"/>
  <c r="K61" i="60"/>
  <c r="J61" i="60"/>
  <c r="F61" i="60"/>
  <c r="I61" i="60"/>
  <c r="G61" i="60"/>
  <c r="L56" i="59"/>
  <c r="K56" i="59"/>
  <c r="J56" i="59"/>
  <c r="I56" i="59"/>
  <c r="S56" i="59"/>
  <c r="G56" i="59"/>
  <c r="O56" i="59"/>
  <c r="M56" i="59"/>
  <c r="H56" i="59"/>
  <c r="F56" i="59"/>
  <c r="Q56" i="59"/>
  <c r="P56" i="59"/>
  <c r="R56" i="59"/>
  <c r="N56" i="59"/>
  <c r="T56" i="59"/>
  <c r="I38" i="60"/>
  <c r="I37" i="60"/>
  <c r="M37" i="60"/>
  <c r="M38" i="60"/>
  <c r="J60" i="57"/>
  <c r="I60" i="57"/>
  <c r="T60" i="57"/>
  <c r="H60" i="57"/>
  <c r="S60" i="57"/>
  <c r="G60" i="57"/>
  <c r="R60" i="57"/>
  <c r="F60" i="57"/>
  <c r="Q60" i="57"/>
  <c r="P60" i="57"/>
  <c r="M60" i="57"/>
  <c r="L60" i="57"/>
  <c r="O60" i="57"/>
  <c r="N60" i="57"/>
  <c r="K60" i="57"/>
  <c r="P60" i="59"/>
  <c r="O60" i="59"/>
  <c r="N60" i="59"/>
  <c r="M60" i="59"/>
  <c r="K60" i="59"/>
  <c r="S60" i="59"/>
  <c r="G60" i="59"/>
  <c r="T60" i="59"/>
  <c r="R60" i="59"/>
  <c r="Q60" i="59"/>
  <c r="I60" i="59"/>
  <c r="H60" i="59"/>
  <c r="L60" i="59"/>
  <c r="J60" i="59"/>
  <c r="F60" i="59"/>
  <c r="R53" i="57"/>
  <c r="F53" i="57"/>
  <c r="Q53" i="57"/>
  <c r="P53" i="57"/>
  <c r="O53" i="57"/>
  <c r="N53" i="57"/>
  <c r="M53" i="57"/>
  <c r="L53" i="57"/>
  <c r="I53" i="57"/>
  <c r="S53" i="57"/>
  <c r="K53" i="57"/>
  <c r="J53" i="57"/>
  <c r="H53" i="57"/>
  <c r="G53" i="57"/>
  <c r="T53" i="57"/>
  <c r="T54" i="59"/>
  <c r="H54" i="59"/>
  <c r="S54" i="59"/>
  <c r="G54" i="59"/>
  <c r="R54" i="59"/>
  <c r="F54" i="59"/>
  <c r="Q54" i="59"/>
  <c r="O54" i="59"/>
  <c r="K54" i="59"/>
  <c r="P54" i="59"/>
  <c r="N54" i="59"/>
  <c r="M54" i="59"/>
  <c r="L54" i="59"/>
  <c r="J54" i="59"/>
  <c r="I54" i="59"/>
  <c r="S49" i="58"/>
  <c r="G49" i="58"/>
  <c r="R49" i="58"/>
  <c r="F49" i="58"/>
  <c r="Q49" i="58"/>
  <c r="P49" i="58"/>
  <c r="O49" i="58"/>
  <c r="N49" i="58"/>
  <c r="M49" i="58"/>
  <c r="J49" i="58"/>
  <c r="I49" i="58"/>
  <c r="L49" i="58"/>
  <c r="K49" i="58"/>
  <c r="H49" i="58"/>
  <c r="T49" i="58"/>
  <c r="L53" i="59"/>
  <c r="K53" i="59"/>
  <c r="J53" i="59"/>
  <c r="I53" i="59"/>
  <c r="S53" i="59"/>
  <c r="G53" i="59"/>
  <c r="O53" i="59"/>
  <c r="M53" i="59"/>
  <c r="H53" i="59"/>
  <c r="F53" i="59"/>
  <c r="Q53" i="59"/>
  <c r="P53" i="59"/>
  <c r="T53" i="59"/>
  <c r="N53" i="59"/>
  <c r="R53" i="59"/>
  <c r="O47" i="58"/>
  <c r="N47" i="58"/>
  <c r="M47" i="58"/>
  <c r="L47" i="58"/>
  <c r="K47" i="58"/>
  <c r="J47" i="58"/>
  <c r="I47" i="58"/>
  <c r="R47" i="58"/>
  <c r="F47" i="58"/>
  <c r="Q47" i="58"/>
  <c r="P47" i="58"/>
  <c r="S47" i="58"/>
  <c r="T47" i="58"/>
  <c r="H47" i="58"/>
  <c r="G47" i="58"/>
  <c r="K38" i="60"/>
  <c r="K37" i="60"/>
  <c r="J65" i="57"/>
  <c r="I65" i="57"/>
  <c r="T65" i="57"/>
  <c r="H65" i="57"/>
  <c r="S65" i="57"/>
  <c r="G65" i="57"/>
  <c r="R65" i="57"/>
  <c r="F65" i="57"/>
  <c r="Q65" i="57"/>
  <c r="P65" i="57"/>
  <c r="M65" i="57"/>
  <c r="L65" i="57"/>
  <c r="O65" i="57"/>
  <c r="N65" i="57"/>
  <c r="K65" i="57"/>
  <c r="F37" i="60"/>
  <c r="L18" i="60"/>
  <c r="F38" i="60"/>
  <c r="Q37" i="60"/>
  <c r="Q38" i="60"/>
  <c r="Q48" i="60"/>
  <c r="P48" i="60"/>
  <c r="O48" i="60"/>
  <c r="N48" i="60"/>
  <c r="L48" i="60"/>
  <c r="T48" i="60"/>
  <c r="H48" i="60"/>
  <c r="S48" i="60"/>
  <c r="R48" i="60"/>
  <c r="M48" i="60"/>
  <c r="K48" i="60"/>
  <c r="J48" i="60"/>
  <c r="F48" i="60"/>
  <c r="G48" i="60"/>
  <c r="I48" i="60"/>
  <c r="P68" i="59"/>
  <c r="O68" i="59"/>
  <c r="N68" i="59"/>
  <c r="M68" i="59"/>
  <c r="K68" i="59"/>
  <c r="S68" i="59"/>
  <c r="G68" i="59"/>
  <c r="T68" i="59"/>
  <c r="R68" i="59"/>
  <c r="Q68" i="59"/>
  <c r="I68" i="59"/>
  <c r="H68" i="59"/>
  <c r="L68" i="59"/>
  <c r="J68" i="59"/>
  <c r="F68" i="59"/>
  <c r="S46" i="58"/>
  <c r="G46" i="58"/>
  <c r="R46" i="58"/>
  <c r="F46" i="58"/>
  <c r="Q46" i="58"/>
  <c r="P46" i="58"/>
  <c r="O46" i="58"/>
  <c r="N46" i="58"/>
  <c r="M46" i="58"/>
  <c r="J46" i="58"/>
  <c r="I46" i="58"/>
  <c r="L46" i="58"/>
  <c r="K46" i="58"/>
  <c r="H46" i="58"/>
  <c r="T46" i="58"/>
  <c r="L48" i="59"/>
  <c r="K48" i="59"/>
  <c r="J48" i="59"/>
  <c r="I48" i="59"/>
  <c r="S48" i="59"/>
  <c r="G48" i="59"/>
  <c r="O48" i="59"/>
  <c r="M48" i="59"/>
  <c r="H48" i="59"/>
  <c r="F48" i="59"/>
  <c r="Q48" i="59"/>
  <c r="P48" i="59"/>
  <c r="R48" i="59"/>
  <c r="N48" i="59"/>
  <c r="T48" i="59"/>
  <c r="P37" i="60"/>
  <c r="P38" i="60"/>
  <c r="J68" i="57"/>
  <c r="I68" i="57"/>
  <c r="T68" i="57"/>
  <c r="H68" i="57"/>
  <c r="S68" i="57"/>
  <c r="G68" i="57"/>
  <c r="R68" i="57"/>
  <c r="F68" i="57"/>
  <c r="Q68" i="57"/>
  <c r="P68" i="57"/>
  <c r="M68" i="57"/>
  <c r="L68" i="57"/>
  <c r="O68" i="57"/>
  <c r="N68" i="57"/>
  <c r="K68" i="57"/>
  <c r="J38" i="60"/>
  <c r="J37" i="60"/>
  <c r="N67" i="57"/>
  <c r="M67" i="57"/>
  <c r="L67" i="57"/>
  <c r="K67" i="57"/>
  <c r="J67" i="57"/>
  <c r="I67" i="57"/>
  <c r="T67" i="57"/>
  <c r="H67" i="57"/>
  <c r="Q67" i="57"/>
  <c r="P67" i="57"/>
  <c r="O67" i="57"/>
  <c r="S67" i="57"/>
  <c r="R67" i="57"/>
  <c r="G67" i="57"/>
  <c r="F67" i="57"/>
  <c r="S56" i="58"/>
  <c r="G56" i="58"/>
  <c r="R56" i="58"/>
  <c r="F56" i="58"/>
  <c r="Q56" i="58"/>
  <c r="P56" i="58"/>
  <c r="N56" i="58"/>
  <c r="J56" i="58"/>
  <c r="L56" i="58"/>
  <c r="K56" i="58"/>
  <c r="I56" i="58"/>
  <c r="H56" i="58"/>
  <c r="T56" i="58"/>
  <c r="O56" i="58"/>
  <c r="M56" i="58"/>
  <c r="T37" i="60"/>
  <c r="T38" i="60"/>
  <c r="R69" i="57"/>
  <c r="F69" i="57"/>
  <c r="Q69" i="57"/>
  <c r="P69" i="57"/>
  <c r="O69" i="57"/>
  <c r="N69" i="57"/>
  <c r="M69" i="57"/>
  <c r="L69" i="57"/>
  <c r="I69" i="57"/>
  <c r="T69" i="57"/>
  <c r="H69" i="57"/>
  <c r="K69" i="57"/>
  <c r="J69" i="57"/>
  <c r="G69" i="57"/>
  <c r="S69" i="57"/>
  <c r="T64" i="59"/>
  <c r="H64" i="59"/>
  <c r="S64" i="59"/>
  <c r="G64" i="59"/>
  <c r="R64" i="59"/>
  <c r="F64" i="59"/>
  <c r="Q64" i="59"/>
  <c r="O64" i="59"/>
  <c r="K64" i="59"/>
  <c r="P64" i="59"/>
  <c r="N64" i="59"/>
  <c r="M64" i="59"/>
  <c r="L64" i="59"/>
  <c r="J64" i="59"/>
  <c r="I64" i="59"/>
  <c r="P65" i="59"/>
  <c r="O65" i="59"/>
  <c r="N65" i="59"/>
  <c r="M65" i="59"/>
  <c r="K65" i="59"/>
  <c r="S65" i="59"/>
  <c r="G65" i="59"/>
  <c r="T65" i="59"/>
  <c r="R65" i="59"/>
  <c r="Q65" i="59"/>
  <c r="I65" i="59"/>
  <c r="H65" i="59"/>
  <c r="L65" i="59"/>
  <c r="J65" i="59"/>
  <c r="F65" i="59"/>
  <c r="N37" i="60"/>
  <c r="N38" i="60"/>
  <c r="N49" i="57"/>
  <c r="M49" i="57"/>
  <c r="L49" i="57"/>
  <c r="K49" i="57"/>
  <c r="J49" i="57"/>
  <c r="I49" i="57"/>
  <c r="T49" i="57"/>
  <c r="H49" i="57"/>
  <c r="Q49" i="57"/>
  <c r="O49" i="57"/>
  <c r="G49" i="57"/>
  <c r="F49" i="57"/>
  <c r="S49" i="57"/>
  <c r="R49" i="57"/>
  <c r="P49" i="57"/>
  <c r="R48" i="57"/>
  <c r="F48" i="57"/>
  <c r="Q48" i="57"/>
  <c r="P48" i="57"/>
  <c r="O48" i="57"/>
  <c r="N48" i="57"/>
  <c r="M48" i="57"/>
  <c r="L48" i="57"/>
  <c r="I48" i="57"/>
  <c r="H48" i="57"/>
  <c r="T48" i="57"/>
  <c r="G48" i="57"/>
  <c r="S48" i="57"/>
  <c r="K48" i="57"/>
  <c r="J48" i="57"/>
  <c r="Q46" i="56"/>
  <c r="P46" i="56"/>
  <c r="O46" i="56"/>
  <c r="N46" i="56"/>
  <c r="M46" i="56"/>
  <c r="L46" i="56"/>
  <c r="G46" i="56"/>
  <c r="T46" i="56"/>
  <c r="J46" i="56"/>
  <c r="I46" i="56"/>
  <c r="S46" i="56"/>
  <c r="H46" i="56"/>
  <c r="R46" i="56"/>
  <c r="K46" i="56"/>
  <c r="F46" i="56"/>
  <c r="I56" i="56"/>
  <c r="H56" i="56"/>
  <c r="Q56" i="56"/>
  <c r="T56" i="56"/>
  <c r="P56" i="56"/>
  <c r="S56" i="56"/>
  <c r="G56" i="56"/>
  <c r="R56" i="56"/>
  <c r="F56" i="56"/>
  <c r="M56" i="56"/>
  <c r="N56" i="56"/>
  <c r="L56" i="56"/>
  <c r="K56" i="56"/>
  <c r="O56" i="56"/>
  <c r="J56" i="56"/>
  <c r="Q54" i="56"/>
  <c r="P54" i="56"/>
  <c r="M54" i="56"/>
  <c r="L54" i="56"/>
  <c r="O54" i="56"/>
  <c r="N54" i="56"/>
  <c r="G54" i="56"/>
  <c r="T54" i="56"/>
  <c r="J54" i="56"/>
  <c r="I54" i="56"/>
  <c r="H54" i="56"/>
  <c r="S54" i="56"/>
  <c r="F54" i="56"/>
  <c r="R54" i="56"/>
  <c r="K54" i="56"/>
  <c r="I61" i="56"/>
  <c r="P61" i="56"/>
  <c r="T61" i="56"/>
  <c r="H61" i="56"/>
  <c r="Q61" i="56"/>
  <c r="S61" i="56"/>
  <c r="G61" i="56"/>
  <c r="R61" i="56"/>
  <c r="F61" i="56"/>
  <c r="N61" i="56"/>
  <c r="M61" i="56"/>
  <c r="O61" i="56"/>
  <c r="L61" i="56"/>
  <c r="K61" i="56"/>
  <c r="J61" i="56"/>
  <c r="Q67" i="56"/>
  <c r="K67" i="56"/>
  <c r="P67" i="56"/>
  <c r="L67" i="56"/>
  <c r="O67" i="56"/>
  <c r="N67" i="56"/>
  <c r="M67" i="56"/>
  <c r="R67" i="56"/>
  <c r="H67" i="56"/>
  <c r="G67" i="56"/>
  <c r="F67" i="56"/>
  <c r="J67" i="56"/>
  <c r="I67" i="56"/>
  <c r="T67" i="56"/>
  <c r="S67" i="56"/>
  <c r="Q64" i="56"/>
  <c r="M64" i="56"/>
  <c r="K64" i="56"/>
  <c r="P64" i="56"/>
  <c r="L64" i="56"/>
  <c r="O64" i="56"/>
  <c r="N64" i="56"/>
  <c r="H64" i="56"/>
  <c r="R64" i="56"/>
  <c r="J64" i="56"/>
  <c r="I64" i="56"/>
  <c r="G64" i="56"/>
  <c r="F64" i="56"/>
  <c r="T64" i="56"/>
  <c r="S64" i="56"/>
  <c r="Q49" i="56"/>
  <c r="P49" i="56"/>
  <c r="M49" i="56"/>
  <c r="L49" i="56"/>
  <c r="O49" i="56"/>
  <c r="N49" i="56"/>
  <c r="G49" i="56"/>
  <c r="T49" i="56"/>
  <c r="J49" i="56"/>
  <c r="I49" i="56"/>
  <c r="S49" i="56"/>
  <c r="R49" i="56"/>
  <c r="K49" i="56"/>
  <c r="H49" i="56"/>
  <c r="F49" i="56"/>
  <c r="I53" i="56"/>
  <c r="H53" i="56"/>
  <c r="P53" i="56"/>
  <c r="T53" i="56"/>
  <c r="S53" i="56"/>
  <c r="G53" i="56"/>
  <c r="R53" i="56"/>
  <c r="F53" i="56"/>
  <c r="Q53" i="56"/>
  <c r="M53" i="56"/>
  <c r="N53" i="56"/>
  <c r="L53" i="56"/>
  <c r="K53" i="56"/>
  <c r="O53" i="56"/>
  <c r="J53" i="56"/>
  <c r="I48" i="56"/>
  <c r="T48" i="56"/>
  <c r="H48" i="56"/>
  <c r="S48" i="56"/>
  <c r="G48" i="56"/>
  <c r="R48" i="56"/>
  <c r="F48" i="56"/>
  <c r="Q48" i="56"/>
  <c r="P48" i="56"/>
  <c r="N48" i="56"/>
  <c r="L48" i="56"/>
  <c r="K48" i="56"/>
  <c r="M48" i="56"/>
  <c r="O48" i="56"/>
  <c r="J48" i="56"/>
  <c r="I69" i="56"/>
  <c r="T69" i="56"/>
  <c r="H69" i="56"/>
  <c r="Q69" i="56"/>
  <c r="P69" i="56"/>
  <c r="S69" i="56"/>
  <c r="G69" i="56"/>
  <c r="R69" i="56"/>
  <c r="F69" i="56"/>
  <c r="O69" i="56"/>
  <c r="L69" i="56"/>
  <c r="N69" i="56"/>
  <c r="M69" i="56"/>
  <c r="K69" i="56"/>
  <c r="J69" i="56"/>
  <c r="Q48" i="55"/>
  <c r="P48" i="55"/>
  <c r="O48" i="55"/>
  <c r="N48" i="55"/>
  <c r="M48" i="55"/>
  <c r="L48" i="55"/>
  <c r="S48" i="55"/>
  <c r="F48" i="55"/>
  <c r="K48" i="55"/>
  <c r="I48" i="55"/>
  <c r="H48" i="55"/>
  <c r="G48" i="55"/>
  <c r="R48" i="55"/>
  <c r="J48" i="55"/>
  <c r="T48" i="55"/>
  <c r="I38" i="55"/>
  <c r="I37" i="55"/>
  <c r="M67" i="55"/>
  <c r="L67" i="55"/>
  <c r="K67" i="55"/>
  <c r="J67" i="55"/>
  <c r="I67" i="55"/>
  <c r="T67" i="55"/>
  <c r="H67" i="55"/>
  <c r="S67" i="55"/>
  <c r="G67" i="55"/>
  <c r="Q67" i="55"/>
  <c r="N67" i="55"/>
  <c r="R67" i="55"/>
  <c r="F67" i="55"/>
  <c r="P67" i="55"/>
  <c r="O67" i="55"/>
  <c r="I68" i="55"/>
  <c r="T68" i="55"/>
  <c r="H68" i="55"/>
  <c r="S68" i="55"/>
  <c r="G68" i="55"/>
  <c r="R68" i="55"/>
  <c r="F68" i="55"/>
  <c r="Q68" i="55"/>
  <c r="P68" i="55"/>
  <c r="K68" i="55"/>
  <c r="O68" i="55"/>
  <c r="M68" i="55"/>
  <c r="L68" i="55"/>
  <c r="N68" i="55"/>
  <c r="J68" i="55"/>
  <c r="I65" i="55"/>
  <c r="T65" i="55"/>
  <c r="H65" i="55"/>
  <c r="S65" i="55"/>
  <c r="G65" i="55"/>
  <c r="R65" i="55"/>
  <c r="F65" i="55"/>
  <c r="Q65" i="55"/>
  <c r="P65" i="55"/>
  <c r="O65" i="55"/>
  <c r="M65" i="55"/>
  <c r="L65" i="55"/>
  <c r="K65" i="55"/>
  <c r="N65" i="55"/>
  <c r="J65" i="55"/>
  <c r="M46" i="55"/>
  <c r="L46" i="55"/>
  <c r="K46" i="55"/>
  <c r="J46" i="55"/>
  <c r="I46" i="55"/>
  <c r="T46" i="55"/>
  <c r="H46" i="55"/>
  <c r="S46" i="55"/>
  <c r="G46" i="55"/>
  <c r="Q46" i="55"/>
  <c r="O46" i="55"/>
  <c r="R46" i="55"/>
  <c r="F46" i="55"/>
  <c r="P46" i="55"/>
  <c r="N46" i="55"/>
  <c r="O38" i="55"/>
  <c r="N37" i="55"/>
  <c r="N38" i="55"/>
  <c r="I60" i="55"/>
  <c r="T60" i="55"/>
  <c r="H60" i="55"/>
  <c r="S60" i="55"/>
  <c r="G60" i="55"/>
  <c r="R60" i="55"/>
  <c r="F60" i="55"/>
  <c r="Q60" i="55"/>
  <c r="P60" i="55"/>
  <c r="L60" i="55"/>
  <c r="O60" i="55"/>
  <c r="M60" i="55"/>
  <c r="J60" i="55"/>
  <c r="N60" i="55"/>
  <c r="K60" i="55"/>
  <c r="T38" i="55"/>
  <c r="T37" i="55"/>
  <c r="I55" i="55"/>
  <c r="T55" i="55"/>
  <c r="H55" i="55"/>
  <c r="S55" i="55"/>
  <c r="G55" i="55"/>
  <c r="R55" i="55"/>
  <c r="F55" i="55"/>
  <c r="Q55" i="55"/>
  <c r="P55" i="55"/>
  <c r="L55" i="55"/>
  <c r="K55" i="55"/>
  <c r="J55" i="55"/>
  <c r="O55" i="55"/>
  <c r="N55" i="55"/>
  <c r="M55" i="55"/>
  <c r="H38" i="55"/>
  <c r="L18" i="55"/>
  <c r="H37" i="55"/>
  <c r="I52" i="55"/>
  <c r="T52" i="55"/>
  <c r="H52" i="55"/>
  <c r="S52" i="55"/>
  <c r="G52" i="55"/>
  <c r="R52" i="55"/>
  <c r="F52" i="55"/>
  <c r="Q52" i="55"/>
  <c r="P52" i="55"/>
  <c r="J52" i="55"/>
  <c r="O52" i="55"/>
  <c r="L52" i="55"/>
  <c r="K52" i="55"/>
  <c r="N52" i="55"/>
  <c r="M52" i="55"/>
  <c r="I47" i="55"/>
  <c r="T47" i="55"/>
  <c r="H47" i="55"/>
  <c r="S47" i="55"/>
  <c r="G47" i="55"/>
  <c r="R47" i="55"/>
  <c r="F47" i="55"/>
  <c r="Q47" i="55"/>
  <c r="P47" i="55"/>
  <c r="L47" i="55"/>
  <c r="O47" i="55"/>
  <c r="J47" i="55"/>
  <c r="N47" i="55"/>
  <c r="M47" i="55"/>
  <c r="K47" i="55"/>
  <c r="M64" i="55"/>
  <c r="L64" i="55"/>
  <c r="K64" i="55"/>
  <c r="J64" i="55"/>
  <c r="I64" i="55"/>
  <c r="T64" i="55"/>
  <c r="H64" i="55"/>
  <c r="O64" i="55"/>
  <c r="N64" i="55"/>
  <c r="S64" i="55"/>
  <c r="G64" i="55"/>
  <c r="Q64" i="55"/>
  <c r="R64" i="55"/>
  <c r="F64" i="55"/>
  <c r="P64" i="55"/>
  <c r="Q61" i="55"/>
  <c r="P61" i="55"/>
  <c r="O61" i="55"/>
  <c r="N61" i="55"/>
  <c r="M61" i="55"/>
  <c r="L61" i="55"/>
  <c r="K61" i="55"/>
  <c r="I61" i="55"/>
  <c r="H61" i="55"/>
  <c r="G61" i="55"/>
  <c r="R61" i="55"/>
  <c r="J61" i="55"/>
  <c r="T61" i="55"/>
  <c r="S61" i="55"/>
  <c r="F61" i="55"/>
  <c r="Q56" i="55"/>
  <c r="P56" i="55"/>
  <c r="O56" i="55"/>
  <c r="N56" i="55"/>
  <c r="M56" i="55"/>
  <c r="L56" i="55"/>
  <c r="T56" i="55"/>
  <c r="K56" i="55"/>
  <c r="I56" i="55"/>
  <c r="H56" i="55"/>
  <c r="G56" i="55"/>
  <c r="F56" i="55"/>
  <c r="J56" i="55"/>
  <c r="S56" i="55"/>
  <c r="R56" i="55"/>
  <c r="J38" i="55"/>
  <c r="J37" i="55"/>
  <c r="M54" i="55"/>
  <c r="L54" i="55"/>
  <c r="K54" i="55"/>
  <c r="J54" i="55"/>
  <c r="I54" i="55"/>
  <c r="T54" i="55"/>
  <c r="H54" i="55"/>
  <c r="S54" i="55"/>
  <c r="G54" i="55"/>
  <c r="Q54" i="55"/>
  <c r="R54" i="55"/>
  <c r="F54" i="55"/>
  <c r="P54" i="55"/>
  <c r="O54" i="55"/>
  <c r="N54" i="55"/>
  <c r="P38" i="55"/>
  <c r="Q53" i="55"/>
  <c r="P53" i="55"/>
  <c r="O53" i="55"/>
  <c r="N53" i="55"/>
  <c r="M53" i="55"/>
  <c r="L53" i="55"/>
  <c r="H53" i="55"/>
  <c r="G53" i="55"/>
  <c r="K53" i="55"/>
  <c r="I53" i="55"/>
  <c r="T53" i="55"/>
  <c r="S53" i="55"/>
  <c r="R53" i="55"/>
  <c r="F53" i="55"/>
  <c r="J53" i="55"/>
  <c r="M49" i="55"/>
  <c r="L49" i="55"/>
  <c r="K49" i="55"/>
  <c r="J49" i="55"/>
  <c r="I49" i="55"/>
  <c r="T49" i="55"/>
  <c r="H49" i="55"/>
  <c r="P49" i="55"/>
  <c r="S49" i="55"/>
  <c r="G49" i="55"/>
  <c r="Q49" i="55"/>
  <c r="R49" i="55"/>
  <c r="F49" i="55"/>
  <c r="O49" i="55"/>
  <c r="N49" i="55"/>
  <c r="I52" i="54"/>
  <c r="T52" i="54"/>
  <c r="H52" i="54"/>
  <c r="S52" i="54"/>
  <c r="G52" i="54"/>
  <c r="R52" i="54"/>
  <c r="F52" i="54"/>
  <c r="Q52" i="54"/>
  <c r="P52" i="54"/>
  <c r="O52" i="54"/>
  <c r="N52" i="54"/>
  <c r="J52" i="54"/>
  <c r="M52" i="54"/>
  <c r="L52" i="54"/>
  <c r="K52" i="54"/>
  <c r="I47" i="54"/>
  <c r="T47" i="54"/>
  <c r="H47" i="54"/>
  <c r="S47" i="54"/>
  <c r="G47" i="54"/>
  <c r="R47" i="54"/>
  <c r="F47" i="54"/>
  <c r="Q47" i="54"/>
  <c r="P47" i="54"/>
  <c r="O47" i="54"/>
  <c r="N47" i="54"/>
  <c r="J47" i="54"/>
  <c r="M47" i="54"/>
  <c r="L47" i="54"/>
  <c r="K47" i="54"/>
  <c r="Q61" i="54"/>
  <c r="P61" i="54"/>
  <c r="O61" i="54"/>
  <c r="N61" i="54"/>
  <c r="M61" i="54"/>
  <c r="L61" i="54"/>
  <c r="K61" i="54"/>
  <c r="J61" i="54"/>
  <c r="R61" i="54"/>
  <c r="I61" i="54"/>
  <c r="F61" i="54"/>
  <c r="T61" i="54"/>
  <c r="H61" i="54"/>
  <c r="S61" i="54"/>
  <c r="G61" i="54"/>
  <c r="Q56" i="54"/>
  <c r="P56" i="54"/>
  <c r="O56" i="54"/>
  <c r="N56" i="54"/>
  <c r="M56" i="54"/>
  <c r="L56" i="54"/>
  <c r="K56" i="54"/>
  <c r="J56" i="54"/>
  <c r="I56" i="54"/>
  <c r="R56" i="54"/>
  <c r="T56" i="54"/>
  <c r="H56" i="54"/>
  <c r="S56" i="54"/>
  <c r="G56" i="54"/>
  <c r="F56" i="54"/>
  <c r="Q53" i="54"/>
  <c r="P53" i="54"/>
  <c r="O53" i="54"/>
  <c r="N53" i="54"/>
  <c r="M53" i="54"/>
  <c r="L53" i="54"/>
  <c r="K53" i="54"/>
  <c r="J53" i="54"/>
  <c r="I53" i="54"/>
  <c r="R53" i="54"/>
  <c r="T53" i="54"/>
  <c r="H53" i="54"/>
  <c r="S53" i="54"/>
  <c r="G53" i="54"/>
  <c r="F53" i="54"/>
  <c r="Q48" i="54"/>
  <c r="P48" i="54"/>
  <c r="O48" i="54"/>
  <c r="N48" i="54"/>
  <c r="M48" i="54"/>
  <c r="F48" i="54"/>
  <c r="L48" i="54"/>
  <c r="K48" i="54"/>
  <c r="J48" i="54"/>
  <c r="I48" i="54"/>
  <c r="R48" i="54"/>
  <c r="T48" i="54"/>
  <c r="H48" i="54"/>
  <c r="S48" i="54"/>
  <c r="G48" i="54"/>
  <c r="M67" i="54"/>
  <c r="L67" i="54"/>
  <c r="K67" i="54"/>
  <c r="N67" i="54"/>
  <c r="J67" i="54"/>
  <c r="I67" i="54"/>
  <c r="T67" i="54"/>
  <c r="H67" i="54"/>
  <c r="S67" i="54"/>
  <c r="G67" i="54"/>
  <c r="R67" i="54"/>
  <c r="F67" i="54"/>
  <c r="Q67" i="54"/>
  <c r="P67" i="54"/>
  <c r="O67" i="54"/>
  <c r="M64" i="54"/>
  <c r="L64" i="54"/>
  <c r="K64" i="54"/>
  <c r="J64" i="54"/>
  <c r="I64" i="54"/>
  <c r="T64" i="54"/>
  <c r="H64" i="54"/>
  <c r="S64" i="54"/>
  <c r="G64" i="54"/>
  <c r="R64" i="54"/>
  <c r="F64" i="54"/>
  <c r="Q64" i="54"/>
  <c r="P64" i="54"/>
  <c r="O64" i="54"/>
  <c r="N64" i="54"/>
  <c r="I68" i="54"/>
  <c r="T68" i="54"/>
  <c r="H68" i="54"/>
  <c r="S68" i="54"/>
  <c r="G68" i="54"/>
  <c r="R68" i="54"/>
  <c r="F68" i="54"/>
  <c r="J68" i="54"/>
  <c r="Q68" i="54"/>
  <c r="P68" i="54"/>
  <c r="O68" i="54"/>
  <c r="N68" i="54"/>
  <c r="M68" i="54"/>
  <c r="L68" i="54"/>
  <c r="K68" i="54"/>
  <c r="I65" i="54"/>
  <c r="T65" i="54"/>
  <c r="H65" i="54"/>
  <c r="S65" i="54"/>
  <c r="G65" i="54"/>
  <c r="R65" i="54"/>
  <c r="F65" i="54"/>
  <c r="Q65" i="54"/>
  <c r="P65" i="54"/>
  <c r="O65" i="54"/>
  <c r="N65" i="54"/>
  <c r="M65" i="54"/>
  <c r="J65" i="54"/>
  <c r="L65" i="54"/>
  <c r="K65" i="54"/>
  <c r="M54" i="54"/>
  <c r="L54" i="54"/>
  <c r="K54" i="54"/>
  <c r="J54" i="54"/>
  <c r="I54" i="54"/>
  <c r="T54" i="54"/>
  <c r="H54" i="54"/>
  <c r="S54" i="54"/>
  <c r="G54" i="54"/>
  <c r="R54" i="54"/>
  <c r="F54" i="54"/>
  <c r="Q54" i="54"/>
  <c r="P54" i="54"/>
  <c r="O54" i="54"/>
  <c r="N54" i="54"/>
  <c r="I60" i="54"/>
  <c r="T60" i="54"/>
  <c r="H60" i="54"/>
  <c r="S60" i="54"/>
  <c r="G60" i="54"/>
  <c r="R60" i="54"/>
  <c r="F60" i="54"/>
  <c r="Q60" i="54"/>
  <c r="P60" i="54"/>
  <c r="O60" i="54"/>
  <c r="N60" i="54"/>
  <c r="M60" i="54"/>
  <c r="L60" i="54"/>
  <c r="K60" i="54"/>
  <c r="J60" i="54"/>
  <c r="M49" i="54"/>
  <c r="L49" i="54"/>
  <c r="K49" i="54"/>
  <c r="J49" i="54"/>
  <c r="I49" i="54"/>
  <c r="T49" i="54"/>
  <c r="H49" i="54"/>
  <c r="S49" i="54"/>
  <c r="G49" i="54"/>
  <c r="N49" i="54"/>
  <c r="R49" i="54"/>
  <c r="F49" i="54"/>
  <c r="Q49" i="54"/>
  <c r="P49" i="54"/>
  <c r="O49" i="54"/>
  <c r="I55" i="54"/>
  <c r="T55" i="54"/>
  <c r="H55" i="54"/>
  <c r="S55" i="54"/>
  <c r="G55" i="54"/>
  <c r="R55" i="54"/>
  <c r="F55" i="54"/>
  <c r="Q55" i="54"/>
  <c r="P55" i="54"/>
  <c r="O55" i="54"/>
  <c r="N55" i="54"/>
  <c r="J55" i="54"/>
  <c r="M55" i="54"/>
  <c r="L55" i="54"/>
  <c r="K55" i="54"/>
  <c r="M46" i="54"/>
  <c r="L46" i="54"/>
  <c r="K46" i="54"/>
  <c r="J46" i="54"/>
  <c r="I46" i="54"/>
  <c r="T46" i="54"/>
  <c r="H46" i="54"/>
  <c r="N46" i="54"/>
  <c r="S46" i="54"/>
  <c r="G46" i="54"/>
  <c r="R46" i="54"/>
  <c r="F46" i="54"/>
  <c r="Q46" i="54"/>
  <c r="P46" i="54"/>
  <c r="O46" i="54"/>
  <c r="N87" i="90" a="1"/>
  <c r="I60" i="90" a="1"/>
  <c r="F49" i="90" a="1"/>
  <c r="H58" i="90" a="1"/>
  <c r="F95" i="90" a="1"/>
  <c r="D51" i="90" a="1"/>
  <c r="D11" i="95" a="1"/>
  <c r="M48" i="90" a="1"/>
  <c r="M47" i="90" a="1"/>
  <c r="J18" i="90" a="1"/>
  <c r="N33" i="90" a="1"/>
  <c r="N58" i="90" a="1"/>
  <c r="S83" i="90" a="1"/>
  <c r="Q58" i="90" a="1"/>
  <c r="O86" i="90" a="1"/>
  <c r="L99" i="90" a="1"/>
  <c r="Q87" i="90" a="1"/>
  <c r="S29" i="90" a="1"/>
  <c r="S98" i="90" a="1"/>
  <c r="E109" i="90" a="1"/>
  <c r="O23" i="90" a="1"/>
  <c r="J84" i="90" a="1"/>
  <c r="D58" i="90" a="1"/>
  <c r="I7" i="90" a="1"/>
  <c r="L31" i="90" a="1"/>
  <c r="H60" i="90" a="1"/>
  <c r="Q49" i="90" a="1"/>
  <c r="E11" i="90" a="1"/>
  <c r="B99" i="90" a="1"/>
  <c r="J86" i="90" a="1"/>
  <c r="J75" i="90" a="1"/>
  <c r="N86" i="90" a="1"/>
  <c r="N19" i="90" a="1"/>
  <c r="E85" i="90" a="1"/>
  <c r="G57" i="90" a="1"/>
  <c r="E47" i="90" a="1"/>
  <c r="J51" i="90" a="1"/>
  <c r="R19" i="90" a="1"/>
  <c r="J85" i="90" a="1"/>
  <c r="O87" i="90" a="1"/>
  <c r="J103" i="90" a="1"/>
  <c r="Q61" i="90" a="1"/>
  <c r="R22" i="90" a="1"/>
  <c r="J94" i="90" a="1"/>
  <c r="M49" i="90" a="1"/>
  <c r="S19" i="90" a="1"/>
  <c r="L87" i="90" a="1"/>
  <c r="E23" i="90" a="1"/>
  <c r="D95" i="90" a="1"/>
  <c r="L85" i="90" a="1"/>
  <c r="D71" i="90" a="1"/>
  <c r="L23" i="90" a="1"/>
  <c r="J10" i="90" a="1"/>
  <c r="O61" i="90" a="1"/>
  <c r="J67" i="90" a="1"/>
  <c r="H98" i="90" a="1"/>
  <c r="H56" i="90" a="1"/>
  <c r="H17" i="90" a="1"/>
  <c r="Q23" i="90" a="1"/>
  <c r="B47" i="90" a="1"/>
  <c r="J73" i="90" a="1"/>
  <c r="S95" i="90" a="1"/>
  <c r="D57" i="90" a="1"/>
  <c r="F67" i="90" a="1"/>
  <c r="L67" i="90" a="1"/>
  <c r="G107" i="90" a="1"/>
  <c r="Q48" i="90" a="1"/>
  <c r="E60" i="90" a="1"/>
  <c r="G87" i="90" a="1"/>
  <c r="J87" i="90" a="1"/>
  <c r="S7" i="90" a="1"/>
  <c r="C33" i="90" a="1"/>
  <c r="B61" i="90" a="1"/>
  <c r="G98" i="90" a="1"/>
  <c r="J34" i="90" a="1"/>
  <c r="J111" i="90" a="1"/>
  <c r="I58" i="90" a="1"/>
  <c r="E7" i="90" a="1"/>
  <c r="D87" i="90" a="1"/>
  <c r="H48" i="90" a="1"/>
  <c r="D98" i="90" a="1"/>
  <c r="D99" i="90" a="1"/>
  <c r="O7" i="90" a="1"/>
  <c r="E10" i="90" a="1"/>
  <c r="S86" i="90" a="1"/>
  <c r="D67" i="90" a="1"/>
  <c r="J61" i="90" a="1"/>
  <c r="H65" i="90" a="1"/>
  <c r="M19" i="90" a="1"/>
  <c r="F29" i="90" a="1"/>
  <c r="S57" i="90" a="1"/>
  <c r="B109" i="90" a="1"/>
  <c r="S107" i="90" a="1"/>
  <c r="D107" i="90" a="1"/>
  <c r="O11" i="90" a="1"/>
  <c r="L20" i="90" a="1"/>
  <c r="O99" i="90" a="1"/>
  <c r="F60" i="90" a="1"/>
  <c r="E61" i="90" a="1"/>
  <c r="H37" i="90" a="1"/>
  <c r="O69" i="90" a="1"/>
  <c r="E33" i="90" a="1"/>
  <c r="C7" i="90" a="1"/>
  <c r="H109" i="90" a="1"/>
  <c r="J112" i="90" a="1"/>
  <c r="S22" i="90" a="1"/>
  <c r="Q45" i="90" a="1"/>
  <c r="F31" i="90" a="1"/>
  <c r="N99" i="90" a="1"/>
  <c r="H22" i="90" a="1"/>
  <c r="J107" i="90" a="1"/>
  <c r="N11" i="90" a="1"/>
  <c r="M109" i="90" a="1"/>
  <c r="S71" i="90" a="1"/>
  <c r="G7" i="90" a="1"/>
  <c r="B87" i="90" a="1"/>
  <c r="J60" i="90" a="1"/>
  <c r="G19" i="90" a="1"/>
  <c r="Q86" i="90" a="1"/>
  <c r="Q57" i="90" a="1"/>
  <c r="R29" i="90" a="1"/>
  <c r="S23" i="90" a="1"/>
  <c r="M51" i="90" a="1"/>
  <c r="H10" i="90" a="1"/>
  <c r="N45" i="90" a="1"/>
  <c r="O31" i="90" a="1"/>
  <c r="J89" i="90" a="1"/>
  <c r="I96" i="90" a="1"/>
  <c r="R57" i="90" a="1"/>
  <c r="B29" i="90" a="1"/>
  <c r="C109" i="90" a="1"/>
  <c r="L95" i="90" a="1"/>
  <c r="Q33" i="90" a="1"/>
  <c r="H49" i="90" a="1"/>
  <c r="H19" i="90" a="1"/>
  <c r="L96" i="90" a="1"/>
  <c r="L109" i="90" a="1"/>
  <c r="N60" i="90" a="1"/>
  <c r="M31" i="90" a="1"/>
  <c r="H47" i="90" a="1"/>
  <c r="L45" i="90" a="1"/>
  <c r="B105" i="90" a="1"/>
  <c r="M85" i="90" a="1"/>
  <c r="J27" i="90" a="1"/>
  <c r="D83" i="90" a="1"/>
  <c r="M107" i="90" a="1"/>
  <c r="H96" i="90" a="1"/>
  <c r="O49" i="90" a="1"/>
  <c r="E9" i="90" a="1"/>
  <c r="B7" i="90" a="1"/>
  <c r="O96" i="90" a="1"/>
  <c r="M96" i="90" a="1"/>
  <c r="J99" i="90" a="1"/>
  <c r="L61" i="90" a="1"/>
  <c r="O85" i="90" a="1"/>
  <c r="F109" i="90" a="1"/>
  <c r="H62" i="90" a="1"/>
  <c r="J11" i="90" a="1"/>
  <c r="C67" i="90" a="1"/>
  <c r="E105" i="90" a="1"/>
  <c r="O48" i="90" a="1"/>
  <c r="S69" i="90" a="1"/>
  <c r="R87" i="90" a="1"/>
  <c r="N105" i="90" a="1"/>
  <c r="I107" i="90" a="1"/>
  <c r="G58" i="90" a="1"/>
  <c r="H55" i="90" a="1"/>
  <c r="H27" i="90" a="1"/>
  <c r="J58" i="90" a="1"/>
  <c r="D47" i="90" a="1"/>
  <c r="Q83" i="90" a="1"/>
  <c r="E83" i="90" a="1"/>
  <c r="S85" i="90" a="1"/>
  <c r="G83" i="90" a="1"/>
  <c r="J19" i="90" a="1"/>
  <c r="C83" i="90" a="1"/>
  <c r="J100" i="90" a="1"/>
  <c r="G85" i="90" a="1"/>
  <c r="B85" i="90" a="1"/>
  <c r="B60" i="90" a="1"/>
  <c r="S99" i="90" a="1"/>
  <c r="E22" i="90" a="1"/>
  <c r="L98" i="90" a="1"/>
  <c r="J33" i="90" a="1"/>
  <c r="O107" i="90" a="1"/>
  <c r="R45" i="90" a="1"/>
  <c r="Q99" i="90" a="1"/>
  <c r="B33" i="90" a="1"/>
  <c r="Q7" i="90" a="1"/>
  <c r="D89" i="90" a="1"/>
  <c r="H63" i="90" a="1"/>
  <c r="I45" i="90" a="1"/>
  <c r="Q67" i="90" a="1"/>
  <c r="O60" i="90" a="1"/>
  <c r="R69" i="90" a="1"/>
  <c r="G13" i="90" a="1"/>
  <c r="S61" i="90" a="1"/>
  <c r="F11" i="90" a="1"/>
  <c r="J37" i="90" a="1"/>
  <c r="J47" i="90" a="1"/>
  <c r="G96" i="90" a="1"/>
  <c r="I99" i="90" a="1"/>
  <c r="Q19" i="90" a="1"/>
  <c r="R33" i="90" a="1"/>
  <c r="N29" i="90" a="1"/>
  <c r="H94" i="90" a="1"/>
  <c r="L29" i="90" a="1"/>
  <c r="Q95" i="90" a="1"/>
  <c r="D19" i="90" a="1"/>
  <c r="G31" i="90" a="1"/>
  <c r="F83" i="90" a="1"/>
  <c r="H93" i="90" a="1"/>
  <c r="B69" i="90" a="1"/>
  <c r="I48" i="90" a="1"/>
  <c r="I29" i="90" a="1"/>
  <c r="G86" i="90" a="1"/>
  <c r="H25" i="90" a="1"/>
  <c r="F61" i="90" a="1"/>
  <c r="L48" i="90" a="1"/>
  <c r="H8" i="90" a="1"/>
  <c r="J23" i="90" a="1"/>
  <c r="D22" i="90" a="1"/>
  <c r="O109" i="90" a="1"/>
  <c r="M45" i="90" a="1"/>
  <c r="M13" i="90" a="1"/>
  <c r="I57" i="90" a="1"/>
  <c r="E29" i="90" a="1"/>
  <c r="S20" i="90" a="1"/>
  <c r="J45" i="90" a="1"/>
  <c r="M9" i="90" a="1"/>
  <c r="C10" i="90" a="1"/>
  <c r="M99" i="90" a="1"/>
  <c r="F85" i="90" a="1"/>
  <c r="E48" i="90" a="1"/>
  <c r="S109" i="90" a="1"/>
  <c r="S60" i="90" a="1"/>
  <c r="J113" i="90" a="1"/>
  <c r="B22" i="90" a="1"/>
  <c r="G10" i="90" a="1"/>
  <c r="L60" i="90" a="1"/>
  <c r="C69" i="90" a="1"/>
  <c r="B58" i="90" a="1"/>
  <c r="F98" i="90" a="1"/>
  <c r="H20" i="90" a="1"/>
  <c r="D96" i="90" a="1"/>
  <c r="E67" i="90" a="1"/>
  <c r="H99" i="90" a="1"/>
  <c r="I86" i="90" a="1"/>
  <c r="B11" i="90" a="1"/>
  <c r="H36" i="90" a="1"/>
  <c r="Q109" i="90" a="1"/>
  <c r="O98" i="90" a="1"/>
  <c r="J83" i="90" a="1"/>
  <c r="R95" i="90" a="1"/>
  <c r="S11" i="90" a="1"/>
  <c r="E98" i="90" a="1"/>
  <c r="O45" i="90" a="1"/>
  <c r="O71" i="90" a="1"/>
  <c r="S48" i="90" a="1"/>
  <c r="C11" i="90" a="1"/>
  <c r="L107" i="90" a="1"/>
  <c r="H46" i="90" a="1"/>
  <c r="N57" i="90" a="1"/>
  <c r="I67" i="90" a="1"/>
  <c r="J48" i="90" a="1"/>
  <c r="F105" i="90" a="1"/>
  <c r="H57" i="90" a="1"/>
  <c r="D49" i="90" a="1"/>
  <c r="D60" i="90" a="1"/>
  <c r="B71" i="90" a="1"/>
  <c r="C85" i="90" a="1"/>
  <c r="Q10" i="90" a="1"/>
  <c r="O57" i="90" a="1"/>
  <c r="E87" i="90" a="1"/>
  <c r="F48" i="90" a="1"/>
  <c r="M69" i="90" a="1"/>
  <c r="J29" i="90" a="1"/>
  <c r="M11" i="90" a="1"/>
  <c r="R109" i="90" a="1"/>
  <c r="G45" i="90" a="1"/>
  <c r="J96" i="90" a="1"/>
  <c r="M105" i="90" a="1"/>
  <c r="J28" i="90" a="1"/>
  <c r="I69" i="90" a="1"/>
  <c r="Q85" i="90" a="1"/>
  <c r="H73" i="90" a="1"/>
  <c r="H24" i="90" a="1"/>
  <c r="I105" i="90" a="1"/>
  <c r="O83" i="90" a="1"/>
  <c r="E19" i="90" a="1"/>
  <c r="J7" i="90" a="1"/>
  <c r="L19" i="90" a="1"/>
  <c r="C95" i="90" a="1"/>
  <c r="Q96" i="90" a="1"/>
  <c r="N85" i="90" a="1"/>
  <c r="F57" i="90" a="1"/>
  <c r="D7" i="90" a="1"/>
  <c r="C60" i="90" a="1"/>
  <c r="J65" i="90" a="1"/>
  <c r="N31" i="90" a="1"/>
  <c r="L57" i="90" a="1"/>
  <c r="J69" i="90" a="1"/>
  <c r="H18" i="90" a="1"/>
  <c r="D23" i="90" a="1"/>
  <c r="M20" i="90" a="1"/>
  <c r="R9" i="90" a="1"/>
  <c r="G23" i="90" a="1"/>
  <c r="R99" i="90" a="1"/>
  <c r="N20" i="90" a="1"/>
  <c r="I11" i="90" a="1"/>
  <c r="G48" i="90" a="1"/>
  <c r="R83" i="90" a="1"/>
  <c r="I71" i="90" a="1"/>
  <c r="R96" i="90" a="1"/>
  <c r="S9" i="90" a="1"/>
  <c r="Q20" i="90" a="1"/>
  <c r="B9" i="90" a="1"/>
  <c r="O10" i="90" a="1"/>
  <c r="H45" i="90" a="1"/>
  <c r="H71" i="90" a="1"/>
  <c r="B31" i="90" a="1"/>
  <c r="F20" i="90" a="1"/>
  <c r="J74" i="90" a="1"/>
  <c r="I31" i="90" a="1"/>
  <c r="H31" i="90" a="1"/>
  <c r="G89" i="90" a="1"/>
  <c r="D48" i="90" a="1"/>
  <c r="O47" i="90" a="1"/>
  <c r="M71" i="90" a="1"/>
  <c r="B48" i="90" a="1"/>
  <c r="D45" i="90" a="1"/>
  <c r="H86" i="90" a="1"/>
  <c r="D61" i="90" a="1"/>
  <c r="O67" i="90" a="1"/>
  <c r="G61" i="90" a="1"/>
  <c r="D31" i="90" a="1"/>
  <c r="M95" i="90" a="1"/>
  <c r="H100" i="90" a="1"/>
  <c r="R85" i="90" a="1"/>
  <c r="N10" i="90" a="1"/>
  <c r="D10" i="90" a="1"/>
  <c r="B57" i="90" a="1"/>
  <c r="C57" i="90" a="1"/>
  <c r="I95" i="90" a="1"/>
  <c r="M10" i="90" a="1"/>
  <c r="H33" i="90" a="1"/>
  <c r="G60" i="90" a="1"/>
  <c r="M86" i="90" a="1"/>
  <c r="G47" i="90" a="1"/>
  <c r="G99" i="90" a="1"/>
  <c r="C20" i="90" a="1"/>
  <c r="C49" i="90" a="1"/>
  <c r="S31" i="90" a="1"/>
  <c r="N7" i="90" a="1"/>
  <c r="H85" i="90" a="1"/>
  <c r="D86" i="90" a="1"/>
  <c r="G105" i="90" a="1"/>
  <c r="R31" i="90" a="1"/>
  <c r="D11" i="90" a="1"/>
  <c r="N49" i="90" a="1"/>
  <c r="B10" i="90" a="1"/>
  <c r="C87" i="90" a="1"/>
  <c r="J66" i="90" a="1"/>
  <c r="R60" i="90" a="1"/>
  <c r="R23" i="90" a="1"/>
  <c r="I61" i="90" a="1"/>
  <c r="N98" i="90" a="1"/>
  <c r="D105" i="90" a="1"/>
  <c r="R105" i="90" a="1"/>
  <c r="H101" i="90" a="1"/>
  <c r="J104" i="90" a="1"/>
  <c r="I87" i="90" a="1"/>
  <c r="O105" i="90" a="1"/>
  <c r="E69" i="90" a="1"/>
  <c r="R61" i="90" a="1"/>
  <c r="J56" i="90" a="1"/>
  <c r="D29" i="90" a="1"/>
  <c r="G9" i="90" a="1"/>
  <c r="H87" i="90" a="1"/>
  <c r="N83" i="90" a="1"/>
  <c r="C71" i="90" a="1"/>
  <c r="H11" i="90" a="1"/>
  <c r="R11" i="90" a="1"/>
  <c r="B49" i="90" a="1"/>
  <c r="L69" i="90" a="1"/>
  <c r="F107" i="90" a="1"/>
  <c r="G69" i="90" a="1"/>
  <c r="B83" i="90" a="1"/>
  <c r="I22" i="90" a="1"/>
  <c r="D20" i="90" a="1"/>
  <c r="O58" i="90" a="1"/>
  <c r="Q71" i="90" a="1"/>
  <c r="I33" i="90" a="1"/>
  <c r="O29" i="90" a="1"/>
  <c r="R86" i="90" a="1"/>
  <c r="E58" i="90" a="1"/>
  <c r="N96" i="90" a="1"/>
  <c r="H13" i="90" a="1"/>
  <c r="S87" i="90" a="1"/>
  <c r="L58" i="90" a="1"/>
  <c r="G67" i="90" a="1"/>
  <c r="J49" i="90" a="1"/>
  <c r="F7" i="90" a="1"/>
  <c r="B107" i="90" a="1"/>
  <c r="Q11" i="90" a="1"/>
  <c r="H35" i="90" a="1"/>
  <c r="J72" i="90" a="1"/>
  <c r="Q105" i="90" a="1"/>
  <c r="H84" i="90" a="1"/>
  <c r="B86" i="90" a="1"/>
  <c r="G51" i="90" a="1"/>
  <c r="S47" i="90" a="1"/>
  <c r="E107" i="90" a="1"/>
  <c r="J13" i="90" a="1"/>
  <c r="C96" i="90" a="1"/>
  <c r="C47" i="90" a="1"/>
  <c r="I20" i="90" a="1"/>
  <c r="S96" i="90" a="1"/>
  <c r="J57" i="90" a="1"/>
  <c r="C86" i="90" a="1"/>
  <c r="H51" i="90" a="1"/>
  <c r="M67" i="90" a="1"/>
  <c r="S58" i="90" a="1"/>
  <c r="N71" i="90" a="1"/>
  <c r="C23" i="90" a="1"/>
  <c r="C19" i="90" a="1"/>
  <c r="D13" i="90" a="1"/>
  <c r="H113" i="90" a="1"/>
  <c r="I9" i="90" a="1"/>
  <c r="E20" i="90" a="1"/>
  <c r="N67" i="90" a="1"/>
  <c r="J35" i="90" a="1"/>
  <c r="H7" i="90" a="1"/>
  <c r="O95" i="90" a="1"/>
  <c r="J31" i="90" a="1"/>
  <c r="S10" i="90" a="1"/>
  <c r="L11" i="90" a="1"/>
  <c r="D85" i="90" a="1"/>
  <c r="H9" i="90" a="1"/>
  <c r="R71" i="90" a="1"/>
  <c r="M98" i="90" a="1"/>
  <c r="J110" i="90" a="1"/>
  <c r="L71" i="90" a="1"/>
  <c r="H75" i="90" a="1"/>
  <c r="N47" i="90" a="1"/>
  <c r="M57" i="90" a="1"/>
  <c r="O33" i="90" a="1"/>
  <c r="L7" i="90" a="1"/>
  <c r="C105" i="90" a="1"/>
  <c r="E86" i="90" a="1"/>
  <c r="C58" i="90" a="1"/>
  <c r="J90" i="90" a="1"/>
  <c r="M83" i="90" a="1"/>
  <c r="J9" i="90" a="1"/>
  <c r="J71" i="90" a="1"/>
  <c r="M29" i="90" a="1"/>
  <c r="M87" i="90" a="1"/>
  <c r="I98" i="90" a="1"/>
  <c r="R47" i="90" a="1"/>
  <c r="I109" i="90" a="1"/>
  <c r="F86" i="90" a="1"/>
  <c r="C9" i="90" a="1"/>
  <c r="L83" i="90" a="1"/>
  <c r="J109" i="90" a="1"/>
  <c r="Q69" i="90" a="1"/>
  <c r="L105" i="90" a="1"/>
  <c r="F22" i="90" a="1"/>
  <c r="B20" i="90" a="1"/>
  <c r="O22" i="90" a="1"/>
  <c r="E95" i="90" a="1"/>
  <c r="L33" i="90" a="1"/>
  <c r="C22" i="90" a="1"/>
  <c r="L49" i="90" a="1"/>
  <c r="N22" i="90" a="1"/>
  <c r="M60" i="90" a="1"/>
  <c r="B67" i="90" a="1"/>
  <c r="I19" i="90" a="1"/>
  <c r="Q9" i="90" a="1"/>
  <c r="N107" i="90" a="1"/>
  <c r="C48" i="90" a="1"/>
  <c r="J20" i="90" a="1"/>
  <c r="R20" i="90" a="1"/>
  <c r="N69" i="90" a="1"/>
  <c r="F45" i="90" a="1"/>
  <c r="G20" i="90" a="1"/>
  <c r="N48" i="90" a="1"/>
  <c r="R98" i="90" a="1"/>
  <c r="H105" i="90" a="1"/>
  <c r="F69" i="90" a="1"/>
  <c r="Q31" i="90" a="1"/>
  <c r="J22" i="90" a="1"/>
  <c r="E57" i="90" a="1"/>
  <c r="E31" i="90" a="1"/>
  <c r="E99" i="90" a="1"/>
  <c r="H83" i="90" a="1"/>
  <c r="M61" i="90" a="1"/>
  <c r="B23" i="90" a="1"/>
  <c r="C107" i="90" a="1"/>
  <c r="R107" i="90" a="1"/>
  <c r="D9" i="90" a="1"/>
  <c r="H23" i="90" a="1"/>
  <c r="J105" i="90" a="1"/>
  <c r="F33" i="90" a="1"/>
  <c r="E71" i="90" a="1"/>
  <c r="I23" i="90" a="1"/>
  <c r="L9" i="90" a="1"/>
  <c r="R7" i="90" a="1"/>
  <c r="L10" i="90" a="1"/>
  <c r="J14" i="90" a="1"/>
  <c r="H74" i="90" a="1"/>
  <c r="E45" i="90" a="1"/>
  <c r="F23" i="90" a="1"/>
  <c r="Q29" i="90" a="1"/>
  <c r="S105" i="90" a="1"/>
  <c r="D69" i="90" a="1"/>
  <c r="F87" i="90" a="1"/>
  <c r="C45" i="90" a="1"/>
  <c r="C31" i="90" a="1"/>
  <c r="F47" i="90" a="1"/>
  <c r="H111" i="90" a="1"/>
  <c r="F10" i="90" a="1"/>
  <c r="I85" i="90" a="1"/>
  <c r="L22" i="90" a="1"/>
  <c r="J52" i="90" a="1"/>
  <c r="M58" i="90" a="1"/>
  <c r="S67" i="90" a="1"/>
  <c r="L86" i="90" a="1"/>
  <c r="C61" i="90" a="1"/>
  <c r="S49" i="90" a="1"/>
  <c r="B45" i="90" a="1"/>
  <c r="M33" i="90" a="1"/>
  <c r="I83" i="90" a="1"/>
  <c r="H103" i="90" a="1"/>
  <c r="F71" i="90" a="1"/>
  <c r="E49" i="90" a="1"/>
  <c r="H67" i="90" a="1"/>
  <c r="F99" i="90" a="1"/>
  <c r="J95" i="90" a="1"/>
  <c r="H61" i="90" a="1"/>
  <c r="B98" i="90" a="1"/>
  <c r="O9" i="90" a="1"/>
  <c r="J8" i="90" a="1"/>
  <c r="C99" i="90" a="1"/>
  <c r="B19" i="90" a="1"/>
  <c r="R58" i="90" a="1"/>
  <c r="D109" i="90" a="1"/>
  <c r="F96" i="90" a="1"/>
  <c r="J46" i="90" a="1"/>
  <c r="M89" i="90" a="1"/>
  <c r="N23" i="90" a="1"/>
  <c r="D33" i="90" a="1"/>
  <c r="M7" i="90" a="1"/>
  <c r="R67" i="90" a="1"/>
  <c r="B96" i="90" a="1"/>
  <c r="R48" i="90" a="1"/>
  <c r="G95" i="90" a="1"/>
  <c r="M22" i="90" a="1"/>
  <c r="O19" i="90" a="1"/>
  <c r="G11" i="90" a="1"/>
  <c r="Q107" i="90" a="1"/>
  <c r="J62" i="90" a="1"/>
  <c r="N9" i="90" a="1"/>
  <c r="C98" i="90" a="1"/>
  <c r="H95" i="90" a="1"/>
  <c r="B95" i="90" a="1"/>
  <c r="M23" i="90" a="1"/>
  <c r="I47" i="90" a="1"/>
  <c r="C29" i="90" a="1"/>
  <c r="G49" i="90" a="1"/>
  <c r="R49" i="90" a="1"/>
  <c r="G29" i="90" a="1"/>
  <c r="J24" i="90" a="1"/>
  <c r="N61" i="90" a="1"/>
  <c r="F58" i="90" a="1"/>
  <c r="R10" i="90" a="1"/>
  <c r="S45" i="90" a="1"/>
  <c r="O20" i="90" a="1"/>
  <c r="H69" i="90" a="1"/>
  <c r="J36" i="90" a="1"/>
  <c r="G22" i="90" a="1"/>
  <c r="Q47" i="90" a="1"/>
  <c r="H29" i="90" a="1"/>
  <c r="F19" i="90" a="1"/>
  <c r="I10" i="90" a="1"/>
  <c r="N109" i="90" a="1"/>
  <c r="N95" i="90" a="1"/>
  <c r="L47" i="90" a="1"/>
  <c r="J98" i="90" a="1"/>
  <c r="F9" i="90" a="1"/>
  <c r="E96" i="90" a="1"/>
  <c r="S33" i="90" a="1"/>
  <c r="H107" i="90" a="1"/>
  <c r="I49" i="90" a="1"/>
  <c r="H89" i="90" a="1"/>
  <c r="H112" i="90" a="1"/>
  <c r="G85" i="90" l="1"/>
  <c r="G86" i="90"/>
  <c r="O86" i="90"/>
  <c r="D87" i="90"/>
  <c r="R95" i="90"/>
  <c r="R107" i="90"/>
  <c r="S85" i="90"/>
  <c r="J85" i="90"/>
  <c r="C87" i="90"/>
  <c r="H86" i="90"/>
  <c r="O95" i="90"/>
  <c r="J95" i="90"/>
  <c r="F83" i="90"/>
  <c r="G83" i="90"/>
  <c r="D85" i="90"/>
  <c r="H85" i="90"/>
  <c r="S87" i="90"/>
  <c r="N86" i="90"/>
  <c r="G95" i="90"/>
  <c r="L95" i="90"/>
  <c r="D95" i="90"/>
  <c r="L109" i="90"/>
  <c r="C105" i="90"/>
  <c r="D109" i="90"/>
  <c r="I105" i="90"/>
  <c r="D99" i="90"/>
  <c r="Q107" i="90"/>
  <c r="F98" i="90"/>
  <c r="O85" i="90"/>
  <c r="R96" i="90"/>
  <c r="B86" i="90"/>
  <c r="J100" i="90"/>
  <c r="J111" i="90"/>
  <c r="E98" i="90"/>
  <c r="E83" i="90"/>
  <c r="G89" i="90"/>
  <c r="B85" i="90"/>
  <c r="O83" i="90"/>
  <c r="B87" i="90"/>
  <c r="N109" i="90"/>
  <c r="J98" i="90"/>
  <c r="R99" i="90"/>
  <c r="B95" i="90"/>
  <c r="R83" i="90"/>
  <c r="D86" i="90"/>
  <c r="M85" i="90"/>
  <c r="E86" i="90"/>
  <c r="J87" i="90"/>
  <c r="M95" i="90"/>
  <c r="O109" i="90"/>
  <c r="R109" i="90"/>
  <c r="G87" i="90"/>
  <c r="C107" i="90"/>
  <c r="Q87" i="90"/>
  <c r="O99" i="90"/>
  <c r="H101" i="90"/>
  <c r="J99" i="90"/>
  <c r="O98" i="90"/>
  <c r="G105" i="90"/>
  <c r="S107" i="90"/>
  <c r="L85" i="90"/>
  <c r="C95" i="90"/>
  <c r="O96" i="90"/>
  <c r="O87" i="90"/>
  <c r="F87" i="90"/>
  <c r="H103" i="90"/>
  <c r="J112" i="90"/>
  <c r="E107" i="90"/>
  <c r="C109" i="90"/>
  <c r="R105" i="90"/>
  <c r="J107" i="90"/>
  <c r="B107" i="90"/>
  <c r="S109" i="90"/>
  <c r="Q99" i="90"/>
  <c r="J109" i="90"/>
  <c r="H95" i="90"/>
  <c r="H94" i="90"/>
  <c r="I87" i="90"/>
  <c r="J90" i="90"/>
  <c r="L98" i="90"/>
  <c r="G98" i="90"/>
  <c r="M105" i="90"/>
  <c r="B109" i="90"/>
  <c r="H107" i="90"/>
  <c r="J105" i="90"/>
  <c r="I99" i="90"/>
  <c r="H84" i="90"/>
  <c r="F107" i="90"/>
  <c r="L107" i="90"/>
  <c r="J110" i="90"/>
  <c r="J83" i="90"/>
  <c r="M99" i="90"/>
  <c r="I107" i="90"/>
  <c r="C96" i="90"/>
  <c r="N98" i="90"/>
  <c r="E99" i="90"/>
  <c r="H111" i="90"/>
  <c r="H112" i="90"/>
  <c r="J84" i="90"/>
  <c r="J104" i="90"/>
  <c r="J94" i="90"/>
  <c r="I83" i="90"/>
  <c r="Q86" i="90"/>
  <c r="S83" i="90"/>
  <c r="R98" i="90"/>
  <c r="B99" i="90"/>
  <c r="H87" i="90"/>
  <c r="F95" i="90"/>
  <c r="J96" i="90"/>
  <c r="H105" i="90"/>
  <c r="O107" i="90"/>
  <c r="G107" i="90"/>
  <c r="S105" i="90"/>
  <c r="L105" i="90"/>
  <c r="M107" i="90"/>
  <c r="N99" i="90"/>
  <c r="Q105" i="90"/>
  <c r="H100" i="90"/>
  <c r="N107" i="90"/>
  <c r="S99" i="90"/>
  <c r="N83" i="90"/>
  <c r="E105" i="90"/>
  <c r="F109" i="90"/>
  <c r="E109" i="90"/>
  <c r="I85" i="90"/>
  <c r="F85" i="90"/>
  <c r="E95" i="90"/>
  <c r="F96" i="90"/>
  <c r="H98" i="90"/>
  <c r="H93" i="90"/>
  <c r="D89" i="90"/>
  <c r="R86" i="90"/>
  <c r="C86" i="90"/>
  <c r="J86" i="90"/>
  <c r="I109" i="90"/>
  <c r="E96" i="90"/>
  <c r="S96" i="90"/>
  <c r="M96" i="90"/>
  <c r="B96" i="90"/>
  <c r="H99" i="90"/>
  <c r="D98" i="90"/>
  <c r="G99" i="90"/>
  <c r="B105" i="90"/>
  <c r="N105" i="90"/>
  <c r="R87" i="90"/>
  <c r="L96" i="90"/>
  <c r="B98" i="90"/>
  <c r="S95" i="90"/>
  <c r="L99" i="90"/>
  <c r="H89" i="90"/>
  <c r="N95" i="90"/>
  <c r="L86" i="90"/>
  <c r="M87" i="90"/>
  <c r="N85" i="90"/>
  <c r="I86" i="90"/>
  <c r="G96" i="90"/>
  <c r="D96" i="90"/>
  <c r="F105" i="90"/>
  <c r="D83" i="90"/>
  <c r="Q85" i="90"/>
  <c r="S98" i="90"/>
  <c r="I98" i="90"/>
  <c r="B83" i="90"/>
  <c r="Q83" i="90"/>
  <c r="E85" i="90"/>
  <c r="S86" i="90"/>
  <c r="M86" i="90"/>
  <c r="N96" i="90"/>
  <c r="H109" i="90"/>
  <c r="M98" i="90"/>
  <c r="C99" i="90"/>
  <c r="D105" i="90"/>
  <c r="C85" i="90"/>
  <c r="I96" i="90"/>
  <c r="L87" i="90"/>
  <c r="Q95" i="90"/>
  <c r="J103" i="90"/>
  <c r="C98" i="90"/>
  <c r="C83" i="90"/>
  <c r="J89" i="90"/>
  <c r="H96" i="90"/>
  <c r="E87" i="90"/>
  <c r="Q96" i="90"/>
  <c r="F99" i="90"/>
  <c r="M89" i="90"/>
  <c r="F86" i="90"/>
  <c r="H83" i="90"/>
  <c r="M83" i="90"/>
  <c r="L83" i="90"/>
  <c r="I95" i="90"/>
  <c r="D107" i="90"/>
  <c r="Q109" i="90"/>
  <c r="O105" i="90"/>
  <c r="M109" i="90"/>
  <c r="R85" i="90"/>
  <c r="N87" i="90"/>
  <c r="J113" i="90"/>
  <c r="J75" i="90"/>
  <c r="J37" i="90"/>
  <c r="H113" i="90"/>
  <c r="H75" i="90"/>
  <c r="H37" i="90"/>
  <c r="M38" i="66"/>
  <c r="G38" i="66"/>
  <c r="D11" i="95"/>
  <c r="D69" i="90"/>
  <c r="D31" i="90"/>
  <c r="Q71" i="90"/>
  <c r="Q33" i="90"/>
  <c r="O67" i="90"/>
  <c r="O29" i="90"/>
  <c r="M71" i="90"/>
  <c r="M33" i="90"/>
  <c r="R47" i="90"/>
  <c r="R9" i="90"/>
  <c r="I58" i="90"/>
  <c r="I20" i="90"/>
  <c r="S45" i="90"/>
  <c r="S7" i="90"/>
  <c r="F69" i="90"/>
  <c r="F31" i="90"/>
  <c r="J52" i="90"/>
  <c r="J14" i="90"/>
  <c r="Q48" i="90"/>
  <c r="Q10" i="90"/>
  <c r="R48" i="90"/>
  <c r="R10" i="90"/>
  <c r="B49" i="90"/>
  <c r="B11" i="90"/>
  <c r="C48" i="90"/>
  <c r="C10" i="90"/>
  <c r="J48" i="90"/>
  <c r="J10" i="90"/>
  <c r="J51" i="90"/>
  <c r="J13" i="90"/>
  <c r="L71" i="90"/>
  <c r="L33" i="90"/>
  <c r="C67" i="90"/>
  <c r="C29" i="90"/>
  <c r="D71" i="90"/>
  <c r="D33" i="90"/>
  <c r="I67" i="90"/>
  <c r="I29" i="90"/>
  <c r="D61" i="90"/>
  <c r="D23" i="90"/>
  <c r="Q69" i="90"/>
  <c r="Q31" i="90"/>
  <c r="F60" i="90"/>
  <c r="F22" i="90"/>
  <c r="O9" i="90"/>
  <c r="O47" i="90"/>
  <c r="H62" i="90"/>
  <c r="H24" i="90"/>
  <c r="R60" i="90"/>
  <c r="R22" i="90"/>
  <c r="B61" i="90"/>
  <c r="B23" i="90"/>
  <c r="E61" i="90"/>
  <c r="E23" i="90"/>
  <c r="L69" i="90"/>
  <c r="L31" i="90"/>
  <c r="J72" i="90"/>
  <c r="J34" i="90"/>
  <c r="E49" i="90"/>
  <c r="E11" i="90"/>
  <c r="M57" i="90"/>
  <c r="M19" i="90"/>
  <c r="O71" i="90"/>
  <c r="O33" i="90"/>
  <c r="R71" i="90"/>
  <c r="R33" i="90"/>
  <c r="G49" i="90"/>
  <c r="G11" i="90"/>
  <c r="R58" i="90"/>
  <c r="R20" i="90"/>
  <c r="H11" i="90"/>
  <c r="H49" i="90"/>
  <c r="H73" i="90"/>
  <c r="H35" i="90"/>
  <c r="H74" i="90"/>
  <c r="H36" i="90"/>
  <c r="J46" i="90"/>
  <c r="J8" i="90"/>
  <c r="J66" i="90"/>
  <c r="J28" i="90"/>
  <c r="O60" i="90"/>
  <c r="O22" i="90"/>
  <c r="G67" i="90"/>
  <c r="G29" i="90"/>
  <c r="S69" i="90"/>
  <c r="S31" i="90"/>
  <c r="L9" i="90"/>
  <c r="L47" i="90"/>
  <c r="H55" i="90"/>
  <c r="H17" i="90"/>
  <c r="F57" i="90"/>
  <c r="F19" i="90"/>
  <c r="B47" i="90"/>
  <c r="B9" i="90"/>
  <c r="H58" i="90"/>
  <c r="H20" i="90"/>
  <c r="E69" i="90"/>
  <c r="E31" i="90"/>
  <c r="C71" i="90"/>
  <c r="C33" i="90"/>
  <c r="R67" i="90"/>
  <c r="R29" i="90"/>
  <c r="J69" i="90"/>
  <c r="J31" i="90"/>
  <c r="B69" i="90"/>
  <c r="B31" i="90"/>
  <c r="S71" i="90"/>
  <c r="S33" i="90"/>
  <c r="Q61" i="90"/>
  <c r="Q23" i="90"/>
  <c r="J71" i="90"/>
  <c r="J33" i="90"/>
  <c r="H57" i="90"/>
  <c r="H19" i="90"/>
  <c r="C57" i="90"/>
  <c r="C19" i="90"/>
  <c r="O58" i="90"/>
  <c r="O20" i="90"/>
  <c r="C69" i="90"/>
  <c r="C31" i="90"/>
  <c r="S57" i="90"/>
  <c r="S19" i="90"/>
  <c r="N69" i="90"/>
  <c r="N31" i="90"/>
  <c r="N45" i="90"/>
  <c r="N7" i="90"/>
  <c r="H48" i="90"/>
  <c r="H10" i="90"/>
  <c r="C60" i="90"/>
  <c r="C22" i="90"/>
  <c r="B45" i="90"/>
  <c r="B7" i="90"/>
  <c r="Q45" i="90"/>
  <c r="Q7" i="90"/>
  <c r="O57" i="90"/>
  <c r="O19" i="90"/>
  <c r="B57" i="90"/>
  <c r="B19" i="90"/>
  <c r="Q58" i="90"/>
  <c r="Q20" i="90"/>
  <c r="L60" i="90"/>
  <c r="L22" i="90"/>
  <c r="G60" i="90"/>
  <c r="G22" i="90"/>
  <c r="M67" i="90"/>
  <c r="M29" i="90"/>
  <c r="B71" i="90"/>
  <c r="B33" i="90"/>
  <c r="H69" i="90"/>
  <c r="H31" i="90"/>
  <c r="J67" i="90"/>
  <c r="J29" i="90"/>
  <c r="I61" i="90"/>
  <c r="I23" i="90"/>
  <c r="L49" i="90"/>
  <c r="L11" i="90"/>
  <c r="L61" i="90"/>
  <c r="L23" i="90"/>
  <c r="J18" i="90"/>
  <c r="J56" i="90"/>
  <c r="J57" i="90"/>
  <c r="J19" i="90"/>
  <c r="F67" i="90"/>
  <c r="F29" i="90"/>
  <c r="M61" i="90"/>
  <c r="M23" i="90"/>
  <c r="N71" i="90"/>
  <c r="N33" i="90"/>
  <c r="I69" i="90"/>
  <c r="I31" i="90"/>
  <c r="H51" i="90"/>
  <c r="H13" i="90"/>
  <c r="N19" i="90"/>
  <c r="N57" i="90"/>
  <c r="O45" i="90"/>
  <c r="O7" i="90"/>
  <c r="F45" i="90"/>
  <c r="F7" i="90"/>
  <c r="H45" i="90"/>
  <c r="H7" i="90"/>
  <c r="M45" i="90"/>
  <c r="M7" i="90"/>
  <c r="E47" i="90"/>
  <c r="E9" i="90"/>
  <c r="S48" i="90"/>
  <c r="S10" i="90"/>
  <c r="M48" i="90"/>
  <c r="M10" i="90"/>
  <c r="L45" i="90"/>
  <c r="L7" i="90"/>
  <c r="R69" i="90"/>
  <c r="R31" i="90"/>
  <c r="S61" i="90"/>
  <c r="S23" i="90"/>
  <c r="I71" i="90"/>
  <c r="I33" i="90"/>
  <c r="J60" i="90"/>
  <c r="J22" i="90"/>
  <c r="F61" i="90"/>
  <c r="F23" i="90"/>
  <c r="R61" i="90"/>
  <c r="R23" i="90"/>
  <c r="C58" i="90"/>
  <c r="C20" i="90"/>
  <c r="N60" i="90"/>
  <c r="N22" i="90"/>
  <c r="B48" i="90"/>
  <c r="B10" i="90"/>
  <c r="Q57" i="90"/>
  <c r="Q19" i="90"/>
  <c r="J65" i="90"/>
  <c r="J27" i="90"/>
  <c r="G45" i="90"/>
  <c r="G7" i="90"/>
  <c r="D47" i="90"/>
  <c r="D9" i="90"/>
  <c r="H47" i="90"/>
  <c r="H9" i="90"/>
  <c r="J58" i="90"/>
  <c r="J20" i="90"/>
  <c r="H67" i="90"/>
  <c r="H29" i="90"/>
  <c r="O69" i="90"/>
  <c r="O31" i="90"/>
  <c r="G69" i="90"/>
  <c r="G31" i="90"/>
  <c r="S67" i="90"/>
  <c r="S29" i="90"/>
  <c r="L67" i="90"/>
  <c r="L29" i="90"/>
  <c r="M69" i="90"/>
  <c r="M31" i="90"/>
  <c r="N61" i="90"/>
  <c r="N23" i="90"/>
  <c r="Q67" i="90"/>
  <c r="Q29" i="90"/>
  <c r="N49" i="90"/>
  <c r="N11" i="90"/>
  <c r="C45" i="90"/>
  <c r="C7" i="90"/>
  <c r="D45" i="90"/>
  <c r="D7" i="90"/>
  <c r="R57" i="90"/>
  <c r="R19" i="90"/>
  <c r="C49" i="90"/>
  <c r="C11" i="90"/>
  <c r="M51" i="90"/>
  <c r="M13" i="90"/>
  <c r="D58" i="90"/>
  <c r="D20" i="90"/>
  <c r="E58" i="90"/>
  <c r="E20" i="90"/>
  <c r="S58" i="90"/>
  <c r="S20" i="90"/>
  <c r="S49" i="90"/>
  <c r="S11" i="90"/>
  <c r="N48" i="90"/>
  <c r="N10" i="90"/>
  <c r="M47" i="90"/>
  <c r="M9" i="90"/>
  <c r="E48" i="90"/>
  <c r="E10" i="90"/>
  <c r="J49" i="90"/>
  <c r="J11" i="90"/>
  <c r="N58" i="90"/>
  <c r="N20" i="90"/>
  <c r="S60" i="90"/>
  <c r="S22" i="90"/>
  <c r="I60" i="90"/>
  <c r="I22" i="90"/>
  <c r="E67" i="90"/>
  <c r="E29" i="90"/>
  <c r="F71" i="90"/>
  <c r="F33" i="90"/>
  <c r="E71" i="90"/>
  <c r="E33" i="90"/>
  <c r="I47" i="90"/>
  <c r="I9" i="90"/>
  <c r="F47" i="90"/>
  <c r="F9" i="90"/>
  <c r="H56" i="90"/>
  <c r="H18" i="90"/>
  <c r="O49" i="90"/>
  <c r="O11" i="90"/>
  <c r="F49" i="90"/>
  <c r="F11" i="90"/>
  <c r="J62" i="90"/>
  <c r="J24" i="90"/>
  <c r="J73" i="90"/>
  <c r="J35" i="90"/>
  <c r="E60" i="90"/>
  <c r="E22" i="90"/>
  <c r="S47" i="90"/>
  <c r="S9" i="90"/>
  <c r="J47" i="90"/>
  <c r="J9" i="90"/>
  <c r="G58" i="90"/>
  <c r="G20" i="90"/>
  <c r="J61" i="90"/>
  <c r="J23" i="90"/>
  <c r="D48" i="90"/>
  <c r="D10" i="90"/>
  <c r="G57" i="90"/>
  <c r="G19" i="90"/>
  <c r="I57" i="90"/>
  <c r="I19" i="90"/>
  <c r="M58" i="90"/>
  <c r="M20" i="90"/>
  <c r="B58" i="90"/>
  <c r="B20" i="90"/>
  <c r="H61" i="90"/>
  <c r="H23" i="90"/>
  <c r="D60" i="90"/>
  <c r="D22" i="90"/>
  <c r="G61" i="90"/>
  <c r="G23" i="90"/>
  <c r="B67" i="90"/>
  <c r="B29" i="90"/>
  <c r="N67" i="90"/>
  <c r="N29" i="90"/>
  <c r="R49" i="90"/>
  <c r="R11" i="90"/>
  <c r="E57" i="90"/>
  <c r="E19" i="90"/>
  <c r="F58" i="90"/>
  <c r="F20" i="90"/>
  <c r="H60" i="90"/>
  <c r="H22" i="90"/>
  <c r="I49" i="90"/>
  <c r="I11" i="90"/>
  <c r="Q11" i="90"/>
  <c r="Q49" i="90"/>
  <c r="O61" i="90"/>
  <c r="O23" i="90"/>
  <c r="H63" i="90"/>
  <c r="H25" i="90"/>
  <c r="I45" i="90"/>
  <c r="I7" i="90"/>
  <c r="R45" i="90"/>
  <c r="R7" i="90"/>
  <c r="Q47" i="90"/>
  <c r="Q9" i="90"/>
  <c r="F48" i="90"/>
  <c r="F10" i="90"/>
  <c r="G47" i="90"/>
  <c r="G9" i="90"/>
  <c r="D51" i="90"/>
  <c r="D13" i="90"/>
  <c r="G48" i="90"/>
  <c r="G10" i="90"/>
  <c r="L48" i="90"/>
  <c r="L10" i="90"/>
  <c r="M49" i="90"/>
  <c r="M11" i="90"/>
  <c r="E45" i="90"/>
  <c r="E7" i="90"/>
  <c r="J45" i="90"/>
  <c r="J7" i="90"/>
  <c r="N47" i="90"/>
  <c r="N9" i="90"/>
  <c r="O48" i="90"/>
  <c r="O10" i="90"/>
  <c r="I48" i="90"/>
  <c r="I10" i="90"/>
  <c r="G51" i="90"/>
  <c r="G13" i="90"/>
  <c r="D49" i="90"/>
  <c r="D11" i="90"/>
  <c r="L57" i="90"/>
  <c r="L19" i="90"/>
  <c r="D57" i="90"/>
  <c r="D19" i="90"/>
  <c r="H71" i="90"/>
  <c r="H33" i="90"/>
  <c r="M60" i="90"/>
  <c r="M22" i="90"/>
  <c r="C61" i="90"/>
  <c r="C23" i="90"/>
  <c r="D67" i="90"/>
  <c r="D29" i="90"/>
  <c r="C47" i="90"/>
  <c r="C9" i="90"/>
  <c r="L58" i="90"/>
  <c r="L20" i="90"/>
  <c r="B60" i="90"/>
  <c r="B22" i="90"/>
  <c r="H46" i="90"/>
  <c r="H8" i="90"/>
  <c r="H65" i="90"/>
  <c r="H27" i="90"/>
  <c r="J74" i="90"/>
  <c r="J36" i="90"/>
  <c r="F39" i="61"/>
  <c r="F40" i="61" s="1"/>
  <c r="J40" i="62"/>
  <c r="J37" i="96"/>
  <c r="P40" i="62"/>
  <c r="P37" i="96"/>
  <c r="J38" i="62"/>
  <c r="J38" i="96" s="1"/>
  <c r="P38" i="62"/>
  <c r="P38" i="96" s="1"/>
  <c r="M37" i="57"/>
  <c r="L18" i="97"/>
  <c r="D18" i="95" s="1"/>
  <c r="Q40" i="59"/>
  <c r="N40" i="59"/>
  <c r="F39" i="72"/>
  <c r="L21" i="72" s="1"/>
  <c r="I38" i="98"/>
  <c r="O38" i="77"/>
  <c r="O38" i="99" s="1"/>
  <c r="F38" i="77"/>
  <c r="F38" i="99" s="1"/>
  <c r="L19" i="99"/>
  <c r="K37" i="57"/>
  <c r="O37" i="98"/>
  <c r="P38" i="73"/>
  <c r="P38" i="98" s="1"/>
  <c r="L40" i="77"/>
  <c r="J40" i="77"/>
  <c r="J37" i="99"/>
  <c r="T38" i="98"/>
  <c r="I40" i="77"/>
  <c r="J38" i="77"/>
  <c r="J38" i="99" s="1"/>
  <c r="K38" i="77"/>
  <c r="K38" i="99" s="1"/>
  <c r="K37" i="69"/>
  <c r="H40" i="77"/>
  <c r="J40" i="72"/>
  <c r="S40" i="72"/>
  <c r="M38" i="77"/>
  <c r="M38" i="99" s="1"/>
  <c r="S38" i="98"/>
  <c r="D37" i="96"/>
  <c r="I18" i="96" s="1"/>
  <c r="M38" i="73"/>
  <c r="M38" i="98" s="1"/>
  <c r="K37" i="96"/>
  <c r="M40" i="62"/>
  <c r="M37" i="96"/>
  <c r="S40" i="62"/>
  <c r="S37" i="96"/>
  <c r="N38" i="62"/>
  <c r="N38" i="96" s="1"/>
  <c r="N38" i="73"/>
  <c r="N38" i="98" s="1"/>
  <c r="L18" i="98"/>
  <c r="D24" i="95" s="1"/>
  <c r="T38" i="77"/>
  <c r="T38" i="99" s="1"/>
  <c r="S38" i="62"/>
  <c r="S38" i="96" s="1"/>
  <c r="F40" i="77"/>
  <c r="F37" i="99"/>
  <c r="D37" i="99" s="1"/>
  <c r="I18" i="99" s="1"/>
  <c r="Q38" i="96"/>
  <c r="L38" i="77"/>
  <c r="L38" i="99" s="1"/>
  <c r="M38" i="62"/>
  <c r="M38" i="96" s="1"/>
  <c r="P37" i="98"/>
  <c r="R38" i="73"/>
  <c r="R38" i="98" s="1"/>
  <c r="T37" i="98"/>
  <c r="D37" i="98" s="1"/>
  <c r="I18" i="98" s="1"/>
  <c r="J38" i="73"/>
  <c r="J38" i="98" s="1"/>
  <c r="T38" i="62"/>
  <c r="T38" i="96" s="1"/>
  <c r="F38" i="96"/>
  <c r="G38" i="62"/>
  <c r="G38" i="96" s="1"/>
  <c r="Q38" i="73"/>
  <c r="Q38" i="98" s="1"/>
  <c r="R40" i="77"/>
  <c r="K38" i="73"/>
  <c r="K38" i="98" s="1"/>
  <c r="G38" i="98"/>
  <c r="F38" i="98"/>
  <c r="H38" i="62"/>
  <c r="H38" i="96" s="1"/>
  <c r="N40" i="62"/>
  <c r="L38" i="73"/>
  <c r="L38" i="98" s="1"/>
  <c r="O38" i="73"/>
  <c r="O38" i="98" s="1"/>
  <c r="P38" i="77"/>
  <c r="P38" i="99" s="1"/>
  <c r="L38" i="62"/>
  <c r="L38" i="96" s="1"/>
  <c r="L21" i="59"/>
  <c r="L21" i="68"/>
  <c r="L21" i="77"/>
  <c r="K40" i="72"/>
  <c r="T40" i="72"/>
  <c r="R40" i="72"/>
  <c r="P40" i="72"/>
  <c r="N40" i="72"/>
  <c r="G40" i="72"/>
  <c r="Q40" i="72"/>
  <c r="M38" i="80"/>
  <c r="P38" i="80"/>
  <c r="L19" i="78"/>
  <c r="H38" i="78"/>
  <c r="S37" i="57"/>
  <c r="O37" i="57"/>
  <c r="J38" i="66"/>
  <c r="K38" i="66"/>
  <c r="F37" i="80"/>
  <c r="F40" i="62"/>
  <c r="L20" i="62"/>
  <c r="R37" i="76"/>
  <c r="K37" i="78"/>
  <c r="G37" i="66"/>
  <c r="R37" i="69"/>
  <c r="L20" i="77"/>
  <c r="I37" i="78"/>
  <c r="P38" i="76"/>
  <c r="T40" i="61"/>
  <c r="K38" i="69"/>
  <c r="F40" i="68"/>
  <c r="L20" i="68"/>
  <c r="T37" i="78"/>
  <c r="T37" i="56"/>
  <c r="F40" i="59"/>
  <c r="L20" i="59"/>
  <c r="R37" i="57"/>
  <c r="I38" i="78"/>
  <c r="J37" i="76"/>
  <c r="L18" i="76"/>
  <c r="N38" i="66"/>
  <c r="N37" i="78"/>
  <c r="N38" i="78"/>
  <c r="K38" i="78"/>
  <c r="H37" i="78"/>
  <c r="M38" i="54"/>
  <c r="J37" i="70"/>
  <c r="P37" i="70"/>
  <c r="M40" i="61"/>
  <c r="O40" i="68"/>
  <c r="L40" i="68"/>
  <c r="R40" i="61"/>
  <c r="I40" i="61"/>
  <c r="J40" i="59"/>
  <c r="K40" i="61"/>
  <c r="L38" i="76"/>
  <c r="O37" i="70"/>
  <c r="T38" i="76"/>
  <c r="M38" i="76"/>
  <c r="L37" i="54"/>
  <c r="O37" i="66"/>
  <c r="M37" i="66"/>
  <c r="I38" i="66"/>
  <c r="P37" i="76"/>
  <c r="H38" i="76"/>
  <c r="I21" i="68"/>
  <c r="D37" i="79"/>
  <c r="I18" i="79" s="1"/>
  <c r="O38" i="78"/>
  <c r="L38" i="78"/>
  <c r="G37" i="57"/>
  <c r="J37" i="66"/>
  <c r="H38" i="69"/>
  <c r="L19" i="66"/>
  <c r="L19" i="80"/>
  <c r="J38" i="56"/>
  <c r="S38" i="66"/>
  <c r="F38" i="76"/>
  <c r="N37" i="54"/>
  <c r="T37" i="54"/>
  <c r="T37" i="66"/>
  <c r="H38" i="66"/>
  <c r="L37" i="57"/>
  <c r="R38" i="54"/>
  <c r="N37" i="70"/>
  <c r="Q37" i="56"/>
  <c r="I37" i="76"/>
  <c r="L38" i="69"/>
  <c r="R38" i="76"/>
  <c r="I37" i="70"/>
  <c r="H40" i="61"/>
  <c r="Q40" i="61"/>
  <c r="F38" i="70"/>
  <c r="Q38" i="56"/>
  <c r="N38" i="56"/>
  <c r="L19" i="56"/>
  <c r="R38" i="56"/>
  <c r="N38" i="69"/>
  <c r="O37" i="69"/>
  <c r="P38" i="69"/>
  <c r="F37" i="70"/>
  <c r="N38" i="70"/>
  <c r="P38" i="70"/>
  <c r="H38" i="70"/>
  <c r="M38" i="70"/>
  <c r="T38" i="70"/>
  <c r="L19" i="70"/>
  <c r="J38" i="70"/>
  <c r="O38" i="70"/>
  <c r="Q37" i="70"/>
  <c r="K38" i="70"/>
  <c r="R38" i="70"/>
  <c r="L38" i="70"/>
  <c r="H37" i="70"/>
  <c r="P38" i="75"/>
  <c r="R37" i="75"/>
  <c r="O37" i="75"/>
  <c r="I38" i="75"/>
  <c r="J38" i="75"/>
  <c r="Q37" i="75"/>
  <c r="K37" i="75"/>
  <c r="T37" i="75"/>
  <c r="L38" i="75"/>
  <c r="H38" i="75"/>
  <c r="P37" i="75"/>
  <c r="N38" i="75"/>
  <c r="Q38" i="75"/>
  <c r="J37" i="75"/>
  <c r="L18" i="75"/>
  <c r="H37" i="75"/>
  <c r="L19" i="75"/>
  <c r="L37" i="75"/>
  <c r="I37" i="75"/>
  <c r="M38" i="75"/>
  <c r="H37" i="57"/>
  <c r="H38" i="57"/>
  <c r="T37" i="57"/>
  <c r="T38" i="57"/>
  <c r="T37" i="69"/>
  <c r="Q38" i="70"/>
  <c r="O37" i="78"/>
  <c r="R38" i="66"/>
  <c r="R37" i="66"/>
  <c r="F37" i="76"/>
  <c r="L19" i="76"/>
  <c r="G38" i="54"/>
  <c r="G37" i="54"/>
  <c r="J38" i="54"/>
  <c r="J37" i="54"/>
  <c r="F38" i="78"/>
  <c r="F37" i="78"/>
  <c r="N37" i="80"/>
  <c r="N38" i="80"/>
  <c r="S38" i="70"/>
  <c r="S37" i="70"/>
  <c r="F38" i="58"/>
  <c r="L18" i="58"/>
  <c r="F37" i="58"/>
  <c r="P38" i="56"/>
  <c r="P37" i="56"/>
  <c r="I38" i="57"/>
  <c r="I37" i="57"/>
  <c r="P40" i="61"/>
  <c r="O38" i="75"/>
  <c r="I38" i="69"/>
  <c r="M37" i="70"/>
  <c r="P37" i="54"/>
  <c r="P38" i="54"/>
  <c r="K38" i="54"/>
  <c r="K37" i="54"/>
  <c r="L18" i="78"/>
  <c r="R38" i="78"/>
  <c r="R37" i="78"/>
  <c r="H38" i="80"/>
  <c r="H37" i="80"/>
  <c r="N38" i="76"/>
  <c r="N37" i="76"/>
  <c r="I37" i="58"/>
  <c r="I38" i="58"/>
  <c r="K38" i="56"/>
  <c r="K37" i="56"/>
  <c r="P38" i="78"/>
  <c r="P37" i="78"/>
  <c r="T37" i="76"/>
  <c r="O38" i="66"/>
  <c r="I37" i="66"/>
  <c r="I38" i="70"/>
  <c r="L37" i="76"/>
  <c r="L37" i="78"/>
  <c r="R38" i="75"/>
  <c r="S38" i="54"/>
  <c r="S37" i="54"/>
  <c r="M38" i="78"/>
  <c r="M37" i="78"/>
  <c r="O37" i="80"/>
  <c r="O38" i="80"/>
  <c r="I38" i="76"/>
  <c r="M38" i="58"/>
  <c r="M37" i="58"/>
  <c r="J40" i="68"/>
  <c r="S38" i="56"/>
  <c r="S37" i="56"/>
  <c r="L19" i="54"/>
  <c r="L38" i="58"/>
  <c r="L37" i="58"/>
  <c r="G38" i="80"/>
  <c r="G37" i="80"/>
  <c r="G38" i="70"/>
  <c r="G37" i="70"/>
  <c r="N37" i="56"/>
  <c r="S38" i="78"/>
  <c r="S37" i="78"/>
  <c r="J37" i="57"/>
  <c r="J38" i="57"/>
  <c r="F37" i="75"/>
  <c r="O39" i="75"/>
  <c r="I21" i="59"/>
  <c r="S37" i="66"/>
  <c r="N37" i="66"/>
  <c r="T37" i="70"/>
  <c r="K37" i="66"/>
  <c r="L37" i="66"/>
  <c r="L38" i="66"/>
  <c r="G38" i="75"/>
  <c r="L38" i="54"/>
  <c r="Q38" i="80"/>
  <c r="Q37" i="80"/>
  <c r="O38" i="76"/>
  <c r="O38" i="58"/>
  <c r="O37" i="58"/>
  <c r="J37" i="56"/>
  <c r="H38" i="56"/>
  <c r="H37" i="56"/>
  <c r="H40" i="68"/>
  <c r="N38" i="57"/>
  <c r="N37" i="57"/>
  <c r="R37" i="54"/>
  <c r="K38" i="76"/>
  <c r="R38" i="58"/>
  <c r="R37" i="58"/>
  <c r="O38" i="56"/>
  <c r="O37" i="56"/>
  <c r="Q37" i="66"/>
  <c r="Q38" i="66"/>
  <c r="H38" i="54"/>
  <c r="H37" i="54"/>
  <c r="T38" i="80"/>
  <c r="T37" i="80"/>
  <c r="S38" i="76"/>
  <c r="S37" i="76"/>
  <c r="L38" i="56"/>
  <c r="L37" i="56"/>
  <c r="K37" i="70"/>
  <c r="F38" i="54"/>
  <c r="F37" i="54"/>
  <c r="L18" i="54"/>
  <c r="R37" i="70"/>
  <c r="G38" i="78"/>
  <c r="G37" i="78"/>
  <c r="G38" i="58"/>
  <c r="G37" i="58"/>
  <c r="P38" i="57"/>
  <c r="P37" i="57"/>
  <c r="F38" i="66"/>
  <c r="D37" i="72"/>
  <c r="I18" i="72" s="1"/>
  <c r="M37" i="76"/>
  <c r="I38" i="80"/>
  <c r="I37" i="80"/>
  <c r="J37" i="58"/>
  <c r="J38" i="58"/>
  <c r="G38" i="56"/>
  <c r="G37" i="56"/>
  <c r="Q38" i="57"/>
  <c r="Q37" i="57"/>
  <c r="M37" i="75"/>
  <c r="R38" i="69"/>
  <c r="N37" i="75"/>
  <c r="G37" i="75"/>
  <c r="T38" i="78"/>
  <c r="T38" i="75"/>
  <c r="S38" i="75"/>
  <c r="K38" i="75"/>
  <c r="H37" i="76"/>
  <c r="F38" i="80"/>
  <c r="L18" i="80"/>
  <c r="P38" i="58"/>
  <c r="P37" i="58"/>
  <c r="T38" i="56"/>
  <c r="S38" i="58"/>
  <c r="S37" i="58"/>
  <c r="Q38" i="54"/>
  <c r="Q37" i="54"/>
  <c r="G38" i="76"/>
  <c r="G37" i="76"/>
  <c r="S40" i="61"/>
  <c r="S37" i="75"/>
  <c r="L37" i="70"/>
  <c r="F38" i="75"/>
  <c r="F37" i="66"/>
  <c r="J37" i="78"/>
  <c r="J38" i="78"/>
  <c r="R38" i="80"/>
  <c r="R37" i="80"/>
  <c r="H38" i="58"/>
  <c r="H37" i="58"/>
  <c r="F38" i="56"/>
  <c r="L18" i="56"/>
  <c r="F37" i="56"/>
  <c r="S38" i="80"/>
  <c r="S37" i="80"/>
  <c r="L18" i="66"/>
  <c r="M37" i="80"/>
  <c r="K37" i="76"/>
  <c r="D37" i="61"/>
  <c r="I18" i="61" s="1"/>
  <c r="H37" i="69"/>
  <c r="L18" i="57"/>
  <c r="L18" i="70"/>
  <c r="D37" i="77"/>
  <c r="I18" i="77" s="1"/>
  <c r="O37" i="54"/>
  <c r="O38" i="54"/>
  <c r="J38" i="80"/>
  <c r="J37" i="80"/>
  <c r="N38" i="58"/>
  <c r="N37" i="58"/>
  <c r="T38" i="58"/>
  <c r="T37" i="58"/>
  <c r="R37" i="56"/>
  <c r="I37" i="56"/>
  <c r="I38" i="56"/>
  <c r="I37" i="54"/>
  <c r="I38" i="54"/>
  <c r="L37" i="80"/>
  <c r="L38" i="80"/>
  <c r="Q38" i="78"/>
  <c r="Q37" i="78"/>
  <c r="N38" i="54"/>
  <c r="Q38" i="76"/>
  <c r="H37" i="66"/>
  <c r="P38" i="66"/>
  <c r="P37" i="66"/>
  <c r="T38" i="54"/>
  <c r="K37" i="80"/>
  <c r="K38" i="80"/>
  <c r="J38" i="76"/>
  <c r="Q38" i="58"/>
  <c r="Q37" i="58"/>
  <c r="K38" i="58"/>
  <c r="K37" i="58"/>
  <c r="P37" i="80"/>
  <c r="M38" i="56"/>
  <c r="M37" i="56"/>
  <c r="M37" i="54"/>
  <c r="M39" i="75"/>
  <c r="F39" i="75"/>
  <c r="J39" i="75"/>
  <c r="L39" i="75"/>
  <c r="K39" i="75"/>
  <c r="P39" i="75"/>
  <c r="I39" i="75"/>
  <c r="N39" i="75"/>
  <c r="G39" i="75"/>
  <c r="H39" i="75"/>
  <c r="Q39" i="75"/>
  <c r="S39" i="75"/>
  <c r="T39" i="75"/>
  <c r="R39" i="75"/>
  <c r="T38" i="69"/>
  <c r="L19" i="69"/>
  <c r="Q37" i="69"/>
  <c r="I37" i="69"/>
  <c r="L18" i="69"/>
  <c r="J37" i="69"/>
  <c r="P37" i="69"/>
  <c r="M37" i="69"/>
  <c r="L37" i="69"/>
  <c r="O38" i="69"/>
  <c r="N37" i="69"/>
  <c r="J38" i="69"/>
  <c r="S38" i="69"/>
  <c r="S37" i="69"/>
  <c r="G38" i="69"/>
  <c r="G37" i="69"/>
  <c r="F37" i="69"/>
  <c r="M38" i="69"/>
  <c r="F38" i="69"/>
  <c r="Q38" i="69"/>
  <c r="N37" i="67"/>
  <c r="N37" i="97" s="1"/>
  <c r="O37" i="67"/>
  <c r="O37" i="97" s="1"/>
  <c r="I37" i="67"/>
  <c r="I37" i="97" s="1"/>
  <c r="P37" i="67"/>
  <c r="P37" i="97" s="1"/>
  <c r="Q37" i="67"/>
  <c r="Q37" i="97" s="1"/>
  <c r="L18" i="67"/>
  <c r="F37" i="67"/>
  <c r="F37" i="97" s="1"/>
  <c r="R37" i="67"/>
  <c r="R37" i="97" s="1"/>
  <c r="M37" i="67"/>
  <c r="M37" i="97" s="1"/>
  <c r="L37" i="67"/>
  <c r="L37" i="97" s="1"/>
  <c r="G37" i="67"/>
  <c r="G37" i="97" s="1"/>
  <c r="S37" i="67"/>
  <c r="S37" i="97" s="1"/>
  <c r="T37" i="67"/>
  <c r="T37" i="97" s="1"/>
  <c r="J37" i="67"/>
  <c r="J37" i="97" s="1"/>
  <c r="K37" i="67"/>
  <c r="K37" i="97" s="1"/>
  <c r="H37" i="67"/>
  <c r="H37" i="97" s="1"/>
  <c r="D37" i="71"/>
  <c r="I18" i="71" s="1"/>
  <c r="D37" i="63"/>
  <c r="I18" i="63" s="1"/>
  <c r="D37" i="64"/>
  <c r="I18" i="64" s="1"/>
  <c r="G40" i="62"/>
  <c r="D37" i="62"/>
  <c r="I18" i="62" s="1"/>
  <c r="D37" i="65"/>
  <c r="I18" i="65" s="1"/>
  <c r="D37" i="60"/>
  <c r="I18" i="60" s="1"/>
  <c r="D37" i="55"/>
  <c r="I18" i="55" s="1"/>
  <c r="D5" i="95" a="1"/>
  <c r="D9" i="95" a="1"/>
  <c r="F10" i="95" a="1"/>
  <c r="D30" i="95" a="1"/>
  <c r="D31" i="95" a="1"/>
  <c r="D5" i="95" l="1"/>
  <c r="D31" i="95"/>
  <c r="F40" i="72"/>
  <c r="D40" i="72" s="1"/>
  <c r="I19" i="72" s="1"/>
  <c r="I20" i="72" s="1"/>
  <c r="C114" i="90"/>
  <c r="R114" i="90"/>
  <c r="E114" i="90"/>
  <c r="L114" i="90"/>
  <c r="H114" i="90"/>
  <c r="M114" i="90"/>
  <c r="Q114" i="90"/>
  <c r="S114" i="90"/>
  <c r="B114" i="90"/>
  <c r="I114" i="90"/>
  <c r="J114" i="90"/>
  <c r="D114" i="90"/>
  <c r="N114" i="90"/>
  <c r="O114" i="90"/>
  <c r="G114" i="90"/>
  <c r="F114" i="90"/>
  <c r="D30" i="95"/>
  <c r="D9" i="95"/>
  <c r="I21" i="72"/>
  <c r="I21" i="77"/>
  <c r="E38" i="90"/>
  <c r="L20" i="61"/>
  <c r="I21" i="61"/>
  <c r="D40" i="77"/>
  <c r="I19" i="77" s="1"/>
  <c r="I20" i="77" s="1"/>
  <c r="L21" i="61"/>
  <c r="F10" i="95"/>
  <c r="C38" i="90"/>
  <c r="B38" i="90"/>
  <c r="D38" i="90"/>
  <c r="T38" i="67"/>
  <c r="T38" i="97" s="1"/>
  <c r="F38" i="67"/>
  <c r="F38" i="97" s="1"/>
  <c r="D37" i="97"/>
  <c r="I18" i="97" s="1"/>
  <c r="S38" i="67"/>
  <c r="S38" i="97" s="1"/>
  <c r="L20" i="72"/>
  <c r="P38" i="67"/>
  <c r="P38" i="97" s="1"/>
  <c r="H38" i="67"/>
  <c r="H38" i="97" s="1"/>
  <c r="L38" i="67"/>
  <c r="L38" i="97" s="1"/>
  <c r="I38" i="67"/>
  <c r="I38" i="97" s="1"/>
  <c r="N38" i="67"/>
  <c r="N38" i="97" s="1"/>
  <c r="Q38" i="67"/>
  <c r="Q38" i="97" s="1"/>
  <c r="J38" i="67"/>
  <c r="J38" i="97" s="1"/>
  <c r="I21" i="62"/>
  <c r="G38" i="67"/>
  <c r="G38" i="97" s="1"/>
  <c r="K38" i="67"/>
  <c r="K38" i="97" s="1"/>
  <c r="M38" i="67"/>
  <c r="M38" i="97" s="1"/>
  <c r="R38" i="67"/>
  <c r="R38" i="97" s="1"/>
  <c r="O38" i="67"/>
  <c r="O38" i="97" s="1"/>
  <c r="L21" i="75"/>
  <c r="D40" i="59"/>
  <c r="I19" i="59" s="1"/>
  <c r="I20" i="59" s="1"/>
  <c r="D40" i="62"/>
  <c r="I19" i="62" s="1"/>
  <c r="I20" i="62" s="1"/>
  <c r="D37" i="76"/>
  <c r="I18" i="76" s="1"/>
  <c r="L20" i="75"/>
  <c r="O38" i="90"/>
  <c r="M76" i="90"/>
  <c r="D76" i="90"/>
  <c r="C76" i="90"/>
  <c r="I76" i="90"/>
  <c r="M38" i="90"/>
  <c r="F76" i="90"/>
  <c r="I38" i="90"/>
  <c r="J76" i="90"/>
  <c r="N76" i="90"/>
  <c r="G38" i="90"/>
  <c r="O76" i="90"/>
  <c r="G76" i="90"/>
  <c r="L76" i="90"/>
  <c r="L38" i="90"/>
  <c r="N38" i="90"/>
  <c r="E76" i="90"/>
  <c r="F38" i="90"/>
  <c r="J38" i="90"/>
  <c r="B76" i="90"/>
  <c r="S38" i="90"/>
  <c r="R38" i="90"/>
  <c r="S76" i="90"/>
  <c r="R76" i="90"/>
  <c r="H38" i="90"/>
  <c r="H76" i="90"/>
  <c r="D40" i="68"/>
  <c r="I19" i="68" s="1"/>
  <c r="I20" i="68" s="1"/>
  <c r="D37" i="78"/>
  <c r="I18" i="78" s="1"/>
  <c r="T40" i="75"/>
  <c r="M40" i="75"/>
  <c r="D37" i="80"/>
  <c r="I18" i="80" s="1"/>
  <c r="D37" i="57"/>
  <c r="I18" i="57" s="1"/>
  <c r="D37" i="54"/>
  <c r="I18" i="54" s="1"/>
  <c r="D37" i="66"/>
  <c r="I18" i="66" s="1"/>
  <c r="D37" i="70"/>
  <c r="I18" i="70" s="1"/>
  <c r="P40" i="75"/>
  <c r="K40" i="75"/>
  <c r="H40" i="75"/>
  <c r="R40" i="75"/>
  <c r="J40" i="75"/>
  <c r="Q40" i="75"/>
  <c r="O40" i="75"/>
  <c r="G40" i="75"/>
  <c r="L40" i="75"/>
  <c r="D37" i="75"/>
  <c r="I18" i="75" s="1"/>
  <c r="F40" i="75"/>
  <c r="I40" i="75"/>
  <c r="N40" i="75"/>
  <c r="D40" i="61"/>
  <c r="I19" i="61" s="1"/>
  <c r="D37" i="58"/>
  <c r="I18" i="58" s="1"/>
  <c r="S40" i="75"/>
  <c r="D37" i="56"/>
  <c r="I18" i="56" s="1"/>
  <c r="I21" i="75"/>
  <c r="D37" i="69"/>
  <c r="I18" i="69" s="1"/>
  <c r="D37" i="67"/>
  <c r="I18" i="67" s="1"/>
  <c r="E10" i="95" a="1"/>
  <c r="E23" i="95" a="1"/>
  <c r="F28" i="95" a="1"/>
  <c r="F23" i="95" a="1"/>
  <c r="F12" i="95" a="1"/>
  <c r="B115" i="90" l="1"/>
  <c r="D16" i="101" s="1"/>
  <c r="L115" i="90"/>
  <c r="F16" i="101" s="1"/>
  <c r="F23" i="95"/>
  <c r="F12" i="95"/>
  <c r="E10" i="95"/>
  <c r="F28" i="95"/>
  <c r="E23" i="95"/>
  <c r="D36" i="95"/>
  <c r="H8" i="101" s="1"/>
  <c r="L77" i="90"/>
  <c r="F10" i="101" s="1"/>
  <c r="L39" i="90"/>
  <c r="B77" i="90"/>
  <c r="D10" i="101" s="1"/>
  <c r="B39" i="90"/>
  <c r="I20" i="61"/>
  <c r="D40" i="75"/>
  <c r="I19" i="75" s="1"/>
  <c r="E12" i="95" a="1"/>
  <c r="F18" i="101" l="1"/>
  <c r="F9" i="101" s="1"/>
  <c r="F19" i="101"/>
  <c r="D18" i="101"/>
  <c r="D9" i="101" s="1"/>
  <c r="D19" i="101"/>
  <c r="F17" i="101"/>
  <c r="D17" i="101"/>
  <c r="F11" i="101"/>
  <c r="D11" i="101"/>
  <c r="E12" i="95"/>
  <c r="I20" i="75"/>
  <c r="D41" i="49"/>
  <c r="D37" i="49"/>
  <c r="D28" i="49"/>
  <c r="E28" i="95" a="1"/>
  <c r="E28" i="95" l="1"/>
  <c r="D85" i="99"/>
  <c r="D85" i="97"/>
  <c r="D85" i="96"/>
  <c r="D57" i="96"/>
  <c r="D85" i="98"/>
  <c r="D57" i="98"/>
  <c r="D57" i="97"/>
  <c r="D57" i="99"/>
  <c r="D94" i="98"/>
  <c r="D66" i="98"/>
  <c r="D94" i="99"/>
  <c r="D94" i="97"/>
  <c r="D94" i="96"/>
  <c r="D66" i="96"/>
  <c r="D66" i="97"/>
  <c r="D66" i="99"/>
  <c r="D70" i="96"/>
  <c r="D98" i="97"/>
  <c r="D98" i="99"/>
  <c r="D98" i="96"/>
  <c r="D70" i="99"/>
  <c r="D98" i="98"/>
  <c r="D70" i="97"/>
  <c r="D70" i="98"/>
  <c r="D85" i="88"/>
  <c r="D85" i="87"/>
  <c r="D57" i="88"/>
  <c r="D57" i="87"/>
  <c r="D85" i="83"/>
  <c r="D85" i="84"/>
  <c r="D57" i="83"/>
  <c r="D85" i="81"/>
  <c r="D57" i="84"/>
  <c r="D57" i="81"/>
  <c r="D85" i="67"/>
  <c r="D85" i="60"/>
  <c r="D57" i="60"/>
  <c r="D85" i="78"/>
  <c r="D85" i="64"/>
  <c r="D85" i="62"/>
  <c r="D85" i="80"/>
  <c r="D85" i="54"/>
  <c r="D85" i="61"/>
  <c r="D85" i="77"/>
  <c r="D85" i="75"/>
  <c r="D85" i="79"/>
  <c r="D85" i="69"/>
  <c r="D85" i="56"/>
  <c r="D85" i="58"/>
  <c r="D85" i="73"/>
  <c r="D85" i="71"/>
  <c r="D85" i="63"/>
  <c r="D85" i="68"/>
  <c r="D85" i="55"/>
  <c r="D85" i="57"/>
  <c r="D85" i="76"/>
  <c r="D85" i="72"/>
  <c r="D85" i="59"/>
  <c r="D85" i="70"/>
  <c r="D85" i="66"/>
  <c r="D85" i="65"/>
  <c r="D57" i="69"/>
  <c r="D57" i="58"/>
  <c r="D57" i="70"/>
  <c r="D57" i="73"/>
  <c r="D57" i="55"/>
  <c r="D57" i="56"/>
  <c r="D57" i="76"/>
  <c r="D57" i="67"/>
  <c r="D57" i="68"/>
  <c r="D57" i="62"/>
  <c r="D57" i="64"/>
  <c r="D57" i="71"/>
  <c r="D57" i="72"/>
  <c r="D57" i="79"/>
  <c r="D57" i="54"/>
  <c r="D57" i="80"/>
  <c r="D57" i="61"/>
  <c r="D57" i="77"/>
  <c r="D57" i="78"/>
  <c r="D57" i="57"/>
  <c r="D57" i="75"/>
  <c r="D57" i="65"/>
  <c r="D57" i="66"/>
  <c r="D57" i="63"/>
  <c r="D57" i="59"/>
  <c r="D94" i="87"/>
  <c r="D94" i="88"/>
  <c r="D66" i="87"/>
  <c r="D66" i="88"/>
  <c r="D94" i="83"/>
  <c r="D94" i="84"/>
  <c r="D94" i="81"/>
  <c r="D66" i="84"/>
  <c r="D66" i="83"/>
  <c r="D66" i="81"/>
  <c r="D94" i="79"/>
  <c r="D94" i="69"/>
  <c r="D94" i="56"/>
  <c r="D94" i="73"/>
  <c r="D94" i="71"/>
  <c r="D94" i="63"/>
  <c r="D94" i="62"/>
  <c r="D94" i="60"/>
  <c r="D94" i="58"/>
  <c r="D94" i="75"/>
  <c r="D94" i="68"/>
  <c r="D94" i="55"/>
  <c r="D94" i="76"/>
  <c r="D94" i="72"/>
  <c r="D94" i="59"/>
  <c r="D94" i="57"/>
  <c r="D94" i="61"/>
  <c r="D94" i="70"/>
  <c r="D94" i="66"/>
  <c r="D94" i="65"/>
  <c r="D94" i="67"/>
  <c r="D94" i="77"/>
  <c r="D94" i="78"/>
  <c r="D66" i="65"/>
  <c r="D94" i="64"/>
  <c r="D94" i="54"/>
  <c r="D94" i="80"/>
  <c r="D66" i="61"/>
  <c r="D66" i="75"/>
  <c r="D66" i="78"/>
  <c r="D66" i="79"/>
  <c r="D66" i="67"/>
  <c r="D66" i="77"/>
  <c r="D66" i="64"/>
  <c r="D66" i="57"/>
  <c r="D66" i="55"/>
  <c r="D66" i="70"/>
  <c r="D66" i="63"/>
  <c r="D66" i="66"/>
  <c r="D66" i="54"/>
  <c r="D66" i="69"/>
  <c r="D66" i="73"/>
  <c r="D66" i="58"/>
  <c r="D66" i="56"/>
  <c r="D66" i="60"/>
  <c r="D66" i="76"/>
  <c r="D66" i="80"/>
  <c r="D66" i="62"/>
  <c r="D66" i="71"/>
  <c r="D66" i="72"/>
  <c r="D66" i="68"/>
  <c r="D66" i="59"/>
  <c r="D98" i="88"/>
  <c r="D98" i="87"/>
  <c r="D70" i="88"/>
  <c r="D70" i="87"/>
  <c r="D98" i="84"/>
  <c r="D98" i="83"/>
  <c r="D98" i="81"/>
  <c r="D70" i="83"/>
  <c r="D70" i="84"/>
  <c r="D70" i="81"/>
  <c r="D98" i="70"/>
  <c r="D98" i="66"/>
  <c r="D98" i="54"/>
  <c r="D98" i="58"/>
  <c r="D98" i="65"/>
  <c r="D98" i="55"/>
  <c r="D98" i="67"/>
  <c r="D70" i="60"/>
  <c r="D98" i="59"/>
  <c r="D98" i="57"/>
  <c r="D98" i="78"/>
  <c r="D98" i="64"/>
  <c r="D98" i="68"/>
  <c r="D98" i="72"/>
  <c r="D98" i="80"/>
  <c r="D98" i="77"/>
  <c r="D98" i="75"/>
  <c r="D98" i="61"/>
  <c r="D98" i="56"/>
  <c r="D98" i="60"/>
  <c r="D98" i="76"/>
  <c r="D98" i="79"/>
  <c r="D98" i="69"/>
  <c r="D98" i="73"/>
  <c r="D98" i="71"/>
  <c r="D98" i="63"/>
  <c r="D98" i="62"/>
  <c r="D70" i="79"/>
  <c r="D70" i="71"/>
  <c r="D70" i="68"/>
  <c r="D70" i="55"/>
  <c r="D70" i="69"/>
  <c r="D70" i="63"/>
  <c r="D70" i="54"/>
  <c r="D70" i="66"/>
  <c r="D70" i="57"/>
  <c r="D70" i="75"/>
  <c r="D70" i="67"/>
  <c r="D70" i="78"/>
  <c r="D70" i="61"/>
  <c r="D70" i="80"/>
  <c r="D70" i="59"/>
  <c r="D70" i="72"/>
  <c r="D70" i="65"/>
  <c r="D70" i="58"/>
  <c r="D70" i="64"/>
  <c r="D70" i="70"/>
  <c r="D70" i="73"/>
  <c r="D70" i="56"/>
  <c r="D70" i="76"/>
  <c r="D70" i="77"/>
  <c r="D70" i="62"/>
  <c r="I40" i="42"/>
  <c r="I39" i="42"/>
  <c r="I38" i="42"/>
  <c r="I37" i="42"/>
  <c r="I64" i="42"/>
  <c r="H63" i="42"/>
  <c r="D52" i="42"/>
  <c r="G54" i="42"/>
  <c r="G57" i="42"/>
  <c r="D56" i="42"/>
  <c r="H53" i="42"/>
  <c r="D51" i="42"/>
  <c r="I59" i="42"/>
  <c r="E62" i="42"/>
  <c r="I57" i="42"/>
  <c r="F53" i="42"/>
  <c r="D62" i="42"/>
  <c r="E61" i="42"/>
  <c r="E53" i="42"/>
  <c r="E56" i="42"/>
  <c r="D54" i="42"/>
  <c r="G61" i="42"/>
  <c r="E52" i="42"/>
  <c r="I62" i="42"/>
  <c r="F52" i="42"/>
  <c r="H52" i="42"/>
  <c r="H64" i="42"/>
  <c r="F56" i="42"/>
  <c r="F64" i="42"/>
  <c r="F63" i="42"/>
  <c r="F59" i="42"/>
  <c r="G52" i="42"/>
  <c r="E54" i="42"/>
  <c r="F51" i="42"/>
  <c r="H51" i="42"/>
  <c r="D58" i="42"/>
  <c r="G53" i="42"/>
  <c r="H59" i="42"/>
  <c r="D59" i="42"/>
  <c r="G63" i="42"/>
  <c r="H58" i="42"/>
  <c r="I56" i="42"/>
  <c r="F62" i="42"/>
  <c r="D61" i="42"/>
  <c r="G58" i="42"/>
  <c r="I58" i="42"/>
  <c r="F57" i="42"/>
  <c r="E57" i="42"/>
  <c r="G51" i="42"/>
  <c r="F54" i="42"/>
  <c r="D63" i="42"/>
  <c r="D57" i="42"/>
  <c r="D64" i="42"/>
  <c r="H57" i="42"/>
  <c r="H61" i="42"/>
  <c r="F61" i="42"/>
  <c r="E59" i="42"/>
  <c r="F58" i="42"/>
  <c r="E64" i="42"/>
  <c r="D53" i="42"/>
  <c r="G64" i="42"/>
  <c r="G59" i="42"/>
  <c r="H62" i="42"/>
  <c r="I63" i="42"/>
  <c r="E63" i="42"/>
  <c r="E51" i="42"/>
  <c r="G56" i="42"/>
  <c r="E58" i="42"/>
  <c r="I61" i="42"/>
  <c r="H54" i="42"/>
  <c r="H56" i="42"/>
  <c r="G62" i="42"/>
  <c r="H55" i="42"/>
  <c r="G55" i="42"/>
  <c r="E55" i="42"/>
  <c r="F55" i="42"/>
  <c r="D55" i="42"/>
  <c r="D65" i="42"/>
  <c r="I65" i="42"/>
  <c r="H65" i="42"/>
  <c r="G65" i="42"/>
  <c r="F65" i="42"/>
  <c r="E65" i="42"/>
  <c r="D60" i="42"/>
  <c r="I60" i="42"/>
  <c r="H60" i="42"/>
  <c r="G60" i="42"/>
  <c r="F60" i="42"/>
  <c r="E60" i="42"/>
  <c r="I53" i="42"/>
  <c r="I54" i="42"/>
  <c r="I52" i="42"/>
  <c r="I51" i="42"/>
  <c r="I55" i="42"/>
  <c r="R70" i="98" l="1"/>
  <c r="K70" i="98"/>
  <c r="F70" i="98"/>
  <c r="P70" i="98"/>
  <c r="N70" i="98"/>
  <c r="O70" i="98"/>
  <c r="I70" i="98"/>
  <c r="H70" i="98"/>
  <c r="Q70" i="98"/>
  <c r="M70" i="98"/>
  <c r="T70" i="98"/>
  <c r="L70" i="98"/>
  <c r="S70" i="98"/>
  <c r="J70" i="98"/>
  <c r="G70" i="98"/>
  <c r="G70" i="97"/>
  <c r="F70" i="97"/>
  <c r="R70" i="97"/>
  <c r="K70" i="97"/>
  <c r="Q70" i="97"/>
  <c r="L70" i="97"/>
  <c r="O70" i="97"/>
  <c r="J70" i="97"/>
  <c r="I70" i="97"/>
  <c r="T70" i="97"/>
  <c r="N70" i="97"/>
  <c r="S70" i="97"/>
  <c r="P70" i="97"/>
  <c r="M70" i="97"/>
  <c r="H70" i="97"/>
  <c r="I66" i="98"/>
  <c r="O66" i="98"/>
  <c r="M66" i="98"/>
  <c r="L66" i="98"/>
  <c r="K66" i="98"/>
  <c r="G66" i="98"/>
  <c r="R66" i="98"/>
  <c r="Q66" i="98"/>
  <c r="H66" i="98"/>
  <c r="N66" i="98"/>
  <c r="S66" i="98"/>
  <c r="F66" i="98"/>
  <c r="P66" i="98"/>
  <c r="J66" i="98"/>
  <c r="T66" i="98"/>
  <c r="Q70" i="99"/>
  <c r="O70" i="99"/>
  <c r="T70" i="99"/>
  <c r="R70" i="99"/>
  <c r="L70" i="99"/>
  <c r="I70" i="99"/>
  <c r="S70" i="99"/>
  <c r="M70" i="99"/>
  <c r="J70" i="99"/>
  <c r="N70" i="99"/>
  <c r="G70" i="99"/>
  <c r="H70" i="99"/>
  <c r="K70" i="99"/>
  <c r="P70" i="99"/>
  <c r="F70" i="99"/>
  <c r="Q94" i="98"/>
  <c r="R94" i="98"/>
  <c r="M94" i="98"/>
  <c r="P94" i="98"/>
  <c r="N94" i="98"/>
  <c r="H94" i="98"/>
  <c r="S94" i="98"/>
  <c r="L94" i="98"/>
  <c r="T94" i="98"/>
  <c r="K94" i="98"/>
  <c r="I94" i="98"/>
  <c r="G94" i="98"/>
  <c r="F94" i="98"/>
  <c r="J94" i="98"/>
  <c r="O94" i="98"/>
  <c r="S98" i="96"/>
  <c r="K98" i="96"/>
  <c r="M98" i="96"/>
  <c r="G98" i="96"/>
  <c r="P98" i="96"/>
  <c r="L98" i="96"/>
  <c r="I98" i="96"/>
  <c r="J98" i="96"/>
  <c r="O98" i="96"/>
  <c r="R98" i="96"/>
  <c r="N98" i="96"/>
  <c r="F98" i="96"/>
  <c r="H98" i="96"/>
  <c r="Q98" i="96"/>
  <c r="T98" i="96"/>
  <c r="H57" i="99"/>
  <c r="L57" i="99"/>
  <c r="M57" i="99"/>
  <c r="G57" i="99"/>
  <c r="F57" i="99"/>
  <c r="N57" i="99"/>
  <c r="T57" i="99"/>
  <c r="P57" i="99"/>
  <c r="S57" i="99"/>
  <c r="K57" i="99"/>
  <c r="Q57" i="99"/>
  <c r="J57" i="99"/>
  <c r="I57" i="99"/>
  <c r="R57" i="99"/>
  <c r="O57" i="99"/>
  <c r="D44" i="99"/>
  <c r="L57" i="97"/>
  <c r="R57" i="97"/>
  <c r="F57" i="97"/>
  <c r="O57" i="97"/>
  <c r="I57" i="97"/>
  <c r="Q57" i="97"/>
  <c r="T57" i="97"/>
  <c r="K57" i="97"/>
  <c r="M57" i="97"/>
  <c r="P57" i="97"/>
  <c r="J57" i="97"/>
  <c r="H57" i="97"/>
  <c r="S57" i="97"/>
  <c r="G57" i="97"/>
  <c r="N57" i="97"/>
  <c r="D44" i="97"/>
  <c r="M57" i="98"/>
  <c r="L57" i="98"/>
  <c r="S57" i="98"/>
  <c r="J57" i="98"/>
  <c r="F57" i="98"/>
  <c r="G57" i="98"/>
  <c r="H57" i="98"/>
  <c r="O57" i="98"/>
  <c r="R57" i="98"/>
  <c r="P57" i="98"/>
  <c r="T57" i="98"/>
  <c r="Q57" i="98"/>
  <c r="I57" i="98"/>
  <c r="K57" i="98"/>
  <c r="N57" i="98"/>
  <c r="D44" i="98"/>
  <c r="G70" i="96"/>
  <c r="S70" i="96"/>
  <c r="T70" i="96"/>
  <c r="H70" i="96"/>
  <c r="J70" i="96"/>
  <c r="P70" i="96"/>
  <c r="N70" i="96"/>
  <c r="M70" i="96"/>
  <c r="F70" i="96"/>
  <c r="Q70" i="96"/>
  <c r="L70" i="96"/>
  <c r="K70" i="96"/>
  <c r="R70" i="96"/>
  <c r="I70" i="96"/>
  <c r="O70" i="96"/>
  <c r="P66" i="99"/>
  <c r="L66" i="99"/>
  <c r="T66" i="99"/>
  <c r="K66" i="99"/>
  <c r="H66" i="99"/>
  <c r="S66" i="99"/>
  <c r="O66" i="99"/>
  <c r="G66" i="99"/>
  <c r="N66" i="99"/>
  <c r="R66" i="99"/>
  <c r="F66" i="99"/>
  <c r="Q66" i="99"/>
  <c r="M66" i="99"/>
  <c r="I66" i="99"/>
  <c r="J66" i="99"/>
  <c r="T57" i="96"/>
  <c r="F57" i="96"/>
  <c r="H57" i="96"/>
  <c r="I57" i="96"/>
  <c r="P57" i="96"/>
  <c r="S57" i="96"/>
  <c r="J57" i="96"/>
  <c r="O57" i="96"/>
  <c r="G57" i="96"/>
  <c r="R57" i="96"/>
  <c r="N57" i="96"/>
  <c r="M57" i="96"/>
  <c r="Q57" i="96"/>
  <c r="L57" i="96"/>
  <c r="K57" i="96"/>
  <c r="D44" i="96"/>
  <c r="N66" i="97"/>
  <c r="R66" i="97"/>
  <c r="K66" i="97"/>
  <c r="F66" i="97"/>
  <c r="J66" i="97"/>
  <c r="M66" i="97"/>
  <c r="S66" i="97"/>
  <c r="I66" i="97"/>
  <c r="H66" i="97"/>
  <c r="G66" i="97"/>
  <c r="T66" i="97"/>
  <c r="L66" i="97"/>
  <c r="Q66" i="97"/>
  <c r="O66" i="97"/>
  <c r="P66" i="97"/>
  <c r="H66" i="96"/>
  <c r="I66" i="96"/>
  <c r="L66" i="96"/>
  <c r="J66" i="96"/>
  <c r="G66" i="96"/>
  <c r="M66" i="96"/>
  <c r="N66" i="96"/>
  <c r="O66" i="96"/>
  <c r="K66" i="96"/>
  <c r="T66" i="96"/>
  <c r="F66" i="96"/>
  <c r="P66" i="96"/>
  <c r="S66" i="96"/>
  <c r="R66" i="96"/>
  <c r="Q66" i="96"/>
  <c r="R94" i="96"/>
  <c r="P94" i="96"/>
  <c r="S94" i="96"/>
  <c r="K94" i="96"/>
  <c r="I94" i="96"/>
  <c r="L94" i="96"/>
  <c r="M94" i="96"/>
  <c r="G94" i="96"/>
  <c r="H94" i="96"/>
  <c r="J94" i="96"/>
  <c r="T94" i="96"/>
  <c r="F94" i="96"/>
  <c r="O94" i="96"/>
  <c r="Q94" i="96"/>
  <c r="N94" i="96"/>
  <c r="N70" i="55"/>
  <c r="J70" i="55"/>
  <c r="H70" i="55"/>
  <c r="I70" i="55"/>
  <c r="T70" i="55"/>
  <c r="P70" i="55"/>
  <c r="S70" i="55"/>
  <c r="G70" i="55"/>
  <c r="O70" i="55"/>
  <c r="L70" i="55"/>
  <c r="Q70" i="55"/>
  <c r="K70" i="55"/>
  <c r="R70" i="55"/>
  <c r="M70" i="55"/>
  <c r="F70" i="55"/>
  <c r="J66" i="71"/>
  <c r="S66" i="71"/>
  <c r="R66" i="71"/>
  <c r="P66" i="71"/>
  <c r="L66" i="71"/>
  <c r="Q66" i="71"/>
  <c r="F66" i="71"/>
  <c r="K66" i="71"/>
  <c r="N66" i="71"/>
  <c r="H66" i="71"/>
  <c r="I66" i="71"/>
  <c r="G66" i="71"/>
  <c r="O66" i="71"/>
  <c r="M66" i="71"/>
  <c r="T66" i="71"/>
  <c r="G66" i="88"/>
  <c r="N66" i="88"/>
  <c r="K66" i="88"/>
  <c r="F66" i="88"/>
  <c r="S66" i="88"/>
  <c r="R66" i="88"/>
  <c r="Q66" i="88"/>
  <c r="L66" i="88"/>
  <c r="I66" i="88"/>
  <c r="P66" i="88"/>
  <c r="T66" i="88"/>
  <c r="H66" i="88"/>
  <c r="O66" i="88"/>
  <c r="J66" i="88"/>
  <c r="M66" i="88"/>
  <c r="N70" i="62"/>
  <c r="T70" i="62"/>
  <c r="M70" i="62"/>
  <c r="R70" i="62"/>
  <c r="F70" i="62"/>
  <c r="I70" i="62"/>
  <c r="G70" i="62"/>
  <c r="O70" i="62"/>
  <c r="P70" i="62"/>
  <c r="K70" i="62"/>
  <c r="H70" i="62"/>
  <c r="Q70" i="62"/>
  <c r="S70" i="62"/>
  <c r="L70" i="62"/>
  <c r="J70" i="62"/>
  <c r="L70" i="80"/>
  <c r="K70" i="80"/>
  <c r="J70" i="80"/>
  <c r="I70" i="80"/>
  <c r="T70" i="80"/>
  <c r="R70" i="80"/>
  <c r="F70" i="80"/>
  <c r="N70" i="80"/>
  <c r="G70" i="80"/>
  <c r="M70" i="80"/>
  <c r="S70" i="80"/>
  <c r="O70" i="80"/>
  <c r="H70" i="80"/>
  <c r="Q70" i="80"/>
  <c r="P70" i="80"/>
  <c r="Q70" i="71"/>
  <c r="O70" i="71"/>
  <c r="L70" i="71"/>
  <c r="P70" i="71"/>
  <c r="K70" i="71"/>
  <c r="N70" i="71"/>
  <c r="J70" i="71"/>
  <c r="M70" i="71"/>
  <c r="T70" i="71"/>
  <c r="H70" i="71"/>
  <c r="R70" i="71"/>
  <c r="F70" i="71"/>
  <c r="I70" i="71"/>
  <c r="S70" i="71"/>
  <c r="G70" i="71"/>
  <c r="O66" i="62"/>
  <c r="N66" i="62"/>
  <c r="G66" i="62"/>
  <c r="M66" i="62"/>
  <c r="K66" i="62"/>
  <c r="T66" i="62"/>
  <c r="I66" i="62"/>
  <c r="Q66" i="62"/>
  <c r="S66" i="62"/>
  <c r="H66" i="62"/>
  <c r="R66" i="62"/>
  <c r="J66" i="62"/>
  <c r="L66" i="62"/>
  <c r="P66" i="62"/>
  <c r="F66" i="62"/>
  <c r="R66" i="55"/>
  <c r="N66" i="55"/>
  <c r="F66" i="55"/>
  <c r="M66" i="55"/>
  <c r="L66" i="55"/>
  <c r="H66" i="55"/>
  <c r="K66" i="55"/>
  <c r="T66" i="55"/>
  <c r="J66" i="55"/>
  <c r="P66" i="55"/>
  <c r="G66" i="55"/>
  <c r="O66" i="55"/>
  <c r="I66" i="55"/>
  <c r="Q66" i="55"/>
  <c r="S66" i="55"/>
  <c r="H66" i="87"/>
  <c r="Q66" i="87"/>
  <c r="N66" i="87"/>
  <c r="S66" i="87"/>
  <c r="P66" i="87"/>
  <c r="G66" i="87"/>
  <c r="O66" i="87"/>
  <c r="F66" i="87"/>
  <c r="R66" i="87"/>
  <c r="L66" i="87"/>
  <c r="M66" i="87"/>
  <c r="I66" i="87"/>
  <c r="J66" i="87"/>
  <c r="T66" i="87"/>
  <c r="K66" i="87"/>
  <c r="J57" i="61"/>
  <c r="I57" i="61"/>
  <c r="K57" i="61"/>
  <c r="G57" i="61"/>
  <c r="H57" i="61"/>
  <c r="T57" i="61"/>
  <c r="N57" i="61"/>
  <c r="R57" i="61"/>
  <c r="Q57" i="61"/>
  <c r="F57" i="61"/>
  <c r="P57" i="61"/>
  <c r="L57" i="61"/>
  <c r="M57" i="61"/>
  <c r="O57" i="61"/>
  <c r="S57" i="61"/>
  <c r="D44" i="61"/>
  <c r="K57" i="55"/>
  <c r="J57" i="55"/>
  <c r="I57" i="55"/>
  <c r="T57" i="55"/>
  <c r="O57" i="55"/>
  <c r="S57" i="55"/>
  <c r="D44" i="55"/>
  <c r="Q57" i="55"/>
  <c r="L57" i="55"/>
  <c r="N57" i="55"/>
  <c r="P57" i="55"/>
  <c r="R57" i="55"/>
  <c r="F57" i="55"/>
  <c r="H57" i="55"/>
  <c r="M57" i="55"/>
  <c r="G57" i="55"/>
  <c r="R70" i="83"/>
  <c r="I70" i="83"/>
  <c r="L70" i="83"/>
  <c r="F70" i="83"/>
  <c r="H70" i="83"/>
  <c r="Q70" i="83"/>
  <c r="G70" i="83"/>
  <c r="N70" i="83"/>
  <c r="S70" i="83"/>
  <c r="P70" i="83"/>
  <c r="O70" i="83"/>
  <c r="M70" i="83"/>
  <c r="K70" i="83"/>
  <c r="J70" i="83"/>
  <c r="T70" i="83"/>
  <c r="N66" i="80"/>
  <c r="M66" i="80"/>
  <c r="L66" i="80"/>
  <c r="J66" i="80"/>
  <c r="T66" i="80"/>
  <c r="G66" i="80"/>
  <c r="I66" i="80"/>
  <c r="P66" i="80"/>
  <c r="O66" i="80"/>
  <c r="H66" i="80"/>
  <c r="S66" i="80"/>
  <c r="R66" i="80"/>
  <c r="F66" i="80"/>
  <c r="Q66" i="80"/>
  <c r="K66" i="80"/>
  <c r="P66" i="57"/>
  <c r="O66" i="57"/>
  <c r="N66" i="57"/>
  <c r="M66" i="57"/>
  <c r="L66" i="57"/>
  <c r="K66" i="57"/>
  <c r="I66" i="57"/>
  <c r="T66" i="57"/>
  <c r="H66" i="57"/>
  <c r="R66" i="57"/>
  <c r="J66" i="57"/>
  <c r="F66" i="57"/>
  <c r="G66" i="57"/>
  <c r="Q66" i="57"/>
  <c r="S66" i="57"/>
  <c r="M94" i="64"/>
  <c r="N94" i="64"/>
  <c r="K94" i="64"/>
  <c r="J94" i="64"/>
  <c r="Q94" i="64"/>
  <c r="L94" i="64"/>
  <c r="F94" i="64"/>
  <c r="O94" i="64"/>
  <c r="R94" i="64"/>
  <c r="P94" i="64"/>
  <c r="G94" i="64"/>
  <c r="S94" i="64"/>
  <c r="H94" i="64"/>
  <c r="T94" i="64"/>
  <c r="I94" i="64"/>
  <c r="O57" i="80"/>
  <c r="P57" i="80"/>
  <c r="M57" i="80"/>
  <c r="N57" i="80"/>
  <c r="L57" i="80"/>
  <c r="G57" i="80"/>
  <c r="D44" i="80"/>
  <c r="K57" i="80"/>
  <c r="J57" i="80"/>
  <c r="T57" i="80"/>
  <c r="H57" i="80"/>
  <c r="S57" i="80"/>
  <c r="Q57" i="80"/>
  <c r="R57" i="80"/>
  <c r="F57" i="80"/>
  <c r="I57" i="80"/>
  <c r="N57" i="73"/>
  <c r="M57" i="73"/>
  <c r="L57" i="73"/>
  <c r="K57" i="73"/>
  <c r="D44" i="73"/>
  <c r="J57" i="73"/>
  <c r="T57" i="73"/>
  <c r="S57" i="73"/>
  <c r="P57" i="73"/>
  <c r="G57" i="73"/>
  <c r="O57" i="73"/>
  <c r="F57" i="73"/>
  <c r="Q57" i="73"/>
  <c r="I57" i="73"/>
  <c r="R57" i="73"/>
  <c r="H57" i="73"/>
  <c r="I85" i="55"/>
  <c r="L85" i="55"/>
  <c r="J85" i="55"/>
  <c r="K85" i="55"/>
  <c r="P85" i="55"/>
  <c r="Q85" i="55"/>
  <c r="S85" i="55"/>
  <c r="M85" i="55"/>
  <c r="R85" i="55"/>
  <c r="N85" i="55"/>
  <c r="G85" i="55"/>
  <c r="O85" i="55"/>
  <c r="F85" i="55"/>
  <c r="H85" i="55"/>
  <c r="T85" i="55"/>
  <c r="M57" i="81"/>
  <c r="L57" i="81"/>
  <c r="R57" i="81"/>
  <c r="H57" i="81"/>
  <c r="P57" i="81"/>
  <c r="O57" i="81"/>
  <c r="I57" i="81"/>
  <c r="F57" i="81"/>
  <c r="K57" i="81"/>
  <c r="J57" i="81"/>
  <c r="T57" i="81"/>
  <c r="N57" i="81"/>
  <c r="G57" i="81"/>
  <c r="S57" i="81"/>
  <c r="Q57" i="81"/>
  <c r="D44" i="81"/>
  <c r="M94" i="63"/>
  <c r="K94" i="63"/>
  <c r="P94" i="63"/>
  <c r="L94" i="63"/>
  <c r="N94" i="63"/>
  <c r="Q94" i="63"/>
  <c r="O94" i="63"/>
  <c r="H94" i="63"/>
  <c r="T94" i="63"/>
  <c r="I94" i="63"/>
  <c r="R94" i="63"/>
  <c r="S94" i="63"/>
  <c r="G94" i="63"/>
  <c r="F94" i="63"/>
  <c r="J94" i="63"/>
  <c r="S70" i="60"/>
  <c r="Q70" i="60"/>
  <c r="R70" i="60"/>
  <c r="F70" i="60"/>
  <c r="T70" i="60"/>
  <c r="G70" i="60"/>
  <c r="N70" i="60"/>
  <c r="M70" i="60"/>
  <c r="L70" i="60"/>
  <c r="K70" i="60"/>
  <c r="J70" i="60"/>
  <c r="I70" i="60"/>
  <c r="O70" i="60"/>
  <c r="H70" i="60"/>
  <c r="P70" i="60"/>
  <c r="S70" i="76"/>
  <c r="G70" i="76"/>
  <c r="R70" i="76"/>
  <c r="F70" i="76"/>
  <c r="Q70" i="76"/>
  <c r="N70" i="76"/>
  <c r="L70" i="76"/>
  <c r="T70" i="76"/>
  <c r="M70" i="76"/>
  <c r="H70" i="76"/>
  <c r="K70" i="76"/>
  <c r="I70" i="76"/>
  <c r="P70" i="76"/>
  <c r="J70" i="76"/>
  <c r="O70" i="76"/>
  <c r="M66" i="65"/>
  <c r="L66" i="65"/>
  <c r="K66" i="65"/>
  <c r="Q66" i="65"/>
  <c r="O66" i="65"/>
  <c r="P66" i="65"/>
  <c r="J66" i="65"/>
  <c r="R66" i="65"/>
  <c r="N66" i="65"/>
  <c r="F66" i="65"/>
  <c r="I66" i="65"/>
  <c r="T66" i="65"/>
  <c r="S66" i="65"/>
  <c r="H66" i="65"/>
  <c r="G66" i="65"/>
  <c r="N57" i="54"/>
  <c r="J57" i="54"/>
  <c r="M57" i="54"/>
  <c r="Q57" i="54"/>
  <c r="L57" i="54"/>
  <c r="P57" i="54"/>
  <c r="K57" i="54"/>
  <c r="O57" i="54"/>
  <c r="H57" i="54"/>
  <c r="I57" i="54"/>
  <c r="T57" i="54"/>
  <c r="S57" i="54"/>
  <c r="G57" i="54"/>
  <c r="R57" i="54"/>
  <c r="D44" i="54"/>
  <c r="F57" i="54"/>
  <c r="M57" i="84"/>
  <c r="I57" i="84"/>
  <c r="G57" i="84"/>
  <c r="P57" i="84"/>
  <c r="K57" i="84"/>
  <c r="N57" i="84"/>
  <c r="L57" i="84"/>
  <c r="S57" i="84"/>
  <c r="O57" i="84"/>
  <c r="H57" i="84"/>
  <c r="R57" i="84"/>
  <c r="Q57" i="84"/>
  <c r="J57" i="84"/>
  <c r="F57" i="84"/>
  <c r="T57" i="84"/>
  <c r="D44" i="84"/>
  <c r="F66" i="72"/>
  <c r="R66" i="72"/>
  <c r="P66" i="72"/>
  <c r="Q66" i="72"/>
  <c r="O66" i="72"/>
  <c r="L66" i="72"/>
  <c r="N66" i="72"/>
  <c r="S66" i="72"/>
  <c r="K66" i="72"/>
  <c r="J66" i="72"/>
  <c r="H66" i="72"/>
  <c r="G66" i="72"/>
  <c r="M66" i="72"/>
  <c r="I66" i="72"/>
  <c r="T66" i="72"/>
  <c r="M66" i="70"/>
  <c r="L66" i="70"/>
  <c r="K66" i="70"/>
  <c r="G66" i="70"/>
  <c r="J66" i="70"/>
  <c r="F66" i="70"/>
  <c r="I66" i="70"/>
  <c r="S66" i="70"/>
  <c r="H66" i="70"/>
  <c r="Q66" i="70"/>
  <c r="O66" i="70"/>
  <c r="N66" i="70"/>
  <c r="T66" i="70"/>
  <c r="R66" i="70"/>
  <c r="P66" i="70"/>
  <c r="R70" i="78"/>
  <c r="F70" i="78"/>
  <c r="Q70" i="78"/>
  <c r="M70" i="78"/>
  <c r="P70" i="78"/>
  <c r="L70" i="78"/>
  <c r="N70" i="78"/>
  <c r="S70" i="78"/>
  <c r="G70" i="78"/>
  <c r="O70" i="78"/>
  <c r="K70" i="78"/>
  <c r="J70" i="78"/>
  <c r="I70" i="78"/>
  <c r="T70" i="78"/>
  <c r="H70" i="78"/>
  <c r="G98" i="55"/>
  <c r="H98" i="55"/>
  <c r="I98" i="55"/>
  <c r="T98" i="55"/>
  <c r="M98" i="55"/>
  <c r="N98" i="55"/>
  <c r="J98" i="55"/>
  <c r="O98" i="55"/>
  <c r="K98" i="55"/>
  <c r="P98" i="55"/>
  <c r="L98" i="55"/>
  <c r="S98" i="55"/>
  <c r="Q98" i="55"/>
  <c r="F98" i="55"/>
  <c r="R98" i="55"/>
  <c r="H66" i="76"/>
  <c r="R66" i="76"/>
  <c r="F66" i="76"/>
  <c r="P66" i="76"/>
  <c r="S66" i="76"/>
  <c r="M66" i="76"/>
  <c r="O66" i="76"/>
  <c r="L66" i="76"/>
  <c r="G66" i="76"/>
  <c r="I66" i="76"/>
  <c r="T66" i="76"/>
  <c r="K66" i="76"/>
  <c r="J66" i="76"/>
  <c r="Q66" i="76"/>
  <c r="N66" i="76"/>
  <c r="T66" i="64"/>
  <c r="S66" i="64"/>
  <c r="Q66" i="64"/>
  <c r="P66" i="64"/>
  <c r="N66" i="64"/>
  <c r="M66" i="64"/>
  <c r="R66" i="64"/>
  <c r="K66" i="64"/>
  <c r="F66" i="64"/>
  <c r="H66" i="64"/>
  <c r="O66" i="64"/>
  <c r="G66" i="64"/>
  <c r="L66" i="64"/>
  <c r="I66" i="64"/>
  <c r="J66" i="64"/>
  <c r="R70" i="56"/>
  <c r="M70" i="56"/>
  <c r="H70" i="56"/>
  <c r="T70" i="56"/>
  <c r="J70" i="56"/>
  <c r="K70" i="56"/>
  <c r="Q70" i="56"/>
  <c r="G70" i="56"/>
  <c r="L70" i="56"/>
  <c r="P70" i="56"/>
  <c r="I70" i="56"/>
  <c r="F70" i="56"/>
  <c r="S70" i="56"/>
  <c r="O70" i="56"/>
  <c r="N70" i="56"/>
  <c r="R70" i="67"/>
  <c r="S70" i="67"/>
  <c r="K70" i="67"/>
  <c r="P70" i="67"/>
  <c r="Q70" i="67"/>
  <c r="F70" i="67"/>
  <c r="H70" i="67"/>
  <c r="T70" i="67"/>
  <c r="L70" i="67"/>
  <c r="G70" i="67"/>
  <c r="N70" i="67"/>
  <c r="O70" i="67"/>
  <c r="I70" i="67"/>
  <c r="J70" i="67"/>
  <c r="M70" i="67"/>
  <c r="L98" i="63"/>
  <c r="M98" i="63"/>
  <c r="I98" i="63"/>
  <c r="K98" i="63"/>
  <c r="J98" i="63"/>
  <c r="N98" i="63"/>
  <c r="O98" i="63"/>
  <c r="Q98" i="63"/>
  <c r="H98" i="63"/>
  <c r="T98" i="63"/>
  <c r="P98" i="63"/>
  <c r="R98" i="63"/>
  <c r="F98" i="63"/>
  <c r="G98" i="63"/>
  <c r="S98" i="63"/>
  <c r="G70" i="87"/>
  <c r="J70" i="87"/>
  <c r="L70" i="87"/>
  <c r="F70" i="87"/>
  <c r="T70" i="87"/>
  <c r="P70" i="87"/>
  <c r="M70" i="87"/>
  <c r="S70" i="87"/>
  <c r="N70" i="87"/>
  <c r="K70" i="87"/>
  <c r="Q70" i="87"/>
  <c r="I70" i="87"/>
  <c r="H70" i="87"/>
  <c r="R70" i="87"/>
  <c r="O70" i="87"/>
  <c r="M66" i="60"/>
  <c r="K66" i="60"/>
  <c r="J66" i="60"/>
  <c r="N66" i="60"/>
  <c r="Q66" i="60"/>
  <c r="F66" i="60"/>
  <c r="P66" i="60"/>
  <c r="I66" i="60"/>
  <c r="O66" i="60"/>
  <c r="G66" i="60"/>
  <c r="L66" i="60"/>
  <c r="S66" i="60"/>
  <c r="T66" i="60"/>
  <c r="R66" i="60"/>
  <c r="H66" i="60"/>
  <c r="M66" i="77"/>
  <c r="L66" i="77"/>
  <c r="K66" i="77"/>
  <c r="I66" i="77"/>
  <c r="T66" i="77"/>
  <c r="R66" i="77"/>
  <c r="J66" i="77"/>
  <c r="F66" i="77"/>
  <c r="H66" i="77"/>
  <c r="O66" i="77"/>
  <c r="N66" i="77"/>
  <c r="Q66" i="77"/>
  <c r="P66" i="77"/>
  <c r="S66" i="77"/>
  <c r="G66" i="77"/>
  <c r="K94" i="55"/>
  <c r="P94" i="55"/>
  <c r="L94" i="55"/>
  <c r="T94" i="55"/>
  <c r="Q94" i="55"/>
  <c r="R94" i="55"/>
  <c r="F94" i="55"/>
  <c r="G94" i="55"/>
  <c r="H94" i="55"/>
  <c r="I94" i="55"/>
  <c r="S94" i="55"/>
  <c r="M94" i="55"/>
  <c r="N94" i="55"/>
  <c r="J94" i="55"/>
  <c r="O94" i="55"/>
  <c r="J57" i="79"/>
  <c r="I57" i="79"/>
  <c r="T57" i="79"/>
  <c r="R57" i="79"/>
  <c r="H57" i="79"/>
  <c r="F57" i="79"/>
  <c r="G57" i="79"/>
  <c r="P57" i="79"/>
  <c r="O57" i="79"/>
  <c r="L57" i="79"/>
  <c r="K57" i="79"/>
  <c r="D44" i="79"/>
  <c r="Q57" i="79"/>
  <c r="N57" i="79"/>
  <c r="M57" i="79"/>
  <c r="S57" i="79"/>
  <c r="J57" i="70"/>
  <c r="S57" i="70"/>
  <c r="I57" i="70"/>
  <c r="G57" i="70"/>
  <c r="H57" i="70"/>
  <c r="R57" i="70"/>
  <c r="T57" i="70"/>
  <c r="F57" i="70"/>
  <c r="P57" i="70"/>
  <c r="M57" i="70"/>
  <c r="L57" i="70"/>
  <c r="K57" i="70"/>
  <c r="Q57" i="70"/>
  <c r="O57" i="70"/>
  <c r="N57" i="70"/>
  <c r="D44" i="70"/>
  <c r="L94" i="83"/>
  <c r="L39" i="83" s="1"/>
  <c r="L40" i="83" s="1"/>
  <c r="K94" i="83"/>
  <c r="K39" i="83" s="1"/>
  <c r="K40" i="83" s="1"/>
  <c r="M94" i="83"/>
  <c r="M39" i="83" s="1"/>
  <c r="M40" i="83" s="1"/>
  <c r="P94" i="83"/>
  <c r="P39" i="83" s="1"/>
  <c r="P40" i="83" s="1"/>
  <c r="R94" i="83"/>
  <c r="R39" i="83" s="1"/>
  <c r="R40" i="83" s="1"/>
  <c r="N94" i="83"/>
  <c r="N39" i="83" s="1"/>
  <c r="N40" i="83" s="1"/>
  <c r="H94" i="83"/>
  <c r="H39" i="83" s="1"/>
  <c r="H40" i="83" s="1"/>
  <c r="T94" i="83"/>
  <c r="T39" i="83" s="1"/>
  <c r="T40" i="83" s="1"/>
  <c r="F94" i="83"/>
  <c r="I94" i="83"/>
  <c r="I39" i="83" s="1"/>
  <c r="I40" i="83" s="1"/>
  <c r="J94" i="83"/>
  <c r="J39" i="83" s="1"/>
  <c r="J40" i="83" s="1"/>
  <c r="G94" i="83"/>
  <c r="G39" i="83" s="1"/>
  <c r="G40" i="83" s="1"/>
  <c r="O94" i="83"/>
  <c r="O39" i="83" s="1"/>
  <c r="O40" i="83" s="1"/>
  <c r="S94" i="83"/>
  <c r="S39" i="83" s="1"/>
  <c r="S40" i="83" s="1"/>
  <c r="Q94" i="83"/>
  <c r="Q39" i="83" s="1"/>
  <c r="Q40" i="83" s="1"/>
  <c r="M70" i="59"/>
  <c r="T70" i="59"/>
  <c r="L70" i="59"/>
  <c r="H70" i="59"/>
  <c r="J70" i="59"/>
  <c r="R70" i="59"/>
  <c r="S70" i="59"/>
  <c r="I70" i="59"/>
  <c r="G70" i="59"/>
  <c r="F70" i="59"/>
  <c r="Q70" i="59"/>
  <c r="K70" i="59"/>
  <c r="P70" i="59"/>
  <c r="N70" i="59"/>
  <c r="O70" i="59"/>
  <c r="T57" i="77"/>
  <c r="H57" i="77"/>
  <c r="S57" i="77"/>
  <c r="G57" i="77"/>
  <c r="Q57" i="77"/>
  <c r="N57" i="77"/>
  <c r="P57" i="77"/>
  <c r="M57" i="77"/>
  <c r="O57" i="77"/>
  <c r="J57" i="77"/>
  <c r="I57" i="77"/>
  <c r="D44" i="77"/>
  <c r="L57" i="77"/>
  <c r="K57" i="77"/>
  <c r="R57" i="77"/>
  <c r="F57" i="77"/>
  <c r="S70" i="61"/>
  <c r="O70" i="61"/>
  <c r="Q70" i="61"/>
  <c r="L70" i="61"/>
  <c r="I70" i="61"/>
  <c r="T70" i="61"/>
  <c r="M70" i="61"/>
  <c r="J70" i="61"/>
  <c r="G70" i="61"/>
  <c r="H70" i="61"/>
  <c r="K70" i="61"/>
  <c r="F70" i="61"/>
  <c r="P70" i="61"/>
  <c r="N70" i="61"/>
  <c r="R70" i="61"/>
  <c r="G70" i="88"/>
  <c r="P70" i="88"/>
  <c r="J70" i="88"/>
  <c r="L70" i="88"/>
  <c r="R70" i="88"/>
  <c r="S70" i="88"/>
  <c r="F70" i="88"/>
  <c r="I70" i="88"/>
  <c r="Q70" i="88"/>
  <c r="H70" i="88"/>
  <c r="O70" i="88"/>
  <c r="N70" i="88"/>
  <c r="M70" i="88"/>
  <c r="T70" i="88"/>
  <c r="K70" i="88"/>
  <c r="F66" i="56"/>
  <c r="O66" i="56"/>
  <c r="N66" i="56"/>
  <c r="J66" i="56"/>
  <c r="K66" i="56"/>
  <c r="H66" i="56"/>
  <c r="I66" i="56"/>
  <c r="M66" i="56"/>
  <c r="T66" i="56"/>
  <c r="L66" i="56"/>
  <c r="Q66" i="56"/>
  <c r="R66" i="56"/>
  <c r="P66" i="56"/>
  <c r="S66" i="56"/>
  <c r="G66" i="56"/>
  <c r="T66" i="67"/>
  <c r="M66" i="67"/>
  <c r="H66" i="67"/>
  <c r="S66" i="67"/>
  <c r="G66" i="67"/>
  <c r="R66" i="67"/>
  <c r="L66" i="67"/>
  <c r="J66" i="67"/>
  <c r="I66" i="67"/>
  <c r="N66" i="67"/>
  <c r="F66" i="67"/>
  <c r="Q66" i="67"/>
  <c r="P66" i="67"/>
  <c r="O66" i="67"/>
  <c r="K66" i="67"/>
  <c r="Q94" i="79"/>
  <c r="Q39" i="79" s="1"/>
  <c r="Q40" i="79" s="1"/>
  <c r="H94" i="79"/>
  <c r="H39" i="79" s="1"/>
  <c r="H40" i="79" s="1"/>
  <c r="R94" i="79"/>
  <c r="R39" i="79" s="1"/>
  <c r="R40" i="79" s="1"/>
  <c r="G94" i="79"/>
  <c r="G39" i="79" s="1"/>
  <c r="G40" i="79" s="1"/>
  <c r="J94" i="79"/>
  <c r="J39" i="79" s="1"/>
  <c r="J40" i="79" s="1"/>
  <c r="S94" i="79"/>
  <c r="S39" i="79" s="1"/>
  <c r="S40" i="79" s="1"/>
  <c r="N94" i="79"/>
  <c r="N39" i="79" s="1"/>
  <c r="N40" i="79" s="1"/>
  <c r="F94" i="79"/>
  <c r="T94" i="79"/>
  <c r="T39" i="79" s="1"/>
  <c r="T40" i="79" s="1"/>
  <c r="I94" i="79"/>
  <c r="I39" i="79" s="1"/>
  <c r="I40" i="79" s="1"/>
  <c r="K94" i="79"/>
  <c r="K39" i="79" s="1"/>
  <c r="K40" i="79" s="1"/>
  <c r="O94" i="79"/>
  <c r="O39" i="79" s="1"/>
  <c r="O40" i="79" s="1"/>
  <c r="L94" i="79"/>
  <c r="L39" i="79" s="1"/>
  <c r="L40" i="79" s="1"/>
  <c r="P94" i="79"/>
  <c r="P39" i="79" s="1"/>
  <c r="P40" i="79" s="1"/>
  <c r="M94" i="79"/>
  <c r="M39" i="79" s="1"/>
  <c r="M40" i="79" s="1"/>
  <c r="P57" i="59"/>
  <c r="N57" i="59"/>
  <c r="M57" i="59"/>
  <c r="T57" i="59"/>
  <c r="L57" i="59"/>
  <c r="H57" i="59"/>
  <c r="J57" i="59"/>
  <c r="I57" i="59"/>
  <c r="S57" i="59"/>
  <c r="G57" i="59"/>
  <c r="R57" i="59"/>
  <c r="Q57" i="59"/>
  <c r="O57" i="59"/>
  <c r="F57" i="59"/>
  <c r="K57" i="59"/>
  <c r="D44" i="59"/>
  <c r="P57" i="72"/>
  <c r="T57" i="72"/>
  <c r="S57" i="72"/>
  <c r="O57" i="72"/>
  <c r="D44" i="72"/>
  <c r="N57" i="72"/>
  <c r="K57" i="72"/>
  <c r="H57" i="72"/>
  <c r="J57" i="72"/>
  <c r="G57" i="72"/>
  <c r="F57" i="72"/>
  <c r="Q57" i="72"/>
  <c r="L57" i="72"/>
  <c r="I57" i="72"/>
  <c r="R57" i="72"/>
  <c r="M57" i="72"/>
  <c r="L57" i="58"/>
  <c r="S57" i="58"/>
  <c r="I57" i="58"/>
  <c r="O57" i="58"/>
  <c r="G57" i="58"/>
  <c r="F57" i="58"/>
  <c r="R57" i="58"/>
  <c r="K57" i="58"/>
  <c r="T57" i="58"/>
  <c r="N57" i="58"/>
  <c r="M57" i="58"/>
  <c r="Q57" i="58"/>
  <c r="J57" i="58"/>
  <c r="H57" i="58"/>
  <c r="D44" i="58"/>
  <c r="P57" i="58"/>
  <c r="K85" i="71"/>
  <c r="K39" i="71" s="1"/>
  <c r="K40" i="71" s="1"/>
  <c r="M85" i="71"/>
  <c r="M39" i="71" s="1"/>
  <c r="M40" i="71" s="1"/>
  <c r="Q85" i="71"/>
  <c r="Q39" i="71" s="1"/>
  <c r="Q40" i="71" s="1"/>
  <c r="N85" i="71"/>
  <c r="N39" i="71" s="1"/>
  <c r="N40" i="71" s="1"/>
  <c r="F85" i="71"/>
  <c r="P85" i="71"/>
  <c r="P39" i="71" s="1"/>
  <c r="P40" i="71" s="1"/>
  <c r="R85" i="71"/>
  <c r="R39" i="71" s="1"/>
  <c r="R40" i="71" s="1"/>
  <c r="O85" i="71"/>
  <c r="O39" i="71" s="1"/>
  <c r="O40" i="71" s="1"/>
  <c r="I85" i="71"/>
  <c r="I39" i="71" s="1"/>
  <c r="I40" i="71" s="1"/>
  <c r="L85" i="71"/>
  <c r="L39" i="71" s="1"/>
  <c r="L40" i="71" s="1"/>
  <c r="G85" i="71"/>
  <c r="G39" i="71" s="1"/>
  <c r="G40" i="71" s="1"/>
  <c r="S85" i="71"/>
  <c r="S39" i="71" s="1"/>
  <c r="S40" i="71" s="1"/>
  <c r="H85" i="71"/>
  <c r="H39" i="71" s="1"/>
  <c r="H40" i="71" s="1"/>
  <c r="T85" i="71"/>
  <c r="T39" i="71" s="1"/>
  <c r="T40" i="71" s="1"/>
  <c r="J85" i="71"/>
  <c r="J39" i="71" s="1"/>
  <c r="J40" i="71" s="1"/>
  <c r="T57" i="83"/>
  <c r="S57" i="83"/>
  <c r="J57" i="83"/>
  <c r="P57" i="83"/>
  <c r="R57" i="83"/>
  <c r="I57" i="83"/>
  <c r="F57" i="83"/>
  <c r="H57" i="83"/>
  <c r="Q57" i="83"/>
  <c r="G57" i="83"/>
  <c r="K57" i="83"/>
  <c r="L57" i="83"/>
  <c r="O57" i="83"/>
  <c r="N57" i="83"/>
  <c r="M57" i="83"/>
  <c r="D44" i="83"/>
  <c r="J57" i="78"/>
  <c r="T57" i="78"/>
  <c r="H57" i="78"/>
  <c r="S57" i="78"/>
  <c r="G57" i="78"/>
  <c r="F57" i="78"/>
  <c r="O57" i="78"/>
  <c r="L57" i="78"/>
  <c r="P57" i="78"/>
  <c r="K57" i="78"/>
  <c r="Q57" i="78"/>
  <c r="D44" i="78"/>
  <c r="M57" i="78"/>
  <c r="R57" i="78"/>
  <c r="N57" i="78"/>
  <c r="I57" i="78"/>
  <c r="Q70" i="68"/>
  <c r="O70" i="68"/>
  <c r="M70" i="68"/>
  <c r="N70" i="68"/>
  <c r="K70" i="68"/>
  <c r="L70" i="68"/>
  <c r="J70" i="68"/>
  <c r="P70" i="68"/>
  <c r="I70" i="68"/>
  <c r="H70" i="68"/>
  <c r="T70" i="68"/>
  <c r="S70" i="68"/>
  <c r="G70" i="68"/>
  <c r="R70" i="68"/>
  <c r="F70" i="68"/>
  <c r="S57" i="56"/>
  <c r="H57" i="56"/>
  <c r="Q57" i="56"/>
  <c r="R57" i="56"/>
  <c r="P57" i="56"/>
  <c r="K57" i="56"/>
  <c r="N57" i="56"/>
  <c r="L57" i="56"/>
  <c r="F57" i="56"/>
  <c r="M57" i="56"/>
  <c r="O57" i="56"/>
  <c r="G57" i="56"/>
  <c r="T57" i="56"/>
  <c r="D44" i="56"/>
  <c r="J57" i="56"/>
  <c r="I57" i="56"/>
  <c r="G70" i="77"/>
  <c r="Q70" i="77"/>
  <c r="R70" i="77"/>
  <c r="N70" i="77"/>
  <c r="P70" i="77"/>
  <c r="M70" i="77"/>
  <c r="O70" i="77"/>
  <c r="K70" i="77"/>
  <c r="J70" i="77"/>
  <c r="H70" i="77"/>
  <c r="S70" i="77"/>
  <c r="L70" i="77"/>
  <c r="I70" i="77"/>
  <c r="T70" i="77"/>
  <c r="F70" i="77"/>
  <c r="P57" i="69"/>
  <c r="M57" i="69"/>
  <c r="O57" i="69"/>
  <c r="J57" i="69"/>
  <c r="I57" i="69"/>
  <c r="N57" i="69"/>
  <c r="R57" i="69"/>
  <c r="K57" i="69"/>
  <c r="G57" i="69"/>
  <c r="T57" i="69"/>
  <c r="H57" i="69"/>
  <c r="S57" i="69"/>
  <c r="F57" i="69"/>
  <c r="L57" i="69"/>
  <c r="Q57" i="69"/>
  <c r="D44" i="69"/>
  <c r="J70" i="64"/>
  <c r="N70" i="64"/>
  <c r="P70" i="64"/>
  <c r="O70" i="64"/>
  <c r="L70" i="64"/>
  <c r="H70" i="64"/>
  <c r="K70" i="64"/>
  <c r="F70" i="64"/>
  <c r="T70" i="64"/>
  <c r="Q70" i="64"/>
  <c r="I70" i="64"/>
  <c r="R70" i="64"/>
  <c r="M70" i="64"/>
  <c r="G70" i="64"/>
  <c r="S70" i="64"/>
  <c r="J70" i="66"/>
  <c r="I70" i="66"/>
  <c r="S70" i="66"/>
  <c r="G70" i="66"/>
  <c r="N70" i="66"/>
  <c r="O70" i="66"/>
  <c r="T70" i="66"/>
  <c r="P70" i="66"/>
  <c r="M70" i="66"/>
  <c r="K70" i="66"/>
  <c r="H70" i="66"/>
  <c r="Q70" i="66"/>
  <c r="L70" i="66"/>
  <c r="F70" i="66"/>
  <c r="R70" i="66"/>
  <c r="M66" i="73"/>
  <c r="I66" i="73"/>
  <c r="L66" i="73"/>
  <c r="T66" i="73"/>
  <c r="J66" i="73"/>
  <c r="H66" i="73"/>
  <c r="K66" i="73"/>
  <c r="S66" i="73"/>
  <c r="R66" i="73"/>
  <c r="F66" i="73"/>
  <c r="O66" i="73"/>
  <c r="N66" i="73"/>
  <c r="G66" i="73"/>
  <c r="Q66" i="73"/>
  <c r="P66" i="73"/>
  <c r="M66" i="78"/>
  <c r="L66" i="78"/>
  <c r="K66" i="78"/>
  <c r="J66" i="78"/>
  <c r="T66" i="78"/>
  <c r="R66" i="78"/>
  <c r="H66" i="78"/>
  <c r="O66" i="78"/>
  <c r="F66" i="78"/>
  <c r="N66" i="78"/>
  <c r="I66" i="78"/>
  <c r="G66" i="78"/>
  <c r="Q66" i="78"/>
  <c r="P66" i="78"/>
  <c r="S66" i="78"/>
  <c r="S66" i="83"/>
  <c r="T66" i="83"/>
  <c r="F66" i="83"/>
  <c r="L66" i="83"/>
  <c r="P66" i="83"/>
  <c r="H66" i="83"/>
  <c r="N66" i="83"/>
  <c r="R66" i="83"/>
  <c r="Q66" i="83"/>
  <c r="O66" i="83"/>
  <c r="J66" i="83"/>
  <c r="K66" i="83"/>
  <c r="G66" i="83"/>
  <c r="M66" i="83"/>
  <c r="I66" i="83"/>
  <c r="K57" i="66"/>
  <c r="P57" i="66"/>
  <c r="I57" i="66"/>
  <c r="Q57" i="66"/>
  <c r="T57" i="66"/>
  <c r="O57" i="66"/>
  <c r="S57" i="66"/>
  <c r="J57" i="66"/>
  <c r="L57" i="66"/>
  <c r="N57" i="66"/>
  <c r="H57" i="66"/>
  <c r="M57" i="66"/>
  <c r="G57" i="66"/>
  <c r="R57" i="66"/>
  <c r="F57" i="66"/>
  <c r="D44" i="66"/>
  <c r="G57" i="64"/>
  <c r="R57" i="64"/>
  <c r="D44" i="64"/>
  <c r="O57" i="64"/>
  <c r="T57" i="64"/>
  <c r="N57" i="64"/>
  <c r="K57" i="64"/>
  <c r="J57" i="64"/>
  <c r="H57" i="64"/>
  <c r="Q57" i="64"/>
  <c r="P57" i="64"/>
  <c r="M57" i="64"/>
  <c r="L57" i="64"/>
  <c r="S57" i="64"/>
  <c r="I57" i="64"/>
  <c r="F57" i="64"/>
  <c r="L85" i="65"/>
  <c r="L39" i="65" s="1"/>
  <c r="L40" i="65" s="1"/>
  <c r="M85" i="65"/>
  <c r="M39" i="65" s="1"/>
  <c r="M40" i="65" s="1"/>
  <c r="T85" i="65"/>
  <c r="T39" i="65" s="1"/>
  <c r="T40" i="65" s="1"/>
  <c r="I85" i="65"/>
  <c r="I39" i="65" s="1"/>
  <c r="I40" i="65" s="1"/>
  <c r="J85" i="65"/>
  <c r="J39" i="65" s="1"/>
  <c r="J40" i="65" s="1"/>
  <c r="P85" i="65"/>
  <c r="P39" i="65" s="1"/>
  <c r="P40" i="65" s="1"/>
  <c r="K85" i="65"/>
  <c r="K39" i="65" s="1"/>
  <c r="K40" i="65" s="1"/>
  <c r="Q85" i="65"/>
  <c r="Q39" i="65" s="1"/>
  <c r="Q40" i="65" s="1"/>
  <c r="N85" i="65"/>
  <c r="N39" i="65" s="1"/>
  <c r="N40" i="65" s="1"/>
  <c r="F85" i="65"/>
  <c r="O85" i="65"/>
  <c r="O39" i="65" s="1"/>
  <c r="O40" i="65" s="1"/>
  <c r="R85" i="65"/>
  <c r="R39" i="65" s="1"/>
  <c r="R40" i="65" s="1"/>
  <c r="H85" i="65"/>
  <c r="H39" i="65" s="1"/>
  <c r="H40" i="65" s="1"/>
  <c r="G85" i="65"/>
  <c r="G39" i="65" s="1"/>
  <c r="G40" i="65" s="1"/>
  <c r="S85" i="65"/>
  <c r="S39" i="65" s="1"/>
  <c r="S40" i="65" s="1"/>
  <c r="L70" i="75"/>
  <c r="K70" i="75"/>
  <c r="G70" i="75"/>
  <c r="T70" i="75"/>
  <c r="I70" i="75"/>
  <c r="Q70" i="75"/>
  <c r="S70" i="75"/>
  <c r="N70" i="75"/>
  <c r="J70" i="75"/>
  <c r="R70" i="75"/>
  <c r="M70" i="75"/>
  <c r="P70" i="75"/>
  <c r="O70" i="75"/>
  <c r="H70" i="75"/>
  <c r="F70" i="75"/>
  <c r="K98" i="73"/>
  <c r="K39" i="73" s="1"/>
  <c r="R98" i="73"/>
  <c r="R39" i="73" s="1"/>
  <c r="L98" i="73"/>
  <c r="L39" i="73" s="1"/>
  <c r="P98" i="73"/>
  <c r="P39" i="73" s="1"/>
  <c r="H98" i="73"/>
  <c r="H39" i="73" s="1"/>
  <c r="S98" i="73"/>
  <c r="S39" i="73" s="1"/>
  <c r="T98" i="73"/>
  <c r="T39" i="73" s="1"/>
  <c r="I98" i="73"/>
  <c r="I39" i="73" s="1"/>
  <c r="F98" i="73"/>
  <c r="N98" i="73"/>
  <c r="N39" i="73" s="1"/>
  <c r="Q98" i="73"/>
  <c r="Q39" i="73" s="1"/>
  <c r="J98" i="73"/>
  <c r="J39" i="73" s="1"/>
  <c r="M98" i="73"/>
  <c r="M39" i="73" s="1"/>
  <c r="G98" i="73"/>
  <c r="G39" i="73" s="1"/>
  <c r="O98" i="73"/>
  <c r="O39" i="73" s="1"/>
  <c r="S66" i="79"/>
  <c r="G66" i="79"/>
  <c r="R66" i="79"/>
  <c r="F66" i="79"/>
  <c r="Q66" i="79"/>
  <c r="O66" i="79"/>
  <c r="N66" i="79"/>
  <c r="T66" i="79"/>
  <c r="K66" i="79"/>
  <c r="H66" i="79"/>
  <c r="L66" i="79"/>
  <c r="J66" i="79"/>
  <c r="I66" i="79"/>
  <c r="P66" i="79"/>
  <c r="M66" i="79"/>
  <c r="J57" i="71"/>
  <c r="I57" i="71"/>
  <c r="R57" i="71"/>
  <c r="T57" i="71"/>
  <c r="N57" i="71"/>
  <c r="Q57" i="71"/>
  <c r="H57" i="71"/>
  <c r="M57" i="71"/>
  <c r="P57" i="71"/>
  <c r="S57" i="71"/>
  <c r="G57" i="71"/>
  <c r="F57" i="71"/>
  <c r="O57" i="71"/>
  <c r="K57" i="71"/>
  <c r="L57" i="71"/>
  <c r="D44" i="71"/>
  <c r="T70" i="58"/>
  <c r="L70" i="58"/>
  <c r="F70" i="58"/>
  <c r="G70" i="58"/>
  <c r="K70" i="58"/>
  <c r="O70" i="58"/>
  <c r="P70" i="58"/>
  <c r="I70" i="58"/>
  <c r="Q70" i="58"/>
  <c r="S70" i="58"/>
  <c r="J70" i="58"/>
  <c r="N70" i="58"/>
  <c r="R70" i="58"/>
  <c r="M70" i="58"/>
  <c r="H70" i="58"/>
  <c r="J70" i="54"/>
  <c r="T70" i="54"/>
  <c r="I70" i="54"/>
  <c r="N70" i="54"/>
  <c r="S70" i="54"/>
  <c r="G70" i="54"/>
  <c r="R70" i="54"/>
  <c r="K70" i="54"/>
  <c r="O70" i="54"/>
  <c r="F70" i="54"/>
  <c r="M70" i="54"/>
  <c r="L70" i="54"/>
  <c r="P70" i="54"/>
  <c r="H70" i="54"/>
  <c r="Q70" i="54"/>
  <c r="I66" i="69"/>
  <c r="T66" i="69"/>
  <c r="H66" i="69"/>
  <c r="S66" i="69"/>
  <c r="G66" i="69"/>
  <c r="N66" i="69"/>
  <c r="Q66" i="69"/>
  <c r="M66" i="69"/>
  <c r="O66" i="69"/>
  <c r="K66" i="69"/>
  <c r="J66" i="69"/>
  <c r="P66" i="69"/>
  <c r="L66" i="69"/>
  <c r="F66" i="69"/>
  <c r="R66" i="69"/>
  <c r="R66" i="75"/>
  <c r="F66" i="75"/>
  <c r="Q66" i="75"/>
  <c r="P66" i="75"/>
  <c r="O66" i="75"/>
  <c r="M66" i="75"/>
  <c r="K66" i="75"/>
  <c r="S66" i="75"/>
  <c r="J66" i="75"/>
  <c r="G66" i="75"/>
  <c r="T66" i="75"/>
  <c r="H66" i="75"/>
  <c r="N66" i="75"/>
  <c r="I66" i="75"/>
  <c r="L66" i="75"/>
  <c r="P66" i="84"/>
  <c r="R66" i="84"/>
  <c r="O66" i="84"/>
  <c r="F66" i="84"/>
  <c r="N66" i="84"/>
  <c r="I66" i="84"/>
  <c r="G66" i="84"/>
  <c r="M66" i="84"/>
  <c r="L66" i="84"/>
  <c r="K66" i="84"/>
  <c r="J66" i="84"/>
  <c r="Q66" i="84"/>
  <c r="T66" i="84"/>
  <c r="H66" i="84"/>
  <c r="S66" i="84"/>
  <c r="R57" i="65"/>
  <c r="I57" i="65"/>
  <c r="T57" i="65"/>
  <c r="H57" i="65"/>
  <c r="S57" i="65"/>
  <c r="F57" i="65"/>
  <c r="L57" i="65"/>
  <c r="G57" i="65"/>
  <c r="J57" i="65"/>
  <c r="N57" i="65"/>
  <c r="P57" i="65"/>
  <c r="O57" i="65"/>
  <c r="M57" i="65"/>
  <c r="K57" i="65"/>
  <c r="Q57" i="65"/>
  <c r="D44" i="65"/>
  <c r="R57" i="62"/>
  <c r="P57" i="62"/>
  <c r="H57" i="62"/>
  <c r="Q57" i="62"/>
  <c r="O57" i="62"/>
  <c r="N57" i="62"/>
  <c r="D44" i="62"/>
  <c r="L57" i="62"/>
  <c r="J57" i="62"/>
  <c r="I57" i="62"/>
  <c r="F57" i="62"/>
  <c r="G57" i="62"/>
  <c r="S57" i="62"/>
  <c r="T57" i="62"/>
  <c r="K57" i="62"/>
  <c r="M57" i="62"/>
  <c r="G85" i="64"/>
  <c r="S85" i="64"/>
  <c r="T85" i="64"/>
  <c r="H85" i="64"/>
  <c r="I85" i="64"/>
  <c r="J85" i="64"/>
  <c r="K85" i="64"/>
  <c r="P85" i="64"/>
  <c r="L85" i="64"/>
  <c r="Q85" i="64"/>
  <c r="O85" i="64"/>
  <c r="R85" i="64"/>
  <c r="M85" i="64"/>
  <c r="F85" i="64"/>
  <c r="N85" i="64"/>
  <c r="M57" i="87"/>
  <c r="I57" i="87"/>
  <c r="F57" i="87"/>
  <c r="P57" i="87"/>
  <c r="N57" i="87"/>
  <c r="T57" i="87"/>
  <c r="L57" i="87"/>
  <c r="K57" i="87"/>
  <c r="O57" i="87"/>
  <c r="R57" i="87"/>
  <c r="Q57" i="87"/>
  <c r="S57" i="87"/>
  <c r="H57" i="87"/>
  <c r="G57" i="87"/>
  <c r="J57" i="87"/>
  <c r="D44" i="87"/>
  <c r="M70" i="84"/>
  <c r="N70" i="84"/>
  <c r="F70" i="84"/>
  <c r="G70" i="84"/>
  <c r="Q70" i="84"/>
  <c r="R70" i="84"/>
  <c r="L70" i="84"/>
  <c r="O70" i="84"/>
  <c r="T70" i="84"/>
  <c r="K70" i="84"/>
  <c r="J70" i="84"/>
  <c r="H70" i="84"/>
  <c r="P70" i="84"/>
  <c r="I70" i="84"/>
  <c r="S70" i="84"/>
  <c r="S70" i="79"/>
  <c r="L70" i="79"/>
  <c r="K70" i="79"/>
  <c r="J70" i="79"/>
  <c r="I70" i="79"/>
  <c r="F70" i="79"/>
  <c r="T70" i="79"/>
  <c r="R70" i="79"/>
  <c r="H70" i="79"/>
  <c r="Q70" i="79"/>
  <c r="G70" i="79"/>
  <c r="P70" i="79"/>
  <c r="O70" i="79"/>
  <c r="N70" i="79"/>
  <c r="M70" i="79"/>
  <c r="F70" i="70"/>
  <c r="Q70" i="70"/>
  <c r="P70" i="70"/>
  <c r="M70" i="70"/>
  <c r="O70" i="70"/>
  <c r="L70" i="70"/>
  <c r="K70" i="70"/>
  <c r="G70" i="70"/>
  <c r="H70" i="70"/>
  <c r="R70" i="70"/>
  <c r="T70" i="70"/>
  <c r="J70" i="70"/>
  <c r="I70" i="70"/>
  <c r="S70" i="70"/>
  <c r="N70" i="70"/>
  <c r="N70" i="57"/>
  <c r="M70" i="57"/>
  <c r="G70" i="57"/>
  <c r="L70" i="57"/>
  <c r="F70" i="57"/>
  <c r="K70" i="57"/>
  <c r="J70" i="57"/>
  <c r="I70" i="57"/>
  <c r="Q70" i="57"/>
  <c r="T70" i="57"/>
  <c r="H70" i="57"/>
  <c r="P70" i="57"/>
  <c r="R70" i="57"/>
  <c r="O70" i="57"/>
  <c r="S70" i="57"/>
  <c r="G98" i="64"/>
  <c r="Q98" i="64"/>
  <c r="S98" i="64"/>
  <c r="H98" i="64"/>
  <c r="T98" i="64"/>
  <c r="I98" i="64"/>
  <c r="M98" i="64"/>
  <c r="N98" i="64"/>
  <c r="J98" i="64"/>
  <c r="K98" i="64"/>
  <c r="P98" i="64"/>
  <c r="F98" i="64"/>
  <c r="L98" i="64"/>
  <c r="R98" i="64"/>
  <c r="O98" i="64"/>
  <c r="P66" i="58"/>
  <c r="N66" i="58"/>
  <c r="J66" i="58"/>
  <c r="L66" i="58"/>
  <c r="K66" i="58"/>
  <c r="T66" i="58"/>
  <c r="I66" i="58"/>
  <c r="H66" i="58"/>
  <c r="G66" i="58"/>
  <c r="O66" i="58"/>
  <c r="R66" i="58"/>
  <c r="M66" i="58"/>
  <c r="F66" i="58"/>
  <c r="Q66" i="58"/>
  <c r="S66" i="58"/>
  <c r="Q66" i="81"/>
  <c r="K66" i="81"/>
  <c r="I66" i="81"/>
  <c r="H66" i="81"/>
  <c r="F66" i="81"/>
  <c r="P66" i="81"/>
  <c r="O66" i="81"/>
  <c r="N66" i="81"/>
  <c r="L66" i="81"/>
  <c r="T66" i="81"/>
  <c r="M66" i="81"/>
  <c r="S66" i="81"/>
  <c r="G66" i="81"/>
  <c r="R66" i="81"/>
  <c r="J66" i="81"/>
  <c r="N57" i="63"/>
  <c r="I57" i="63"/>
  <c r="M57" i="63"/>
  <c r="R57" i="63"/>
  <c r="K57" i="63"/>
  <c r="D44" i="63"/>
  <c r="O57" i="63"/>
  <c r="P57" i="63"/>
  <c r="S57" i="63"/>
  <c r="Q57" i="63"/>
  <c r="L57" i="63"/>
  <c r="H57" i="63"/>
  <c r="G57" i="63"/>
  <c r="F57" i="63"/>
  <c r="T57" i="63"/>
  <c r="J57" i="63"/>
  <c r="R70" i="65"/>
  <c r="F70" i="65"/>
  <c r="J70" i="65"/>
  <c r="N70" i="65"/>
  <c r="L70" i="65"/>
  <c r="K70" i="65"/>
  <c r="G70" i="65"/>
  <c r="O70" i="65"/>
  <c r="I70" i="65"/>
  <c r="T70" i="65"/>
  <c r="H70" i="65"/>
  <c r="S70" i="65"/>
  <c r="Q70" i="65"/>
  <c r="P70" i="65"/>
  <c r="M70" i="65"/>
  <c r="G70" i="63"/>
  <c r="Q70" i="63"/>
  <c r="O70" i="63"/>
  <c r="L70" i="63"/>
  <c r="P70" i="63"/>
  <c r="K70" i="63"/>
  <c r="J70" i="63"/>
  <c r="H70" i="63"/>
  <c r="T70" i="63"/>
  <c r="I70" i="63"/>
  <c r="S70" i="63"/>
  <c r="F70" i="63"/>
  <c r="R70" i="63"/>
  <c r="N70" i="63"/>
  <c r="M70" i="63"/>
  <c r="M66" i="59"/>
  <c r="H66" i="59"/>
  <c r="F66" i="59"/>
  <c r="Q66" i="59"/>
  <c r="P66" i="59"/>
  <c r="R66" i="59"/>
  <c r="L66" i="59"/>
  <c r="I66" i="59"/>
  <c r="K66" i="59"/>
  <c r="N66" i="59"/>
  <c r="J66" i="59"/>
  <c r="T66" i="59"/>
  <c r="S66" i="59"/>
  <c r="G66" i="59"/>
  <c r="O66" i="59"/>
  <c r="I66" i="54"/>
  <c r="F66" i="54"/>
  <c r="Q66" i="54"/>
  <c r="H66" i="54"/>
  <c r="R66" i="54"/>
  <c r="S66" i="54"/>
  <c r="P66" i="54"/>
  <c r="G66" i="54"/>
  <c r="M66" i="54"/>
  <c r="N66" i="54"/>
  <c r="L66" i="54"/>
  <c r="T66" i="54"/>
  <c r="K66" i="54"/>
  <c r="O66" i="54"/>
  <c r="J66" i="54"/>
  <c r="L57" i="75"/>
  <c r="F57" i="75"/>
  <c r="J57" i="75"/>
  <c r="K57" i="75"/>
  <c r="S57" i="75"/>
  <c r="G57" i="75"/>
  <c r="O57" i="75"/>
  <c r="D44" i="75"/>
  <c r="N57" i="75"/>
  <c r="Q57" i="75"/>
  <c r="R57" i="75"/>
  <c r="H57" i="75"/>
  <c r="P57" i="75"/>
  <c r="T57" i="75"/>
  <c r="I57" i="75"/>
  <c r="M57" i="75"/>
  <c r="Q57" i="68"/>
  <c r="L57" i="68"/>
  <c r="P57" i="68"/>
  <c r="O57" i="68"/>
  <c r="M57" i="68"/>
  <c r="N57" i="68"/>
  <c r="J57" i="68"/>
  <c r="K57" i="68"/>
  <c r="I57" i="68"/>
  <c r="D44" i="68"/>
  <c r="T57" i="68"/>
  <c r="H57" i="68"/>
  <c r="G57" i="68"/>
  <c r="R57" i="68"/>
  <c r="F57" i="68"/>
  <c r="S57" i="68"/>
  <c r="N57" i="88"/>
  <c r="O57" i="88"/>
  <c r="S57" i="88"/>
  <c r="K57" i="88"/>
  <c r="J57" i="88"/>
  <c r="J39" i="88" s="1"/>
  <c r="J40" i="88" s="1"/>
  <c r="G57" i="88"/>
  <c r="G39" i="88" s="1"/>
  <c r="G40" i="88" s="1"/>
  <c r="Q57" i="88"/>
  <c r="R57" i="88"/>
  <c r="T57" i="88"/>
  <c r="F57" i="88"/>
  <c r="I57" i="88"/>
  <c r="M57" i="88"/>
  <c r="H57" i="88"/>
  <c r="L57" i="88"/>
  <c r="L39" i="88" s="1"/>
  <c r="L40" i="88" s="1"/>
  <c r="P57" i="88"/>
  <c r="D44" i="88"/>
  <c r="S57" i="76"/>
  <c r="G57" i="76"/>
  <c r="D44" i="76"/>
  <c r="R57" i="76"/>
  <c r="F57" i="76"/>
  <c r="Q57" i="76"/>
  <c r="T57" i="76"/>
  <c r="M57" i="76"/>
  <c r="H57" i="76"/>
  <c r="K57" i="76"/>
  <c r="I57" i="76"/>
  <c r="P57" i="76"/>
  <c r="N57" i="76"/>
  <c r="L57" i="76"/>
  <c r="J57" i="76"/>
  <c r="O57" i="76"/>
  <c r="G70" i="73"/>
  <c r="I70" i="73"/>
  <c r="H70" i="73"/>
  <c r="S70" i="73"/>
  <c r="R70" i="73"/>
  <c r="F70" i="73"/>
  <c r="Q70" i="73"/>
  <c r="P70" i="73"/>
  <c r="T70" i="73"/>
  <c r="O70" i="73"/>
  <c r="N70" i="73"/>
  <c r="M70" i="73"/>
  <c r="L70" i="73"/>
  <c r="J70" i="73"/>
  <c r="K70" i="73"/>
  <c r="O70" i="72"/>
  <c r="N70" i="72"/>
  <c r="L70" i="72"/>
  <c r="M70" i="72"/>
  <c r="K70" i="72"/>
  <c r="H70" i="72"/>
  <c r="J70" i="72"/>
  <c r="T70" i="72"/>
  <c r="S70" i="72"/>
  <c r="G70" i="72"/>
  <c r="Q70" i="72"/>
  <c r="P70" i="72"/>
  <c r="I70" i="72"/>
  <c r="R70" i="72"/>
  <c r="F70" i="72"/>
  <c r="I70" i="69"/>
  <c r="L70" i="69"/>
  <c r="O70" i="69"/>
  <c r="K70" i="69"/>
  <c r="M70" i="69"/>
  <c r="P70" i="69"/>
  <c r="R70" i="69"/>
  <c r="Q70" i="69"/>
  <c r="H70" i="69"/>
  <c r="G70" i="69"/>
  <c r="F70" i="69"/>
  <c r="T70" i="69"/>
  <c r="J70" i="69"/>
  <c r="N70" i="69"/>
  <c r="S70" i="69"/>
  <c r="H70" i="81"/>
  <c r="L70" i="81"/>
  <c r="J70" i="81"/>
  <c r="O70" i="81"/>
  <c r="M70" i="81"/>
  <c r="I70" i="81"/>
  <c r="S70" i="81"/>
  <c r="G70" i="81"/>
  <c r="P70" i="81"/>
  <c r="R70" i="81"/>
  <c r="N70" i="81"/>
  <c r="F70" i="81"/>
  <c r="T70" i="81"/>
  <c r="Q70" i="81"/>
  <c r="K70" i="81"/>
  <c r="N66" i="68"/>
  <c r="I66" i="68"/>
  <c r="R66" i="68"/>
  <c r="G66" i="68"/>
  <c r="F66" i="68"/>
  <c r="T66" i="68"/>
  <c r="S66" i="68"/>
  <c r="Q66" i="68"/>
  <c r="P66" i="68"/>
  <c r="O66" i="68"/>
  <c r="H66" i="68"/>
  <c r="M66" i="68"/>
  <c r="L66" i="68"/>
  <c r="J66" i="68"/>
  <c r="K66" i="68"/>
  <c r="P66" i="66"/>
  <c r="J66" i="66"/>
  <c r="O66" i="66"/>
  <c r="N66" i="66"/>
  <c r="M66" i="66"/>
  <c r="K66" i="66"/>
  <c r="S66" i="66"/>
  <c r="Q66" i="66"/>
  <c r="G66" i="66"/>
  <c r="I66" i="66"/>
  <c r="F66" i="66"/>
  <c r="R66" i="66"/>
  <c r="T66" i="66"/>
  <c r="L66" i="66"/>
  <c r="H66" i="66"/>
  <c r="N66" i="61"/>
  <c r="L66" i="61"/>
  <c r="I66" i="61"/>
  <c r="G66" i="61"/>
  <c r="R66" i="61"/>
  <c r="S66" i="61"/>
  <c r="P66" i="61"/>
  <c r="M66" i="61"/>
  <c r="T66" i="61"/>
  <c r="K66" i="61"/>
  <c r="H66" i="61"/>
  <c r="F66" i="61"/>
  <c r="O66" i="61"/>
  <c r="Q66" i="61"/>
  <c r="J66" i="61"/>
  <c r="D44" i="57"/>
  <c r="Q57" i="57"/>
  <c r="P57" i="57"/>
  <c r="R57" i="57"/>
  <c r="M57" i="57"/>
  <c r="O57" i="57"/>
  <c r="N57" i="57"/>
  <c r="S57" i="57"/>
  <c r="J57" i="57"/>
  <c r="G57" i="57"/>
  <c r="L57" i="57"/>
  <c r="F57" i="57"/>
  <c r="K57" i="57"/>
  <c r="I57" i="57"/>
  <c r="T57" i="57"/>
  <c r="H57" i="57"/>
  <c r="I57" i="67"/>
  <c r="T57" i="67"/>
  <c r="G57" i="67"/>
  <c r="H57" i="67"/>
  <c r="R57" i="67"/>
  <c r="K57" i="67"/>
  <c r="Q57" i="67"/>
  <c r="M57" i="67"/>
  <c r="P57" i="67"/>
  <c r="O57" i="67"/>
  <c r="D44" i="67"/>
  <c r="N57" i="67"/>
  <c r="L57" i="67"/>
  <c r="S57" i="67"/>
  <c r="J57" i="67"/>
  <c r="F57" i="67"/>
  <c r="Q57" i="60"/>
  <c r="M57" i="60"/>
  <c r="L57" i="60"/>
  <c r="G57" i="60"/>
  <c r="N57" i="60"/>
  <c r="K57" i="60"/>
  <c r="O57" i="60"/>
  <c r="J57" i="60"/>
  <c r="R57" i="60"/>
  <c r="T57" i="60"/>
  <c r="S57" i="60"/>
  <c r="H57" i="60"/>
  <c r="P57" i="60"/>
  <c r="F57" i="60"/>
  <c r="I57" i="60"/>
  <c r="D44" i="60"/>
  <c r="Q66" i="63"/>
  <c r="I66" i="63"/>
  <c r="F66" i="63"/>
  <c r="S66" i="63"/>
  <c r="O66" i="63"/>
  <c r="L66" i="63"/>
  <c r="G66" i="63"/>
  <c r="P66" i="63"/>
  <c r="N66" i="63"/>
  <c r="T66" i="63"/>
  <c r="R66" i="63"/>
  <c r="K66" i="63"/>
  <c r="H66" i="63"/>
  <c r="J66" i="63"/>
  <c r="M66" i="63"/>
  <c r="K49" i="90" a="1"/>
  <c r="P107" i="90" a="1"/>
  <c r="P83" i="90" a="1"/>
  <c r="T87" i="90" a="1"/>
  <c r="K84" i="90" a="1"/>
  <c r="K10" i="90" a="1"/>
  <c r="P60" i="90" a="1"/>
  <c r="T92" i="90" a="1"/>
  <c r="T23" i="90" a="1"/>
  <c r="P92" i="90" a="1"/>
  <c r="P31" i="90" a="1"/>
  <c r="T86" i="90" a="1"/>
  <c r="K103" i="90" a="1"/>
  <c r="K75" i="90" a="1"/>
  <c r="K86" i="90" a="1"/>
  <c r="T98" i="90" a="1"/>
  <c r="T85" i="90" a="1"/>
  <c r="P96" i="90" a="1"/>
  <c r="T103" i="90" a="1"/>
  <c r="K60" i="90" a="1"/>
  <c r="P11" i="90" a="1"/>
  <c r="K24" i="90" a="1"/>
  <c r="T83" i="90" a="1"/>
  <c r="P71" i="90" a="1"/>
  <c r="T99" i="90" a="1"/>
  <c r="P32" i="90" a="1"/>
  <c r="P110" i="90" a="1"/>
  <c r="K89" i="90" a="1"/>
  <c r="T95" i="90" a="1"/>
  <c r="T58" i="90" a="1"/>
  <c r="K56" i="90" a="1"/>
  <c r="K55" i="90" a="1"/>
  <c r="P109" i="90" a="1"/>
  <c r="K100" i="90" a="1"/>
  <c r="K87" i="90" a="1"/>
  <c r="K27" i="90" a="1"/>
  <c r="T113" i="90" a="1"/>
  <c r="K20" i="90" a="1"/>
  <c r="T31" i="90" a="1"/>
  <c r="T89" i="90" a="1"/>
  <c r="K57" i="90" a="1"/>
  <c r="K71" i="90" a="1"/>
  <c r="P20" i="90" a="1"/>
  <c r="T75" i="90" a="1"/>
  <c r="T61" i="90" a="1"/>
  <c r="T84" i="90" a="1"/>
  <c r="P9" i="90" a="1"/>
  <c r="P84" i="90" a="1"/>
  <c r="P45" i="90" a="1"/>
  <c r="T65" i="90" a="1"/>
  <c r="K98" i="90" a="1"/>
  <c r="T111" i="90" a="1"/>
  <c r="K33" i="90" a="1"/>
  <c r="T37" i="90" a="1"/>
  <c r="K48" i="90" a="1"/>
  <c r="P16" i="90" a="1"/>
  <c r="P23" i="90" a="1"/>
  <c r="K65" i="90" a="1"/>
  <c r="K35" i="90" a="1"/>
  <c r="T45" i="90" a="1"/>
  <c r="K19" i="90" a="1"/>
  <c r="T22" i="90" a="1"/>
  <c r="T7" i="90" a="1"/>
  <c r="P49" i="90" a="1"/>
  <c r="K7" i="90" a="1"/>
  <c r="K74" i="90" a="1"/>
  <c r="K46" i="90" a="1"/>
  <c r="K29" i="90" a="1"/>
  <c r="K99" i="90" a="1"/>
  <c r="P46" i="90" a="1"/>
  <c r="P75" i="90" a="1"/>
  <c r="P48" i="90" a="1"/>
  <c r="T67" i="90" a="1"/>
  <c r="K96" i="90" a="1"/>
  <c r="K36" i="90" a="1"/>
  <c r="T74" i="90" a="1"/>
  <c r="T93" i="90" a="1"/>
  <c r="T16" i="90" a="1"/>
  <c r="P73" i="90" a="1"/>
  <c r="T96" i="90" a="1"/>
  <c r="T26" i="90" a="1"/>
  <c r="T9" i="90" a="1"/>
  <c r="P22" i="90" a="1"/>
  <c r="P19" i="90" a="1"/>
  <c r="P98" i="90" a="1"/>
  <c r="P95" i="90" a="1"/>
  <c r="T112" i="90" a="1"/>
  <c r="T55" i="90" a="1"/>
  <c r="P7" i="90" a="1"/>
  <c r="P67" i="90" a="1"/>
  <c r="T29" i="90" a="1"/>
  <c r="P51" i="90" a="1"/>
  <c r="K11" i="90" a="1"/>
  <c r="T35" i="90" a="1"/>
  <c r="T27" i="90" a="1"/>
  <c r="K62" i="90" a="1"/>
  <c r="P72" i="90" a="1"/>
  <c r="T51" i="90" a="1"/>
  <c r="T17" i="90" a="1"/>
  <c r="P105" i="90" a="1"/>
  <c r="P103" i="90" a="1"/>
  <c r="P54" i="90" a="1"/>
  <c r="T13" i="90" a="1"/>
  <c r="P112" i="90" a="1"/>
  <c r="T46" i="90" a="1"/>
  <c r="K111" i="90" a="1"/>
  <c r="P58" i="90" a="1"/>
  <c r="P35" i="90" a="1"/>
  <c r="P13" i="90" a="1"/>
  <c r="K31" i="90" a="1"/>
  <c r="P70" i="90" a="1"/>
  <c r="T105" i="90" a="1"/>
  <c r="K93" i="90" a="1"/>
  <c r="T107" i="90" a="1"/>
  <c r="T102" i="90" a="1"/>
  <c r="P99" i="90" a="1"/>
  <c r="T48" i="90" a="1"/>
  <c r="K113" i="90" a="1"/>
  <c r="K45" i="90" a="1"/>
  <c r="T20" i="90" a="1"/>
  <c r="P10" i="90" a="1"/>
  <c r="T69" i="90" a="1"/>
  <c r="P47" i="90" a="1"/>
  <c r="P86" i="90" a="1"/>
  <c r="T10" i="90" a="1"/>
  <c r="K18" i="90" a="1"/>
  <c r="T57" i="90" a="1"/>
  <c r="K47" i="90" a="1"/>
  <c r="K73" i="90" a="1"/>
  <c r="K23" i="90" a="1"/>
  <c r="K9" i="90" a="1"/>
  <c r="K61" i="90" a="1"/>
  <c r="K83" i="90" a="1"/>
  <c r="P65" i="90" a="1"/>
  <c r="K67" i="90" a="1"/>
  <c r="K85" i="90" a="1"/>
  <c r="T71" i="90" a="1"/>
  <c r="T11" i="90" a="1"/>
  <c r="P74" i="90" a="1"/>
  <c r="K69" i="90" a="1"/>
  <c r="T54" i="90" a="1"/>
  <c r="T47" i="90" a="1"/>
  <c r="K58" i="90" a="1"/>
  <c r="P36" i="90" a="1"/>
  <c r="P57" i="90" a="1"/>
  <c r="K17" i="90" a="1"/>
  <c r="P34" i="90" a="1"/>
  <c r="P55" i="90" a="1"/>
  <c r="P113" i="90" a="1"/>
  <c r="P89" i="90" a="1"/>
  <c r="T73" i="90" a="1"/>
  <c r="P69" i="90" a="1"/>
  <c r="K51" i="90" a="1"/>
  <c r="K105" i="90" a="1"/>
  <c r="P8" i="90" a="1"/>
  <c r="T19" i="90" a="1"/>
  <c r="P111" i="90" a="1"/>
  <c r="T64" i="90" a="1"/>
  <c r="K112" i="90" a="1"/>
  <c r="P33" i="90" a="1"/>
  <c r="P17" i="90" a="1"/>
  <c r="K95" i="90" a="1"/>
  <c r="K22" i="90" a="1"/>
  <c r="K8" i="90" a="1"/>
  <c r="T109" i="90" a="1"/>
  <c r="T60" i="90" a="1"/>
  <c r="P85" i="90" a="1"/>
  <c r="T49" i="90" a="1"/>
  <c r="T8" i="90" a="1"/>
  <c r="P93" i="90" a="1"/>
  <c r="P29" i="90" a="1"/>
  <c r="K109" i="90" a="1"/>
  <c r="P61" i="90" a="1"/>
  <c r="K94" i="90" a="1"/>
  <c r="P87" i="90" a="1"/>
  <c r="T33" i="90" a="1"/>
  <c r="K107" i="90" a="1"/>
  <c r="K13" i="90" a="1"/>
  <c r="K37" i="90" a="1"/>
  <c r="P108" i="90" a="1"/>
  <c r="T36" i="90" a="1"/>
  <c r="P37" i="90" a="1"/>
  <c r="P27" i="90" a="1"/>
  <c r="R39" i="88" l="1"/>
  <c r="R40" i="88" s="1"/>
  <c r="Q39" i="88"/>
  <c r="Q40" i="88" s="1"/>
  <c r="T102" i="90"/>
  <c r="T111" i="90"/>
  <c r="K107" i="90"/>
  <c r="T92" i="90"/>
  <c r="T84" i="90"/>
  <c r="P83" i="90"/>
  <c r="K86" i="90"/>
  <c r="T103" i="90"/>
  <c r="T86" i="90"/>
  <c r="P98" i="90"/>
  <c r="P89" i="90"/>
  <c r="P112" i="90"/>
  <c r="K111" i="90"/>
  <c r="K84" i="90"/>
  <c r="P103" i="90"/>
  <c r="K112" i="90"/>
  <c r="P99" i="90"/>
  <c r="T109" i="90"/>
  <c r="P84" i="90"/>
  <c r="T112" i="90"/>
  <c r="P86" i="90"/>
  <c r="T89" i="90"/>
  <c r="K89" i="90"/>
  <c r="T93" i="90"/>
  <c r="K94" i="90"/>
  <c r="K96" i="90"/>
  <c r="T107" i="90"/>
  <c r="K103" i="90"/>
  <c r="T87" i="90"/>
  <c r="T95" i="90"/>
  <c r="T85" i="90"/>
  <c r="P92" i="90"/>
  <c r="K98" i="90"/>
  <c r="T98" i="90"/>
  <c r="K83" i="90"/>
  <c r="K95" i="90"/>
  <c r="P107" i="90"/>
  <c r="P95" i="90"/>
  <c r="T99" i="90"/>
  <c r="K93" i="90"/>
  <c r="T83" i="90"/>
  <c r="K100" i="90"/>
  <c r="P108" i="90"/>
  <c r="P96" i="90"/>
  <c r="P93" i="90"/>
  <c r="P109" i="90"/>
  <c r="P111" i="90"/>
  <c r="K105" i="90"/>
  <c r="P85" i="90"/>
  <c r="K109" i="90"/>
  <c r="K99" i="90"/>
  <c r="T96" i="90"/>
  <c r="P105" i="90"/>
  <c r="K85" i="90"/>
  <c r="P110" i="90"/>
  <c r="P87" i="90"/>
  <c r="K87" i="90"/>
  <c r="T105" i="90"/>
  <c r="I39" i="88"/>
  <c r="I40" i="88" s="1"/>
  <c r="H39" i="88"/>
  <c r="H40" i="88" s="1"/>
  <c r="K39" i="88"/>
  <c r="K40" i="88" s="1"/>
  <c r="P39" i="88"/>
  <c r="P40" i="88" s="1"/>
  <c r="N39" i="88"/>
  <c r="N40" i="88" s="1"/>
  <c r="T39" i="88"/>
  <c r="T40" i="88" s="1"/>
  <c r="S39" i="88"/>
  <c r="S40" i="88" s="1"/>
  <c r="O39" i="88"/>
  <c r="O40" i="88" s="1"/>
  <c r="M39" i="88"/>
  <c r="M40" i="88" s="1"/>
  <c r="P113" i="90"/>
  <c r="P75" i="90"/>
  <c r="P37" i="90"/>
  <c r="T113" i="90"/>
  <c r="T75" i="90"/>
  <c r="T37" i="90"/>
  <c r="K113" i="90"/>
  <c r="K75" i="90"/>
  <c r="K37" i="90"/>
  <c r="F39" i="88"/>
  <c r="H39" i="87"/>
  <c r="H40" i="87" s="1"/>
  <c r="Q39" i="60"/>
  <c r="Q40" i="60" s="1"/>
  <c r="T48" i="90"/>
  <c r="T10" i="90"/>
  <c r="P65" i="90"/>
  <c r="P27" i="90"/>
  <c r="T73" i="90"/>
  <c r="T35" i="90"/>
  <c r="K69" i="90"/>
  <c r="K31" i="90"/>
  <c r="T54" i="90"/>
  <c r="T16" i="90"/>
  <c r="P51" i="90"/>
  <c r="P13" i="90"/>
  <c r="K47" i="90"/>
  <c r="K9" i="90"/>
  <c r="T46" i="90"/>
  <c r="T8" i="90"/>
  <c r="T51" i="90"/>
  <c r="T13" i="90"/>
  <c r="P60" i="90"/>
  <c r="P22" i="90"/>
  <c r="P45" i="90"/>
  <c r="P7" i="90"/>
  <c r="T55" i="90"/>
  <c r="T17" i="90"/>
  <c r="K56" i="90"/>
  <c r="K18" i="90"/>
  <c r="K60" i="90"/>
  <c r="K22" i="90"/>
  <c r="K73" i="90"/>
  <c r="K35" i="90"/>
  <c r="K46" i="90"/>
  <c r="K8" i="90"/>
  <c r="P74" i="90"/>
  <c r="P36" i="90"/>
  <c r="P61" i="90"/>
  <c r="P23" i="90"/>
  <c r="T71" i="90"/>
  <c r="T33" i="90"/>
  <c r="P72" i="90"/>
  <c r="P34" i="90"/>
  <c r="T69" i="90"/>
  <c r="T31" i="90"/>
  <c r="K45" i="90"/>
  <c r="K7" i="90"/>
  <c r="K65" i="90"/>
  <c r="K27" i="90"/>
  <c r="T65" i="90"/>
  <c r="T27" i="90"/>
  <c r="K74" i="90"/>
  <c r="K36" i="90"/>
  <c r="K58" i="90"/>
  <c r="K20" i="90"/>
  <c r="P73" i="90"/>
  <c r="P35" i="90"/>
  <c r="T49" i="90"/>
  <c r="T11" i="90"/>
  <c r="K57" i="90"/>
  <c r="K19" i="90"/>
  <c r="P69" i="90"/>
  <c r="P31" i="90"/>
  <c r="P46" i="90"/>
  <c r="P8" i="90"/>
  <c r="T74" i="90"/>
  <c r="T36" i="90"/>
  <c r="P48" i="90"/>
  <c r="P10" i="90"/>
  <c r="K51" i="90"/>
  <c r="K13" i="90"/>
  <c r="T57" i="90"/>
  <c r="T19" i="90"/>
  <c r="T47" i="90"/>
  <c r="T9" i="90"/>
  <c r="P54" i="90"/>
  <c r="P16" i="90"/>
  <c r="K48" i="90"/>
  <c r="K10" i="90"/>
  <c r="T60" i="90"/>
  <c r="T22" i="90"/>
  <c r="P57" i="90"/>
  <c r="P19" i="90"/>
  <c r="T61" i="90"/>
  <c r="T23" i="90"/>
  <c r="K55" i="90"/>
  <c r="K17" i="90"/>
  <c r="T45" i="90"/>
  <c r="T7" i="90"/>
  <c r="K62" i="90"/>
  <c r="K24" i="90"/>
  <c r="P70" i="90"/>
  <c r="P32" i="90"/>
  <c r="P58" i="90"/>
  <c r="P20" i="90"/>
  <c r="P55" i="90"/>
  <c r="P17" i="90"/>
  <c r="P71" i="90"/>
  <c r="P33" i="90"/>
  <c r="P47" i="90"/>
  <c r="P9" i="90"/>
  <c r="K71" i="90"/>
  <c r="K33" i="90"/>
  <c r="T64" i="90"/>
  <c r="T26" i="90"/>
  <c r="K61" i="90"/>
  <c r="K23" i="90"/>
  <c r="T58" i="90"/>
  <c r="T20" i="90"/>
  <c r="P67" i="90"/>
  <c r="P29" i="90"/>
  <c r="K67" i="90"/>
  <c r="K29" i="90"/>
  <c r="P49" i="90"/>
  <c r="P11" i="90"/>
  <c r="K49" i="90"/>
  <c r="K11" i="90"/>
  <c r="T67" i="90"/>
  <c r="T29" i="90"/>
  <c r="P39" i="67"/>
  <c r="P40" i="67" s="1"/>
  <c r="P40" i="97" s="1"/>
  <c r="K39" i="60"/>
  <c r="K40" i="60" s="1"/>
  <c r="M39" i="60"/>
  <c r="M40" i="60" s="1"/>
  <c r="K39" i="76"/>
  <c r="K40" i="76" s="1"/>
  <c r="K39" i="67"/>
  <c r="K40" i="67" s="1"/>
  <c r="K40" i="97" s="1"/>
  <c r="Q39" i="87"/>
  <c r="Q40" i="87" s="1"/>
  <c r="P39" i="60"/>
  <c r="P40" i="60" s="1"/>
  <c r="H39" i="76"/>
  <c r="H40" i="76" s="1"/>
  <c r="J39" i="76"/>
  <c r="J40" i="76" s="1"/>
  <c r="N39" i="60"/>
  <c r="N40" i="60" s="1"/>
  <c r="H39" i="60"/>
  <c r="H40" i="60" s="1"/>
  <c r="H39" i="67"/>
  <c r="H39" i="97" s="1"/>
  <c r="R39" i="67"/>
  <c r="R40" i="67" s="1"/>
  <c r="R40" i="97" s="1"/>
  <c r="S39" i="67"/>
  <c r="S39" i="97" s="1"/>
  <c r="J39" i="60"/>
  <c r="J40" i="60" s="1"/>
  <c r="K39" i="87"/>
  <c r="K40" i="87" s="1"/>
  <c r="O39" i="67"/>
  <c r="O40" i="67" s="1"/>
  <c r="O40" i="97" s="1"/>
  <c r="L39" i="76"/>
  <c r="L40" i="76" s="1"/>
  <c r="S39" i="60"/>
  <c r="S40" i="60" s="1"/>
  <c r="R39" i="60"/>
  <c r="R40" i="60" s="1"/>
  <c r="L39" i="87"/>
  <c r="L40" i="87" s="1"/>
  <c r="M39" i="76"/>
  <c r="M40" i="76" s="1"/>
  <c r="I39" i="76"/>
  <c r="I40" i="76" s="1"/>
  <c r="M39" i="87"/>
  <c r="M40" i="87" s="1"/>
  <c r="O39" i="60"/>
  <c r="O40" i="60" s="1"/>
  <c r="R39" i="76"/>
  <c r="R40" i="76" s="1"/>
  <c r="I39" i="60"/>
  <c r="I40" i="60" s="1"/>
  <c r="L39" i="60"/>
  <c r="L40" i="60" s="1"/>
  <c r="Q39" i="67"/>
  <c r="Q40" i="67" s="1"/>
  <c r="Q40" i="97" s="1"/>
  <c r="J39" i="67"/>
  <c r="J40" i="67" s="1"/>
  <c r="J40" i="97" s="1"/>
  <c r="R39" i="87"/>
  <c r="R40" i="87" s="1"/>
  <c r="N39" i="87"/>
  <c r="N40" i="87" s="1"/>
  <c r="K39" i="56"/>
  <c r="K40" i="56" s="1"/>
  <c r="T39" i="67"/>
  <c r="T39" i="97" s="1"/>
  <c r="O39" i="87"/>
  <c r="O40" i="87" s="1"/>
  <c r="I39" i="67"/>
  <c r="I39" i="97" s="1"/>
  <c r="G39" i="60"/>
  <c r="G40" i="60" s="1"/>
  <c r="N39" i="76"/>
  <c r="N40" i="76" s="1"/>
  <c r="G39" i="87"/>
  <c r="G40" i="87" s="1"/>
  <c r="G39" i="57"/>
  <c r="G40" i="57" s="1"/>
  <c r="S39" i="57"/>
  <c r="S40" i="57" s="1"/>
  <c r="P39" i="57"/>
  <c r="P40" i="57" s="1"/>
  <c r="J39" i="57"/>
  <c r="J40" i="57" s="1"/>
  <c r="T39" i="76"/>
  <c r="T40" i="76" s="1"/>
  <c r="L39" i="67"/>
  <c r="L39" i="97" s="1"/>
  <c r="Q39" i="76"/>
  <c r="Q40" i="76" s="1"/>
  <c r="G39" i="76"/>
  <c r="G40" i="76" s="1"/>
  <c r="P39" i="87"/>
  <c r="P40" i="87" s="1"/>
  <c r="S39" i="87"/>
  <c r="S40" i="87" s="1"/>
  <c r="T39" i="56"/>
  <c r="T40" i="56" s="1"/>
  <c r="G39" i="56"/>
  <c r="G40" i="56" s="1"/>
  <c r="O39" i="78"/>
  <c r="O40" i="78" s="1"/>
  <c r="K39" i="80"/>
  <c r="K40" i="80" s="1"/>
  <c r="N39" i="57"/>
  <c r="N40" i="57" s="1"/>
  <c r="G39" i="64"/>
  <c r="G40" i="64" s="1"/>
  <c r="O39" i="56"/>
  <c r="O40" i="56" s="1"/>
  <c r="H39" i="57"/>
  <c r="H40" i="57" s="1"/>
  <c r="T39" i="57"/>
  <c r="T40" i="57" s="1"/>
  <c r="T39" i="87"/>
  <c r="T40" i="87" s="1"/>
  <c r="N39" i="56"/>
  <c r="N40" i="56" s="1"/>
  <c r="S39" i="70"/>
  <c r="S40" i="70" s="1"/>
  <c r="H39" i="64"/>
  <c r="H40" i="64" s="1"/>
  <c r="P40" i="73"/>
  <c r="P40" i="98" s="1"/>
  <c r="P39" i="98"/>
  <c r="M39" i="66"/>
  <c r="M40" i="66" s="1"/>
  <c r="R39" i="69"/>
  <c r="R40" i="69" s="1"/>
  <c r="H39" i="56"/>
  <c r="H40" i="56" s="1"/>
  <c r="K39" i="58"/>
  <c r="K40" i="58" s="1"/>
  <c r="P39" i="70"/>
  <c r="P40" i="70" s="1"/>
  <c r="R39" i="84"/>
  <c r="R40" i="84" s="1"/>
  <c r="K39" i="54"/>
  <c r="K40" i="54" s="1"/>
  <c r="T39" i="81"/>
  <c r="H39" i="55"/>
  <c r="H40" i="55" s="1"/>
  <c r="L39" i="55"/>
  <c r="L40" i="55" s="1"/>
  <c r="N39" i="64"/>
  <c r="N40" i="64" s="1"/>
  <c r="O40" i="73"/>
  <c r="O40" i="98" s="1"/>
  <c r="O39" i="98"/>
  <c r="L40" i="73"/>
  <c r="L40" i="98" s="1"/>
  <c r="L39" i="98"/>
  <c r="S39" i="64"/>
  <c r="S40" i="64" s="1"/>
  <c r="G40" i="73"/>
  <c r="G40" i="98" s="1"/>
  <c r="G39" i="98"/>
  <c r="R40" i="73"/>
  <c r="R40" i="98" s="1"/>
  <c r="R39" i="98"/>
  <c r="L39" i="63"/>
  <c r="M40" i="73"/>
  <c r="M40" i="98" s="1"/>
  <c r="M39" i="98"/>
  <c r="K40" i="73"/>
  <c r="K40" i="98" s="1"/>
  <c r="K39" i="98"/>
  <c r="J40" i="73"/>
  <c r="J40" i="98" s="1"/>
  <c r="J39" i="98"/>
  <c r="G39" i="78"/>
  <c r="G40" i="78" s="1"/>
  <c r="L39" i="80"/>
  <c r="L40" i="80" s="1"/>
  <c r="Q40" i="73"/>
  <c r="Q40" i="98" s="1"/>
  <c r="Q39" i="98"/>
  <c r="N40" i="73"/>
  <c r="N40" i="98" s="1"/>
  <c r="N39" i="98"/>
  <c r="L39" i="64"/>
  <c r="L40" i="64" s="1"/>
  <c r="S39" i="63"/>
  <c r="I40" i="73"/>
  <c r="I40" i="98" s="1"/>
  <c r="I39" i="98"/>
  <c r="K39" i="57"/>
  <c r="K40" i="57" s="1"/>
  <c r="K39" i="64"/>
  <c r="K40" i="64" s="1"/>
  <c r="T40" i="73"/>
  <c r="T40" i="98" s="1"/>
  <c r="T39" i="98"/>
  <c r="I39" i="66"/>
  <c r="I40" i="66" s="1"/>
  <c r="I39" i="63"/>
  <c r="M39" i="67"/>
  <c r="S40" i="73"/>
  <c r="S40" i="98" s="1"/>
  <c r="S39" i="98"/>
  <c r="L39" i="57"/>
  <c r="L40" i="57" s="1"/>
  <c r="H40" i="73"/>
  <c r="H40" i="98" s="1"/>
  <c r="H39" i="98"/>
  <c r="H39" i="63"/>
  <c r="M39" i="80"/>
  <c r="M40" i="80" s="1"/>
  <c r="Q39" i="80"/>
  <c r="Q40" i="80" s="1"/>
  <c r="T39" i="80"/>
  <c r="T40" i="80" s="1"/>
  <c r="G39" i="80"/>
  <c r="G40" i="80" s="1"/>
  <c r="J39" i="80"/>
  <c r="J40" i="80" s="1"/>
  <c r="T39" i="78"/>
  <c r="T40" i="78" s="1"/>
  <c r="P39" i="78"/>
  <c r="P40" i="78" s="1"/>
  <c r="T39" i="64"/>
  <c r="T40" i="64" s="1"/>
  <c r="H39" i="66"/>
  <c r="H40" i="66" s="1"/>
  <c r="N39" i="69"/>
  <c r="N40" i="69" s="1"/>
  <c r="S39" i="56"/>
  <c r="S40" i="56" s="1"/>
  <c r="L39" i="78"/>
  <c r="L40" i="78" s="1"/>
  <c r="R39" i="58"/>
  <c r="R40" i="58" s="1"/>
  <c r="F39" i="70"/>
  <c r="H39" i="84"/>
  <c r="H40" i="84" s="1"/>
  <c r="P39" i="54"/>
  <c r="P40" i="54" s="1"/>
  <c r="Q39" i="63"/>
  <c r="J39" i="81"/>
  <c r="F39" i="55"/>
  <c r="I39" i="55"/>
  <c r="I40" i="55" s="1"/>
  <c r="F39" i="67"/>
  <c r="I39" i="69"/>
  <c r="I40" i="69" s="1"/>
  <c r="F39" i="58"/>
  <c r="T39" i="70"/>
  <c r="T40" i="70" s="1"/>
  <c r="O39" i="84"/>
  <c r="O40" i="84" s="1"/>
  <c r="L39" i="54"/>
  <c r="L40" i="54" s="1"/>
  <c r="N39" i="63"/>
  <c r="K39" i="81"/>
  <c r="O39" i="55"/>
  <c r="O40" i="55" s="1"/>
  <c r="L39" i="66"/>
  <c r="L40" i="66" s="1"/>
  <c r="J39" i="69"/>
  <c r="J40" i="69" s="1"/>
  <c r="F39" i="78"/>
  <c r="G39" i="58"/>
  <c r="G40" i="58" s="1"/>
  <c r="R39" i="70"/>
  <c r="R40" i="70" s="1"/>
  <c r="S39" i="84"/>
  <c r="S40" i="84" s="1"/>
  <c r="F39" i="54"/>
  <c r="Q39" i="54"/>
  <c r="Q40" i="54" s="1"/>
  <c r="F39" i="81"/>
  <c r="G39" i="55"/>
  <c r="G40" i="55" s="1"/>
  <c r="F39" i="60"/>
  <c r="F39" i="64"/>
  <c r="N39" i="66"/>
  <c r="N40" i="66" s="1"/>
  <c r="G39" i="67"/>
  <c r="T39" i="60"/>
  <c r="T40" i="60" s="1"/>
  <c r="O39" i="57"/>
  <c r="O40" i="57" s="1"/>
  <c r="R39" i="64"/>
  <c r="R40" i="64" s="1"/>
  <c r="J39" i="66"/>
  <c r="J40" i="66" s="1"/>
  <c r="Q39" i="69"/>
  <c r="Q40" i="69" s="1"/>
  <c r="O39" i="69"/>
  <c r="O40" i="69" s="1"/>
  <c r="M39" i="56"/>
  <c r="M40" i="56" s="1"/>
  <c r="P39" i="58"/>
  <c r="P40" i="58" s="1"/>
  <c r="O39" i="58"/>
  <c r="O40" i="58" s="1"/>
  <c r="H39" i="70"/>
  <c r="H40" i="70" s="1"/>
  <c r="L39" i="84"/>
  <c r="L40" i="84" s="1"/>
  <c r="M39" i="54"/>
  <c r="M40" i="54" s="1"/>
  <c r="J39" i="63"/>
  <c r="P39" i="63"/>
  <c r="I39" i="81"/>
  <c r="N39" i="55"/>
  <c r="N40" i="55" s="1"/>
  <c r="M39" i="64"/>
  <c r="M40" i="64" s="1"/>
  <c r="M39" i="57"/>
  <c r="M40" i="57" s="1"/>
  <c r="O39" i="64"/>
  <c r="O40" i="64" s="1"/>
  <c r="S39" i="66"/>
  <c r="S40" i="66" s="1"/>
  <c r="L39" i="69"/>
  <c r="L40" i="69" s="1"/>
  <c r="M39" i="69"/>
  <c r="M40" i="69" s="1"/>
  <c r="F39" i="56"/>
  <c r="I39" i="78"/>
  <c r="I40" i="78" s="1"/>
  <c r="S39" i="78"/>
  <c r="S40" i="78" s="1"/>
  <c r="I39" i="58"/>
  <c r="I40" i="58" s="1"/>
  <c r="G39" i="70"/>
  <c r="G40" i="70" s="1"/>
  <c r="N39" i="84"/>
  <c r="N40" i="84" s="1"/>
  <c r="R39" i="54"/>
  <c r="R40" i="54" s="1"/>
  <c r="J39" i="54"/>
  <c r="J40" i="54" s="1"/>
  <c r="F39" i="63"/>
  <c r="K39" i="63"/>
  <c r="O39" i="81"/>
  <c r="R39" i="55"/>
  <c r="R40" i="55" s="1"/>
  <c r="N39" i="67"/>
  <c r="R39" i="57"/>
  <c r="R40" i="57" s="1"/>
  <c r="F39" i="76"/>
  <c r="Q39" i="64"/>
  <c r="Q40" i="64" s="1"/>
  <c r="F39" i="65"/>
  <c r="L21" i="65" s="1"/>
  <c r="O39" i="66"/>
  <c r="O40" i="66" s="1"/>
  <c r="F39" i="69"/>
  <c r="P39" i="69"/>
  <c r="P40" i="69" s="1"/>
  <c r="L39" i="56"/>
  <c r="L40" i="56" s="1"/>
  <c r="N39" i="78"/>
  <c r="N40" i="78" s="1"/>
  <c r="H39" i="78"/>
  <c r="H40" i="78" s="1"/>
  <c r="H39" i="58"/>
  <c r="H40" i="58" s="1"/>
  <c r="S39" i="58"/>
  <c r="S40" i="58" s="1"/>
  <c r="N39" i="70"/>
  <c r="N40" i="70" s="1"/>
  <c r="I39" i="70"/>
  <c r="I40" i="70" s="1"/>
  <c r="K39" i="84"/>
  <c r="K40" i="84" s="1"/>
  <c r="G39" i="54"/>
  <c r="G40" i="54" s="1"/>
  <c r="N39" i="54"/>
  <c r="N40" i="54" s="1"/>
  <c r="G39" i="63"/>
  <c r="M39" i="63"/>
  <c r="P39" i="81"/>
  <c r="M39" i="55"/>
  <c r="M40" i="55" s="1"/>
  <c r="I39" i="80"/>
  <c r="I40" i="80" s="1"/>
  <c r="N39" i="80"/>
  <c r="N40" i="80" s="1"/>
  <c r="F39" i="73"/>
  <c r="L21" i="73" s="1"/>
  <c r="T39" i="66"/>
  <c r="T40" i="66" s="1"/>
  <c r="S39" i="69"/>
  <c r="S40" i="69" s="1"/>
  <c r="R39" i="78"/>
  <c r="R40" i="78" s="1"/>
  <c r="J39" i="58"/>
  <c r="J40" i="58" s="1"/>
  <c r="L39" i="58"/>
  <c r="L40" i="58" s="1"/>
  <c r="O39" i="70"/>
  <c r="O40" i="70" s="1"/>
  <c r="P39" i="84"/>
  <c r="P40" i="84" s="1"/>
  <c r="S39" i="54"/>
  <c r="S40" i="54" s="1"/>
  <c r="H39" i="81"/>
  <c r="S39" i="55"/>
  <c r="S40" i="55" s="1"/>
  <c r="F39" i="80"/>
  <c r="O39" i="63"/>
  <c r="O39" i="76"/>
  <c r="O40" i="76" s="1"/>
  <c r="I39" i="57"/>
  <c r="I40" i="57" s="1"/>
  <c r="Q39" i="57"/>
  <c r="Q40" i="57" s="1"/>
  <c r="P39" i="64"/>
  <c r="P40" i="64" s="1"/>
  <c r="Q39" i="66"/>
  <c r="Q40" i="66" s="1"/>
  <c r="H39" i="69"/>
  <c r="H40" i="69" s="1"/>
  <c r="M39" i="78"/>
  <c r="M40" i="78" s="1"/>
  <c r="J39" i="78"/>
  <c r="J40" i="78" s="1"/>
  <c r="Q39" i="58"/>
  <c r="Q40" i="58" s="1"/>
  <c r="F39" i="83"/>
  <c r="L21" i="83" s="1"/>
  <c r="Q39" i="70"/>
  <c r="Q40" i="70" s="1"/>
  <c r="J39" i="70"/>
  <c r="J40" i="70" s="1"/>
  <c r="T39" i="84"/>
  <c r="T40" i="84" s="1"/>
  <c r="G39" i="84"/>
  <c r="G40" i="84" s="1"/>
  <c r="T39" i="54"/>
  <c r="T40" i="54" s="1"/>
  <c r="R39" i="63"/>
  <c r="Q39" i="81"/>
  <c r="R39" i="81"/>
  <c r="Q39" i="55"/>
  <c r="Q40" i="55" s="1"/>
  <c r="R39" i="80"/>
  <c r="R40" i="80" s="1"/>
  <c r="P39" i="80"/>
  <c r="P40" i="80" s="1"/>
  <c r="F39" i="66"/>
  <c r="T39" i="69"/>
  <c r="T40" i="69" s="1"/>
  <c r="P39" i="56"/>
  <c r="P40" i="56" s="1"/>
  <c r="M39" i="58"/>
  <c r="M40" i="58" s="1"/>
  <c r="K39" i="70"/>
  <c r="K40" i="70" s="1"/>
  <c r="F39" i="84"/>
  <c r="I39" i="84"/>
  <c r="I40" i="84" s="1"/>
  <c r="I39" i="54"/>
  <c r="I40" i="54" s="1"/>
  <c r="S39" i="81"/>
  <c r="L39" i="81"/>
  <c r="P39" i="55"/>
  <c r="P40" i="55" s="1"/>
  <c r="O39" i="80"/>
  <c r="O40" i="80" s="1"/>
  <c r="F39" i="57"/>
  <c r="S39" i="76"/>
  <c r="S40" i="76" s="1"/>
  <c r="J39" i="87"/>
  <c r="J40" i="87" s="1"/>
  <c r="F39" i="87"/>
  <c r="J39" i="64"/>
  <c r="J40" i="64" s="1"/>
  <c r="R39" i="66"/>
  <c r="R40" i="66" s="1"/>
  <c r="P39" i="66"/>
  <c r="P40" i="66" s="1"/>
  <c r="G39" i="69"/>
  <c r="G40" i="69" s="1"/>
  <c r="I39" i="56"/>
  <c r="I40" i="56" s="1"/>
  <c r="R39" i="56"/>
  <c r="R40" i="56" s="1"/>
  <c r="Q39" i="78"/>
  <c r="Q40" i="78" s="1"/>
  <c r="N39" i="58"/>
  <c r="N40" i="58" s="1"/>
  <c r="L39" i="70"/>
  <c r="L40" i="70" s="1"/>
  <c r="J39" i="84"/>
  <c r="J40" i="84" s="1"/>
  <c r="M39" i="84"/>
  <c r="M40" i="84" s="1"/>
  <c r="H39" i="54"/>
  <c r="H40" i="54" s="1"/>
  <c r="T39" i="63"/>
  <c r="G39" i="81"/>
  <c r="M39" i="81"/>
  <c r="K39" i="55"/>
  <c r="K40" i="55" s="1"/>
  <c r="S39" i="80"/>
  <c r="S40" i="80" s="1"/>
  <c r="P39" i="76"/>
  <c r="P40" i="76" s="1"/>
  <c r="I39" i="87"/>
  <c r="I40" i="87" s="1"/>
  <c r="I39" i="64"/>
  <c r="I40" i="64" s="1"/>
  <c r="G39" i="66"/>
  <c r="G40" i="66" s="1"/>
  <c r="K39" i="66"/>
  <c r="K40" i="66" s="1"/>
  <c r="K39" i="69"/>
  <c r="K40" i="69" s="1"/>
  <c r="J39" i="56"/>
  <c r="J40" i="56" s="1"/>
  <c r="Q39" i="56"/>
  <c r="Q40" i="56" s="1"/>
  <c r="K39" i="78"/>
  <c r="K40" i="78" s="1"/>
  <c r="F39" i="71"/>
  <c r="L21" i="71" s="1"/>
  <c r="T39" i="58"/>
  <c r="T40" i="58" s="1"/>
  <c r="F39" i="79"/>
  <c r="L21" i="79" s="1"/>
  <c r="M39" i="70"/>
  <c r="M40" i="70" s="1"/>
  <c r="Q39" i="84"/>
  <c r="Q40" i="84" s="1"/>
  <c r="O39" i="54"/>
  <c r="O40" i="54" s="1"/>
  <c r="N39" i="81"/>
  <c r="T39" i="55"/>
  <c r="T40" i="55" s="1"/>
  <c r="J39" i="55"/>
  <c r="J40" i="55" s="1"/>
  <c r="H39" i="80"/>
  <c r="H40" i="80" s="1"/>
  <c r="P39" i="97" l="1"/>
  <c r="T114" i="90"/>
  <c r="P114" i="90"/>
  <c r="K114" i="90"/>
  <c r="F115" i="90" s="1"/>
  <c r="E16" i="101" s="1"/>
  <c r="L21" i="88"/>
  <c r="F40" i="88"/>
  <c r="D40" i="88" s="1"/>
  <c r="I19" i="88" s="1"/>
  <c r="I20" i="88" s="1"/>
  <c r="I21" i="88"/>
  <c r="L20" i="88"/>
  <c r="K39" i="97"/>
  <c r="L21" i="60"/>
  <c r="Q39" i="97"/>
  <c r="S40" i="67"/>
  <c r="S40" i="97" s="1"/>
  <c r="L21" i="87"/>
  <c r="Q38" i="90"/>
  <c r="Q76" i="90"/>
  <c r="L21" i="76"/>
  <c r="H40" i="67"/>
  <c r="H40" i="97" s="1"/>
  <c r="L21" i="55"/>
  <c r="L21" i="80"/>
  <c r="F39" i="96"/>
  <c r="L21" i="63"/>
  <c r="F39" i="99"/>
  <c r="L21" i="81"/>
  <c r="L21" i="70"/>
  <c r="O39" i="97"/>
  <c r="L21" i="69"/>
  <c r="L21" i="58"/>
  <c r="J39" i="97"/>
  <c r="L21" i="84"/>
  <c r="F39" i="97"/>
  <c r="L21" i="67"/>
  <c r="L21" i="78"/>
  <c r="L21" i="56"/>
  <c r="L21" i="64"/>
  <c r="L21" i="57"/>
  <c r="L21" i="66"/>
  <c r="L21" i="54"/>
  <c r="L20" i="54"/>
  <c r="L40" i="67"/>
  <c r="L40" i="97" s="1"/>
  <c r="R39" i="97"/>
  <c r="T40" i="67"/>
  <c r="T40" i="97" s="1"/>
  <c r="I40" i="67"/>
  <c r="I40" i="97" s="1"/>
  <c r="M40" i="81"/>
  <c r="M40" i="99" s="1"/>
  <c r="M39" i="99"/>
  <c r="R40" i="81"/>
  <c r="R40" i="99" s="1"/>
  <c r="R39" i="99"/>
  <c r="P40" i="81"/>
  <c r="P40" i="99" s="1"/>
  <c r="P39" i="99"/>
  <c r="O40" i="81"/>
  <c r="O40" i="99" s="1"/>
  <c r="O39" i="99"/>
  <c r="G40" i="81"/>
  <c r="G40" i="99" s="1"/>
  <c r="G39" i="99"/>
  <c r="Q40" i="81"/>
  <c r="Q40" i="99" s="1"/>
  <c r="Q39" i="99"/>
  <c r="M40" i="63"/>
  <c r="M40" i="96" s="1"/>
  <c r="M39" i="96"/>
  <c r="K40" i="63"/>
  <c r="K40" i="96" s="1"/>
  <c r="K39" i="96"/>
  <c r="K40" i="81"/>
  <c r="K40" i="99" s="1"/>
  <c r="K39" i="99"/>
  <c r="J40" i="81"/>
  <c r="J40" i="99" s="1"/>
  <c r="J39" i="99"/>
  <c r="L40" i="63"/>
  <c r="L40" i="96" s="1"/>
  <c r="L39" i="96"/>
  <c r="G40" i="67"/>
  <c r="G40" i="97" s="1"/>
  <c r="G39" i="97"/>
  <c r="G40" i="63"/>
  <c r="G40" i="96" s="1"/>
  <c r="G39" i="96"/>
  <c r="N40" i="81"/>
  <c r="N40" i="99" s="1"/>
  <c r="N39" i="99"/>
  <c r="N40" i="63"/>
  <c r="N40" i="96" s="1"/>
  <c r="N39" i="96"/>
  <c r="Q40" i="63"/>
  <c r="Q40" i="96" s="1"/>
  <c r="Q39" i="96"/>
  <c r="M40" i="67"/>
  <c r="M40" i="97" s="1"/>
  <c r="M39" i="97"/>
  <c r="I40" i="63"/>
  <c r="I40" i="96" s="1"/>
  <c r="I39" i="96"/>
  <c r="S40" i="81"/>
  <c r="S40" i="99" s="1"/>
  <c r="S39" i="99"/>
  <c r="T40" i="63"/>
  <c r="T40" i="96" s="1"/>
  <c r="T39" i="96"/>
  <c r="R40" i="63"/>
  <c r="R40" i="96" s="1"/>
  <c r="R39" i="96"/>
  <c r="H40" i="63"/>
  <c r="H40" i="96" s="1"/>
  <c r="H39" i="96"/>
  <c r="H40" i="81"/>
  <c r="H40" i="99" s="1"/>
  <c r="H39" i="99"/>
  <c r="O40" i="63"/>
  <c r="O40" i="96" s="1"/>
  <c r="O39" i="96"/>
  <c r="I40" i="81"/>
  <c r="I40" i="99" s="1"/>
  <c r="I39" i="99"/>
  <c r="T40" i="81"/>
  <c r="T40" i="99" s="1"/>
  <c r="T39" i="99"/>
  <c r="F39" i="98"/>
  <c r="L21" i="98" s="1"/>
  <c r="P40" i="63"/>
  <c r="P40" i="96" s="1"/>
  <c r="P39" i="96"/>
  <c r="S40" i="63"/>
  <c r="S40" i="96" s="1"/>
  <c r="S39" i="96"/>
  <c r="N40" i="67"/>
  <c r="N40" i="97" s="1"/>
  <c r="N39" i="97"/>
  <c r="J40" i="63"/>
  <c r="J40" i="96" s="1"/>
  <c r="J39" i="96"/>
  <c r="L40" i="81"/>
  <c r="L40" i="99" s="1"/>
  <c r="L39" i="99"/>
  <c r="T38" i="90"/>
  <c r="L20" i="64"/>
  <c r="I21" i="64"/>
  <c r="F40" i="64"/>
  <c r="D40" i="64" s="1"/>
  <c r="I19" i="64" s="1"/>
  <c r="T76" i="90"/>
  <c r="L20" i="67"/>
  <c r="F40" i="67"/>
  <c r="I21" i="67"/>
  <c r="F40" i="60"/>
  <c r="D40" i="60" s="1"/>
  <c r="I19" i="60" s="1"/>
  <c r="L20" i="60"/>
  <c r="I21" i="60"/>
  <c r="F40" i="55"/>
  <c r="D40" i="55" s="1"/>
  <c r="I19" i="55" s="1"/>
  <c r="L20" i="55"/>
  <c r="I21" i="55"/>
  <c r="I21" i="63"/>
  <c r="F40" i="63"/>
  <c r="L20" i="63"/>
  <c r="L20" i="71"/>
  <c r="I21" i="71"/>
  <c r="F40" i="71"/>
  <c r="D40" i="71" s="1"/>
  <c r="I19" i="71" s="1"/>
  <c r="I21" i="56"/>
  <c r="F40" i="56"/>
  <c r="D40" i="56" s="1"/>
  <c r="I19" i="56" s="1"/>
  <c r="L20" i="56"/>
  <c r="I21" i="84"/>
  <c r="F40" i="84"/>
  <c r="D40" i="84" s="1"/>
  <c r="I19" i="84" s="1"/>
  <c r="L20" i="84"/>
  <c r="I21" i="69"/>
  <c r="F40" i="69"/>
  <c r="D40" i="69" s="1"/>
  <c r="I19" i="69" s="1"/>
  <c r="L20" i="69"/>
  <c r="I21" i="81"/>
  <c r="F40" i="81"/>
  <c r="L20" i="81"/>
  <c r="L20" i="87"/>
  <c r="F40" i="87"/>
  <c r="D40" i="87" s="1"/>
  <c r="I19" i="87" s="1"/>
  <c r="I21" i="87"/>
  <c r="L20" i="65"/>
  <c r="I21" i="65"/>
  <c r="F40" i="65"/>
  <c r="D40" i="65" s="1"/>
  <c r="I19" i="65" s="1"/>
  <c r="I21" i="54"/>
  <c r="F40" i="54"/>
  <c r="D40" i="54" s="1"/>
  <c r="I19" i="54" s="1"/>
  <c r="K38" i="90"/>
  <c r="F39" i="90" s="1"/>
  <c r="E11" i="101" s="1"/>
  <c r="K76" i="90"/>
  <c r="F77" i="90" s="1"/>
  <c r="E10" i="101" s="1"/>
  <c r="I21" i="57"/>
  <c r="F40" i="57"/>
  <c r="D40" i="57" s="1"/>
  <c r="I19" i="57" s="1"/>
  <c r="L20" i="57"/>
  <c r="I21" i="76"/>
  <c r="F40" i="76"/>
  <c r="D40" i="76" s="1"/>
  <c r="I19" i="76" s="1"/>
  <c r="L20" i="76"/>
  <c r="I21" i="66"/>
  <c r="F40" i="66"/>
  <c r="D40" i="66" s="1"/>
  <c r="I19" i="66" s="1"/>
  <c r="L20" i="66"/>
  <c r="I21" i="80"/>
  <c r="F40" i="80"/>
  <c r="D40" i="80" s="1"/>
  <c r="I19" i="80" s="1"/>
  <c r="L20" i="80"/>
  <c r="I21" i="73"/>
  <c r="F40" i="73"/>
  <c r="L20" i="73"/>
  <c r="I21" i="70"/>
  <c r="F40" i="70"/>
  <c r="D40" i="70" s="1"/>
  <c r="I19" i="70" s="1"/>
  <c r="L20" i="70"/>
  <c r="F40" i="58"/>
  <c r="D40" i="58" s="1"/>
  <c r="I19" i="58" s="1"/>
  <c r="I21" i="58"/>
  <c r="L20" i="58"/>
  <c r="P38" i="90"/>
  <c r="L20" i="79"/>
  <c r="I21" i="79"/>
  <c r="F40" i="79"/>
  <c r="D40" i="79" s="1"/>
  <c r="I19" i="79" s="1"/>
  <c r="F40" i="83"/>
  <c r="D40" i="83" s="1"/>
  <c r="I19" i="83" s="1"/>
  <c r="L20" i="83"/>
  <c r="I21" i="83"/>
  <c r="L20" i="78"/>
  <c r="I21" i="78"/>
  <c r="F40" i="78"/>
  <c r="D40" i="78" s="1"/>
  <c r="I19" i="78" s="1"/>
  <c r="P76" i="90"/>
  <c r="F31" i="95" a="1"/>
  <c r="F32" i="95" a="1"/>
  <c r="F8" i="95" a="1"/>
  <c r="F29" i="95" a="1"/>
  <c r="F6" i="95" a="1"/>
  <c r="F7" i="95" a="1"/>
  <c r="F20" i="95" a="1"/>
  <c r="F15" i="95" a="1"/>
  <c r="F17" i="95" a="1"/>
  <c r="F33" i="95" a="1"/>
  <c r="F11" i="95" a="1"/>
  <c r="F16" i="95" a="1"/>
  <c r="F9" i="95" a="1"/>
  <c r="F34" i="95" a="1"/>
  <c r="F21" i="95" a="1"/>
  <c r="E35" i="95" a="1"/>
  <c r="F5" i="95" a="1"/>
  <c r="F22" i="95" a="1"/>
  <c r="F35" i="95" a="1"/>
  <c r="F30" i="95" a="1"/>
  <c r="E18" i="101" l="1"/>
  <c r="E9" i="101" s="1"/>
  <c r="E19" i="101"/>
  <c r="E17" i="101"/>
  <c r="N115" i="90"/>
  <c r="G16" i="101" s="1"/>
  <c r="F35" i="95"/>
  <c r="E35" i="95"/>
  <c r="F11" i="95"/>
  <c r="F7" i="95"/>
  <c r="F34" i="95"/>
  <c r="F32" i="95"/>
  <c r="F6" i="95"/>
  <c r="F30" i="95"/>
  <c r="F21" i="95"/>
  <c r="F29" i="95"/>
  <c r="F8" i="95"/>
  <c r="F22" i="95"/>
  <c r="F17" i="95"/>
  <c r="F33" i="95"/>
  <c r="F31" i="95"/>
  <c r="F5" i="95"/>
  <c r="F9" i="95"/>
  <c r="F15" i="95"/>
  <c r="F20" i="95"/>
  <c r="F16" i="95"/>
  <c r="L21" i="96"/>
  <c r="L21" i="97"/>
  <c r="L21" i="99"/>
  <c r="L20" i="97"/>
  <c r="L20" i="96"/>
  <c r="I21" i="96"/>
  <c r="F13" i="95" s="1"/>
  <c r="I21" i="99"/>
  <c r="F26" i="95" s="1"/>
  <c r="L20" i="99"/>
  <c r="I21" i="97"/>
  <c r="F18" i="95" s="1"/>
  <c r="I21" i="98"/>
  <c r="F24" i="95" s="1"/>
  <c r="L20" i="98"/>
  <c r="D40" i="73"/>
  <c r="I19" i="73" s="1"/>
  <c r="I20" i="73" s="1"/>
  <c r="F40" i="98"/>
  <c r="D40" i="98" s="1"/>
  <c r="I19" i="98" s="1"/>
  <c r="I20" i="98" s="1"/>
  <c r="E24" i="95" s="1"/>
  <c r="D40" i="81"/>
  <c r="I19" i="81" s="1"/>
  <c r="I20" i="81" s="1"/>
  <c r="F40" i="99"/>
  <c r="D40" i="99" s="1"/>
  <c r="I19" i="99" s="1"/>
  <c r="I20" i="99" s="1"/>
  <c r="E26" i="95" s="1"/>
  <c r="D40" i="67"/>
  <c r="I19" i="67" s="1"/>
  <c r="I20" i="67" s="1"/>
  <c r="F40" i="97"/>
  <c r="D40" i="97" s="1"/>
  <c r="I19" i="97" s="1"/>
  <c r="I20" i="97" s="1"/>
  <c r="E18" i="95" s="1"/>
  <c r="D40" i="63"/>
  <c r="I19" i="63" s="1"/>
  <c r="I20" i="63" s="1"/>
  <c r="F40" i="96"/>
  <c r="D40" i="96" s="1"/>
  <c r="I19" i="96" s="1"/>
  <c r="I20" i="96" s="1"/>
  <c r="E13" i="95" s="1"/>
  <c r="N39" i="90"/>
  <c r="N77" i="90"/>
  <c r="I20" i="87"/>
  <c r="I20" i="56"/>
  <c r="I20" i="60"/>
  <c r="I20" i="80"/>
  <c r="I20" i="71"/>
  <c r="I20" i="55"/>
  <c r="I20" i="54"/>
  <c r="I20" i="58"/>
  <c r="I20" i="69"/>
  <c r="I20" i="64"/>
  <c r="I20" i="66"/>
  <c r="I20" i="78"/>
  <c r="I20" i="83"/>
  <c r="I20" i="76"/>
  <c r="I20" i="65"/>
  <c r="I20" i="57"/>
  <c r="I20" i="79"/>
  <c r="I20" i="70"/>
  <c r="I20" i="84"/>
  <c r="E11" i="95" a="1"/>
  <c r="E32" i="95" a="1"/>
  <c r="E15" i="95" a="1"/>
  <c r="E29" i="95" a="1"/>
  <c r="E20" i="95" a="1"/>
  <c r="E16" i="95" a="1"/>
  <c r="E6" i="95" a="1"/>
  <c r="E30" i="95" a="1"/>
  <c r="E22" i="95" a="1"/>
  <c r="E7" i="95" a="1"/>
  <c r="E8" i="95" a="1"/>
  <c r="E17" i="95" a="1"/>
  <c r="E5" i="95" a="1"/>
  <c r="E34" i="95" a="1"/>
  <c r="E31" i="95" a="1"/>
  <c r="E33" i="95" a="1"/>
  <c r="E9" i="95" a="1"/>
  <c r="E21" i="95" a="1"/>
  <c r="G18" i="101" l="1"/>
  <c r="G19" i="101"/>
  <c r="H19" i="101" s="1"/>
  <c r="H16" i="101"/>
  <c r="G17" i="101"/>
  <c r="H17" i="101" s="1"/>
  <c r="G11" i="101"/>
  <c r="H11" i="101" s="1"/>
  <c r="G10" i="101"/>
  <c r="H10" i="101" s="1"/>
  <c r="E33" i="95"/>
  <c r="E11" i="95"/>
  <c r="E32" i="95"/>
  <c r="E22" i="95"/>
  <c r="E8" i="95"/>
  <c r="E16" i="95"/>
  <c r="E29" i="95"/>
  <c r="E30" i="95"/>
  <c r="E7" i="95"/>
  <c r="E17" i="95"/>
  <c r="E34" i="95"/>
  <c r="E31" i="95"/>
  <c r="E15" i="95"/>
  <c r="E9" i="95"/>
  <c r="E6" i="95"/>
  <c r="E21" i="95"/>
  <c r="E20" i="95"/>
  <c r="E5" i="95"/>
  <c r="H18" i="101" l="1"/>
  <c r="G9" i="101"/>
  <c r="H9" i="10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<sst xmlns="http://schemas.openxmlformats.org/spreadsheetml/2006/main" count="7971" uniqueCount="398">
  <si>
    <t>Project ID</t>
  </si>
  <si>
    <t>Project Description</t>
  </si>
  <si>
    <t>Reg ID</t>
  </si>
  <si>
    <t>Reg ID Description</t>
  </si>
  <si>
    <t>Asset Class</t>
  </si>
  <si>
    <t>&lt;asset class&gt;</t>
  </si>
  <si>
    <t>RIN Classification (Network / Non-Network)</t>
  </si>
  <si>
    <t>RIN Category (Primary Driver - Augex/Repex/Non-Network)</t>
  </si>
  <si>
    <t>Project Master Data</t>
  </si>
  <si>
    <t>Project Maturity (Trial, Pilot, BAU)</t>
  </si>
  <si>
    <t>Project Theme</t>
  </si>
  <si>
    <t>ICT Component (High / Med / Low)</t>
  </si>
  <si>
    <t xml:space="preserve">NIAC Project Prioritisation Principles </t>
  </si>
  <si>
    <t>Rating (1 – 5)</t>
  </si>
  <si>
    <t>Weight</t>
  </si>
  <si>
    <t>Score</t>
  </si>
  <si>
    <t>Project Summary</t>
  </si>
  <si>
    <t>Accelerates decarbonisation</t>
  </si>
  <si>
    <t>Total NPC (real)</t>
  </si>
  <si>
    <t>Improves resilience</t>
  </si>
  <si>
    <t>Total NPV (real)</t>
  </si>
  <si>
    <t>Lowers costs for customers</t>
  </si>
  <si>
    <t>BCR (indicative)</t>
  </si>
  <si>
    <t>Improves fairness</t>
  </si>
  <si>
    <t>Total</t>
  </si>
  <si>
    <t>Year 1</t>
  </si>
  <si>
    <t>Year 3</t>
  </si>
  <si>
    <t>Year 4</t>
  </si>
  <si>
    <t>Year 5</t>
  </si>
  <si>
    <t>Year 6</t>
  </si>
  <si>
    <t>Year 7</t>
  </si>
  <si>
    <t>Year 8</t>
  </si>
  <si>
    <t>Year 9</t>
  </si>
  <si>
    <t>Year 10</t>
  </si>
  <si>
    <t>Year 11</t>
  </si>
  <si>
    <t>Year 12</t>
  </si>
  <si>
    <t>Year 13</t>
  </si>
  <si>
    <t>Year 14</t>
  </si>
  <si>
    <t>Year 15</t>
  </si>
  <si>
    <t>Quantity (widgets)</t>
  </si>
  <si>
    <t>Cost Benefit Analysis</t>
  </si>
  <si>
    <t>Discount rate</t>
  </si>
  <si>
    <t>Capex Cost</t>
  </si>
  <si>
    <t>Opex Cost</t>
  </si>
  <si>
    <t>Total and NPC</t>
  </si>
  <si>
    <t>Aggregate benefits</t>
  </si>
  <si>
    <t>Net Total and NPV (indicative only)</t>
  </si>
  <si>
    <t>Benefits Model (Complete pu benefits or overall benefits - not both)</t>
  </si>
  <si>
    <t xml:space="preserve">Per unit Benefits </t>
  </si>
  <si>
    <t>$</t>
  </si>
  <si>
    <t>Safety</t>
  </si>
  <si>
    <t>Public Safety</t>
  </si>
  <si>
    <t>Fire</t>
  </si>
  <si>
    <t>Environment</t>
  </si>
  <si>
    <t>Worker Safety</t>
  </si>
  <si>
    <t>Capex efficiency</t>
  </si>
  <si>
    <t>Planning and design efficiencies</t>
  </si>
  <si>
    <t>Increased asset/network utilisation</t>
  </si>
  <si>
    <t>Improved repex prioritisation</t>
  </si>
  <si>
    <t>life extension</t>
  </si>
  <si>
    <t>lower cost assets</t>
  </si>
  <si>
    <t>planned vs unplanned repair trade-off</t>
  </si>
  <si>
    <t>Opex Efficiency</t>
  </si>
  <si>
    <t>reduced maintenance</t>
  </si>
  <si>
    <t>reduced field operations</t>
  </si>
  <si>
    <t>Market benefits</t>
  </si>
  <si>
    <t>Unserved energy</t>
  </si>
  <si>
    <t>Value of curtailment</t>
  </si>
  <si>
    <t>Wholesale pricing (market efficiency)</t>
  </si>
  <si>
    <t>Community value of resilience</t>
  </si>
  <si>
    <t>Carbon emission reductions</t>
  </si>
  <si>
    <t>Reduced losses</t>
  </si>
  <si>
    <t>Customer Time</t>
  </si>
  <si>
    <t xml:space="preserve">Overall Project Benefits </t>
  </si>
  <si>
    <t>Cost Model (Complete pu costs or overall costs - not both)</t>
  </si>
  <si>
    <t>Per unit cost</t>
  </si>
  <si>
    <t>Capex</t>
  </si>
  <si>
    <t>On-going opex (cumulative)</t>
  </si>
  <si>
    <t>Overall Project Costs</t>
  </si>
  <si>
    <t>On-going opex</t>
  </si>
  <si>
    <t>Project Cost build-up</t>
  </si>
  <si>
    <t>Ausgrid’s 2024-29 Revised Regulatory Proposal</t>
  </si>
  <si>
    <t>Attachment 5.8.1 - Network innovation CBA model</t>
  </si>
  <si>
    <t>Network Innovation - Cost-Benefit Analysis</t>
  </si>
  <si>
    <t>Overview</t>
  </si>
  <si>
    <t>The Network Innovation Program - Cost-Benefit Analysis Model is consists of individual cost-benefit analyses of all projects in the Network Innovation Program project list.
The diagram below outlines the process used in the CBA model, which is contained in this workbook and outlined in the diagram below:</t>
  </si>
  <si>
    <t>Contents - CBA Model</t>
  </si>
  <si>
    <t>Tab No.</t>
  </si>
  <si>
    <t>Title</t>
  </si>
  <si>
    <t>Description</t>
  </si>
  <si>
    <t>Cover page</t>
  </si>
  <si>
    <t>Information</t>
  </si>
  <si>
    <t>Description of the process and table of contents</t>
  </si>
  <si>
    <t>Input and assumptions</t>
  </si>
  <si>
    <t>Overview of the value metrics used to calculate benefits across each project and assumptions</t>
  </si>
  <si>
    <t>Line item overview for each project including unit costs, benefits, benefit-cost ratio (BCR) and program theme</t>
  </si>
  <si>
    <t>Benefits Summary</t>
  </si>
  <si>
    <t>Summary of project benefits</t>
  </si>
  <si>
    <t>Benefits Detail</t>
  </si>
  <si>
    <t>Breakdown of benefits by project</t>
  </si>
  <si>
    <t>7 - 40</t>
  </si>
  <si>
    <t>Individual project business cases</t>
  </si>
  <si>
    <t>Individual cost-benefit analyses of all projects in the Network Innovation Program project list</t>
  </si>
  <si>
    <t>Key Inputs &amp; Assumptions</t>
  </si>
  <si>
    <t>This tab includes the key inputs and assumptions utilised broadly across the modelling and for assessment of the available benefits pool</t>
  </si>
  <si>
    <t>Key Assumptions</t>
  </si>
  <si>
    <t>Value</t>
  </si>
  <si>
    <t>Weighted average cost of capital</t>
  </si>
  <si>
    <t>Average project start time (as % of 5 year reg period)</t>
  </si>
  <si>
    <t>Investment safety margin</t>
  </si>
  <si>
    <t>Success factor for realising the benefits - Preferred</t>
  </si>
  <si>
    <t>Success factor for realising the benefits - Upper bound</t>
  </si>
  <si>
    <t>Success factor for realising the benefits - Lower bound</t>
  </si>
  <si>
    <t>Ausgrid's value framework</t>
  </si>
  <si>
    <t>Project master data</t>
  </si>
  <si>
    <t>Value Category</t>
  </si>
  <si>
    <t>Methodology</t>
  </si>
  <si>
    <t>Estimated total Risk/Benefit ($m pa)</t>
  </si>
  <si>
    <t>Benefit/Cost model</t>
  </si>
  <si>
    <t>Aggregate risk modelling for whole of network monetised risk</t>
  </si>
  <si>
    <t>OTI_03.19-1</t>
  </si>
  <si>
    <t xml:space="preserve">CER Support &amp; Enablement </t>
  </si>
  <si>
    <t>Per Unit</t>
  </si>
  <si>
    <t>OTI_03.19-2</t>
  </si>
  <si>
    <t>Safe, Intelligent Networks (Devices)</t>
  </si>
  <si>
    <t>Overall</t>
  </si>
  <si>
    <t>OTI_03.19-3</t>
  </si>
  <si>
    <t>Safe, Intelligent Networks (Systems)</t>
  </si>
  <si>
    <t>OTI_03.19-4</t>
  </si>
  <si>
    <t>Community Resilience</t>
  </si>
  <si>
    <t>ICT Component</t>
  </si>
  <si>
    <t>RIN Classification</t>
  </si>
  <si>
    <t>High</t>
  </si>
  <si>
    <t>Total PIP value for planning support</t>
  </si>
  <si>
    <t>Network</t>
  </si>
  <si>
    <t>Medium</t>
  </si>
  <si>
    <t>Total PIP value for augex investment</t>
  </si>
  <si>
    <t>Non-Network</t>
  </si>
  <si>
    <t>Low</t>
  </si>
  <si>
    <t>Repex * WACC rate</t>
  </si>
  <si>
    <t>Total PIP value for repex investment</t>
  </si>
  <si>
    <t>RIN Category (Primary Driver)</t>
  </si>
  <si>
    <t>Total PIP value - augex+repex</t>
  </si>
  <si>
    <t>Augex</t>
  </si>
  <si>
    <t>17% (From value framework draft) of total breakdown opex</t>
  </si>
  <si>
    <t>Repex</t>
  </si>
  <si>
    <t>Total maintenance costs</t>
  </si>
  <si>
    <t>Project Maturity</t>
  </si>
  <si>
    <t>Total PIP + opex assumption</t>
  </si>
  <si>
    <t>Trial</t>
  </si>
  <si>
    <t>Pilot</t>
  </si>
  <si>
    <t>BAU</t>
  </si>
  <si>
    <t xml:space="preserve">Total VoLL for Ausgrid </t>
  </si>
  <si>
    <t>Not applied</t>
  </si>
  <si>
    <t>Assumed delta on wholesale price savings from solar soak trial analysis</t>
  </si>
  <si>
    <t>Dynamic &amp; Flexible Network Operation</t>
  </si>
  <si>
    <t>Dynamic &amp; Flexible Network Planning</t>
  </si>
  <si>
    <t>50MT Co2e pa NSW station energy ~ 30MT Co2 pa AG * $50t (AG component .9mt CO2 pA - FY21 sustainability report)</t>
  </si>
  <si>
    <t>Digital Transformation</t>
  </si>
  <si>
    <t>Total energy  volume in network (~25407GWh in FY21) * $50/MWh*3.7% losses (loss % from enviro report)</t>
  </si>
  <si>
    <t>Emerging Technology Trials</t>
  </si>
  <si>
    <t>Value of 1 hr of time per customer</t>
  </si>
  <si>
    <t>Project List</t>
  </si>
  <si>
    <t>This tab includes a list of the projects and a summary of the project cost, NIAC principle alignment scoring and benefit to cost ratios</t>
  </si>
  <si>
    <t>ID</t>
  </si>
  <si>
    <t>Project Title</t>
  </si>
  <si>
    <t>BCR (50% risk)</t>
  </si>
  <si>
    <t>NIAC score</t>
  </si>
  <si>
    <t>PR005</t>
  </si>
  <si>
    <t>PR012</t>
  </si>
  <si>
    <t>PR013</t>
  </si>
  <si>
    <t>PR015</t>
  </si>
  <si>
    <t>PR016</t>
  </si>
  <si>
    <t>PR017</t>
  </si>
  <si>
    <t>PR018</t>
  </si>
  <si>
    <t>PR019</t>
  </si>
  <si>
    <t>PR023</t>
  </si>
  <si>
    <t>PR026</t>
  </si>
  <si>
    <t>PR027</t>
  </si>
  <si>
    <t>PR028</t>
  </si>
  <si>
    <t>PR029</t>
  </si>
  <si>
    <t>PR031</t>
  </si>
  <si>
    <t>PR035</t>
  </si>
  <si>
    <t>PR036</t>
  </si>
  <si>
    <t>PR039</t>
  </si>
  <si>
    <t>PR040</t>
  </si>
  <si>
    <t>PR042</t>
  </si>
  <si>
    <t>PR043</t>
  </si>
  <si>
    <t>PR105</t>
  </si>
  <si>
    <t>PR049</t>
  </si>
  <si>
    <t>PR084</t>
  </si>
  <si>
    <t>PR074</t>
  </si>
  <si>
    <t>PR082</t>
  </si>
  <si>
    <t>PR089</t>
  </si>
  <si>
    <t>PR109</t>
  </si>
  <si>
    <t>PR180</t>
  </si>
  <si>
    <t>PR181</t>
  </si>
  <si>
    <t>PR182</t>
  </si>
  <si>
    <t>PR183</t>
  </si>
  <si>
    <t>Network Innovation Benefit Summary</t>
  </si>
  <si>
    <t>This tab provides a summary of the program benefits by high level benefit category for contribution over the life of the assets, the present value of the benefits over their life and the present value over the first 5 years of the projects</t>
  </si>
  <si>
    <t>Benefits summary</t>
  </si>
  <si>
    <t>Program Benefit Summary</t>
  </si>
  <si>
    <t>Total program cost</t>
  </si>
  <si>
    <t>PV of 2024-29 benefits</t>
  </si>
  <si>
    <t>Present value of total benefits</t>
  </si>
  <si>
    <t>Total lifetime benefits</t>
  </si>
  <si>
    <t>Sensitivity analysis for benefits realised during 2024-29 period</t>
  </si>
  <si>
    <t xml:space="preserve">PV of benefits Year 1-5  </t>
  </si>
  <si>
    <t>% of benefits realised</t>
  </si>
  <si>
    <t>Sensitivity calculations above use assumptions contained in the</t>
  </si>
  <si>
    <t>'Other Assumptions' table of the 'Inputs and Assumptions' tab</t>
  </si>
  <si>
    <t>Benefit Breakdown by Project</t>
  </si>
  <si>
    <t>This tab describes the project level benefits broken down by the type of benefit for contribution over the life of the assets, the present value of the benefits over their life and the present value over the first 5 years of the projects</t>
  </si>
  <si>
    <t>Present value of lifetime benefits</t>
  </si>
  <si>
    <t>Present value of benefits (Year 1-5)</t>
  </si>
  <si>
    <t>Multi-functional overhead line prediction sensors</t>
  </si>
  <si>
    <r>
      <t xml:space="preserve">Climate modelling suggests that there will be an increasing impact of severe weather impacts on Ausgrid’s network over the next 50 years. This trend, coupled with the increasing electrification of society, particularly through dependencies on communications, the internet and increasingly transportation, will lead to an on-going need to improve the reliability, security and resilience of the network. One approach to achieve this is to reduce the risk of asset failures, through more pro-active monitoring of emerging risks and defects before they result in a failure. Whilst not applicable to all areas of the network, there are areas of increasing risk where the existing reliability is poor, and the susceptibility to impacts from natural disasters is increasing. In these locations, it may be beneficial to deploy more advanced monitoring technology which can mitigate the risk and improve the performance of those network areas. 
With technology evolving in this space, now there are a large range of novel sensors available in the market based on technologies such as LiDAR which can not only help with real-time condition monitoring but also explore other use cases such as dynamic line rating. Through this project Ausgrid is proposing to trial multi-functional sensors to proactively identify network faults and provide reliable power to our customers. This will involve developing a specification, market sourcing strategy, standard design, site specific designs, operating manuals, safety processes and a trial plan, before installing these units across different parts of the network, complementing the mitigation of other network risk factors.
</t>
    </r>
    <r>
      <rPr>
        <b/>
        <sz val="10"/>
        <rFont val="Calibri"/>
        <family val="2"/>
        <scheme val="minor"/>
      </rPr>
      <t>Benefit quantification:</t>
    </r>
    <r>
      <rPr>
        <sz val="10"/>
        <rFont val="Calibri"/>
        <family val="2"/>
        <scheme val="minor"/>
      </rPr>
      <t xml:space="preserve">  Assumes a small proportion of network faults are avoided and defects are dealt with in a proactive rather than reactive manner and some reduction in operational field visits.</t>
    </r>
  </si>
  <si>
    <t>Intelligent Electronic Devices</t>
  </si>
  <si>
    <t>AER Capex Objectives</t>
  </si>
  <si>
    <t>FY25-29 Project Capex</t>
  </si>
  <si>
    <t>Meet or manage expected demand</t>
  </si>
  <si>
    <t>-</t>
  </si>
  <si>
    <t>FY25-29 Project Opex</t>
  </si>
  <si>
    <t>Complies with regulatory obligations or requirements</t>
  </si>
  <si>
    <t>Present Value of benefits</t>
  </si>
  <si>
    <t>Maintains the safety, quality, reliability and security of supply of the network</t>
  </si>
  <si>
    <t>YES</t>
  </si>
  <si>
    <t>PV of benefits Year 1-5</t>
  </si>
  <si>
    <t>Project score</t>
  </si>
  <si>
    <t>Improves safety for employees &amp; the community</t>
  </si>
  <si>
    <t>Project quantities/phasing</t>
  </si>
  <si>
    <t>Year 2</t>
  </si>
  <si>
    <t>Phasing (%)</t>
  </si>
  <si>
    <t>Capex Cost (50% risk)</t>
  </si>
  <si>
    <t>Total (50% risk)</t>
  </si>
  <si>
    <t>% claimed</t>
  </si>
  <si>
    <r>
      <t xml:space="preserve">Estimates from reference project:
Early Fault Detection polyphase unit - $11,500 each
Solar Power unit (addition) - $3,990 each
Initial cost estimates:
Planning &amp; Installation - $4,000 (1/3 day for crew + operator + project officer)
Equipment &amp; Services - $12,625 (allows for half the sites to have solar units)
Design - $1,000  (Install of 22 units / allocated design costs to each site)
Project Management - $455 (20,000 PM costs allocated per site)
Training / Workshops - $455 (20,000 across project)
</t>
    </r>
    <r>
      <rPr>
        <b/>
        <sz val="10"/>
        <rFont val="Calibri"/>
        <family val="2"/>
        <scheme val="minor"/>
      </rPr>
      <t>Total =</t>
    </r>
    <r>
      <rPr>
        <sz val="10"/>
        <rFont val="Calibri"/>
        <family val="2"/>
        <scheme val="minor"/>
      </rPr>
      <t xml:space="preserve"> $18,534 per pole plus adjustments, including interruptions for multi-functional sensors
(</t>
    </r>
    <r>
      <rPr>
        <b/>
        <sz val="10"/>
        <rFont val="Calibri"/>
        <family val="2"/>
        <scheme val="minor"/>
      </rPr>
      <t>4-5 installations per trial site</t>
    </r>
    <r>
      <rPr>
        <sz val="10"/>
        <rFont val="Calibri"/>
        <family val="2"/>
        <scheme val="minor"/>
      </rPr>
      <t>)</t>
    </r>
  </si>
  <si>
    <t>Fault Prediction Intelligence System</t>
  </si>
  <si>
    <r>
      <t xml:space="preserve">Each year the amount of network information captured and recorded is growing rapidly.  As the grid and supporting technology evolves, there will be more data points across the network that will become available and as the cost drops, the scale at which they are deployed will increase. These include various sensors across the network, smart meter data, LIDAR derived spatial models, weather data etc. As we capture more of this kind of information from a variety of sources, there is an opportunity to bring them together with existing datasets (like outage data, feeder waveform monitoring, asset condition, weather, load data etc.) and create a centralised hub of intelligence for the network. This will help construct an intelligent fault prediction system by mining information from a wide range of data sets, finding correlations as well as appropriate normalising data.
Such a system will be able to analyse information from more than one source and "join the dots" to draw insights which will result in a safer, more efficient and resilient network.
</t>
    </r>
    <r>
      <rPr>
        <b/>
        <sz val="10"/>
        <color theme="1"/>
        <rFont val="Calibri"/>
        <family val="2"/>
        <scheme val="minor"/>
      </rPr>
      <t>Benefit quantification:</t>
    </r>
    <r>
      <rPr>
        <sz val="10"/>
        <color theme="1"/>
        <rFont val="Calibri"/>
        <family val="2"/>
        <scheme val="minor"/>
      </rPr>
      <t xml:space="preserve"> Assumes this can avoid a small proportion of DMA (defective mains and apparatus) faults and defects are dealt with in a proactive rather than reactive manner, plus risk reduction, operational field visits avoided and unserved energy benefits.</t>
    </r>
  </si>
  <si>
    <t>Estimates based on similar projects:
Labour - $235,000
-Project management/BA
Contracted services - $715,000
- Software development
- Integration and testing</t>
  </si>
  <si>
    <t>Mobile hydrogen units for emergency response</t>
  </si>
  <si>
    <r>
      <t xml:space="preserve">The climate is changing and bringing more frequent and extreme weather events. Through this project, Ausgrid is proposing to deploy small mobile hydrogen-based generators for emergency response. The proposed assets will provide rapid response and long duration capacity to help Ausgrid take a proactive role in energy resilience and provide a targeted response. As well as the ability to be deployed during outages or emergency response, these units may also be appropriate for responding to planned outages.
Ausgrid is proposing to trial hydrogen-based units instead of diesel to help reduce carbon emissions. Hydrogen technology is maturing quickly and there are a number of local vendors starting to offer these solutions. This project will help demonstrated the feasibility of using hydrogen in the field for emergence response/outage management and provide a boost to the local solution providers while delivering customer benefit. This will involve developing a specification, market sourcing strategy, standard design, site deployment plans, operating manuals, safety processes and a trial plan.
</t>
    </r>
    <r>
      <rPr>
        <b/>
        <sz val="10"/>
        <color theme="1"/>
        <rFont val="Calibri"/>
        <family val="2"/>
        <scheme val="minor"/>
      </rPr>
      <t>Benefit quantification:</t>
    </r>
    <r>
      <rPr>
        <sz val="10"/>
        <color theme="1"/>
        <rFont val="Calibri"/>
        <family val="2"/>
        <scheme val="minor"/>
      </rPr>
      <t xml:space="preserve"> Based on prior portable SAPS analysis, unserved energy benefits and reduced field time opex.</t>
    </r>
  </si>
  <si>
    <t>DMOH</t>
  </si>
  <si>
    <t>Estimates below based on quote for mobile emergency solar and storage trailer and large (100kVA) hydrogen generator - 
Small mobile hydrogen generator - $212,500
O&amp;M costs (per unit) - $7,500</t>
  </si>
  <si>
    <t>Low loss asset trials - transformers &amp; reactors</t>
  </si>
  <si>
    <r>
      <t xml:space="preserve">Highly efficient transformers reduce consumption of fuel necessary to accommodate transformer losses. Low loss transformers provide a range of benefits including greater reliability, lower maintenance, and significantly reduced losses. These reductions lead to reduced energy costs and carbon footprint. The environmental benefit is derived from the reduced losses produced over the life of the transformer. This project proposes to trial a small number of low loss transformers and/or reactors across the network at locations where other network risks can be minimised. This will involve developing a specification, market sourcing strategy, standard design, site specific designs, operating manuals, safety processes and a trial plan, before installing the assets across different parts of the network, complementing the mitigation of other network risk factors.
For example, a traditional transformer will consume 20 times their purchase price in energy losses and emit in excess of 73,000kg of CO2. In contrast, a low loss transformer would only consume approximately $600-$900 of energy per year as their losses are less than 1%, taking more than 20 years to consume their initial cost in energy and saving more than 78,000kg CO2 in this period (based on 90kVA system assuming average load of 40kW/h).
</t>
    </r>
    <r>
      <rPr>
        <b/>
        <sz val="10"/>
        <color theme="1"/>
        <rFont val="Calibri"/>
        <family val="2"/>
        <scheme val="minor"/>
      </rPr>
      <t>Benefit quantification:</t>
    </r>
    <r>
      <rPr>
        <sz val="10"/>
        <color theme="1"/>
        <rFont val="Calibri"/>
        <family val="2"/>
        <scheme val="minor"/>
      </rPr>
      <t xml:space="preserve"> Leads to reduction in energy losses across fleet over time with progressive replacement of existing standard loss equipment.</t>
    </r>
  </si>
  <si>
    <t>Distribution</t>
  </si>
  <si>
    <r>
      <t xml:space="preserve">Built from A,B, &amp; C Type Kiosk Replacement Costs:
Labour - $50,000
Material - $370,000 </t>
    </r>
    <r>
      <rPr>
        <b/>
        <sz val="10"/>
        <rFont val="Calibri"/>
        <family val="2"/>
        <scheme val="minor"/>
      </rPr>
      <t>(estimated cost)</t>
    </r>
    <r>
      <rPr>
        <sz val="10"/>
        <rFont val="Calibri"/>
        <family val="2"/>
        <scheme val="minor"/>
      </rPr>
      <t xml:space="preserve">
Contracted Services - $80,000
Total - $500,000</t>
    </r>
  </si>
  <si>
    <t>Low loss asset trials - cables and line designs</t>
  </si>
  <si>
    <r>
      <t xml:space="preserve">Highly efficient cables help reduce losses in the electricity network. These reductions lead to reduced energy costs and carbon footprint. The environmental benefit is derived from the reduced losses produced over the life of the cables. 
Ausgrid has over 8,500 kms of underground circuit, where 17.5% of the cables are over standard life. This project proposes to trial a small quantity of low loss cables and lines by developing a specification, market sourcing strategy, standard design, site specific designs, operating manuals, safety processes and a trial plan, before installing the cables across different parts of the network, hopefully complementing the mitigation of other network risk factors.
</t>
    </r>
    <r>
      <rPr>
        <b/>
        <sz val="10"/>
        <color theme="1"/>
        <rFont val="Calibri"/>
        <family val="2"/>
        <scheme val="minor"/>
      </rPr>
      <t>Benefit quantification:</t>
    </r>
    <r>
      <rPr>
        <sz val="10"/>
        <color theme="1"/>
        <rFont val="Calibri"/>
        <family val="2"/>
        <scheme val="minor"/>
      </rPr>
      <t xml:space="preserve"> Leads to reduction in energy losses across fleet over time with progressive replacement of existing standard loss equipment.</t>
    </r>
  </si>
  <si>
    <t>DMUG</t>
  </si>
  <si>
    <t>Built from Area Plan 11kV UG 3CS (Difficulty 2) Unit Rate:
Labour - $125,120
Material - $7,063
Contracted Services - $1,576,652
Total - $1,708,835</t>
  </si>
  <si>
    <t>Closed Loop Voltage Regulation and Optimisation Control System</t>
  </si>
  <si>
    <r>
      <t xml:space="preserve">This project aims to support customer rooftop solar and battery uptake by improving the voltage regulation scheme at the zone substation level to include voltage data from real time monitoring on the low voltage distribution network and smart meters.
The project seeks to demonstrate an ability to improve customers' power quality and increase the amount of solar that can be connected to the network without having to be curtailed due to voltage constraints.  It will also show how network visibility can be enhanced, by using a combination of data sources, such as low voltage distribution monitoring devices and smart meters. This will be undertaken by deploying a system that can synthesise the available information into an improved voltage regulation scheme and could also be trialled for emergency demand reductions during supply shortages, providing a System Service to AEMO. It will also show how network visibility can be enhanced, by using a combination of data sources, such as smart meters.
</t>
    </r>
    <r>
      <rPr>
        <b/>
        <sz val="10"/>
        <color theme="1"/>
        <rFont val="Calibri"/>
        <family val="2"/>
        <scheme val="minor"/>
      </rPr>
      <t>Benefit quantification:</t>
    </r>
    <r>
      <rPr>
        <sz val="10"/>
        <color theme="1"/>
        <rFont val="Calibri"/>
        <family val="2"/>
        <scheme val="minor"/>
      </rPr>
      <t xml:space="preserve"> Supports the uptake of customer energy resources (CER) and assumes a 1% benefit in reducing losses.</t>
    </r>
  </si>
  <si>
    <t>From replacement program for voltage regulation equipment (including of all design, equipment installation, commissioning):
Replace VR scheme of a transformer unit rate: $153,589
For a three transformer zone substation: $460,767
Total per site - $ 614,356 (estimated)
Estimated cost for 3 sites - $1,843,068
Upfront engineering, type testing of backend systems: ~ $50,000 (fixed cost regardless of number of sites/transformers included in trial)</t>
  </si>
  <si>
    <t>Low embodied carbon asset trial - SF6 alternatives</t>
  </si>
  <si>
    <r>
      <t xml:space="preserve">SF6 gas is used as insulation and as a switching medium in switchgear as it allows for efficient switching and a more compact switchgear design by comparison to conventional air-insulated switchgear. SF6 is a synthetic compound of sulfur and fluroine and has excellent electrical insulation properties. SF6 does not occur normally in nature and when it breaks down it releases toxic substances on incineration, such as an internal arc flash within switchgear. Following an internal arc flash, these toxic gases are then released into the atmosphere. Emissions from SF6 switchgear contribute significantly to the threat of the greenhouse gas effect and the associated climate change. It has been listed in the Kyoto protocol and has been added to the list of extremely harmful greenhouse gases.
In medium voltage switchgear (&lt;52kV), there are alternatives available which may consist of a combination of vacuum technology for switching and high-quality materials for insulation purposes, resulting in minimal dimensions and the same degree of compactness as for SF6 switchgear. This project proposes to trial a small number of SF6 alternatives to determine if they can provide a technically suitable and cost-efficient alternative. This will involve developing a specification, market sourcing strategy, standard design, site specific designs, operating manuals, safety processes and a trial plan, before installing the assets across different parts of the network, hopefully complementing the mitigation of other network risk factors.
</t>
    </r>
    <r>
      <rPr>
        <b/>
        <sz val="10"/>
        <color theme="1"/>
        <rFont val="Calibri"/>
        <family val="2"/>
        <scheme val="minor"/>
      </rPr>
      <t>Benefit quantification:</t>
    </r>
    <r>
      <rPr>
        <sz val="10"/>
        <color theme="1"/>
        <rFont val="Calibri"/>
        <family val="2"/>
        <scheme val="minor"/>
      </rPr>
      <t xml:space="preserve"> Carbon emission benefits only - assume Ausgrid SF6 emissions reduced by 10% in the long run.</t>
    </r>
  </si>
  <si>
    <t>Zone Equipment</t>
  </si>
  <si>
    <t>Built from Area Plan CB Replacements 33kV (Zone) Unit Rate:
Labour - $117,000
Material - $157,000
Contracted Services - $101,000
Total - $375,000</t>
  </si>
  <si>
    <t>Low embodied carbon asset trial - Polypropylene cables</t>
  </si>
  <si>
    <r>
      <t xml:space="preserve">Presently the cables widely used across Ausgrid have a synthetic insulation covering known as cross-linked polyethylene (XLPE). Whilst this is a low cost, easy to process and mechanically flexible cable, the limits on the operating temperature and the difficultly in recycling at end of life require alternative cables to be sort. XLPE as a thermoset material is not easily recyclable. As per the Prysmian's studies the reduction of carbon footprint during polypropylene cable production compared to XPLE is easily 50%. Further, the savings in energy, are almost 75% during cable production. The feature of easy recycling makes polypropylene cables environmentally sound solution.
Polypropylene (PP) appear to satisfy most of the requirements as an alternative to XLPE due to its high mechanical strength without crosslinking, and a high thermal stability with a melting temperature of approximately 165C. The challenge of this using this cable in industry comes from its high elastic modulus which results in its intrinsically high stiffness, which is more than four times that of XLPE. The production process for polypropylene cables is much more simplified compared to that of the XLPE equivalent, resulting in significantly lower costs in terms of acquisition and ongoing operation.
This project proposes to trial a small volume of polypropylene cables to develop a practical understanding how this type of cable can handled, installed and operated under normal and emergency network conditions. This will involve developing a specification, market sourcing strategy, standard design, site specific designs, operating manuals, safety processes and a trial plan, before installing the cables across different parts of the network, hopefully complementing the mitigation of other network risk factors.
</t>
    </r>
    <r>
      <rPr>
        <b/>
        <sz val="10"/>
        <color theme="1"/>
        <rFont val="Calibri"/>
        <family val="2"/>
        <scheme val="minor"/>
      </rPr>
      <t>Benefit quantification:</t>
    </r>
    <r>
      <rPr>
        <sz val="10"/>
        <color theme="1"/>
        <rFont val="Calibri"/>
        <family val="2"/>
        <scheme val="minor"/>
      </rPr>
      <t xml:space="preserve"> Project leads to carbon emissions reduction and energy loss benefits.</t>
    </r>
  </si>
  <si>
    <t>Underground Cables</t>
  </si>
  <si>
    <t>Built from Area Plan 11kV UG 3CS (Difficulty 2) Unit Rate:
Labour - $125,120
Material - $7,063
Contracted Services - $1,576,652
Total - $1,708,835
Trial assumed to be approximately 50% of this cost for the size of the trial. ie. ~$750,000.</t>
  </si>
  <si>
    <t>Pilot CER integration for OT systems</t>
  </si>
  <si>
    <r>
      <t xml:space="preserve">This project is to trial a streamlined method of integrating customer energy resources (CER) into Ausgrid's OT systems.
Recent integrations of CER (e.g. batteries) into the OT systems have been bespoke and the solution varied on a case-by-case basis without a holistic future view of the technology, processes and people. The manufacturer or supplier of each type of technology tends to also provide a platform for control and operation of each type of device, resulting in an inefficient number of platforms, which do not have visibility between each other. So while the integrations have been made into the OT systems, they are not necessarily repeatable or consistent with one another. Whilst manageable as long as the number of integrated CER remains low, but that scenario is highly unlikely. A solution is required to streamline the integration of CER into Ausgrid's OT systems, and that the solution would be repeatable and able to be integrated to other systems (such as a Distributed Energy Resource Management System (DERMS)) which Ausgrid currently do not have.
PR023 is an enabling project for PR026 - please see tabs 'PR026' and 'PR023 + PR026' for a combined view of costs and benefits.
</t>
    </r>
    <r>
      <rPr>
        <b/>
        <sz val="10"/>
        <color theme="1"/>
        <rFont val="Calibri"/>
        <family val="2"/>
        <scheme val="minor"/>
      </rPr>
      <t>Benefit quantification:</t>
    </r>
    <r>
      <rPr>
        <sz val="10"/>
        <color theme="1"/>
        <rFont val="Calibri"/>
        <family val="2"/>
        <scheme val="minor"/>
      </rPr>
      <t xml:space="preserve"> Project will help improve network utilisation.</t>
    </r>
  </si>
  <si>
    <t>Op Tech</t>
  </si>
  <si>
    <t>Estimates based on similar projects:
Labour - $215,000
-Project management/BA
Contracted services - $735,000
- Software development
- Integration and testing</t>
  </si>
  <si>
    <t>Advanced load and generation information system</t>
  </si>
  <si>
    <r>
      <t xml:space="preserve">Load information is used to estimate expected load over time and to guide power system planning strategies. The traditional paradigm of the electricity network has centralised large-scale coal fired generators connected to the transmission network and distributed loads with motors with a lagging power factor. The new paradigm of the electricity network has increasing distributed generations connecting to both transmission and distribution networks, with loads increasingly being dominated by power electronics with a leading power factor.
Load information currently available reflects the needs of the traditional paradigm and not well suited to assess the current evolving network where two-way power flows can significantly impact network performance and customer experience. In order to accurately assess load information, an advanced load information system capable of ingesting voltage data is required. Using voltage data to correlate to load information, networks would be better informed about network limitations, able to manage network voltage, improve hosting capacity on the low voltage network to enable rooftop solar connection and minimise curtailment of distributed generation.
PR023 is an enabling project for PR026 - please see tabs 'PR023' and 'PR023 + PR026' for a combined view of costs and benefits.
</t>
    </r>
    <r>
      <rPr>
        <b/>
        <sz val="10"/>
        <color theme="1"/>
        <rFont val="Calibri"/>
        <family val="2"/>
        <scheme val="minor"/>
      </rPr>
      <t>Benefit quantification:</t>
    </r>
    <r>
      <rPr>
        <sz val="10"/>
        <color theme="1"/>
        <rFont val="Calibri"/>
        <family val="2"/>
        <scheme val="minor"/>
      </rPr>
      <t xml:space="preserve"> More accurate network modelling leading to improvement in operations, planning efficiency and utilisation, optimisation of energy losses and solar curtailment.</t>
    </r>
  </si>
  <si>
    <t>Estimates based on similar projects:
Labour - $220,000
-Project management/BA
Contracted services - $730,000
- Software development
- Integration and testing</t>
  </si>
  <si>
    <t>Advanced load and generation information system with operational technology integration</t>
  </si>
  <si>
    <t>PR023 + PR026</t>
  </si>
  <si>
    <t>PR023 is an enabling project for PR026.
Below is a combined CBA analysis. Please see individual tabs for details on each project including phasing, benefits and project cost build-up.</t>
  </si>
  <si>
    <t>Network state estimator using machine learning</t>
  </si>
  <si>
    <r>
      <t xml:space="preserve">A distribution system or low voltage network (LV) state estimator is required to provide Ausgrid as a Distribution System Operator (DSO) with detailed information regarding the state of the LV network in order to facilitate better decision on network utilisation. Although state estimation is widely used in the transmission networks, the same algorithms used in the transmission network cannot easily be adopted for the distribution network. This is due to the significant differences between the transmission and distribution networks, and there is only now emerging research into state estimation at distribution scales. Transmission network are mostly balanced network, but distribution networks are not; most distribution or LV customers have single phase connection. Measurements on the transmission network are utility owned and reliable; measurements on the distribution networks may not all be utility owned and susceptible to bad data, either low amount of available measurement or low availability. 
The Ausgrid low voltage network has a large number (over 50,000) of overhead and underground switch points that are not remotely monitored, which can lead to inaccuracies about the true state of the network. In addition, in NSW, Accredited Service Providers undertake a large volume customer connection services. This can also lead to inaccurate information being recorded about a customer's connection (e.g. which phase they are connected to).
This project aims to implement and trial a distribution system state estimator for a portion of the distribution network to determine the optimum level of investment required for LV network monitoring. It is also envisaged that a distribution system state estimator will be able to determine if LV switches are left in an abnormal state and enable proactive rectification prior to a contingency or to maximise the value of CER and avoid future interventions.
</t>
    </r>
    <r>
      <rPr>
        <b/>
        <sz val="10"/>
        <color theme="1"/>
        <rFont val="Calibri"/>
        <family val="2"/>
        <scheme val="minor"/>
      </rPr>
      <t>Benefit quantification:</t>
    </r>
    <r>
      <rPr>
        <sz val="10"/>
        <color theme="1"/>
        <rFont val="Calibri"/>
        <family val="2"/>
        <scheme val="minor"/>
      </rPr>
      <t xml:space="preserve"> Leads to improved utilisation of the network &amp; some unserved energy benefits.</t>
    </r>
  </si>
  <si>
    <t>Estimates based on similar projects:
Labour - $310,000
-Project management/BA
Contracted services - $1,790,000
- Software development
- Integration and testing</t>
  </si>
  <si>
    <t>Dynamic ratings calculation system for local weather</t>
  </si>
  <si>
    <r>
      <t xml:space="preserve">Static ratings on the distribution network do not take into account the pre-contingency operating conditions, which can lead to conservative assumptions about the ability to operate network assets in times of normal state and/or emergency response. In addition, current operating practices necessitate resource intensive pre-contingency planning and pre-emptive load relief and/or network radialisation.
This project aims to explore the concept of dynamic ratings calculation, focusing on the overhead sub-transmission network. By using more granular data, which is becoming readily available, and tapping into multiple data sources, this can be done in a more targeted and dynamic way. This helps get the most out of our assets by making extra capacity available at critical peak times while balancing cost and reliability of the power system.
</t>
    </r>
    <r>
      <rPr>
        <b/>
        <sz val="10"/>
        <color theme="1"/>
        <rFont val="Calibri"/>
        <family val="2"/>
        <scheme val="minor"/>
      </rPr>
      <t>Benefit quantification:</t>
    </r>
    <r>
      <rPr>
        <sz val="10"/>
        <color theme="1"/>
        <rFont val="Calibri"/>
        <family val="2"/>
        <scheme val="minor"/>
      </rPr>
      <t xml:space="preserve"> Leads to improved asset utilisation and asset life metrics by stretching capability of existing assets.</t>
    </r>
  </si>
  <si>
    <t>Estimates based on similar projects:
Labour - $190,000
-Project management/BA
Contracted services - $760,000
- Software development
- Integration and testing</t>
  </si>
  <si>
    <t>Micro-climate monitoring to manage intermittent generation</t>
  </si>
  <si>
    <r>
      <t xml:space="preserve">We are seeing a steady increase in the uptake of CER, and it is forecasted to continue to do so as outlined in Ausgrid's CER Strategy. As customers continue to invest in CER, it means increased distributed and flexible generation across the distribution network. The aggregate capacity of consumer-owned generation/CER is starting to reach significant levels. To be able to continue to handle this, we need access to more granular and localised information.
In this project, Ausgrid is proposing to deploy a small number of local weather stations for micro-climate monitoring to help manage intermittent generation. Access to more localised information will facilitate efficient network planning and integration of CER into the distribution network. This data will form a key input and support the dynamic operation of the network, including the dynamic operating envelopes, while helping manage localised constraints. Ausgrid will also look to make this data available to emergency services and local authorities, where appropriate, for wider use.
</t>
    </r>
    <r>
      <rPr>
        <b/>
        <sz val="10"/>
        <color theme="1"/>
        <rFont val="Calibri"/>
        <family val="2"/>
        <scheme val="minor"/>
      </rPr>
      <t>Benefit quantification:</t>
    </r>
    <r>
      <rPr>
        <sz val="10"/>
        <color theme="1"/>
        <rFont val="Calibri"/>
        <family val="2"/>
        <scheme val="minor"/>
      </rPr>
      <t xml:space="preserve"> Access to more granular and localised data helps manage intermittent generation, reduce bushfire risk and unserved energy.</t>
    </r>
  </si>
  <si>
    <t>Estimated per unit costs:
Material and equipment - $18,500
Planning and installation cost - $ 1,500
Integration cost - $4,000
Total (per unit) - $24,000
On going O&amp;M and SaaS (or comms) costs - $1,200</t>
  </si>
  <si>
    <t>Low cost automated low voltage switch trial</t>
  </si>
  <si>
    <r>
      <t xml:space="preserve">This project involves the application of automation logic and functionality to LV switchgear. Modern switchgear are predominantly controlled by microprocessors equipped with communication capabilities. The primary objective of this project is to establish automation across these devices, enabling the network to switch automatically for enhanced performance. This will be deployed across a small quantity of locations where network benefit is highest.
Key customer and network benefits from automated LV switches include:
- Increased safety and network visibility
- Automatic Load Flow optimization
- Operator Error Risk Reduction
- Mitigating Outages and reduced Outage Duration
PR031 is an enabling project for PR035 - please see tabs 'PR035' and 'PR031 + PR035' for a combined view of costs and benefits.
</t>
    </r>
    <r>
      <rPr>
        <b/>
        <sz val="10"/>
        <color theme="1"/>
        <rFont val="Calibri"/>
        <family val="2"/>
        <scheme val="minor"/>
      </rPr>
      <t>Benefit quantification:</t>
    </r>
    <r>
      <rPr>
        <sz val="10"/>
        <color theme="1"/>
        <rFont val="Calibri"/>
        <family val="2"/>
        <scheme val="minor"/>
      </rPr>
      <t xml:space="preserve"> Project allow reconfiguration of LV distributor to resolve safety, address voltage constraints and provide unserved energy benefits.</t>
    </r>
  </si>
  <si>
    <t>Kiosk Sub Equipment</t>
  </si>
  <si>
    <t xml:space="preserve">Estimated per unit cost based on similar projects -
Equipment - $17,500
Labour - $7,200 (2-3 days x 3 FTE)
ADMS integration - $200 (2 hours x 1 FTE)
Planning/Project management - $100
</t>
  </si>
  <si>
    <t>Dynamic network sectionalising and optimisation engine</t>
  </si>
  <si>
    <r>
      <t xml:space="preserve">Effective network sectionalising when used to optimise open points on the network can be considered from the following perspectives and benefits:
- Network utilisation: improve and optimise when network is abnormally configured due to planned or unplanned work.
- Customer reliability: ensure that network configuration is optimised for fault preconditions and also automatic Fault Location Isolation and Supply Restoration (FLISR).
- Network resilience: optimising locations of open points and automatic switches for weather related impact.
This project aims to develop a system to be used as a proof-of-concept, starting with the overhead network. This will be tested alongside current control, operation &amp; planning processes to test predicted outcomes. When trial objectives have been met, then we will seek to develop this into a pilot tool to apply across the network in a more integrated fashion to maximise the potential benefits.
PR031 is an enabling project for PR035 - please see tabs 'PR031' and 'PR031 + PR035' for a combined view of costs and benefits.
</t>
    </r>
    <r>
      <rPr>
        <b/>
        <sz val="10"/>
        <color theme="1"/>
        <rFont val="Calibri"/>
        <family val="2"/>
        <scheme val="minor"/>
      </rPr>
      <t>Benefit quantification:</t>
    </r>
    <r>
      <rPr>
        <sz val="10"/>
        <color theme="1"/>
        <rFont val="Calibri"/>
        <family val="2"/>
        <scheme val="minor"/>
      </rPr>
      <t xml:space="preserve"> Project will lead to faster response to outages, reducing unserved energy and field operational visits by preconfiguring and reconfiguring network. Also allows minor uplift in utilisation.</t>
    </r>
  </si>
  <si>
    <t>Estimates based on similar projects:
Labour - $215,000
-Project management/BA
Contracted services - $935,000
- Software development
- Integration and testing</t>
  </si>
  <si>
    <t>Dynamic network sectionalising and optimisation engine utilising HV and LV remote switching</t>
  </si>
  <si>
    <t>PR031 + PR035</t>
  </si>
  <si>
    <t>PR031 is an enabling project for PR035.
Below is a combined CBA analysis. Please see individual tabs for details on each project including phasing, benefits and project cost build-up.</t>
  </si>
  <si>
    <t>Pilot high accuracy underground cable safety &amp; fault prediction monitors</t>
  </si>
  <si>
    <r>
      <t xml:space="preserve">The High Accuracy Loop Impedance Meter (HALIM) assesses the condition of the neutral conductors in underground low voltage cables such as CONSAC and other cables susceptible to neutral conductor degradation over time. Monitoring of the cables will reduce premature replacement, as well as identify degraded cables to help prioritise replacement prior to breakdown and remove potential public safety hazards. In the 2019-24 period, Ausgrid have deployed two of these devices as a trial - whilst the devices are functioning well, they are currently installed on cables that appear to be in good condition. This pilot will expand the installation of these devices across the CONSAC and HDPE population in an effort to realise the expected benefits.
Ausgrid has approximately 14% or 840km of low voltage cables asset base being CONSAC or HDPE. One dominant failure mode is corrosion and failure of the neutral conductor, which results in loss of supply as well as significant safety risks to customers. Asset condition monitoring of these cables will ensure detection of deterioration and ensure replacement in a planned and systematic manner that maintains a cost-effective approach while maintaining the safety of the system.
</t>
    </r>
    <r>
      <rPr>
        <b/>
        <sz val="10"/>
        <color theme="1"/>
        <rFont val="Calibri"/>
        <family val="2"/>
        <scheme val="minor"/>
      </rPr>
      <t>Benefit quantification:</t>
    </r>
    <r>
      <rPr>
        <sz val="10"/>
        <color theme="1"/>
        <rFont val="Calibri"/>
        <family val="2"/>
        <scheme val="minor"/>
      </rPr>
      <t xml:space="preserve"> Project helps in the reduction of asset failure risk and safety incidents by targeting to high-risk failure locations while also extending the life of assets with perceived poor condition.</t>
    </r>
  </si>
  <si>
    <t>Built from OTI program HALIM Unit Rate:
Labour - $2,000
Material - $2,500
Total - $4,500</t>
  </si>
  <si>
    <t>Wires down detection device trials</t>
  </si>
  <si>
    <r>
      <t xml:space="preserve">Energised broken conductors present significant safety risks to customers and workers. Unlike some of the other faults that occur on the network, broken conductors can bring high voltage lines into close proximity of the general public and the most common protection techniques for overhead distribution lines cannot detect this. Although broken conductors represent a smaller percentage of faults on the distribution network, their consequences can be very significant and can result in death. 
There are several ways to detect broken conductors. For example, installing devices like a specialised pole mounted auto-recloser on the network which uses a negative phase sequence protection technique. Also, in the 2019-24 regulatory period, Ausgrid commenced a broken conductor trial using data from existing assets and tested two techniques - one using negative sequence current and voltage and the other looking at voltage magnitudes. This project is looking to further explore the different ways to detect broken conductors, the types of network configuration each is effective for and scale the most effective and efficient methods including the integration of further datasets and devices. 
</t>
    </r>
    <r>
      <rPr>
        <b/>
        <sz val="10"/>
        <rFont val="Calibri"/>
        <family val="2"/>
        <scheme val="minor"/>
      </rPr>
      <t>Benefit quantification:</t>
    </r>
    <r>
      <rPr>
        <sz val="10"/>
        <rFont val="Calibri"/>
        <family val="2"/>
        <scheme val="minor"/>
      </rPr>
      <t xml:space="preserve"> Project leads to reduction of bushfire risk, increased safety and property damage avoidance.</t>
    </r>
  </si>
  <si>
    <t>OH Equipment</t>
  </si>
  <si>
    <t>Built from REP 11kV OH ELBS Unit Rate
Labour - $32,605
Material - $55,000
Total - $87,605
Assumed to replace existing devices with a modern equivalent with wires down capability.</t>
  </si>
  <si>
    <t>AI driven defect identification trial</t>
  </si>
  <si>
    <r>
      <t xml:space="preserve">As Artificial Intelligence (AI) technology matures, it brings with it a lot of opportunities to apply it and machine learning techniques to diverse data sets and industries to open up a lot of use cases. One such use case is asset condition assessments for electricity networks. Several networks within Europe and the USA are beginning to use AI to assess captured imagery from helicopters and drones to provide automated condition assessments to look for potential defects in their power lines and poles such as corrosion, broken or missing hardware and vegetation growth. Potential benefits of these assessments includes improved the safety, efficiency and reliability of the network.
This technology provides an opportunity to proactively identify emerging issues and risks on the network, particularly on and connected to the overhead network. At present, Ausgrid has limited ability to proactively identify issues on these assets and are dependent on five-year inspection cycles, reaction to faults or incidents. Emerging technology to detect these issues, at a cost competitive price point, should provide an improvement in service and safety for customers, workers, and the general public. This proposed project involves engaging a specialist service provider to develop and undertake AI based analysis, including the development and integration of required software.
</t>
    </r>
    <r>
      <rPr>
        <b/>
        <sz val="10"/>
        <color theme="1"/>
        <rFont val="Calibri"/>
        <family val="2"/>
        <scheme val="minor"/>
      </rPr>
      <t>Benefit quantification:</t>
    </r>
    <r>
      <rPr>
        <sz val="10"/>
        <color theme="1"/>
        <rFont val="Calibri"/>
        <family val="2"/>
        <scheme val="minor"/>
      </rPr>
      <t xml:space="preserve"> Project will help identify additional defects and facilitates proactive prioritisation.</t>
    </r>
  </si>
  <si>
    <t>Estimates based on similar projects:
Labour - $100,000
-Project management/BA
Contracted services - $375,000
- Software development
- Integration</t>
  </si>
  <si>
    <t>Advanced smart meter services integration for resilient load management</t>
  </si>
  <si>
    <r>
      <t xml:space="preserve">As more power quality meter data and advanced services become available with the increasing penetration of smart meters, there is an opportunity to explore more use case and drive efficiencies and better outcomes for customers.
During the 2019-24 regulatory period, Ausgrid trailed the use of smart meter data to detect loss of neutral. These platforms are maturing and becoming more sophisticated which brings with it a range of new use cases to explore and extract more value from the existing smart meter data sets. Through this project, Ausgrid is proposing to explore advanced services that are enabled by the uptake and access to smart meter data. These services will help planners optimise the LV network and enable Ausgrid to build the foundation of a dynamic and flexible network. This project is dependent on sourcing advanced smart meter services as part of our opex step change.
</t>
    </r>
    <r>
      <rPr>
        <b/>
        <sz val="10"/>
        <color theme="1"/>
        <rFont val="Calibri"/>
        <family val="2"/>
        <scheme val="minor"/>
      </rPr>
      <t>Benefit quantification:</t>
    </r>
    <r>
      <rPr>
        <sz val="10"/>
        <color theme="1"/>
        <rFont val="Calibri"/>
        <family val="2"/>
        <scheme val="minor"/>
      </rPr>
      <t xml:space="preserve"> Assumes project will lead to improved repex prioritisation.</t>
    </r>
  </si>
  <si>
    <t>Estimates based on similar projects:
Labour - $181,500
Contracted services - $668,500
Total - $850,000</t>
  </si>
  <si>
    <t>Advanced smart meter data integration for flexible load management</t>
  </si>
  <si>
    <r>
      <t xml:space="preserve">This project aims to trial an integration of near real-time smart meter enquiry or interrogation from the OT system. Near real-time smart meter status and data, when combined with low voltage network monitoring information, can inform the network operator of the accurate status of low voltage network, and ensure that the right resources are dispatched for the rectification. 
In the absence of full smart meter integration, on-demand near real-time smart meter enquiry can provide the following benefits:
1. complement the network state estimator and improve distribution load-flow estimation.
2. assist with identifying voltage violations and provide input to Volt-Var optimisation. 
3. assist with incident management and resource optimisation. Outage scope can be quickly confirmed, and outage restoration resources and timeframe optimised.
PR043 is an enabling project for PR105 - please see tabs 'PR105' and 'PR0043 + PR105' for a combined view of costs and benefits.
</t>
    </r>
    <r>
      <rPr>
        <b/>
        <sz val="10"/>
        <color theme="1"/>
        <rFont val="Calibri"/>
        <family val="2"/>
        <scheme val="minor"/>
      </rPr>
      <t>Benefit quantification:</t>
    </r>
    <r>
      <rPr>
        <sz val="10"/>
        <color theme="1"/>
        <rFont val="Calibri"/>
        <family val="2"/>
        <scheme val="minor"/>
      </rPr>
      <t xml:space="preserve"> Meter enquiry integration resulting in less truck rolls (assuming 1% less callouts) &amp; planning efficiencies.</t>
    </r>
  </si>
  <si>
    <t>Estimates based on similar projects:
Labour - $170,000
-Project management/BA
Contracted services - $780,000
- Software development
- Integration and testing</t>
  </si>
  <si>
    <t>Dynamic controlled load management system</t>
  </si>
  <si>
    <r>
      <t xml:space="preserve">During the 2019-2024 regulatory period, Ausgrid conducted a 'Solar Soak' trial for a small number of customers on a controlled load tariff across two retailers. This involved moving around 50% of the controlled load from overnight to the middle of the day when excess solar generation is available. The trial had a high success rate and demonstrated that there is an opportunity to derive benefits for both, the customers and the network without any material impacts to customer experience. The trial was limited in scope by simply changing the allowable switching times for metering providers - this adjusted schedule was subsequently adopted as an ongoing available option. 
Through this project, Ausgrid is proposing to use multiple sources of customer and network data in order to develop a more dynamic and optimised controlled load service that maximises customer functionality as well as network utilisation and benefit. This will allow a less conservative approach to controlled load management, which will also have wholesale market efficiencies, as well as informing future dynamic pricing strategy and initiatives.
PR043 is an enabling project for PR105 - please see tabs 'PR043' and 'PR0043 + PR105' for a combined view of costs and benefits.
</t>
    </r>
    <r>
      <rPr>
        <b/>
        <sz val="10"/>
        <rFont val="Calibri"/>
        <family val="2"/>
        <scheme val="minor"/>
      </rPr>
      <t>Benefit quantification:</t>
    </r>
    <r>
      <rPr>
        <sz val="10"/>
        <rFont val="Calibri"/>
        <family val="2"/>
        <scheme val="minor"/>
      </rPr>
      <t xml:space="preserve"> Project will lead to customer benefit for wholesale pricing and curtailment improvement, as well as indirect emissions benefits by optimising for availability of renewable generation.</t>
    </r>
  </si>
  <si>
    <t>Estimates based on similar projects:
Labour - $116,000
-Project management/BA
Contracted services - $309,000
- Software development
- Integration</t>
  </si>
  <si>
    <t>Dynamic controlled load management system utilising smart meter integrations</t>
  </si>
  <si>
    <t>PR043 + PR105</t>
  </si>
  <si>
    <t>PR043 is an enabling project for PR105.
Below is a combined CBA analysis. Please see individual tabs for details on each project including phasing, benefits and project cost build-up.</t>
  </si>
  <si>
    <t>Flexible network configuration trial using PMUs</t>
  </si>
  <si>
    <r>
      <t xml:space="preserve">Phasor Measurement Units (PMUs) have historically been used to measure current and voltage by amplitude and phase at selected stations on the transmission network. The high-precision time synchronisation (via GPS) allows for comparing measured values (synchrophasors) from different substations and determining the system state and dynamic events such as power swing conditions. The data obtained from the devices form the basis of all monitoring and control actions for wide-area measurement systems. Deploying PMUs across a network, simultaneously measuring phasors at strategic locations, can reveal various grid problems and empower operators to act.
Traditionally Supervisory Control &amp; Data Acquisition (SCADA) systems have been adopted for high level monitoring of grids. With the significant integration of renewables, SCADA systems are considered to be inadequate to capture fast system transients. Developing a distribution network PMU fleet and integrating into state estimation and control system response processes can address some of these limitations. This project will trial a small number of PMUs on the distribution network - including the development of a specification, market sourcing strategy, standard design, site specific designs, trial design and IT/OT system integration.
PR049 is an enabling project for PR084 - please see tabs 'PR084' and 'PR0049 + PR084' for a combined view of costs and benefits.
</t>
    </r>
    <r>
      <rPr>
        <b/>
        <sz val="10"/>
        <color theme="1"/>
        <rFont val="Calibri"/>
        <family val="2"/>
        <scheme val="minor"/>
      </rPr>
      <t>Benefit quantification:</t>
    </r>
    <r>
      <rPr>
        <sz val="10"/>
        <color theme="1"/>
        <rFont val="Calibri"/>
        <family val="2"/>
        <scheme val="minor"/>
      </rPr>
      <t xml:space="preserve"> Project will lead to market benefits through frequency services and help with the detection of emerging faults reducing operational and breakdown costs.</t>
    </r>
  </si>
  <si>
    <t>Distribution Equipment</t>
  </si>
  <si>
    <t>Built from OTI - Install &amp; Commission DM&amp;C in Kiosk Unit Rate:
Labour - $5,342.23
Material - $17,719.56
Total - $23,061.79</t>
  </si>
  <si>
    <t>Smart Islanding for community resilience</t>
  </si>
  <si>
    <r>
      <t xml:space="preserve">This project involves testing smaller, distributed grid-forming inverters to sustain an island during widespread outages or localised outages where there is enough distributed generation or energy storage. Through automatic switching to island mode when temporarily disconnected from the network due to network faults or weather-related damage, local communities would be able to use local distributed generation and storage while the repairs or restorations are being carried out. For communities who require power to protect properties during bushfire season, this solution would contribute to resilience within the community.  This will likely involve a complementary and separately funded Demand Management Innovation Allowance project related to ensuring that customer's energy resources are sufficient to assist with islanding mode.
PR049 is an enabling project for PR084 - please see tabs 'PR049' and 'PR0049 + PR084' for a combined view of costs and benefits.
</t>
    </r>
    <r>
      <rPr>
        <b/>
        <sz val="10"/>
        <color theme="1"/>
        <rFont val="Calibri"/>
        <family val="2"/>
        <scheme val="minor"/>
      </rPr>
      <t>Benefit quantification:</t>
    </r>
    <r>
      <rPr>
        <sz val="10"/>
        <color theme="1"/>
        <rFont val="Calibri"/>
        <family val="2"/>
        <scheme val="minor"/>
      </rPr>
      <t xml:space="preserve"> Project will help reduce unserved energy and energy losses. Also, fire safety benefits when applied in bushfire prone areas.</t>
    </r>
  </si>
  <si>
    <t>Estimates based on similar projects:
Material - $ 1,600,000 (Built from REP 11kV OH ELBS Unit Rate - Reference)
- Smart switches
Labour - $ 275,000
Contracted services - $ 1,500,000
- Software development
- Integration</t>
  </si>
  <si>
    <t>Smart Islanding for community resilience utilising PMUs</t>
  </si>
  <si>
    <t>PR049 + PR084</t>
  </si>
  <si>
    <t>PR049 is a precursor project to PR084 and there are synergetic relationships between the two.
Below is a combined CBA analysis.</t>
  </si>
  <si>
    <t>Digitalising brownfield zone substations to manage bi-directional energy flows</t>
  </si>
  <si>
    <r>
      <t xml:space="preserve">At its core, a digital substation focuses on converting binary status and analog measured data into digital data - reliably and seamlessly. This makes data easier to transmit and share between devices and substations in real time, so it can be better utilised, processed and acted upon. This results in more efficient and reliable operations, faster commissioning, and improved safety.
Ausgrid currently implements a “station bus” 61850 digital substation as standard green-field design. This trial will allow Ausgrid to investigate more advanced options and road test them deeply in a fairly low risk environment including brownfield substations, where digital assets may be partially implemented. This will facilitate improvements in both technical risk management and cultural risk management whereby Operators exposed to different and new ways of control are much more certain to adopt.
The trial will also inform future requirements for equipment, standards, processes, and tools required to facilitate Ausgrid moving to larger scale roll out of digital substations.
</t>
    </r>
    <r>
      <rPr>
        <b/>
        <sz val="10"/>
        <color theme="1"/>
        <rFont val="Calibri"/>
        <family val="2"/>
        <scheme val="minor"/>
      </rPr>
      <t>Benefit quantification:</t>
    </r>
    <r>
      <rPr>
        <sz val="10"/>
        <color theme="1"/>
        <rFont val="Calibri"/>
        <family val="2"/>
        <scheme val="minor"/>
      </rPr>
      <t xml:space="preserve"> Lower asset costs and maintenance costs due to fewer assets and simpler maintenance and configuration management.</t>
    </r>
  </si>
  <si>
    <t>Development cost:
Material and equipment - $452,000
Labour - $528,000
Project cost:
Material and equipment -$679,000
Labour - $600,000
Total cost - $2,259,000</t>
  </si>
  <si>
    <t>Responsive feeder level load shedding schemes (UFLS)</t>
  </si>
  <si>
    <r>
      <t xml:space="preserve">Under Frequency Load Shedding (UFLS) involves the automatic disconnection of customer loads during a severe under-frequency event. Frequency relays are installed at load circuits, with varying trip settings, designed to progressively disconnect loads in a controlled manner to arrest the frequency decline. In power systems with large quantities of distributed PV, the operational demand in some periods will soon reach zero and become negative in some NEM regions. AEMO investigated whether some UFLS circuits may be demonstrating reverse flows in some periods. Reverse flow on UFLS is undesirable; in the absence of intervention, the normal operation of UFLS relays to trip circuits in reverse flows will act to exacerbate an under-frequency disturbance, rather than helping to correct it. 
The AEMO investigation recommended that NSPs should immediately seek to identify and implement measures to restore net UFLS load (or equivalent under-frequency response) to as close as possible to the level of 60% of underlying load at all times. One remediation approach suggested is investigating the feasibility of more granular load tripping by removing the circuits from the UFLS scheme is they are heavily affected by distributed PV and often demonstrating reverse flows and replacing them with loads at other locations that are less affected by distributed PV.
In the 2019-24 period, Ausgrid conducted a limited trial of blocking UFLS at the 11kV feeder level when reverse power flows were detected. The proposed project is to rollout out this technology in more substations with identified high CER loads, thus more potential for reverse power flow. This will allow further technical and economic testing of this technology.
</t>
    </r>
    <r>
      <rPr>
        <b/>
        <sz val="10"/>
        <color theme="1"/>
        <rFont val="Calibri"/>
        <family val="2"/>
        <scheme val="minor"/>
      </rPr>
      <t>Benefit quantification:</t>
    </r>
    <r>
      <rPr>
        <sz val="10"/>
        <color theme="1"/>
        <rFont val="Calibri"/>
        <family val="2"/>
        <scheme val="minor"/>
      </rPr>
      <t xml:space="preserve"> Reduced unserved energy and minor safety &amp; efficiency benefits.</t>
    </r>
  </si>
  <si>
    <t>Reference project estimate -
Built from project pilot (SM-31743 &amp; Sm-31744) - per panel:
Labour - $20,500
Material - $9,500
Total - $30,000 plus allowances for overall site establishment of $8,000.</t>
  </si>
  <si>
    <t>MV cable partial discharge monitoring</t>
  </si>
  <si>
    <r>
      <t xml:space="preserve">Partial discharge is an early warning sign of asset degradation, which can lead to flashover and failure. As many as 85% of disruptive failure in High Voltage and Medium Voltage equipment are linked to partial discharge damage. Full time partial discharge monitoring provides security against insulation failure.
By detecting and resolving insulation related issues early, the lifespan of the critical electrical assets can be significantly extended. The ability to pinpoint and address partial discharge ensures optimal performance and longevity of transformers, cables, switchgear, and other components. Early detection provides cost saving measures as the cost of repair after failure is exponentially higher than proactively identifying risk and prioritising replacement. Scheduled repairs based on condition-based maintenance reduces downtime, emergency repairs and costs.
This project proposes to trial a small number of online partial discharge monitoring devices on MV cables. This will involve developing a specification, market sourcing strategy, standard design, site specific designs, operating manuals, safety processes and a trial plan, before installing the assets across different parts of the network, complementing the mitigation of other network risk factors.
</t>
    </r>
    <r>
      <rPr>
        <b/>
        <sz val="10"/>
        <color theme="1"/>
        <rFont val="Calibri"/>
        <family val="2"/>
        <scheme val="minor"/>
      </rPr>
      <t>Benefit quantification:</t>
    </r>
    <r>
      <rPr>
        <sz val="10"/>
        <color theme="1"/>
        <rFont val="Calibri"/>
        <family val="2"/>
        <scheme val="minor"/>
      </rPr>
      <t xml:space="preserve"> Project will lead to risk reduction, energy conservation, avoided outages and field crew response.</t>
    </r>
  </si>
  <si>
    <t>Zone/ STS Equipment</t>
  </si>
  <si>
    <t xml:space="preserve">Built from REP Intertripping Schemes - DC Unit Rate:
Labour - $62,262.61
Material - $160,905.88
(Portable cable PD test units have been priced by Network Test at approximately $230,000 per unit)
Contracted Services - $25,000
Total - $248,168.49 plus design and project management of $68,500.
</t>
  </si>
  <si>
    <t>Trial ultra-sonic discharge detection devices</t>
  </si>
  <si>
    <r>
      <t xml:space="preserve">In electrical systems, especially above 1,000 Volts, sufficient and properly maintained equipment insulation helps ensure equipment longevity. Faulty insulation causes electrical partial discharge which damages the insulation further and causes the defect to spread. If partial discharges are not recognized in time, they can become critical and result in complete failure of the equipment. For electricity networks failure of the equipment insulation is not only associated with costly repairs but will also lead to significant downtime.
With discharge detection devices, critical defects can be identified early and rectified. Typically, this is done via thermal imaging with infrared cameras. However, defects to insulation material do not always cause an increase in temperature. Ultra-sonic discharge detection devices can safely and accurately detect insulation damage, even those that do not produce a heat signature. Detecting and correcting these problems early will ensure longer, more reliable electrical asset life and thus a more reliable network. This project proposes to trial a small number of devices on the network to test the ability to detect impending failures and defects. This will involve developing a specification, market sourcing strategy, standard design, site specific designs, operating manuals, safety processes and a trial plan, before installing the assets across different parts of the network, complementing the mitigation of other network risk factors.
</t>
    </r>
    <r>
      <rPr>
        <b/>
        <sz val="10"/>
        <color theme="1"/>
        <rFont val="Calibri"/>
        <family val="2"/>
        <scheme val="minor"/>
      </rPr>
      <t>Benefit quantification:</t>
    </r>
    <r>
      <rPr>
        <sz val="10"/>
        <color theme="1"/>
        <rFont val="Calibri"/>
        <family val="2"/>
        <scheme val="minor"/>
      </rPr>
      <t xml:space="preserve"> Project will lead to asset prioritisation and breakdown expenditure avoidance along with some safety risk reduction.</t>
    </r>
  </si>
  <si>
    <r>
      <t>Estimates from reference project:
Early Fault Detection polyphase unit - $11,500 each
Solar Power unit (addition) - $3,990 each
Initial cost estimates:
Planning &amp; Installation - $4,000 (1/3 day for crew + operator + project officer)
Equipment &amp; Services - $12,625 (allows for half the sites to have solar units)
Design - $1,000  (Install of 22 units / allocated design costs to each site)
Project Management - $455 (20,000 PM costs allocated per site)
Training / Workshops - $455 (20,000 across project)
Total = $18,534 per pole (per site) plus adjustments for higher voltage poles and mounting ultrasonic devices
(</t>
    </r>
    <r>
      <rPr>
        <b/>
        <sz val="10"/>
        <rFont val="Calibri"/>
        <family val="2"/>
        <scheme val="minor"/>
      </rPr>
      <t>5 installations per trial site</t>
    </r>
    <r>
      <rPr>
        <sz val="10"/>
        <rFont val="Calibri"/>
        <family val="2"/>
        <scheme val="minor"/>
      </rPr>
      <t>)</t>
    </r>
  </si>
  <si>
    <t>Barriers to electrification field trial</t>
  </si>
  <si>
    <r>
      <t xml:space="preserve">All households must be able to electrify if Australia wishes to meet its emissions reduction goals. Electricity networks like Ausgrid have an important role to play to support customers and provide sustainable, reliable energy options to our customers and the energy system. Greater electrification is expected to unlock more benefits, including greater load flexibility, better network utilisation and lower network costs for all customers. It also supports customers to unlock more value from CER investments and reduce their overall fuel costs and impact on greenhouse gas emissions.
During the 2019-2024 regulatory period, Ausgrid conducted DMIA funded research to better understand customer barriers to electrification and the opportunities and challenges this presents the distribution network. To build on the research, Ausgrid is proposing a 'Barriers to electrification - Field trial' to test prioritised solutions to enable capacity with largely existing grid infrastucture and evaluate performance and the interplay with the role of non-network solutions to facilitate low cost customer electrification. This will be conducted across a range of grid and customer segments and include social research and customer education. Overall, the focus will be to reduce barriers and identify a least cost pathway for electrification. It is likely to be complemented with another DMIA based trial that may seek to ensure that customer's electrified assets are fit for purpose and energy efficient.
</t>
    </r>
    <r>
      <rPr>
        <b/>
        <sz val="10"/>
        <color theme="1"/>
        <rFont val="Calibri"/>
        <family val="2"/>
        <scheme val="minor"/>
      </rPr>
      <t>Benefit quantification:</t>
    </r>
    <r>
      <rPr>
        <sz val="10"/>
        <color theme="1"/>
        <rFont val="Calibri"/>
        <family val="2"/>
        <scheme val="minor"/>
      </rPr>
      <t xml:space="preserve"> Assumes learnings from the project will result in planned electrification which will result in broader customer and network benefits.</t>
    </r>
  </si>
  <si>
    <t>Estimates based on similar projects:
Materials - $280,000
Labour - $245,000
Contracted services - $975,000</t>
  </si>
  <si>
    <t>Bushfire risk mitigation wooden pole wraps</t>
  </si>
  <si>
    <r>
      <t xml:space="preserve">Wooden poles are widely used in in electricity distribution networks and have been for quite some time. Wood poles are still heavily used because of the lower cost of the asset as compared to alternative materials such as composite or steel poles. With a changing climate and weather events becoming more extreme and frequent, there is an increased risk to network assets, especially in areas classed as "high bushfire risk".
Using a protective barrier/wrap protects existing wooden poles and prevents them from losing their structural integrity from burning and/or scorching. This allows Ausgrid to implement a more resilient asset in high fire-risk areas while still retaining qualities equivalent to a standard wood pole for existing assets. The wraps have a mesh structure that allows the wood to breathe in normal conditions, and an intumescent coating that expands at high temperatures and shields the wooden structure from radiant heat and fire, preventing ignition and not contributing to the burn. This projection proposes to rollout a small number of these wraps across the most bushfire prone areas of the network. This will involve developing a specification, market sourcing strategy, standard design, site specific designs, operating manuals, safety processes and a trial plan, before installing the assets across different parts of the network, complementing the mitigation of other network risk factors.
</t>
    </r>
    <r>
      <rPr>
        <b/>
        <sz val="10"/>
        <color theme="1"/>
        <rFont val="Calibri"/>
        <family val="2"/>
        <scheme val="minor"/>
      </rPr>
      <t>Benefit quantification:</t>
    </r>
    <r>
      <rPr>
        <sz val="10"/>
        <color theme="1"/>
        <rFont val="Calibri"/>
        <family val="2"/>
        <scheme val="minor"/>
      </rPr>
      <t xml:space="preserve"> Assumes project will lead to increased reliability and public safety from bushfires.</t>
    </r>
  </si>
  <si>
    <t xml:space="preserve">
Per site planning and  installation cost estimates:
Materials - $450
Labour: $400 (2 x 2hours @ $100/hour)
Planning: $100
Total (per site): $950</t>
  </si>
  <si>
    <t>Advanced distribution substation monitoring for brownfield sites (increase utility of existing assets)</t>
  </si>
  <si>
    <r>
      <t xml:space="preserve">Ausgrid employs condition-based maintenance to manage the majority of our network assets. Generally, this relies on periodic inspections to determine asset condition and respond accordingly, with inspection periods carefully assessed to balance the cost against risk of failure. Most distribution assets do not currently have functionality to provide ongoing visibility of either load or condition data. 
This project will test a range of advanced substation monitoring devices that can be efficiently and safely be installed into existing distribution substations at low cost. The project will focus on substations that are located in high density areas, where large volumes of EVs are forecast. These substations are typically located within the basements of commercial or high-rise residential sites, which means that outages are difficult to co-ordinate and are avoided as much as possible due to the high cost and customer inconvenience. Online monitoring solutions provide ongoing visibility of the status and condition of substation load and assets, which can then be used to predict and find defects and faults, assess asset condition, assist with outage management, detect reverse power flows, and better plan and manage required maintenance or additional investment. This will involve developing a specification, market sourcing strategy, standard design, site specific designs, operating manuals, safety processes and a trial plan, before installing the assets across different parts of the network, hopefully complementing the mitigation of other network risk factors.
</t>
    </r>
    <r>
      <rPr>
        <b/>
        <sz val="10"/>
        <color theme="1"/>
        <rFont val="Calibri"/>
        <family val="2"/>
        <scheme val="minor"/>
      </rPr>
      <t>Benefit quantification:</t>
    </r>
    <r>
      <rPr>
        <sz val="10"/>
        <color theme="1"/>
        <rFont val="Calibri"/>
        <family val="2"/>
        <scheme val="minor"/>
      </rPr>
      <t xml:space="preserve"> Assumes the project leads to increased reliability, safety, and asset life extension.</t>
    </r>
  </si>
  <si>
    <t>Distribution Substations</t>
  </si>
  <si>
    <t>Estimated from OTI - Retrofit Chamber DM&amp;C unit rate:
Labour - $9,228.50
Materials - $24,142.30
Contracted services - $9,956.83
Total per site = $43,327.63</t>
  </si>
  <si>
    <t>Heavy vehicle electrification - Ausgrid fleet trial</t>
  </si>
  <si>
    <r>
      <t xml:space="preserve">Ausgrid's strategy is to enable and accelerate electrification across the network to enable lower total energy bills for all customers. Customers expect us to reduce our carbon footprint while ensuring we have the right assets to maintain the network into the future. Electric vehicles have significantly lower operating costs with the elimination of combustion fuel costs and reduced maintenance requirements.
As part of our emissions reduction initiatives, Ausgrid is trialling the introduction of electric vehicles in multiple parts of the fleet. For passenger vehicles, this is a relatively simple process given the increasing number of suppliers and variety of vehicles available. For heavy fleet and plant, market capability is immature and there are uncertainties about the technical capabilities of such specialised assets. McKinsey expects to see the parity point of electric trucks with internal combustion engine vehicles to be some time in the late 2020s (in the absence of government subsidies) with depreciation and fuel key drivers of the total cost of ownership. 
We are proposing to trial a number of electric elevated work platforms (EWPs) to test the economic and technical viability of these innovative vehicles as well as assessing future options to supply power for customer sites while work is performed on the network in a de-energised state. Electric EWPs provide greater strides in emissions reduction than most fleet assets, while also allowing other benefits such as quieter night operations and simpler maintenance. This trial complements Ausgrid's fleet capex program (Attachment 5.10.a in Ausgrid's IP), which is forecasting to renew 110 EWPs of the total fleet of 179 units in the 2024-29 period, and, if successful will enable electrification of the remaining fleet at no or low incremental cost in line with the McKinsey predictions above.
</t>
    </r>
    <r>
      <rPr>
        <b/>
        <sz val="10"/>
        <color theme="1"/>
        <rFont val="Calibri"/>
        <family val="2"/>
        <scheme val="minor"/>
      </rPr>
      <t>Benefit quantification:</t>
    </r>
    <r>
      <rPr>
        <sz val="10"/>
        <color theme="1"/>
        <rFont val="Calibri"/>
        <family val="2"/>
        <scheme val="minor"/>
      </rPr>
      <t xml:space="preserve"> Assumes the project leads to the no additional cost of electrification of EWPs in the Ausgrid fleet beyond 2030 when ICE to EV price parity has been reached.</t>
    </r>
  </si>
  <si>
    <t>Fleet</t>
  </si>
  <si>
    <t>Estimates based on quotes for 2 electric EWPs -
Materials - $1,500,000 (includes the marginal cost of materials for 6 x elevated work platform vehicles)
Contracted services - $100,000 - includes the services associated with 6 x EWP vehicles</t>
  </si>
  <si>
    <t>Output Results</t>
  </si>
  <si>
    <t>Total Portfolio</t>
  </si>
  <si>
    <t>Row Labels</t>
  </si>
  <si>
    <t>Sum of Safety Benefit</t>
  </si>
  <si>
    <t>Sum of Capex Benefit</t>
  </si>
  <si>
    <t>Sum of Opex Benefit</t>
  </si>
  <si>
    <t>Sum of EUE Benefit</t>
  </si>
  <si>
    <t>Sum of Other Market Benefit</t>
  </si>
  <si>
    <t>Sum of Total Refined Capex Cost</t>
  </si>
  <si>
    <t>Sum of Annual Opex (end state)</t>
  </si>
  <si>
    <t>Network Innovation - Safe, Intelligent Networks (Systems)</t>
  </si>
  <si>
    <t>Network Innovation - Safe, Intelligent Networks (Devices)</t>
  </si>
  <si>
    <t>Network Innovation - Community Resilience</t>
  </si>
  <si>
    <t xml:space="preserve">Network Innovation - CER Support &amp; Enablement </t>
  </si>
  <si>
    <t>Grand Total</t>
  </si>
  <si>
    <t>Optimised Option</t>
  </si>
  <si>
    <t>Option 3 - Optimised Option</t>
  </si>
  <si>
    <t>Trial Option</t>
  </si>
  <si>
    <t>Option 4 - Trial Option</t>
  </si>
  <si>
    <t>Project Phasing</t>
  </si>
  <si>
    <t>Phasing</t>
  </si>
  <si>
    <t>Assumptions</t>
  </si>
  <si>
    <t>2025</t>
  </si>
  <si>
    <t>2026</t>
  </si>
  <si>
    <t>2027</t>
  </si>
  <si>
    <t>2028</t>
  </si>
  <si>
    <t>2029</t>
  </si>
  <si>
    <t>sum</t>
  </si>
  <si>
    <t>Largely IT &amp; OT - accelerated deployment for &gt; benefits</t>
  </si>
  <si>
    <t>Field installs - some carry-over + lead time to design/procure + trial moving to implement</t>
  </si>
  <si>
    <t>upfront due to system and device component</t>
  </si>
  <si>
    <t>Some build-up required - little up-front expenditure</t>
  </si>
  <si>
    <t>Real Cost Escalation</t>
  </si>
  <si>
    <t>FY22 - 24 Real Cost Escalation</t>
  </si>
  <si>
    <t>Source</t>
  </si>
  <si>
    <t>Investment Management</t>
  </si>
  <si>
    <t>Option Summary</t>
  </si>
  <si>
    <t>FY25</t>
  </si>
  <si>
    <t>FY26</t>
  </si>
  <si>
    <t>FY27</t>
  </si>
  <si>
    <t>FY28</t>
  </si>
  <si>
    <t>FY29</t>
  </si>
  <si>
    <t>in FY24 Real $</t>
  </si>
  <si>
    <t>Option 2 - Total Portfolio</t>
  </si>
  <si>
    <t>Option 3 - Optimised Portfolio</t>
  </si>
  <si>
    <t>Option 4 - Trial Focused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</si>
</sst>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quot;$&quot;#,##0_);[Red]\(&quot;$&quot;#,##0\)"/>
    <numFmt numFmtId="165" formatCode="&quot;$&quot;#,##0.00_);[Red]\(&quot;$&quot;#,##0.00\)"/>
    <numFmt numFmtId="166" formatCode="_(&quot;$&quot;* #,##0.00_);_(&quot;$&quot;* \(#,##0.00\);_(&quot;$&quot;* &quot;-&quot;??_);_(@_)"/>
    <numFmt numFmtId="167" formatCode="_(* #,##0.00_);_(* \(#,##0.00\);_(* &quot;-&quot;??_);_(@_)"/>
    <numFmt numFmtId="168" formatCode="_-* #,##0_-;[Red]\(#,##0\)_-;_-* &quot;-&quot;??_-;_-@_-"/>
    <numFmt numFmtId="169" formatCode="_-&quot;$&quot;* #,##0_-;\-&quot;$&quot;* #,##0_-;_-&quot;$&quot;* &quot;-&quot;??_-;_-@_-"/>
    <numFmt numFmtId="170" formatCode="0.0%"/>
    <numFmt numFmtId="171" formatCode="_-* #,##0_-;\-* #,##0_-;_-* &quot;-&quot;??_-;_-@_-"/>
    <numFmt numFmtId="172" formatCode="#,##0.00000"/>
    <numFmt numFmtId="173" formatCode="[$-C09]d\ mmmm\ yyyy;@"/>
    <numFmt numFmtId="174" formatCode="&quot;$&quot;#,##0"/>
    <numFmt numFmtId="175" formatCode="0.0"/>
    <numFmt numFmtId="176" formatCode="0.000%"/>
    <numFmt numFmtId="177" formatCode="_(&quot;$&quot;* #,##0_);_(&quot;$&quot;* \(#,##0\);_(&quot;$&quot;* &quot;-&quot;??_);_(@_)"/>
    <numFmt numFmtId="178" formatCode="0.0000%"/>
  </numFmts>
  <fonts count="6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2"/>
      <color rgb="FFFFFFFF"/>
      <name val="Calibri"/>
      <family val="2"/>
      <scheme val="minor"/>
    </font>
    <font>
      <b/>
      <sz val="12"/>
      <color theme="0"/>
      <name val="Calibri"/>
      <family val="2"/>
      <scheme val="minor"/>
    </font>
    <font>
      <sz val="10"/>
      <name val="Arial"/>
      <family val="2"/>
    </font>
    <font>
      <sz val="1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20"/>
      <color theme="1"/>
      <name val="Calibri"/>
      <family val="2"/>
      <scheme val="minor"/>
    </font>
    <font>
      <sz val="8"/>
      <color theme="1"/>
      <name val="Arial"/>
      <family val="2"/>
    </font>
    <font>
      <b/>
      <sz val="11"/>
      <color theme="1"/>
      <name val="Arial"/>
      <family val="2"/>
    </font>
    <font>
      <sz val="12"/>
      <color theme="1"/>
      <name val="Arial"/>
      <family val="2"/>
    </font>
    <font>
      <b/>
      <sz val="12"/>
      <color theme="1"/>
      <name val="Arial"/>
      <family val="2"/>
    </font>
    <font>
      <b/>
      <sz val="11"/>
      <color theme="6" tint="-0.249977111117893"/>
      <name val="Arial"/>
      <family val="2"/>
    </font>
    <font>
      <b/>
      <sz val="24"/>
      <color theme="1"/>
      <name val="Calibri"/>
      <family val="2"/>
      <scheme val="minor"/>
    </font>
    <font>
      <b/>
      <sz val="18"/>
      <color rgb="FF002060"/>
      <name val="Arial"/>
      <family val="2"/>
    </font>
    <font>
      <sz val="14"/>
      <color rgb="FF0070C0"/>
      <name val="Arial"/>
      <family val="2"/>
    </font>
    <font>
      <b/>
      <sz val="14"/>
      <color theme="1"/>
      <name val="Calibri"/>
      <family val="2"/>
      <scheme val="minor"/>
    </font>
    <font>
      <sz val="10"/>
      <color theme="1"/>
      <name val="Calibri"/>
      <family val="2"/>
      <scheme val="minor"/>
    </font>
    <font>
      <b/>
      <sz val="10"/>
      <color theme="1"/>
      <name val="Calibri"/>
      <family val="2"/>
      <scheme val="minor"/>
    </font>
    <font>
      <i/>
      <sz val="10"/>
      <color theme="8"/>
      <name val="Calibri"/>
      <family val="2"/>
      <scheme val="minor"/>
    </font>
    <font>
      <i/>
      <sz val="10"/>
      <color theme="1"/>
      <name val="Calibri"/>
      <family val="2"/>
      <scheme val="minor"/>
    </font>
    <font>
      <sz val="10"/>
      <color rgb="FF000000"/>
      <name val="Calibri"/>
      <family val="2"/>
    </font>
    <font>
      <b/>
      <sz val="10"/>
      <color theme="0"/>
      <name val="Calibri"/>
      <family val="2"/>
      <scheme val="minor"/>
    </font>
    <font>
      <u/>
      <sz val="11"/>
      <color theme="10"/>
      <name val="Calibri"/>
      <family val="2"/>
      <scheme val="minor"/>
    </font>
    <font>
      <sz val="11"/>
      <color theme="10"/>
      <name val="Calibri"/>
      <family val="2"/>
      <scheme val="minor"/>
    </font>
    <font>
      <i/>
      <sz val="10"/>
      <color rgb="FFFF0000"/>
      <name val="Calibri"/>
      <family val="2"/>
      <scheme val="minor"/>
    </font>
    <font>
      <sz val="16"/>
      <color rgb="FF000000"/>
      <name val="Calibri"/>
      <family val="2"/>
    </font>
    <font>
      <b/>
      <sz val="16"/>
      <color theme="0"/>
      <name val="Calibri"/>
      <family val="2"/>
      <scheme val="minor"/>
    </font>
    <font>
      <b/>
      <u/>
      <sz val="12"/>
      <color rgb="FF000000"/>
      <name val="Calibri"/>
      <family val="2"/>
      <scheme val="minor"/>
    </font>
    <font>
      <b/>
      <sz val="8"/>
      <color rgb="FF000000"/>
      <name val="Calibri"/>
      <family val="2"/>
      <scheme val="minor"/>
    </font>
    <font>
      <b/>
      <sz val="10"/>
      <color rgb="FF000000"/>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sz val="8"/>
      <color theme="1"/>
      <name val="Calibri"/>
      <family val="2"/>
      <scheme val="minor"/>
    </font>
    <font>
      <b/>
      <sz val="8"/>
      <color theme="0"/>
      <name val="Calibri"/>
      <family val="2"/>
      <scheme val="minor"/>
    </font>
    <font>
      <b/>
      <sz val="10"/>
      <name val="Calibri"/>
      <family val="2"/>
      <scheme val="minor"/>
    </font>
    <font>
      <sz val="9"/>
      <name val="Arial"/>
      <family val="2"/>
    </font>
    <font>
      <sz val="11"/>
      <name val="Calibri"/>
      <family val="2"/>
      <scheme val="minor"/>
    </font>
    <font>
      <sz val="11"/>
      <color rgb="FF000000"/>
      <name val="Calibri"/>
      <family val="2"/>
      <scheme val="minor"/>
    </font>
    <font>
      <b/>
      <sz val="18"/>
      <color theme="1"/>
      <name val="Calibri"/>
      <family val="2"/>
      <scheme val="minor"/>
    </font>
    <font>
      <b/>
      <sz val="16"/>
      <color theme="0"/>
      <name val="Calibri"/>
      <family val="2"/>
    </font>
    <font>
      <sz val="12"/>
      <color theme="0"/>
      <name val="Calibri"/>
      <family val="2"/>
    </font>
    <font>
      <b/>
      <sz val="20"/>
      <color theme="0"/>
      <name val="Calibri"/>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theme="1"/>
        <bgColor indexed="64"/>
      </patternFill>
    </fill>
    <fill>
      <patternFill patternType="solid">
        <fgColor rgb="FF000000"/>
        <bgColor rgb="FF000000"/>
      </patternFill>
    </fill>
    <fill>
      <patternFill patternType="solid">
        <fgColor theme="9" tint="0.79998168889431442"/>
        <bgColor indexed="64"/>
      </patternFill>
    </fill>
    <fill>
      <patternFill patternType="solid">
        <fgColor theme="6" tint="0.79998168889431442"/>
        <bgColor theme="6" tint="0.79998168889431442"/>
      </patternFill>
    </fill>
    <fill>
      <patternFill patternType="solid">
        <fgColor theme="0"/>
        <bgColor indexed="64"/>
      </patternFill>
    </fill>
    <fill>
      <patternFill patternType="solid">
        <fgColor theme="9" tint="0.59999389629810485"/>
        <bgColor indexed="64"/>
      </patternFill>
    </fill>
    <fill>
      <patternFill patternType="solid">
        <fgColor theme="2"/>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002060"/>
        <bgColor rgb="FF000000"/>
      </patternFill>
    </fill>
    <fill>
      <patternFill patternType="solid">
        <fgColor theme="4" tint="0.79998168889431442"/>
        <bgColor indexed="64"/>
      </patternFill>
    </fill>
  </fills>
  <borders count="1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thin">
        <color theme="0" tint="-0.24994659260841701"/>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right/>
      <top style="medium">
        <color theme="4" tint="-0.499984740745262"/>
      </top>
      <bottom style="thin">
        <color indexed="64"/>
      </bottom>
      <diagonal/>
    </border>
    <border>
      <left/>
      <right style="medium">
        <color theme="4" tint="-0.499984740745262"/>
      </right>
      <top style="medium">
        <color theme="4" tint="-0.499984740745262"/>
      </top>
      <bottom style="thin">
        <color indexed="64"/>
      </bottom>
      <diagonal/>
    </border>
    <border>
      <left style="medium">
        <color theme="4" tint="-0.499984740745262"/>
      </left>
      <right/>
      <top style="medium">
        <color theme="4" tint="-0.499984740745262"/>
      </top>
      <bottom style="thin">
        <color indexed="64"/>
      </bottom>
      <diagonal/>
    </border>
    <border>
      <left style="medium">
        <color theme="4" tint="-0.499984740745262"/>
      </left>
      <right style="medium">
        <color theme="4" tint="-0.499984740745262"/>
      </right>
      <top style="medium">
        <color theme="4" tint="-0.499984740745262"/>
      </top>
      <bottom/>
      <diagonal/>
    </border>
    <border>
      <left style="medium">
        <color indexed="64"/>
      </left>
      <right/>
      <top style="medium">
        <color indexed="64"/>
      </top>
      <bottom style="thin">
        <color indexed="64"/>
      </bottom>
      <diagonal/>
    </border>
    <border>
      <left/>
      <right style="medium">
        <color theme="4" tint="-0.499984740745262"/>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theme="4" tint="-0.499984740745262"/>
      </right>
      <top/>
      <bottom style="medium">
        <color indexed="64"/>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medium">
        <color theme="4" tint="-0.499984740745262"/>
      </right>
      <top style="medium">
        <color theme="4" tint="-0.499984740745262"/>
      </top>
      <bottom style="thin">
        <color theme="4" tint="-0.499984740745262"/>
      </bottom>
      <diagonal/>
    </border>
    <border>
      <left/>
      <right/>
      <top style="medium">
        <color theme="4" tint="-0.499984740745262"/>
      </top>
      <bottom style="thin">
        <color theme="4" tint="-0.499984740745262"/>
      </bottom>
      <diagonal/>
    </border>
    <border>
      <left style="thin">
        <color theme="4" tint="-0.499984740745262"/>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style="thin">
        <color theme="4" tint="-0.499984740745262"/>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indexed="64"/>
      </left>
      <right style="thin">
        <color indexed="64"/>
      </right>
      <top/>
      <bottom/>
      <diagonal/>
    </border>
    <border>
      <left/>
      <right/>
      <top style="medium">
        <color rgb="FF002060"/>
      </top>
      <bottom style="thin">
        <color theme="4" tint="-0.499984740745262"/>
      </bottom>
      <diagonal/>
    </border>
    <border>
      <left/>
      <right style="medium">
        <color rgb="FF002060"/>
      </right>
      <top style="medium">
        <color rgb="FF002060"/>
      </top>
      <bottom style="thin">
        <color theme="4" tint="-0.499984740745262"/>
      </bottom>
      <diagonal/>
    </border>
    <border>
      <left style="medium">
        <color rgb="FF002060"/>
      </left>
      <right style="medium">
        <color rgb="FF002060"/>
      </right>
      <top style="medium">
        <color rgb="FF002060"/>
      </top>
      <bottom/>
      <diagonal/>
    </border>
    <border>
      <left style="medium">
        <color theme="4" tint="-0.499984740745262"/>
      </left>
      <right/>
      <top style="medium">
        <color indexed="64"/>
      </top>
      <bottom/>
      <diagonal/>
    </border>
    <border>
      <left style="medium">
        <color theme="4" tint="-0.499984740745262"/>
      </left>
      <right style="medium">
        <color indexed="64"/>
      </right>
      <top style="medium">
        <color indexed="64"/>
      </top>
      <bottom/>
      <diagonal/>
    </border>
    <border>
      <left style="medium">
        <color rgb="FF002060"/>
      </left>
      <right/>
      <top style="medium">
        <color rgb="FF002060"/>
      </top>
      <bottom style="thin">
        <color indexed="64"/>
      </bottom>
      <diagonal/>
    </border>
    <border>
      <left/>
      <right/>
      <top style="medium">
        <color rgb="FF002060"/>
      </top>
      <bottom style="thin">
        <color indexed="64"/>
      </bottom>
      <diagonal/>
    </border>
    <border>
      <left/>
      <right style="medium">
        <color rgb="FF002060"/>
      </right>
      <top style="medium">
        <color rgb="FF002060"/>
      </top>
      <bottom style="thin">
        <color indexed="64"/>
      </bottom>
      <diagonal/>
    </border>
    <border>
      <left/>
      <right style="medium">
        <color theme="4" tint="-0.499984740745262"/>
      </right>
      <top style="medium">
        <color rgb="FF002060"/>
      </top>
      <bottom style="thin">
        <color indexed="64"/>
      </bottom>
      <diagonal/>
    </border>
    <border>
      <left style="thin">
        <color theme="4" tint="-0.499984740745262"/>
      </left>
      <right style="thin">
        <color theme="4" tint="-0.499984740745262"/>
      </right>
      <top style="thin">
        <color theme="4" tint="-0.499984740745262"/>
      </top>
      <bottom style="medium">
        <color rgb="FF002060"/>
      </bottom>
      <diagonal/>
    </border>
    <border>
      <left/>
      <right style="medium">
        <color theme="4" tint="-0.499984740745262"/>
      </right>
      <top/>
      <bottom style="medium">
        <color rgb="FF002060"/>
      </bottom>
      <diagonal/>
    </border>
    <border>
      <left/>
      <right/>
      <top style="medium">
        <color rgb="FF002060"/>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rgb="FF002060"/>
      </right>
      <top/>
      <bottom/>
      <diagonal/>
    </border>
    <border>
      <left style="medium">
        <color rgb="FF002060"/>
      </left>
      <right/>
      <top/>
      <bottom style="medium">
        <color theme="4" tint="-0.499984740745262"/>
      </bottom>
      <diagonal/>
    </border>
    <border>
      <left/>
      <right style="medium">
        <color rgb="FF002060"/>
      </right>
      <top/>
      <bottom style="medium">
        <color theme="4" tint="-0.499984740745262"/>
      </bottom>
      <diagonal/>
    </border>
    <border>
      <left style="medium">
        <color rgb="FF002060"/>
      </left>
      <right/>
      <top style="medium">
        <color theme="4" tint="-0.499984740745262"/>
      </top>
      <bottom/>
      <diagonal/>
    </border>
    <border>
      <left/>
      <right style="medium">
        <color rgb="FF002060"/>
      </right>
      <top style="medium">
        <color theme="4" tint="-0.499984740745262"/>
      </top>
      <bottom/>
      <diagonal/>
    </border>
    <border>
      <left/>
      <right/>
      <top style="double">
        <color rgb="FF002060"/>
      </top>
      <bottom/>
      <diagonal/>
    </border>
    <border>
      <left/>
      <right/>
      <top/>
      <bottom style="double">
        <color rgb="FF002060"/>
      </bottom>
      <diagonal/>
    </border>
    <border>
      <left/>
      <right style="thin">
        <color rgb="FF002060"/>
      </right>
      <top style="medium">
        <color rgb="FF002060"/>
      </top>
      <bottom/>
      <diagonal/>
    </border>
    <border>
      <left/>
      <right style="thin">
        <color rgb="FF002060"/>
      </right>
      <top/>
      <bottom style="medium">
        <color rgb="FF002060"/>
      </bottom>
      <diagonal/>
    </border>
    <border>
      <left/>
      <right style="thin">
        <color rgb="FF002060"/>
      </right>
      <top/>
      <bottom style="double">
        <color rgb="FF002060"/>
      </bottom>
      <diagonal/>
    </border>
    <border>
      <left/>
      <right style="thin">
        <color rgb="FF002060"/>
      </right>
      <top style="double">
        <color rgb="FF002060"/>
      </top>
      <bottom/>
      <diagonal/>
    </border>
    <border>
      <left style="medium">
        <color theme="4" tint="-0.499984740745262"/>
      </left>
      <right style="thin">
        <color rgb="FF002060"/>
      </right>
      <top style="medium">
        <color indexed="64"/>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thin">
        <color rgb="FF002060"/>
      </left>
      <right style="thin">
        <color rgb="FF002060"/>
      </right>
      <top/>
      <bottom style="thin">
        <color rgb="FF002060"/>
      </bottom>
      <diagonal/>
    </border>
    <border>
      <left style="medium">
        <color indexed="64"/>
      </left>
      <right style="thin">
        <color rgb="FF002060"/>
      </right>
      <top style="medium">
        <color indexed="64"/>
      </top>
      <bottom/>
      <diagonal/>
    </border>
    <border>
      <left style="thin">
        <color rgb="FF002060"/>
      </left>
      <right style="thin">
        <color rgb="FF002060"/>
      </right>
      <top style="medium">
        <color indexed="64"/>
      </top>
      <bottom/>
      <diagonal/>
    </border>
    <border>
      <left style="thin">
        <color rgb="FF002060"/>
      </left>
      <right style="medium">
        <color indexed="64"/>
      </right>
      <top style="medium">
        <color indexed="64"/>
      </top>
      <bottom style="thin">
        <color rgb="FF002060"/>
      </bottom>
      <diagonal/>
    </border>
    <border>
      <left style="medium">
        <color indexed="64"/>
      </left>
      <right style="thin">
        <color indexed="64"/>
      </right>
      <top style="thin">
        <color indexed="64"/>
      </top>
      <bottom style="thin">
        <color indexed="64"/>
      </bottom>
      <diagonal/>
    </border>
    <border>
      <left/>
      <right style="medium">
        <color indexed="64"/>
      </right>
      <top style="thin">
        <color rgb="FF002060"/>
      </top>
      <bottom style="thin">
        <color rgb="FF002060"/>
      </bottom>
      <diagonal/>
    </border>
    <border>
      <left style="medium">
        <color indexed="64"/>
      </left>
      <right style="thin">
        <color rgb="FF002060"/>
      </right>
      <top/>
      <bottom style="thin">
        <color rgb="FF002060"/>
      </bottom>
      <diagonal/>
    </border>
    <border>
      <left style="medium">
        <color indexed="64"/>
      </left>
      <right style="thin">
        <color rgb="FF002060"/>
      </right>
      <top style="thin">
        <color rgb="FF002060"/>
      </top>
      <bottom style="medium">
        <color indexed="64"/>
      </bottom>
      <diagonal/>
    </border>
    <border>
      <left style="thin">
        <color rgb="FF002060"/>
      </left>
      <right style="thin">
        <color rgb="FF002060"/>
      </right>
      <top style="thin">
        <color rgb="FF002060"/>
      </top>
      <bottom style="medium">
        <color indexed="64"/>
      </bottom>
      <diagonal/>
    </border>
    <border>
      <left style="thin">
        <color rgb="FF002060"/>
      </left>
      <right style="medium">
        <color indexed="64"/>
      </right>
      <top style="thin">
        <color rgb="FF002060"/>
      </top>
      <bottom style="medium">
        <color indexed="64"/>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0" borderId="0" applyFont="0" applyFill="0" applyBorder="0" applyAlignment="0" applyProtection="0"/>
    <xf numFmtId="0" fontId="19" fillId="35" borderId="0">
      <alignment vertical="center"/>
      <protection locked="0"/>
    </xf>
    <xf numFmtId="0" fontId="20" fillId="34" borderId="0">
      <alignment vertical="center"/>
      <protection locked="0"/>
    </xf>
    <xf numFmtId="0" fontId="21" fillId="0" borderId="0"/>
    <xf numFmtId="168" fontId="1" fillId="33" borderId="10" applyFont="0" applyFill="0" applyBorder="0" applyAlignment="0">
      <alignment horizontal="right" vertical="top" wrapText="1"/>
      <protection locked="0"/>
    </xf>
    <xf numFmtId="168" fontId="1" fillId="33" borderId="10" applyFont="0" applyFill="0" applyBorder="0" applyAlignment="0">
      <alignment horizontal="right" vertical="top" wrapText="1"/>
      <protection locked="0"/>
    </xf>
    <xf numFmtId="0" fontId="22" fillId="0" borderId="0"/>
    <xf numFmtId="167" fontId="22" fillId="0" borderId="0" applyFont="0" applyFill="0" applyBorder="0" applyAlignment="0" applyProtection="0"/>
    <xf numFmtId="44" fontId="1" fillId="0" borderId="0" applyFont="0" applyFill="0" applyBorder="0" applyAlignment="0" applyProtection="0"/>
    <xf numFmtId="0" fontId="18" fillId="0" borderId="0"/>
    <xf numFmtId="44"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27" fillId="0" borderId="0"/>
    <xf numFmtId="167" fontId="2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21" fillId="0" borderId="0" applyFont="0" applyFill="0" applyBorder="0" applyAlignment="0" applyProtection="0"/>
    <xf numFmtId="0" fontId="1" fillId="0" borderId="0"/>
    <xf numFmtId="166" fontId="1" fillId="0" borderId="0" applyFont="0" applyFill="0" applyBorder="0" applyAlignment="0" applyProtection="0"/>
    <xf numFmtId="0" fontId="42" fillId="0" borderId="0" applyNumberFormat="0" applyFill="0" applyBorder="0" applyAlignment="0" applyProtection="0"/>
    <xf numFmtId="0" fontId="1" fillId="0" borderId="0"/>
    <xf numFmtId="9" fontId="1" fillId="0" borderId="0" applyFont="0" applyFill="0" applyBorder="0" applyAlignment="0" applyProtection="0"/>
  </cellStyleXfs>
  <cellXfs count="624">
    <xf numFmtId="0" fontId="0" fillId="0" borderId="0" xfId="0"/>
    <xf numFmtId="0" fontId="22" fillId="0" borderId="0" xfId="0" applyFont="1"/>
    <xf numFmtId="171" fontId="22" fillId="0" borderId="0" xfId="53" applyNumberFormat="1" applyFont="1"/>
    <xf numFmtId="169" fontId="22" fillId="0" borderId="0" xfId="50" applyNumberFormat="1" applyFont="1"/>
    <xf numFmtId="169" fontId="22" fillId="0" borderId="0" xfId="50" applyNumberFormat="1" applyFont="1" applyBorder="1"/>
    <xf numFmtId="169" fontId="22" fillId="0" borderId="0" xfId="0" applyNumberFormat="1" applyFont="1"/>
    <xf numFmtId="0" fontId="25" fillId="0" borderId="0" xfId="0" applyFont="1"/>
    <xf numFmtId="0" fontId="26" fillId="0" borderId="0" xfId="0" applyFont="1"/>
    <xf numFmtId="169" fontId="26" fillId="0" borderId="0" xfId="0" applyNumberFormat="1" applyFont="1"/>
    <xf numFmtId="0" fontId="25" fillId="0" borderId="0" xfId="0" applyFont="1" applyAlignment="1">
      <alignment horizontal="left" wrapText="1"/>
    </xf>
    <xf numFmtId="0" fontId="23" fillId="0" borderId="22" xfId="0" applyFont="1" applyBorder="1"/>
    <xf numFmtId="0" fontId="22" fillId="0" borderId="14" xfId="0" applyFont="1" applyBorder="1"/>
    <xf numFmtId="0" fontId="22" fillId="0" borderId="22" xfId="0" applyFont="1" applyBorder="1"/>
    <xf numFmtId="0" fontId="22" fillId="0" borderId="23" xfId="0" applyFont="1" applyBorder="1"/>
    <xf numFmtId="0" fontId="22" fillId="0" borderId="16" xfId="0" applyFont="1" applyBorder="1"/>
    <xf numFmtId="0" fontId="22" fillId="0" borderId="17" xfId="0" applyFont="1" applyBorder="1"/>
    <xf numFmtId="0" fontId="22" fillId="0" borderId="18" xfId="0" applyFont="1" applyBorder="1"/>
    <xf numFmtId="0" fontId="22" fillId="0" borderId="20" xfId="0" applyFont="1" applyBorder="1"/>
    <xf numFmtId="0" fontId="24" fillId="0" borderId="21" xfId="0" applyFont="1" applyBorder="1" applyAlignment="1">
      <alignment wrapText="1"/>
    </xf>
    <xf numFmtId="0" fontId="26" fillId="0" borderId="22" xfId="0" applyFont="1" applyBorder="1"/>
    <xf numFmtId="0" fontId="25" fillId="0" borderId="16" xfId="0" applyFont="1" applyBorder="1"/>
    <xf numFmtId="0" fontId="25" fillId="0" borderId="18" xfId="0" applyFont="1" applyBorder="1"/>
    <xf numFmtId="169" fontId="22" fillId="0" borderId="19" xfId="0" applyNumberFormat="1" applyFont="1" applyBorder="1"/>
    <xf numFmtId="0" fontId="24" fillId="0" borderId="21" xfId="0" applyFont="1" applyBorder="1"/>
    <xf numFmtId="0" fontId="25" fillId="0" borderId="22" xfId="0" applyFont="1" applyBorder="1" applyAlignment="1">
      <alignment horizontal="left" wrapText="1"/>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29" fillId="0" borderId="0" xfId="48" applyFont="1"/>
    <xf numFmtId="0" fontId="29" fillId="0" borderId="0" xfId="0" applyFont="1"/>
    <xf numFmtId="172" fontId="29" fillId="0" borderId="0" xfId="48" applyNumberFormat="1" applyFont="1"/>
    <xf numFmtId="0" fontId="0" fillId="0" borderId="11" xfId="0" applyBorder="1"/>
    <xf numFmtId="0" fontId="0" fillId="0" borderId="25" xfId="0" applyBorder="1"/>
    <xf numFmtId="0" fontId="30" fillId="0" borderId="0" xfId="48" applyFont="1"/>
    <xf numFmtId="0" fontId="28" fillId="0" borderId="0" xfId="0" applyFont="1" applyAlignment="1">
      <alignment horizontal="left"/>
    </xf>
    <xf numFmtId="0" fontId="18" fillId="0" borderId="0" xfId="0" applyFont="1"/>
    <xf numFmtId="9" fontId="18" fillId="0" borderId="0" xfId="0" applyNumberFormat="1" applyFont="1"/>
    <xf numFmtId="0" fontId="28" fillId="0" borderId="22" xfId="0" applyFont="1" applyBorder="1"/>
    <xf numFmtId="0" fontId="18" fillId="0" borderId="19" xfId="0" applyFont="1" applyBorder="1"/>
    <xf numFmtId="9" fontId="18" fillId="0" borderId="19" xfId="0" applyNumberFormat="1" applyFont="1" applyBorder="1"/>
    <xf numFmtId="0" fontId="18" fillId="0" borderId="22" xfId="0" applyFont="1" applyBorder="1"/>
    <xf numFmtId="0" fontId="29" fillId="0" borderId="22" xfId="0" applyFont="1" applyBorder="1"/>
    <xf numFmtId="0" fontId="29" fillId="0" borderId="19" xfId="48" applyFont="1" applyBorder="1"/>
    <xf numFmtId="0" fontId="29" fillId="0" borderId="19" xfId="0" applyFont="1" applyBorder="1"/>
    <xf numFmtId="172" fontId="29" fillId="0" borderId="19" xfId="48" applyNumberFormat="1" applyFont="1" applyBorder="1"/>
    <xf numFmtId="0" fontId="25" fillId="0" borderId="21" xfId="0" applyFont="1" applyBorder="1"/>
    <xf numFmtId="171" fontId="22" fillId="0" borderId="0" xfId="53" applyNumberFormat="1" applyFont="1" applyFill="1" applyBorder="1"/>
    <xf numFmtId="169" fontId="22" fillId="0" borderId="0" xfId="50" applyNumberFormat="1" applyFont="1" applyFill="1" applyBorder="1"/>
    <xf numFmtId="169" fontId="22" fillId="0" borderId="31" xfId="50" applyNumberFormat="1" applyFont="1" applyFill="1" applyBorder="1"/>
    <xf numFmtId="169" fontId="0" fillId="0" borderId="29" xfId="50" applyNumberFormat="1" applyFont="1" applyBorder="1"/>
    <xf numFmtId="169" fontId="22" fillId="0" borderId="29" xfId="50" applyNumberFormat="1" applyFont="1" applyBorder="1"/>
    <xf numFmtId="169" fontId="22" fillId="0" borderId="28" xfId="50" applyNumberFormat="1" applyFont="1" applyBorder="1"/>
    <xf numFmtId="169" fontId="22" fillId="0" borderId="26" xfId="0" applyNumberFormat="1" applyFont="1" applyBorder="1"/>
    <xf numFmtId="0" fontId="22" fillId="0" borderId="11" xfId="0" applyFont="1" applyBorder="1"/>
    <xf numFmtId="169" fontId="22" fillId="0" borderId="12" xfId="0" applyNumberFormat="1" applyFont="1" applyBorder="1"/>
    <xf numFmtId="169" fontId="22" fillId="0" borderId="30" xfId="0" applyNumberFormat="1" applyFont="1" applyBorder="1"/>
    <xf numFmtId="0" fontId="22" fillId="0" borderId="32" xfId="0" applyFont="1" applyBorder="1"/>
    <xf numFmtId="169" fontId="0" fillId="0" borderId="0" xfId="50" applyNumberFormat="1" applyFont="1" applyBorder="1"/>
    <xf numFmtId="0" fontId="24" fillId="0" borderId="27" xfId="0" applyFont="1" applyBorder="1" applyAlignment="1">
      <alignment horizontal="left" wrapText="1"/>
    </xf>
    <xf numFmtId="0" fontId="24" fillId="0" borderId="11" xfId="0" applyFont="1" applyBorder="1" applyAlignment="1">
      <alignment horizontal="left" wrapText="1"/>
    </xf>
    <xf numFmtId="0" fontId="31" fillId="37" borderId="27" xfId="0" applyFont="1" applyFill="1" applyBorder="1" applyAlignment="1">
      <alignment horizontal="left"/>
    </xf>
    <xf numFmtId="0" fontId="31" fillId="0" borderId="11" xfId="0" applyFont="1" applyBorder="1" applyAlignment="1">
      <alignment horizontal="left"/>
    </xf>
    <xf numFmtId="0" fontId="31" fillId="37" borderId="11" xfId="0" applyFont="1" applyFill="1" applyBorder="1" applyAlignment="1">
      <alignment horizontal="left"/>
    </xf>
    <xf numFmtId="0" fontId="31" fillId="0" borderId="25" xfId="0" applyFont="1" applyBorder="1" applyAlignment="1">
      <alignment horizontal="left"/>
    </xf>
    <xf numFmtId="0" fontId="31" fillId="0" borderId="32" xfId="0" applyFont="1" applyBorder="1" applyAlignment="1">
      <alignment horizontal="left"/>
    </xf>
    <xf numFmtId="0" fontId="31" fillId="37" borderId="25" xfId="0" applyFont="1" applyFill="1" applyBorder="1" applyAlignment="1">
      <alignment horizontal="left"/>
    </xf>
    <xf numFmtId="169" fontId="22" fillId="0" borderId="27" xfId="50" applyNumberFormat="1" applyFont="1" applyBorder="1"/>
    <xf numFmtId="169" fontId="22" fillId="0" borderId="11" xfId="50" applyNumberFormat="1" applyFont="1" applyBorder="1"/>
    <xf numFmtId="169" fontId="22" fillId="0" borderId="25" xfId="50" applyNumberFormat="1" applyFont="1" applyBorder="1"/>
    <xf numFmtId="169" fontId="22" fillId="0" borderId="32" xfId="50" applyNumberFormat="1" applyFont="1" applyFill="1" applyBorder="1"/>
    <xf numFmtId="169" fontId="0" fillId="0" borderId="11" xfId="50" applyNumberFormat="1" applyFont="1" applyBorder="1"/>
    <xf numFmtId="169" fontId="0" fillId="0" borderId="25" xfId="50" applyNumberFormat="1" applyFont="1" applyBorder="1"/>
    <xf numFmtId="169" fontId="22" fillId="0" borderId="33" xfId="50" applyNumberFormat="1" applyFont="1" applyFill="1" applyBorder="1"/>
    <xf numFmtId="169" fontId="0" fillId="0" borderId="12" xfId="50" applyNumberFormat="1" applyFont="1" applyBorder="1"/>
    <xf numFmtId="169" fontId="0" fillId="0" borderId="30" xfId="50" applyNumberFormat="1" applyFont="1" applyBorder="1"/>
    <xf numFmtId="169" fontId="0" fillId="0" borderId="12" xfId="50" applyNumberFormat="1" applyFont="1" applyFill="1" applyBorder="1"/>
    <xf numFmtId="44" fontId="22" fillId="0" borderId="17" xfId="0" applyNumberFormat="1" applyFont="1" applyBorder="1"/>
    <xf numFmtId="0" fontId="22" fillId="0" borderId="15" xfId="0" applyFont="1" applyBorder="1"/>
    <xf numFmtId="0" fontId="22" fillId="0" borderId="13" xfId="0" pivotButton="1" applyFont="1" applyBorder="1"/>
    <xf numFmtId="169" fontId="22" fillId="0" borderId="17" xfId="0" applyNumberFormat="1" applyFont="1" applyBorder="1"/>
    <xf numFmtId="169" fontId="22" fillId="0" borderId="20" xfId="0" applyNumberFormat="1" applyFont="1" applyBorder="1"/>
    <xf numFmtId="169" fontId="26" fillId="0" borderId="21" xfId="0" applyNumberFormat="1" applyFont="1" applyBorder="1"/>
    <xf numFmtId="169" fontId="22" fillId="0" borderId="22" xfId="0" applyNumberFormat="1" applyFont="1" applyBorder="1"/>
    <xf numFmtId="169" fontId="22" fillId="0" borderId="23" xfId="0" applyNumberFormat="1" applyFont="1" applyBorder="1"/>
    <xf numFmtId="169" fontId="26" fillId="0" borderId="16" xfId="0" applyNumberFormat="1" applyFont="1" applyBorder="1"/>
    <xf numFmtId="169" fontId="26" fillId="0" borderId="18" xfId="0" applyNumberFormat="1" applyFont="1" applyBorder="1"/>
    <xf numFmtId="0" fontId="25" fillId="0" borderId="24" xfId="0" pivotButton="1" applyFont="1" applyBorder="1" applyAlignment="1">
      <alignment wrapText="1"/>
    </xf>
    <xf numFmtId="0" fontId="25" fillId="0" borderId="34" xfId="0" applyFont="1" applyBorder="1" applyAlignment="1">
      <alignment horizontal="left" wrapText="1"/>
    </xf>
    <xf numFmtId="0" fontId="25" fillId="0" borderId="35" xfId="0" applyFont="1" applyBorder="1" applyAlignment="1">
      <alignment horizontal="left" wrapText="1"/>
    </xf>
    <xf numFmtId="0" fontId="25" fillId="0" borderId="36" xfId="0" applyFont="1" applyBorder="1" applyAlignment="1">
      <alignment horizontal="left" wrapText="1"/>
    </xf>
    <xf numFmtId="0" fontId="25" fillId="0" borderId="24" xfId="0" applyFont="1" applyBorder="1" applyAlignment="1">
      <alignment horizontal="left" wrapText="1"/>
    </xf>
    <xf numFmtId="0" fontId="26" fillId="0" borderId="13" xfId="0" applyFont="1" applyBorder="1"/>
    <xf numFmtId="169" fontId="26" fillId="0" borderId="22" xfId="0" applyNumberFormat="1" applyFont="1" applyBorder="1"/>
    <xf numFmtId="0" fontId="24" fillId="0" borderId="16" xfId="0" applyFont="1" applyBorder="1"/>
    <xf numFmtId="0" fontId="32" fillId="0" borderId="0" xfId="0" applyFont="1"/>
    <xf numFmtId="0" fontId="1" fillId="0" borderId="37" xfId="61" applyBorder="1"/>
    <xf numFmtId="0" fontId="34" fillId="0" borderId="37" xfId="61" applyFont="1" applyBorder="1"/>
    <xf numFmtId="0" fontId="16" fillId="38" borderId="38" xfId="0" applyFont="1" applyFill="1" applyBorder="1" applyAlignment="1">
      <alignment horizontal="center"/>
    </xf>
    <xf numFmtId="0" fontId="16" fillId="38" borderId="38" xfId="0" applyFont="1" applyFill="1" applyBorder="1"/>
    <xf numFmtId="0" fontId="0" fillId="38" borderId="38" xfId="0" applyFill="1" applyBorder="1" applyAlignment="1">
      <alignment horizontal="center"/>
    </xf>
    <xf numFmtId="0" fontId="0" fillId="38" borderId="38" xfId="0" applyFill="1" applyBorder="1"/>
    <xf numFmtId="0" fontId="0" fillId="38" borderId="38" xfId="0" applyFill="1" applyBorder="1" applyAlignment="1">
      <alignment wrapText="1"/>
    </xf>
    <xf numFmtId="0" fontId="0" fillId="39" borderId="0" xfId="0" applyFill="1"/>
    <xf numFmtId="0" fontId="24" fillId="39" borderId="0" xfId="0" applyFont="1" applyFill="1"/>
    <xf numFmtId="0" fontId="35" fillId="39" borderId="0" xfId="0" applyFont="1" applyFill="1"/>
    <xf numFmtId="0" fontId="0" fillId="39" borderId="0" xfId="0" applyFill="1" applyAlignment="1">
      <alignment wrapText="1"/>
    </xf>
    <xf numFmtId="0" fontId="16" fillId="39" borderId="0" xfId="0" applyFont="1" applyFill="1"/>
    <xf numFmtId="0" fontId="36" fillId="0" borderId="0" xfId="0" applyFont="1"/>
    <xf numFmtId="0" fontId="37" fillId="0" borderId="0" xfId="0" applyFont="1"/>
    <xf numFmtId="169" fontId="38" fillId="38" borderId="0" xfId="62" applyNumberFormat="1" applyFont="1" applyFill="1" applyBorder="1"/>
    <xf numFmtId="0" fontId="36" fillId="38" borderId="0" xfId="0" applyFont="1" applyFill="1"/>
    <xf numFmtId="0" fontId="37" fillId="38" borderId="0" xfId="0" applyFont="1" applyFill="1"/>
    <xf numFmtId="0" fontId="36" fillId="0" borderId="0" xfId="0" applyFont="1" applyAlignment="1">
      <alignment vertical="center"/>
    </xf>
    <xf numFmtId="174" fontId="20" fillId="41" borderId="0" xfId="0" applyNumberFormat="1" applyFont="1" applyFill="1" applyAlignment="1" applyProtection="1">
      <alignment vertical="center"/>
      <protection locked="0"/>
    </xf>
    <xf numFmtId="0" fontId="41" fillId="41" borderId="0" xfId="0" applyFont="1" applyFill="1" applyAlignment="1">
      <alignment vertical="center"/>
    </xf>
    <xf numFmtId="0" fontId="41" fillId="41" borderId="0" xfId="0" applyFont="1" applyFill="1" applyAlignment="1">
      <alignment horizontal="center" vertical="center"/>
    </xf>
    <xf numFmtId="0" fontId="43" fillId="0" borderId="0" xfId="63" applyFont="1" applyAlignment="1">
      <alignment horizontal="center" vertical="center"/>
    </xf>
    <xf numFmtId="0" fontId="37" fillId="38" borderId="40" xfId="0" applyFont="1" applyFill="1" applyBorder="1"/>
    <xf numFmtId="0" fontId="37" fillId="38" borderId="45" xfId="0" applyFont="1" applyFill="1" applyBorder="1"/>
    <xf numFmtId="0" fontId="36" fillId="0" borderId="46" xfId="0" applyFont="1" applyBorder="1"/>
    <xf numFmtId="0" fontId="36" fillId="38" borderId="40" xfId="0" applyFont="1" applyFill="1" applyBorder="1"/>
    <xf numFmtId="0" fontId="36" fillId="38" borderId="43" xfId="0" applyFont="1" applyFill="1" applyBorder="1"/>
    <xf numFmtId="0" fontId="36" fillId="38" borderId="45" xfId="0" applyFont="1" applyFill="1" applyBorder="1"/>
    <xf numFmtId="0" fontId="36" fillId="38" borderId="0" xfId="0" applyFont="1" applyFill="1" applyAlignment="1">
      <alignment horizontal="right" vertical="top"/>
    </xf>
    <xf numFmtId="169" fontId="36" fillId="38" borderId="0" xfId="0" applyNumberFormat="1" applyFont="1" applyFill="1" applyAlignment="1">
      <alignment horizontal="left" vertical="top" wrapText="1"/>
    </xf>
    <xf numFmtId="0" fontId="36" fillId="38" borderId="0" xfId="0" applyFont="1" applyFill="1" applyAlignment="1">
      <alignment horizontal="left" vertical="top" wrapText="1"/>
    </xf>
    <xf numFmtId="10" fontId="36" fillId="38" borderId="48" xfId="0" applyNumberFormat="1" applyFont="1" applyFill="1" applyBorder="1" applyAlignment="1">
      <alignment horizontal="left"/>
    </xf>
    <xf numFmtId="0" fontId="36" fillId="38" borderId="48" xfId="0" applyFont="1" applyFill="1" applyBorder="1"/>
    <xf numFmtId="0" fontId="37" fillId="38" borderId="47" xfId="0" applyFont="1" applyFill="1" applyBorder="1"/>
    <xf numFmtId="169" fontId="38" fillId="38" borderId="44" xfId="62" applyNumberFormat="1" applyFont="1" applyFill="1" applyBorder="1"/>
    <xf numFmtId="164" fontId="37" fillId="0" borderId="46" xfId="0" applyNumberFormat="1" applyFont="1" applyBorder="1"/>
    <xf numFmtId="0" fontId="36" fillId="38" borderId="41" xfId="0" applyFont="1" applyFill="1" applyBorder="1"/>
    <xf numFmtId="164" fontId="37" fillId="38" borderId="0" xfId="0" applyNumberFormat="1" applyFont="1" applyFill="1"/>
    <xf numFmtId="0" fontId="36" fillId="38" borderId="46" xfId="0" applyFont="1" applyFill="1" applyBorder="1"/>
    <xf numFmtId="0" fontId="36" fillId="38" borderId="46" xfId="0" applyFont="1" applyFill="1" applyBorder="1" applyAlignment="1">
      <alignment horizontal="right"/>
    </xf>
    <xf numFmtId="174" fontId="37" fillId="38" borderId="46" xfId="62" applyNumberFormat="1" applyFont="1" applyFill="1" applyBorder="1"/>
    <xf numFmtId="174" fontId="36" fillId="38" borderId="46" xfId="62" applyNumberFormat="1" applyFont="1" applyFill="1" applyBorder="1"/>
    <xf numFmtId="174" fontId="36" fillId="38" borderId="47" xfId="62" applyNumberFormat="1" applyFont="1" applyFill="1" applyBorder="1"/>
    <xf numFmtId="169" fontId="38" fillId="40" borderId="0" xfId="62" applyNumberFormat="1" applyFont="1" applyFill="1" applyBorder="1"/>
    <xf numFmtId="169" fontId="38" fillId="40" borderId="44" xfId="62" applyNumberFormat="1" applyFont="1" applyFill="1" applyBorder="1"/>
    <xf numFmtId="169" fontId="38" fillId="40" borderId="46" xfId="62" applyNumberFormat="1" applyFont="1" applyFill="1" applyBorder="1"/>
    <xf numFmtId="169" fontId="38" fillId="40" borderId="47" xfId="62" applyNumberFormat="1" applyFont="1" applyFill="1" applyBorder="1"/>
    <xf numFmtId="169" fontId="38" fillId="40" borderId="41" xfId="62" applyNumberFormat="1" applyFont="1" applyFill="1" applyBorder="1"/>
    <xf numFmtId="169" fontId="38" fillId="40" borderId="42" xfId="62" applyNumberFormat="1" applyFont="1" applyFill="1" applyBorder="1"/>
    <xf numFmtId="0" fontId="36" fillId="40" borderId="0" xfId="0" applyFont="1" applyFill="1" applyAlignment="1">
      <alignment horizontal="center" vertical="center"/>
    </xf>
    <xf numFmtId="0" fontId="37" fillId="40" borderId="0" xfId="0" applyFont="1" applyFill="1" applyAlignment="1">
      <alignment horizontal="center" vertical="center"/>
    </xf>
    <xf numFmtId="0" fontId="36" fillId="0" borderId="48" xfId="0" applyFont="1" applyBorder="1"/>
    <xf numFmtId="0" fontId="36" fillId="38" borderId="47" xfId="0" applyFont="1" applyFill="1" applyBorder="1"/>
    <xf numFmtId="0" fontId="36" fillId="38" borderId="44" xfId="0" applyFont="1" applyFill="1" applyBorder="1"/>
    <xf numFmtId="0" fontId="36" fillId="0" borderId="44" xfId="0" applyFont="1" applyBorder="1"/>
    <xf numFmtId="0" fontId="39" fillId="38" borderId="45" xfId="0" applyFont="1" applyFill="1" applyBorder="1"/>
    <xf numFmtId="0" fontId="37" fillId="38" borderId="50" xfId="0" applyFont="1" applyFill="1" applyBorder="1"/>
    <xf numFmtId="0" fontId="41" fillId="0" borderId="0" xfId="0" applyFont="1" applyAlignment="1">
      <alignment horizontal="center" vertical="center"/>
    </xf>
    <xf numFmtId="9" fontId="41" fillId="0" borderId="0" xfId="0" applyNumberFormat="1" applyFont="1" applyAlignment="1">
      <alignment horizontal="right" vertical="center" indent="1"/>
    </xf>
    <xf numFmtId="175" fontId="41" fillId="0" borderId="0" xfId="0" applyNumberFormat="1" applyFont="1" applyAlignment="1">
      <alignment horizontal="right" vertical="center" indent="1"/>
    </xf>
    <xf numFmtId="0" fontId="44" fillId="0" borderId="0" xfId="0" applyFont="1" applyAlignment="1">
      <alignment vertical="center"/>
    </xf>
    <xf numFmtId="0" fontId="36" fillId="0" borderId="0" xfId="0" applyFont="1" applyAlignment="1" applyProtection="1">
      <alignment horizontal="center" vertical="center"/>
      <protection locked="0"/>
    </xf>
    <xf numFmtId="0" fontId="36" fillId="0" borderId="0" xfId="0" applyFont="1" applyAlignment="1" applyProtection="1">
      <alignment vertical="center" wrapText="1"/>
      <protection locked="0"/>
    </xf>
    <xf numFmtId="0" fontId="40" fillId="40" borderId="0" xfId="0" applyFont="1" applyFill="1" applyAlignment="1">
      <alignment horizontal="center" vertical="center" wrapText="1" readingOrder="1"/>
    </xf>
    <xf numFmtId="9" fontId="40" fillId="40" borderId="0" xfId="0" applyNumberFormat="1" applyFont="1" applyFill="1" applyAlignment="1">
      <alignment horizontal="center" vertical="center" wrapText="1" readingOrder="1"/>
    </xf>
    <xf numFmtId="175" fontId="40" fillId="40" borderId="0" xfId="0" applyNumberFormat="1" applyFont="1" applyFill="1" applyAlignment="1">
      <alignment horizontal="center" vertical="center" wrapText="1" readingOrder="1"/>
    </xf>
    <xf numFmtId="0" fontId="20" fillId="0" borderId="0" xfId="0" applyFont="1" applyAlignment="1">
      <alignment vertical="center"/>
    </xf>
    <xf numFmtId="9" fontId="41" fillId="41" borderId="0" xfId="0" applyNumberFormat="1" applyFont="1" applyFill="1" applyAlignment="1">
      <alignment horizontal="center" vertical="center"/>
    </xf>
    <xf numFmtId="175" fontId="41" fillId="41" borderId="0" xfId="0" applyNumberFormat="1" applyFont="1" applyFill="1" applyAlignment="1">
      <alignment horizontal="center" vertical="center"/>
    </xf>
    <xf numFmtId="0" fontId="36" fillId="38" borderId="48" xfId="0" applyFont="1" applyFill="1" applyBorder="1" applyAlignment="1">
      <alignment horizontal="center" vertical="center"/>
    </xf>
    <xf numFmtId="0" fontId="36" fillId="38" borderId="49" xfId="0" applyFont="1" applyFill="1" applyBorder="1" applyAlignment="1">
      <alignment horizontal="center" vertical="center"/>
    </xf>
    <xf numFmtId="0" fontId="36" fillId="0" borderId="48" xfId="0" applyFont="1" applyBorder="1" applyAlignment="1">
      <alignment horizontal="center"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38" borderId="0" xfId="0" applyFont="1" applyFill="1" applyAlignment="1">
      <alignment horizontal="center" vertical="center"/>
    </xf>
    <xf numFmtId="0" fontId="36" fillId="39" borderId="49" xfId="0" applyFont="1" applyFill="1" applyBorder="1"/>
    <xf numFmtId="0" fontId="20" fillId="41" borderId="0" xfId="0" applyFont="1" applyFill="1" applyAlignment="1">
      <alignment horizontal="center" vertical="center"/>
    </xf>
    <xf numFmtId="166" fontId="38" fillId="42" borderId="44" xfId="62" applyFont="1" applyFill="1" applyBorder="1" applyProtection="1">
      <protection locked="0"/>
    </xf>
    <xf numFmtId="169" fontId="38" fillId="42" borderId="0" xfId="62" applyNumberFormat="1" applyFont="1" applyFill="1" applyBorder="1" applyProtection="1">
      <protection locked="0"/>
    </xf>
    <xf numFmtId="169" fontId="38" fillId="42" borderId="44" xfId="62" applyNumberFormat="1" applyFont="1" applyFill="1" applyBorder="1" applyProtection="1">
      <protection locked="0"/>
    </xf>
    <xf numFmtId="0" fontId="45" fillId="0" borderId="0" xfId="0" applyFont="1"/>
    <xf numFmtId="0" fontId="45" fillId="0" borderId="0" xfId="0" applyFont="1" applyAlignment="1">
      <alignment vertical="center"/>
    </xf>
    <xf numFmtId="0" fontId="0" fillId="0" borderId="0" xfId="0" applyAlignment="1">
      <alignment vertical="center"/>
    </xf>
    <xf numFmtId="174" fontId="20" fillId="0" borderId="0" xfId="0" applyNumberFormat="1" applyFont="1" applyAlignment="1" applyProtection="1">
      <alignment vertical="center"/>
      <protection locked="0"/>
    </xf>
    <xf numFmtId="0" fontId="39" fillId="0" borderId="0" xfId="0" applyFont="1" applyAlignment="1" applyProtection="1">
      <alignment vertical="center"/>
      <protection locked="0"/>
    </xf>
    <xf numFmtId="0" fontId="36" fillId="42" borderId="0" xfId="0" applyFont="1" applyFill="1" applyAlignment="1" applyProtection="1">
      <alignment horizontal="center"/>
      <protection locked="0"/>
    </xf>
    <xf numFmtId="174" fontId="46" fillId="41" borderId="0" xfId="0" applyNumberFormat="1" applyFont="1" applyFill="1" applyAlignment="1" applyProtection="1">
      <alignment vertical="center"/>
      <protection locked="0"/>
    </xf>
    <xf numFmtId="0" fontId="36" fillId="0" borderId="43" xfId="0" applyFont="1" applyBorder="1"/>
    <xf numFmtId="0" fontId="37" fillId="36" borderId="43" xfId="0" applyFont="1" applyFill="1" applyBorder="1" applyAlignment="1">
      <alignment horizontal="center" vertical="center"/>
    </xf>
    <xf numFmtId="0" fontId="37" fillId="39" borderId="52" xfId="0" applyFont="1" applyFill="1" applyBorder="1"/>
    <xf numFmtId="0" fontId="36" fillId="39" borderId="53" xfId="0" applyFont="1" applyFill="1" applyBorder="1"/>
    <xf numFmtId="0" fontId="36" fillId="38" borderId="54" xfId="0" applyFont="1" applyFill="1" applyBorder="1"/>
    <xf numFmtId="0" fontId="36" fillId="38" borderId="54" xfId="0" applyFont="1" applyFill="1" applyBorder="1" applyAlignment="1">
      <alignment horizontal="center" vertical="center"/>
    </xf>
    <xf numFmtId="0" fontId="36" fillId="38" borderId="55" xfId="0" applyFont="1" applyFill="1" applyBorder="1" applyAlignment="1">
      <alignment horizontal="center" vertical="center"/>
    </xf>
    <xf numFmtId="0" fontId="37" fillId="36" borderId="16" xfId="0" applyFont="1" applyFill="1" applyBorder="1" applyAlignment="1">
      <alignment horizontal="center" vertical="center"/>
    </xf>
    <xf numFmtId="169" fontId="38" fillId="42" borderId="17" xfId="62" applyNumberFormat="1" applyFont="1" applyFill="1" applyBorder="1" applyProtection="1">
      <protection locked="0"/>
    </xf>
    <xf numFmtId="0" fontId="36" fillId="0" borderId="16" xfId="0" applyFont="1" applyBorder="1"/>
    <xf numFmtId="0" fontId="36" fillId="0" borderId="18" xfId="0" applyFont="1" applyBorder="1"/>
    <xf numFmtId="0" fontId="36" fillId="38" borderId="19" xfId="0" applyFont="1" applyFill="1" applyBorder="1"/>
    <xf numFmtId="169" fontId="38" fillId="42" borderId="19" xfId="62" applyNumberFormat="1" applyFont="1" applyFill="1" applyBorder="1" applyProtection="1">
      <protection locked="0"/>
    </xf>
    <xf numFmtId="169" fontId="38" fillId="42" borderId="20" xfId="62" applyNumberFormat="1" applyFont="1" applyFill="1" applyBorder="1" applyProtection="1">
      <protection locked="0"/>
    </xf>
    <xf numFmtId="166" fontId="38" fillId="0" borderId="44" xfId="62" applyFont="1" applyFill="1" applyBorder="1" applyProtection="1">
      <protection locked="0"/>
    </xf>
    <xf numFmtId="169" fontId="38" fillId="0" borderId="0" xfId="62" applyNumberFormat="1" applyFont="1" applyFill="1" applyBorder="1"/>
    <xf numFmtId="169" fontId="38" fillId="0" borderId="44" xfId="62" applyNumberFormat="1" applyFont="1" applyFill="1" applyBorder="1"/>
    <xf numFmtId="166" fontId="38" fillId="36" borderId="44" xfId="62" applyFont="1" applyFill="1" applyBorder="1" applyProtection="1">
      <protection locked="0"/>
    </xf>
    <xf numFmtId="0" fontId="36" fillId="36" borderId="44" xfId="0" applyFont="1" applyFill="1" applyBorder="1"/>
    <xf numFmtId="0" fontId="47" fillId="0" borderId="21" xfId="0" applyFont="1" applyBorder="1" applyAlignment="1">
      <alignment horizontal="center" vertical="center" wrapText="1"/>
    </xf>
    <xf numFmtId="0" fontId="48" fillId="0" borderId="22" xfId="0" applyFont="1" applyBorder="1" applyAlignment="1">
      <alignment vertical="center" wrapText="1"/>
    </xf>
    <xf numFmtId="171" fontId="49" fillId="0" borderId="23" xfId="53" applyNumberFormat="1" applyFont="1" applyFill="1" applyBorder="1" applyAlignment="1">
      <alignment vertical="center"/>
    </xf>
    <xf numFmtId="0" fontId="50" fillId="0" borderId="16" xfId="0" applyFont="1" applyBorder="1" applyAlignment="1">
      <alignment vertical="center" wrapText="1"/>
    </xf>
    <xf numFmtId="169" fontId="51" fillId="0" borderId="17" xfId="50" applyNumberFormat="1" applyFont="1" applyFill="1" applyBorder="1" applyAlignment="1">
      <alignment vertical="center"/>
    </xf>
    <xf numFmtId="169" fontId="52" fillId="0" borderId="17" xfId="50" applyNumberFormat="1" applyFont="1" applyFill="1" applyBorder="1" applyAlignment="1">
      <alignment vertical="center"/>
    </xf>
    <xf numFmtId="0" fontId="47" fillId="0" borderId="16" xfId="0" applyFont="1" applyBorder="1" applyAlignment="1">
      <alignment horizontal="center" vertical="center" wrapText="1"/>
    </xf>
    <xf numFmtId="169" fontId="53" fillId="0" borderId="17" xfId="50" applyNumberFormat="1" applyFont="1" applyFill="1" applyBorder="1" applyAlignment="1">
      <alignment vertical="center"/>
    </xf>
    <xf numFmtId="169" fontId="49" fillId="0" borderId="17" xfId="50" applyNumberFormat="1" applyFont="1" applyFill="1" applyBorder="1" applyAlignment="1">
      <alignment vertical="center"/>
    </xf>
    <xf numFmtId="169" fontId="50" fillId="0" borderId="17" xfId="50" applyNumberFormat="1" applyFont="1" applyFill="1" applyBorder="1" applyAlignment="1">
      <alignment vertical="center"/>
    </xf>
    <xf numFmtId="0" fontId="50" fillId="0" borderId="18" xfId="0" applyFont="1" applyBorder="1" applyAlignment="1">
      <alignment vertical="center" wrapText="1"/>
    </xf>
    <xf numFmtId="169" fontId="50" fillId="0" borderId="20" xfId="50" applyNumberFormat="1" applyFont="1" applyFill="1" applyBorder="1" applyAlignment="1">
      <alignment vertical="center"/>
    </xf>
    <xf numFmtId="169" fontId="38" fillId="0" borderId="0" xfId="62" applyNumberFormat="1" applyFont="1" applyFill="1" applyBorder="1" applyProtection="1">
      <protection locked="0"/>
    </xf>
    <xf numFmtId="169" fontId="38" fillId="0" borderId="17" xfId="62" applyNumberFormat="1" applyFont="1" applyFill="1" applyBorder="1" applyProtection="1">
      <protection locked="0"/>
    </xf>
    <xf numFmtId="2" fontId="36" fillId="38" borderId="0" xfId="0" applyNumberFormat="1" applyFont="1" applyFill="1" applyAlignment="1">
      <alignment horizontal="center" vertical="top" wrapText="1"/>
    </xf>
    <xf numFmtId="2" fontId="36" fillId="0" borderId="0" xfId="0" applyNumberFormat="1" applyFont="1" applyAlignment="1">
      <alignment vertical="center"/>
    </xf>
    <xf numFmtId="0" fontId="36" fillId="38" borderId="21" xfId="0" applyFont="1" applyFill="1" applyBorder="1" applyAlignment="1">
      <alignment vertical="top"/>
    </xf>
    <xf numFmtId="0" fontId="36" fillId="38" borderId="22" xfId="0" applyFont="1" applyFill="1" applyBorder="1" applyAlignment="1">
      <alignment horizontal="right" vertical="top"/>
    </xf>
    <xf numFmtId="169" fontId="36" fillId="38" borderId="22" xfId="0" applyNumberFormat="1" applyFont="1" applyFill="1" applyBorder="1" applyAlignment="1">
      <alignment horizontal="left" vertical="top" wrapText="1"/>
    </xf>
    <xf numFmtId="0" fontId="36" fillId="38" borderId="22" xfId="0" applyFont="1" applyFill="1" applyBorder="1" applyAlignment="1">
      <alignment horizontal="left" vertical="top" wrapText="1"/>
    </xf>
    <xf numFmtId="169" fontId="36" fillId="38" borderId="23" xfId="0" applyNumberFormat="1" applyFont="1" applyFill="1" applyBorder="1" applyAlignment="1">
      <alignment horizontal="left" vertical="top" wrapText="1"/>
    </xf>
    <xf numFmtId="0" fontId="36" fillId="38" borderId="16" xfId="0" applyFont="1" applyFill="1" applyBorder="1" applyAlignment="1">
      <alignment horizontal="left" vertical="top"/>
    </xf>
    <xf numFmtId="169" fontId="36" fillId="38" borderId="17" xfId="0" applyNumberFormat="1" applyFont="1" applyFill="1" applyBorder="1" applyAlignment="1">
      <alignment horizontal="left" vertical="top" wrapText="1"/>
    </xf>
    <xf numFmtId="0" fontId="36" fillId="0" borderId="19" xfId="0" applyFont="1" applyBorder="1"/>
    <xf numFmtId="0" fontId="36" fillId="42" borderId="0" xfId="0" applyFont="1" applyFill="1" applyAlignment="1" applyProtection="1">
      <alignment horizontal="center" vertical="center"/>
      <protection locked="0"/>
    </xf>
    <xf numFmtId="1" fontId="36" fillId="42" borderId="0" xfId="0" applyNumberFormat="1" applyFont="1" applyFill="1" applyAlignment="1" applyProtection="1">
      <alignment horizontal="center" vertical="center"/>
      <protection locked="0"/>
    </xf>
    <xf numFmtId="1" fontId="36" fillId="42" borderId="44" xfId="0" applyNumberFormat="1" applyFont="1" applyFill="1" applyBorder="1" applyAlignment="1" applyProtection="1">
      <alignment horizontal="center" vertical="center"/>
      <protection locked="0"/>
    </xf>
    <xf numFmtId="0" fontId="36" fillId="38" borderId="0" xfId="0" applyFont="1" applyFill="1" applyAlignment="1">
      <alignment horizontal="left" vertical="center"/>
    </xf>
    <xf numFmtId="0" fontId="44" fillId="38" borderId="0" xfId="0" applyFont="1" applyFill="1" applyAlignment="1">
      <alignment vertical="center"/>
    </xf>
    <xf numFmtId="0" fontId="37" fillId="38" borderId="46" xfId="0" applyFont="1" applyFill="1" applyBorder="1"/>
    <xf numFmtId="0" fontId="37" fillId="39" borderId="54" xfId="0" applyFont="1" applyFill="1" applyBorder="1"/>
    <xf numFmtId="0" fontId="37" fillId="38" borderId="41" xfId="0" applyFont="1" applyFill="1" applyBorder="1"/>
    <xf numFmtId="0" fontId="39" fillId="38" borderId="46" xfId="0" applyFont="1" applyFill="1" applyBorder="1"/>
    <xf numFmtId="0" fontId="37" fillId="38" borderId="48" xfId="0" applyFont="1" applyFill="1" applyBorder="1"/>
    <xf numFmtId="0" fontId="37" fillId="39" borderId="41" xfId="0" applyFont="1" applyFill="1" applyBorder="1"/>
    <xf numFmtId="0" fontId="37" fillId="39" borderId="50" xfId="0" applyFont="1" applyFill="1" applyBorder="1" applyAlignment="1">
      <alignment horizontal="left"/>
    </xf>
    <xf numFmtId="0" fontId="39" fillId="36" borderId="57" xfId="0" applyFont="1" applyFill="1" applyBorder="1" applyAlignment="1">
      <alignment horizontal="center" vertical="center"/>
    </xf>
    <xf numFmtId="176" fontId="36" fillId="42" borderId="57" xfId="54" applyNumberFormat="1" applyFont="1" applyFill="1" applyBorder="1" applyAlignment="1">
      <alignment horizontal="center" vertical="center"/>
    </xf>
    <xf numFmtId="0" fontId="36" fillId="42" borderId="51" xfId="0" applyFont="1" applyFill="1" applyBorder="1" applyAlignment="1" applyProtection="1">
      <alignment horizontal="center" vertical="center"/>
      <protection locked="0"/>
    </xf>
    <xf numFmtId="0" fontId="36" fillId="42" borderId="39" xfId="0" applyFont="1" applyFill="1" applyBorder="1" applyAlignment="1" applyProtection="1">
      <alignment horizontal="center" vertical="center"/>
      <protection locked="0"/>
    </xf>
    <xf numFmtId="166" fontId="36" fillId="39" borderId="49" xfId="0" applyNumberFormat="1" applyFont="1" applyFill="1" applyBorder="1"/>
    <xf numFmtId="0" fontId="36" fillId="38" borderId="59" xfId="0" applyFont="1" applyFill="1" applyBorder="1"/>
    <xf numFmtId="0" fontId="36" fillId="38" borderId="59" xfId="0" applyFont="1" applyFill="1" applyBorder="1" applyAlignment="1">
      <alignment horizontal="center" vertical="center"/>
    </xf>
    <xf numFmtId="0" fontId="36" fillId="38" borderId="58" xfId="0" applyFont="1" applyFill="1" applyBorder="1" applyAlignment="1">
      <alignment horizontal="center" vertical="center"/>
    </xf>
    <xf numFmtId="164" fontId="37" fillId="0" borderId="41" xfId="0" applyNumberFormat="1" applyFont="1" applyBorder="1"/>
    <xf numFmtId="0" fontId="36" fillId="0" borderId="41" xfId="0" applyFont="1" applyBorder="1"/>
    <xf numFmtId="0" fontId="0" fillId="0" borderId="66" xfId="0" applyBorder="1" applyAlignment="1">
      <alignment vertical="center"/>
    </xf>
    <xf numFmtId="0" fontId="0" fillId="0" borderId="67" xfId="0" applyBorder="1" applyAlignment="1">
      <alignment vertical="center"/>
    </xf>
    <xf numFmtId="0" fontId="0" fillId="0" borderId="68" xfId="0" applyBorder="1" applyAlignment="1">
      <alignment vertical="center"/>
    </xf>
    <xf numFmtId="10" fontId="36" fillId="42" borderId="57" xfId="54" applyNumberFormat="1" applyFont="1" applyFill="1" applyBorder="1" applyAlignment="1">
      <alignment horizontal="center" vertical="center"/>
    </xf>
    <xf numFmtId="176" fontId="36" fillId="42" borderId="57" xfId="54" applyNumberFormat="1" applyFont="1" applyFill="1" applyBorder="1" applyAlignment="1">
      <alignment vertical="center"/>
    </xf>
    <xf numFmtId="176" fontId="36" fillId="42" borderId="69" xfId="54" applyNumberFormat="1" applyFont="1" applyFill="1" applyBorder="1" applyAlignment="1">
      <alignment horizontal="center" vertical="center"/>
    </xf>
    <xf numFmtId="10" fontId="38" fillId="40" borderId="0" xfId="54" applyNumberFormat="1" applyFont="1" applyFill="1" applyBorder="1" applyAlignment="1">
      <alignment horizontal="center" vertical="center"/>
    </xf>
    <xf numFmtId="0" fontId="37" fillId="42" borderId="0" xfId="0" applyFont="1" applyFill="1" applyAlignment="1">
      <alignment horizontal="center" vertical="center"/>
    </xf>
    <xf numFmtId="0" fontId="36" fillId="0" borderId="19" xfId="0" applyFont="1" applyBorder="1" applyAlignment="1">
      <alignment vertical="center"/>
    </xf>
    <xf numFmtId="2" fontId="36" fillId="0" borderId="19" xfId="0" applyNumberFormat="1" applyFont="1" applyBorder="1" applyAlignment="1">
      <alignment horizontal="center" vertical="center"/>
    </xf>
    <xf numFmtId="0" fontId="0" fillId="0" borderId="70" xfId="0" applyBorder="1" applyAlignment="1">
      <alignment vertical="center"/>
    </xf>
    <xf numFmtId="0" fontId="0" fillId="0" borderId="71" xfId="0" applyBorder="1" applyAlignment="1">
      <alignment vertical="center"/>
    </xf>
    <xf numFmtId="166" fontId="38" fillId="40" borderId="44" xfId="62" applyFont="1" applyFill="1" applyBorder="1" applyProtection="1"/>
    <xf numFmtId="166" fontId="38" fillId="40" borderId="56" xfId="62" applyFont="1" applyFill="1" applyBorder="1" applyProtection="1"/>
    <xf numFmtId="0" fontId="36" fillId="42" borderId="51" xfId="0" applyFont="1" applyFill="1" applyBorder="1" applyAlignment="1">
      <alignment horizontal="center" vertical="center"/>
    </xf>
    <xf numFmtId="177" fontId="38" fillId="42" borderId="44" xfId="62" applyNumberFormat="1" applyFont="1" applyFill="1" applyBorder="1" applyProtection="1">
      <protection locked="0"/>
    </xf>
    <xf numFmtId="9" fontId="36" fillId="42" borderId="0" xfId="54" applyFont="1" applyFill="1" applyAlignment="1" applyProtection="1">
      <alignment horizontal="center" vertical="center"/>
      <protection locked="0"/>
    </xf>
    <xf numFmtId="9" fontId="36" fillId="42" borderId="44" xfId="54" applyFont="1" applyFill="1" applyBorder="1" applyAlignment="1" applyProtection="1">
      <alignment horizontal="center" vertical="center"/>
      <protection locked="0"/>
    </xf>
    <xf numFmtId="177" fontId="38" fillId="40" borderId="44" xfId="62" applyNumberFormat="1" applyFont="1" applyFill="1" applyBorder="1" applyProtection="1"/>
    <xf numFmtId="177" fontId="36" fillId="0" borderId="44" xfId="0" applyNumberFormat="1" applyFont="1" applyBorder="1"/>
    <xf numFmtId="177" fontId="36" fillId="36" borderId="44" xfId="0" applyNumberFormat="1" applyFont="1" applyFill="1" applyBorder="1"/>
    <xf numFmtId="177" fontId="38" fillId="40" borderId="56" xfId="62" applyNumberFormat="1" applyFont="1" applyFill="1" applyBorder="1" applyProtection="1"/>
    <xf numFmtId="177" fontId="38" fillId="36" borderId="44" xfId="62" applyNumberFormat="1" applyFont="1" applyFill="1" applyBorder="1" applyProtection="1">
      <protection locked="0"/>
    </xf>
    <xf numFmtId="177" fontId="38" fillId="0" borderId="44" xfId="62" applyNumberFormat="1" applyFont="1" applyFill="1" applyBorder="1" applyProtection="1">
      <protection locked="0"/>
    </xf>
    <xf numFmtId="9" fontId="36" fillId="42" borderId="57" xfId="54" applyFont="1" applyFill="1" applyBorder="1" applyAlignment="1">
      <alignment horizontal="center" vertical="center"/>
    </xf>
    <xf numFmtId="9" fontId="36" fillId="42" borderId="69" xfId="54" applyFont="1" applyFill="1" applyBorder="1" applyAlignment="1">
      <alignment horizontal="center" vertical="center"/>
    </xf>
    <xf numFmtId="178" fontId="36" fillId="42" borderId="57" xfId="54" applyNumberFormat="1" applyFont="1" applyFill="1" applyBorder="1" applyAlignment="1">
      <alignment horizontal="center" vertical="center"/>
    </xf>
    <xf numFmtId="170" fontId="36" fillId="42" borderId="57" xfId="54" applyNumberFormat="1" applyFont="1" applyFill="1" applyBorder="1" applyAlignment="1">
      <alignment horizontal="center" vertical="center"/>
    </xf>
    <xf numFmtId="174" fontId="20" fillId="41" borderId="0" xfId="0" applyNumberFormat="1" applyFont="1" applyFill="1" applyAlignment="1" applyProtection="1">
      <alignment horizontal="left" vertical="top"/>
      <protection locked="0"/>
    </xf>
    <xf numFmtId="0" fontId="36" fillId="0" borderId="0" xfId="0" applyFont="1" applyAlignment="1">
      <alignment horizontal="left" vertical="top"/>
    </xf>
    <xf numFmtId="0" fontId="37" fillId="0" borderId="12" xfId="0" applyFont="1" applyBorder="1" applyAlignment="1">
      <alignment horizontal="center" vertical="center"/>
    </xf>
    <xf numFmtId="44" fontId="36" fillId="38" borderId="0" xfId="50" applyFont="1" applyFill="1"/>
    <xf numFmtId="44" fontId="36" fillId="38" borderId="0" xfId="0" applyNumberFormat="1" applyFont="1" applyFill="1"/>
    <xf numFmtId="169" fontId="36" fillId="0" borderId="23" xfId="0" applyNumberFormat="1" applyFont="1" applyBorder="1" applyAlignment="1">
      <alignment horizontal="left" vertical="top" wrapText="1"/>
    </xf>
    <xf numFmtId="169" fontId="36" fillId="0" borderId="17" xfId="0" applyNumberFormat="1" applyFont="1" applyBorder="1" applyAlignment="1">
      <alignment horizontal="left" vertical="top" wrapText="1"/>
    </xf>
    <xf numFmtId="169" fontId="37" fillId="0" borderId="0" xfId="0" applyNumberFormat="1" applyFont="1" applyAlignment="1">
      <alignment vertical="center"/>
    </xf>
    <xf numFmtId="0" fontId="36" fillId="0" borderId="0" xfId="0" applyFont="1" applyAlignment="1">
      <alignment horizontal="center"/>
    </xf>
    <xf numFmtId="0" fontId="56" fillId="43" borderId="12" xfId="0" applyFont="1" applyFill="1" applyBorder="1" applyAlignment="1">
      <alignment horizontal="center" vertical="center" wrapText="1"/>
    </xf>
    <xf numFmtId="0" fontId="55" fillId="0" borderId="0" xfId="0" applyFont="1" applyAlignment="1">
      <alignment horizontal="center" vertical="center" wrapText="1"/>
    </xf>
    <xf numFmtId="0" fontId="55" fillId="0" borderId="21" xfId="0" applyFont="1" applyBorder="1" applyAlignment="1">
      <alignment horizontal="center" vertical="center" wrapText="1"/>
    </xf>
    <xf numFmtId="169" fontId="0" fillId="0" borderId="0" xfId="0" applyNumberFormat="1"/>
    <xf numFmtId="0" fontId="39" fillId="0" borderId="0" xfId="0" applyFont="1" applyAlignment="1" applyProtection="1">
      <alignment vertical="top"/>
      <protection locked="0"/>
    </xf>
    <xf numFmtId="9" fontId="36" fillId="42" borderId="46" xfId="54" applyFont="1" applyFill="1" applyBorder="1" applyAlignment="1">
      <alignment horizontal="center"/>
    </xf>
    <xf numFmtId="169" fontId="54" fillId="40" borderId="0" xfId="50" applyNumberFormat="1" applyFont="1" applyFill="1" applyAlignment="1" applyProtection="1">
      <alignment horizontal="center" vertical="center"/>
      <protection locked="0"/>
    </xf>
    <xf numFmtId="9" fontId="36" fillId="42" borderId="46" xfId="54" applyFont="1" applyFill="1" applyBorder="1" applyAlignment="1">
      <alignment horizontal="center" vertical="center"/>
    </xf>
    <xf numFmtId="169" fontId="38" fillId="42" borderId="0" xfId="62" applyNumberFormat="1" applyFont="1" applyFill="1" applyBorder="1" applyProtection="1"/>
    <xf numFmtId="169" fontId="38" fillId="42" borderId="17" xfId="62" applyNumberFormat="1" applyFont="1" applyFill="1" applyBorder="1" applyProtection="1"/>
    <xf numFmtId="169" fontId="38" fillId="0" borderId="0" xfId="62" applyNumberFormat="1" applyFont="1" applyFill="1" applyBorder="1" applyProtection="1"/>
    <xf numFmtId="169" fontId="38" fillId="0" borderId="17" xfId="62" applyNumberFormat="1" applyFont="1" applyFill="1" applyBorder="1" applyProtection="1"/>
    <xf numFmtId="44" fontId="51" fillId="40" borderId="0" xfId="50" applyFont="1" applyFill="1" applyAlignment="1" applyProtection="1">
      <alignment horizontal="center" vertical="center"/>
      <protection locked="0"/>
    </xf>
    <xf numFmtId="169" fontId="51" fillId="40" borderId="0" xfId="50" applyNumberFormat="1" applyFont="1" applyFill="1" applyAlignment="1" applyProtection="1">
      <alignment horizontal="center" vertical="center"/>
      <protection locked="0"/>
    </xf>
    <xf numFmtId="169" fontId="38" fillId="42" borderId="19" xfId="62" applyNumberFormat="1" applyFont="1" applyFill="1" applyBorder="1" applyProtection="1"/>
    <xf numFmtId="169" fontId="38" fillId="42" borderId="20" xfId="62" applyNumberFormat="1" applyFont="1" applyFill="1" applyBorder="1" applyProtection="1"/>
    <xf numFmtId="0" fontId="36" fillId="0" borderId="0" xfId="0" applyFont="1" applyAlignment="1" applyProtection="1">
      <alignment vertical="center"/>
      <protection locked="0"/>
    </xf>
    <xf numFmtId="0" fontId="36" fillId="0" borderId="0" xfId="0" applyFont="1" applyAlignment="1" applyProtection="1">
      <alignment vertical="top"/>
      <protection locked="0"/>
    </xf>
    <xf numFmtId="0" fontId="44" fillId="0" borderId="0" xfId="0" applyFont="1" applyAlignment="1" applyProtection="1">
      <alignment vertical="top"/>
      <protection locked="0"/>
    </xf>
    <xf numFmtId="166" fontId="38" fillId="42" borderId="44" xfId="62" applyFont="1" applyFill="1" applyBorder="1" applyProtection="1"/>
    <xf numFmtId="169" fontId="38" fillId="40" borderId="0" xfId="62" applyNumberFormat="1" applyFont="1" applyFill="1" applyBorder="1" applyProtection="1"/>
    <xf numFmtId="0" fontId="36" fillId="38" borderId="0" xfId="0" applyFont="1" applyFill="1" applyAlignment="1">
      <alignment horizontal="center"/>
    </xf>
    <xf numFmtId="169" fontId="36" fillId="38" borderId="0" xfId="0" applyNumberFormat="1" applyFont="1" applyFill="1"/>
    <xf numFmtId="9" fontId="36" fillId="0" borderId="46" xfId="54" applyFont="1" applyFill="1" applyBorder="1" applyAlignment="1">
      <alignment horizontal="center" vertical="center"/>
    </xf>
    <xf numFmtId="0" fontId="52" fillId="0" borderId="0" xfId="0" applyFont="1"/>
    <xf numFmtId="0" fontId="52" fillId="38" borderId="0" xfId="0" applyFont="1" applyFill="1"/>
    <xf numFmtId="0" fontId="53" fillId="38" borderId="0" xfId="0" applyFont="1" applyFill="1"/>
    <xf numFmtId="177" fontId="38" fillId="42" borderId="44" xfId="62" applyNumberFormat="1" applyFont="1" applyFill="1" applyBorder="1" applyProtection="1"/>
    <xf numFmtId="0" fontId="36" fillId="40" borderId="0" xfId="0" applyFont="1" applyFill="1" applyAlignment="1" applyProtection="1">
      <alignment horizontal="center" vertical="center"/>
      <protection locked="0"/>
    </xf>
    <xf numFmtId="175" fontId="40" fillId="42" borderId="0" xfId="0" applyNumberFormat="1" applyFont="1" applyFill="1" applyAlignment="1">
      <alignment horizontal="center" vertical="center" wrapText="1" readingOrder="1"/>
    </xf>
    <xf numFmtId="0" fontId="40" fillId="40" borderId="0" xfId="0" applyFont="1" applyFill="1" applyAlignment="1">
      <alignment vertical="center" readingOrder="1"/>
    </xf>
    <xf numFmtId="0" fontId="36" fillId="40" borderId="0" xfId="0" applyFont="1" applyFill="1" applyAlignment="1" applyProtection="1">
      <alignment vertical="center"/>
      <protection locked="0"/>
    </xf>
    <xf numFmtId="9" fontId="40" fillId="40" borderId="0" xfId="0" applyNumberFormat="1" applyFont="1" applyFill="1" applyAlignment="1">
      <alignment vertical="center" readingOrder="1"/>
    </xf>
    <xf numFmtId="175" fontId="40" fillId="42" borderId="0" xfId="0" applyNumberFormat="1" applyFont="1" applyFill="1" applyAlignment="1">
      <alignment horizontal="center" vertical="center" readingOrder="1"/>
    </xf>
    <xf numFmtId="0" fontId="0" fillId="0" borderId="81" xfId="0" applyBorder="1" applyAlignment="1">
      <alignment vertical="center"/>
    </xf>
    <xf numFmtId="0" fontId="0" fillId="0" borderId="70" xfId="0" applyBorder="1"/>
    <xf numFmtId="0" fontId="0" fillId="0" borderId="81" xfId="0" applyBorder="1"/>
    <xf numFmtId="0" fontId="0" fillId="0" borderId="71" xfId="0" applyBorder="1"/>
    <xf numFmtId="0" fontId="36" fillId="38" borderId="73" xfId="0" applyFont="1" applyFill="1" applyBorder="1" applyAlignment="1">
      <alignment horizontal="left" vertical="center"/>
    </xf>
    <xf numFmtId="0" fontId="36" fillId="38" borderId="74" xfId="0" applyFont="1" applyFill="1" applyBorder="1" applyAlignment="1">
      <alignment horizontal="left" vertical="center"/>
    </xf>
    <xf numFmtId="0" fontId="36" fillId="0" borderId="74" xfId="0" applyFont="1" applyBorder="1" applyAlignment="1">
      <alignment horizontal="left" vertical="center"/>
    </xf>
    <xf numFmtId="0" fontId="36" fillId="40" borderId="75" xfId="0" applyFont="1" applyFill="1" applyBorder="1" applyAlignment="1" applyProtection="1">
      <alignment horizontal="center" vertical="center"/>
      <protection locked="0"/>
    </xf>
    <xf numFmtId="0" fontId="36" fillId="38" borderId="76" xfId="0" applyFont="1" applyFill="1" applyBorder="1" applyAlignment="1">
      <alignment horizontal="left" vertical="center"/>
    </xf>
    <xf numFmtId="165" fontId="36" fillId="40" borderId="77" xfId="0" applyNumberFormat="1" applyFont="1" applyFill="1" applyBorder="1" applyAlignment="1" applyProtection="1">
      <alignment horizontal="center" vertical="center"/>
      <protection locked="0"/>
    </xf>
    <xf numFmtId="0" fontId="36" fillId="40" borderId="77" xfId="0" applyFont="1" applyFill="1" applyBorder="1" applyAlignment="1" applyProtection="1">
      <alignment horizontal="center" vertical="center"/>
      <protection locked="0"/>
    </xf>
    <xf numFmtId="0" fontId="51" fillId="38" borderId="76" xfId="0" applyFont="1" applyFill="1" applyBorder="1" applyAlignment="1">
      <alignment vertical="center"/>
    </xf>
    <xf numFmtId="0" fontId="51" fillId="38" borderId="78" xfId="0" applyFont="1" applyFill="1" applyBorder="1" applyAlignment="1">
      <alignment vertical="center"/>
    </xf>
    <xf numFmtId="0" fontId="44" fillId="38" borderId="79" xfId="0" applyFont="1" applyFill="1" applyBorder="1" applyAlignment="1">
      <alignment vertical="center"/>
    </xf>
    <xf numFmtId="0" fontId="36" fillId="0" borderId="79" xfId="0" applyFont="1" applyBorder="1" applyAlignment="1">
      <alignment vertical="center"/>
    </xf>
    <xf numFmtId="0" fontId="36" fillId="40" borderId="80" xfId="0" applyFont="1" applyFill="1" applyBorder="1" applyAlignment="1" applyProtection="1">
      <alignment horizontal="center" vertical="center"/>
      <protection locked="0"/>
    </xf>
    <xf numFmtId="0" fontId="20" fillId="43" borderId="0" xfId="0" applyFont="1" applyFill="1" applyAlignment="1">
      <alignment horizontal="center" vertical="center"/>
    </xf>
    <xf numFmtId="0" fontId="20" fillId="43" borderId="72" xfId="0" applyFont="1" applyFill="1" applyBorder="1" applyAlignment="1">
      <alignment horizontal="center" vertical="center"/>
    </xf>
    <xf numFmtId="0" fontId="37" fillId="0" borderId="30" xfId="0" applyFont="1" applyBorder="1" applyAlignment="1">
      <alignment horizontal="center" vertical="center"/>
    </xf>
    <xf numFmtId="169" fontId="36" fillId="0" borderId="29" xfId="50" applyNumberFormat="1" applyFont="1" applyBorder="1" applyAlignment="1">
      <alignment horizontal="center" vertical="center"/>
    </xf>
    <xf numFmtId="2" fontId="36" fillId="0" borderId="29" xfId="53" applyNumberFormat="1" applyFont="1" applyBorder="1" applyAlignment="1">
      <alignment horizontal="center" vertical="center"/>
    </xf>
    <xf numFmtId="0" fontId="36" fillId="0" borderId="29" xfId="0" applyFont="1" applyBorder="1" applyAlignment="1">
      <alignment horizontal="center"/>
    </xf>
    <xf numFmtId="0" fontId="37" fillId="0" borderId="0" xfId="0" applyFont="1" applyAlignment="1">
      <alignment horizontal="right"/>
    </xf>
    <xf numFmtId="0" fontId="51" fillId="0" borderId="0" xfId="0" applyFont="1" applyAlignment="1" applyProtection="1">
      <alignment vertical="top"/>
      <protection locked="0"/>
    </xf>
    <xf numFmtId="166" fontId="38" fillId="0" borderId="44" xfId="62" applyFont="1" applyFill="1" applyBorder="1" applyProtection="1"/>
    <xf numFmtId="166" fontId="38" fillId="36" borderId="44" xfId="62" applyFont="1" applyFill="1" applyBorder="1" applyProtection="1"/>
    <xf numFmtId="169" fontId="38" fillId="38" borderId="0" xfId="62" applyNumberFormat="1" applyFont="1" applyFill="1" applyBorder="1" applyProtection="1"/>
    <xf numFmtId="0" fontId="44" fillId="0" borderId="0" xfId="0" applyFont="1"/>
    <xf numFmtId="43" fontId="0" fillId="0" borderId="0" xfId="53" applyFont="1" applyAlignment="1">
      <alignment vertical="center" wrapText="1"/>
    </xf>
    <xf numFmtId="171" fontId="39" fillId="0" borderId="0" xfId="0" applyNumberFormat="1" applyFont="1" applyAlignment="1" applyProtection="1">
      <alignment vertical="center"/>
      <protection locked="0"/>
    </xf>
    <xf numFmtId="2" fontId="39" fillId="0" borderId="0" xfId="0" applyNumberFormat="1" applyFont="1" applyAlignment="1" applyProtection="1">
      <alignment vertical="center"/>
      <protection locked="0"/>
    </xf>
    <xf numFmtId="2" fontId="0" fillId="0" borderId="0" xfId="53" applyNumberFormat="1" applyFont="1" applyAlignment="1">
      <alignment vertical="center" wrapText="1"/>
    </xf>
    <xf numFmtId="0" fontId="44" fillId="0" borderId="0" xfId="0" applyFont="1" applyAlignment="1" applyProtection="1">
      <alignment vertical="center"/>
      <protection locked="0"/>
    </xf>
    <xf numFmtId="164" fontId="37" fillId="0" borderId="0" xfId="0" applyNumberFormat="1" applyFont="1"/>
    <xf numFmtId="0" fontId="36" fillId="38" borderId="73" xfId="0" applyFont="1" applyFill="1" applyBorder="1"/>
    <xf numFmtId="0" fontId="36" fillId="38" borderId="74" xfId="0" applyFont="1" applyFill="1" applyBorder="1"/>
    <xf numFmtId="10" fontId="38" fillId="40" borderId="74" xfId="54" applyNumberFormat="1" applyFont="1" applyFill="1" applyBorder="1" applyAlignment="1">
      <alignment horizontal="center" vertical="center"/>
    </xf>
    <xf numFmtId="0" fontId="36" fillId="38" borderId="82" xfId="0" applyFont="1" applyFill="1" applyBorder="1"/>
    <xf numFmtId="0" fontId="36" fillId="38" borderId="82" xfId="0" applyFont="1" applyFill="1" applyBorder="1" applyAlignment="1">
      <alignment horizontal="center" vertical="center"/>
    </xf>
    <xf numFmtId="0" fontId="36" fillId="38" borderId="83" xfId="0" applyFont="1" applyFill="1" applyBorder="1" applyAlignment="1">
      <alignment horizontal="center" vertical="center"/>
    </xf>
    <xf numFmtId="0" fontId="36" fillId="38" borderId="76" xfId="0" applyFont="1" applyFill="1" applyBorder="1"/>
    <xf numFmtId="169" fontId="38" fillId="40" borderId="77" xfId="62" applyNumberFormat="1" applyFont="1" applyFill="1" applyBorder="1"/>
    <xf numFmtId="0" fontId="36" fillId="38" borderId="78" xfId="0" applyFont="1" applyFill="1" applyBorder="1"/>
    <xf numFmtId="0" fontId="36" fillId="38" borderId="79" xfId="0" applyFont="1" applyFill="1" applyBorder="1"/>
    <xf numFmtId="169" fontId="38" fillId="40" borderId="79" xfId="62" applyNumberFormat="1" applyFont="1" applyFill="1" applyBorder="1"/>
    <xf numFmtId="169" fontId="38" fillId="40" borderId="80" xfId="62" applyNumberFormat="1" applyFont="1" applyFill="1" applyBorder="1"/>
    <xf numFmtId="164" fontId="37" fillId="0" borderId="79" xfId="0" applyNumberFormat="1" applyFont="1" applyBorder="1"/>
    <xf numFmtId="0" fontId="36" fillId="0" borderId="79" xfId="0" applyFont="1" applyBorder="1"/>
    <xf numFmtId="0" fontId="36" fillId="38" borderId="79" xfId="0" applyFont="1" applyFill="1" applyBorder="1" applyAlignment="1">
      <alignment horizontal="right"/>
    </xf>
    <xf numFmtId="174" fontId="37" fillId="38" borderId="79" xfId="62" applyNumberFormat="1" applyFont="1" applyFill="1" applyBorder="1"/>
    <xf numFmtId="174" fontId="36" fillId="38" borderId="79" xfId="62" applyNumberFormat="1" applyFont="1" applyFill="1" applyBorder="1"/>
    <xf numFmtId="174" fontId="36" fillId="38" borderId="80" xfId="62" applyNumberFormat="1" applyFont="1" applyFill="1" applyBorder="1"/>
    <xf numFmtId="0" fontId="55" fillId="0" borderId="84"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85" xfId="0" applyFont="1" applyBorder="1" applyAlignment="1">
      <alignment horizontal="center" vertical="center" wrapText="1"/>
    </xf>
    <xf numFmtId="0" fontId="55" fillId="0" borderId="86" xfId="0" applyFont="1" applyBorder="1" applyAlignment="1">
      <alignment horizontal="center" vertical="center" wrapText="1"/>
    </xf>
    <xf numFmtId="169" fontId="0" fillId="0" borderId="74" xfId="50" applyNumberFormat="1" applyFont="1" applyBorder="1"/>
    <xf numFmtId="169" fontId="0" fillId="0" borderId="75" xfId="50" applyNumberFormat="1" applyFont="1" applyBorder="1"/>
    <xf numFmtId="169" fontId="0" fillId="0" borderId="77" xfId="50" applyNumberFormat="1" applyFont="1" applyBorder="1"/>
    <xf numFmtId="169" fontId="0" fillId="0" borderId="79" xfId="50" applyNumberFormat="1" applyFont="1" applyBorder="1"/>
    <xf numFmtId="169" fontId="0" fillId="0" borderId="80" xfId="50" applyNumberFormat="1" applyFont="1" applyBorder="1"/>
    <xf numFmtId="169" fontId="0" fillId="0" borderId="73" xfId="50" applyNumberFormat="1" applyFont="1" applyBorder="1"/>
    <xf numFmtId="169" fontId="0" fillId="0" borderId="76" xfId="50" applyNumberFormat="1" applyFont="1" applyBorder="1"/>
    <xf numFmtId="169" fontId="0" fillId="0" borderId="78" xfId="50" applyNumberFormat="1" applyFont="1" applyBorder="1"/>
    <xf numFmtId="2" fontId="36" fillId="0" borderId="0" xfId="0" applyNumberFormat="1" applyFont="1" applyAlignment="1">
      <alignment horizontal="center" vertical="top" wrapText="1"/>
    </xf>
    <xf numFmtId="0" fontId="36" fillId="39" borderId="54" xfId="0" applyFont="1" applyFill="1" applyBorder="1"/>
    <xf numFmtId="0" fontId="36" fillId="36" borderId="0" xfId="0" applyFont="1" applyFill="1"/>
    <xf numFmtId="177" fontId="38" fillId="40" borderId="0" xfId="62" applyNumberFormat="1" applyFont="1" applyFill="1" applyBorder="1" applyProtection="1"/>
    <xf numFmtId="166" fontId="38" fillId="40" borderId="0" xfId="62" applyFont="1" applyFill="1" applyBorder="1" applyProtection="1"/>
    <xf numFmtId="166" fontId="38" fillId="40" borderId="19" xfId="62" applyFont="1" applyFill="1" applyBorder="1" applyProtection="1"/>
    <xf numFmtId="0" fontId="36" fillId="38" borderId="87" xfId="0" applyFont="1" applyFill="1" applyBorder="1"/>
    <xf numFmtId="0" fontId="36" fillId="38" borderId="88" xfId="0" applyFont="1" applyFill="1" applyBorder="1" applyAlignment="1">
      <alignment horizontal="center" vertical="center"/>
    </xf>
    <xf numFmtId="0" fontId="36" fillId="38" borderId="89" xfId="0" applyFont="1" applyFill="1" applyBorder="1" applyAlignment="1">
      <alignment horizontal="center" vertical="center"/>
    </xf>
    <xf numFmtId="0" fontId="36" fillId="0" borderId="76" xfId="0" applyFont="1" applyBorder="1"/>
    <xf numFmtId="169" fontId="38" fillId="0" borderId="77" xfId="62" applyNumberFormat="1" applyFont="1" applyFill="1" applyBorder="1" applyProtection="1">
      <protection locked="0"/>
    </xf>
    <xf numFmtId="169" fontId="38" fillId="42" borderId="77" xfId="62" applyNumberFormat="1" applyFont="1" applyFill="1" applyBorder="1" applyProtection="1">
      <protection locked="0"/>
    </xf>
    <xf numFmtId="0" fontId="36" fillId="0" borderId="78" xfId="0" applyFont="1" applyBorder="1"/>
    <xf numFmtId="169" fontId="38" fillId="42" borderId="79" xfId="62" applyNumberFormat="1" applyFont="1" applyFill="1" applyBorder="1" applyProtection="1">
      <protection locked="0"/>
    </xf>
    <xf numFmtId="169" fontId="38" fillId="42" borderId="80" xfId="62" applyNumberFormat="1" applyFont="1" applyFill="1" applyBorder="1" applyProtection="1">
      <protection locked="0"/>
    </xf>
    <xf numFmtId="169" fontId="38" fillId="42" borderId="77" xfId="62" applyNumberFormat="1" applyFont="1" applyFill="1" applyBorder="1" applyProtection="1"/>
    <xf numFmtId="169" fontId="38" fillId="0" borderId="77" xfId="62" applyNumberFormat="1" applyFont="1" applyFill="1" applyBorder="1" applyProtection="1"/>
    <xf numFmtId="0" fontId="0" fillId="0" borderId="73" xfId="0" applyBorder="1" applyAlignment="1">
      <alignment vertical="center"/>
    </xf>
    <xf numFmtId="0" fontId="0" fillId="0" borderId="74" xfId="0" applyBorder="1" applyAlignment="1">
      <alignment vertical="center"/>
    </xf>
    <xf numFmtId="0" fontId="0" fillId="0" borderId="75" xfId="0"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0" fillId="0" borderId="78" xfId="0"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24" fillId="0" borderId="0" xfId="0" applyFont="1" applyAlignment="1">
      <alignment horizontal="center" vertical="center"/>
    </xf>
    <xf numFmtId="10" fontId="36" fillId="38" borderId="88" xfId="0" applyNumberFormat="1" applyFont="1" applyFill="1" applyBorder="1" applyAlignment="1">
      <alignment horizontal="left"/>
    </xf>
    <xf numFmtId="0" fontId="36" fillId="38" borderId="88" xfId="0" applyFont="1" applyFill="1" applyBorder="1"/>
    <xf numFmtId="1" fontId="36" fillId="42" borderId="77" xfId="0" applyNumberFormat="1" applyFont="1" applyFill="1" applyBorder="1" applyAlignment="1" applyProtection="1">
      <alignment horizontal="center" vertical="center"/>
      <protection locked="0"/>
    </xf>
    <xf numFmtId="9" fontId="36" fillId="42" borderId="0" xfId="54" applyFont="1" applyFill="1" applyBorder="1" applyAlignment="1" applyProtection="1">
      <alignment horizontal="center" vertical="center"/>
      <protection locked="0"/>
    </xf>
    <xf numFmtId="9" fontId="36" fillId="42" borderId="77" xfId="54" applyFont="1" applyFill="1" applyBorder="1" applyAlignment="1" applyProtection="1">
      <alignment horizontal="center" vertical="center"/>
      <protection locked="0"/>
    </xf>
    <xf numFmtId="0" fontId="37" fillId="38" borderId="78" xfId="0" applyFont="1" applyFill="1" applyBorder="1"/>
    <xf numFmtId="0" fontId="37" fillId="38" borderId="79" xfId="0" applyFont="1" applyFill="1" applyBorder="1"/>
    <xf numFmtId="9" fontId="36" fillId="42" borderId="79" xfId="54" applyFont="1" applyFill="1" applyBorder="1" applyAlignment="1">
      <alignment horizontal="center"/>
    </xf>
    <xf numFmtId="0" fontId="37" fillId="38" borderId="80" xfId="0" applyFont="1" applyFill="1" applyBorder="1"/>
    <xf numFmtId="0" fontId="37" fillId="39" borderId="87" xfId="0" applyFont="1" applyFill="1" applyBorder="1"/>
    <xf numFmtId="0" fontId="37" fillId="39" borderId="88" xfId="0" applyFont="1" applyFill="1" applyBorder="1" applyAlignment="1">
      <alignment horizontal="center"/>
    </xf>
    <xf numFmtId="0" fontId="36" fillId="39" borderId="90" xfId="0" applyFont="1" applyFill="1" applyBorder="1"/>
    <xf numFmtId="0" fontId="37" fillId="36" borderId="76" xfId="0" applyFont="1" applyFill="1" applyBorder="1" applyAlignment="1">
      <alignment horizontal="center" vertical="center"/>
    </xf>
    <xf numFmtId="176" fontId="36" fillId="42" borderId="91" xfId="54" applyNumberFormat="1" applyFont="1" applyFill="1" applyBorder="1" applyAlignment="1">
      <alignment horizontal="center" vertical="center"/>
    </xf>
    <xf numFmtId="166" fontId="38" fillId="40" borderId="92" xfId="62" applyFont="1" applyFill="1" applyBorder="1" applyProtection="1"/>
    <xf numFmtId="0" fontId="60" fillId="0" borderId="60" xfId="0" applyFont="1" applyBorder="1" applyAlignment="1">
      <alignment horizontal="center" vertical="center"/>
    </xf>
    <xf numFmtId="0" fontId="60" fillId="0" borderId="61" xfId="0" applyFont="1" applyBorder="1" applyAlignment="1">
      <alignment horizontal="center" vertical="center"/>
    </xf>
    <xf numFmtId="0" fontId="60" fillId="0" borderId="62" xfId="0" applyFont="1" applyBorder="1" applyAlignment="1">
      <alignment horizontal="center" vertical="center"/>
    </xf>
    <xf numFmtId="0" fontId="60" fillId="0" borderId="63" xfId="0" applyFont="1" applyBorder="1" applyAlignment="1">
      <alignment horizontal="center" vertical="center"/>
    </xf>
    <xf numFmtId="0" fontId="60" fillId="0" borderId="64" xfId="0" applyFont="1" applyBorder="1" applyAlignment="1">
      <alignment horizontal="center" vertical="center"/>
    </xf>
    <xf numFmtId="0" fontId="60" fillId="0" borderId="65" xfId="0" applyFont="1" applyBorder="1" applyAlignment="1">
      <alignment horizontal="center" vertical="center"/>
    </xf>
    <xf numFmtId="0" fontId="23" fillId="0" borderId="74" xfId="0" applyFont="1" applyBorder="1" applyAlignment="1">
      <alignment horizontal="center" vertical="center"/>
    </xf>
    <xf numFmtId="0" fontId="23" fillId="0" borderId="0" xfId="0" applyFont="1" applyAlignment="1">
      <alignment horizontal="center" vertical="center"/>
    </xf>
    <xf numFmtId="0" fontId="36" fillId="0" borderId="93" xfId="0" applyFont="1" applyBorder="1" applyAlignment="1">
      <alignment vertical="center"/>
    </xf>
    <xf numFmtId="169" fontId="55" fillId="0" borderId="0" xfId="0" applyNumberFormat="1" applyFont="1"/>
    <xf numFmtId="2" fontId="36" fillId="0" borderId="29" xfId="0" applyNumberFormat="1" applyFont="1" applyBorder="1" applyAlignment="1">
      <alignment horizontal="center"/>
    </xf>
    <xf numFmtId="0" fontId="36" fillId="0" borderId="19" xfId="0" applyFont="1" applyBorder="1" applyAlignment="1">
      <alignment horizontal="right"/>
    </xf>
    <xf numFmtId="169" fontId="0" fillId="0" borderId="0" xfId="50" applyNumberFormat="1" applyFont="1"/>
    <xf numFmtId="0" fontId="51" fillId="38" borderId="0" xfId="0" applyFont="1" applyFill="1" applyAlignment="1">
      <alignment vertical="center"/>
    </xf>
    <xf numFmtId="169" fontId="36" fillId="0" borderId="20" xfId="50" applyNumberFormat="1" applyFont="1" applyBorder="1"/>
    <xf numFmtId="169" fontId="36" fillId="0" borderId="0" xfId="50" applyNumberFormat="1" applyFont="1" applyBorder="1" applyAlignment="1">
      <alignment horizontal="center" vertical="center"/>
    </xf>
    <xf numFmtId="2" fontId="36" fillId="0" borderId="0" xfId="53" applyNumberFormat="1" applyFont="1" applyBorder="1" applyAlignment="1">
      <alignment horizontal="center" vertical="center"/>
    </xf>
    <xf numFmtId="2" fontId="36" fillId="0" borderId="0" xfId="0" applyNumberFormat="1" applyFont="1" applyAlignment="1">
      <alignment horizontal="center"/>
    </xf>
    <xf numFmtId="0" fontId="37" fillId="0" borderId="73" xfId="0" applyFont="1" applyBorder="1" applyAlignment="1">
      <alignment horizontal="center" vertical="center"/>
    </xf>
    <xf numFmtId="0" fontId="37" fillId="0" borderId="76" xfId="0" applyFont="1" applyBorder="1" applyAlignment="1">
      <alignment horizontal="center" vertical="center"/>
    </xf>
    <xf numFmtId="0" fontId="37" fillId="0" borderId="78" xfId="0" applyFont="1" applyBorder="1" applyAlignment="1">
      <alignment horizontal="center" vertical="center"/>
    </xf>
    <xf numFmtId="169" fontId="0" fillId="0" borderId="31" xfId="0" applyNumberFormat="1" applyBorder="1"/>
    <xf numFmtId="169" fontId="0" fillId="0" borderId="33" xfId="0" applyNumberFormat="1" applyBorder="1"/>
    <xf numFmtId="169" fontId="59" fillId="0" borderId="0" xfId="50" applyNumberFormat="1" applyFont="1" applyBorder="1"/>
    <xf numFmtId="169" fontId="59" fillId="0" borderId="21" xfId="50" applyNumberFormat="1" applyFont="1" applyBorder="1"/>
    <xf numFmtId="169" fontId="59" fillId="0" borderId="22" xfId="50" applyNumberFormat="1" applyFont="1" applyBorder="1"/>
    <xf numFmtId="169" fontId="59" fillId="0" borderId="23" xfId="50" applyNumberFormat="1" applyFont="1" applyBorder="1"/>
    <xf numFmtId="169" fontId="59" fillId="0" borderId="16" xfId="50" applyNumberFormat="1" applyFont="1" applyBorder="1"/>
    <xf numFmtId="169" fontId="59" fillId="0" borderId="17" xfId="50" applyNumberFormat="1" applyFont="1" applyBorder="1"/>
    <xf numFmtId="169" fontId="59" fillId="0" borderId="18" xfId="50" applyNumberFormat="1" applyFont="1" applyBorder="1"/>
    <xf numFmtId="169" fontId="59" fillId="0" borderId="19" xfId="50" applyNumberFormat="1" applyFont="1" applyBorder="1"/>
    <xf numFmtId="169" fontId="59" fillId="0" borderId="20" xfId="50" applyNumberFormat="1" applyFont="1" applyBorder="1"/>
    <xf numFmtId="169" fontId="0" fillId="0" borderId="21" xfId="50" applyNumberFormat="1" applyFont="1" applyBorder="1"/>
    <xf numFmtId="169" fontId="0" fillId="0" borderId="22" xfId="50" applyNumberFormat="1" applyFont="1" applyBorder="1"/>
    <xf numFmtId="169" fontId="0" fillId="0" borderId="23" xfId="50" applyNumberFormat="1" applyFont="1" applyBorder="1"/>
    <xf numFmtId="169" fontId="0" fillId="0" borderId="16" xfId="50" applyNumberFormat="1" applyFont="1" applyBorder="1"/>
    <xf numFmtId="169" fontId="0" fillId="0" borderId="17" xfId="50" applyNumberFormat="1" applyFont="1" applyBorder="1"/>
    <xf numFmtId="169" fontId="0" fillId="0" borderId="18" xfId="50" applyNumberFormat="1" applyFont="1" applyBorder="1"/>
    <xf numFmtId="169" fontId="0" fillId="0" borderId="19" xfId="50" applyNumberFormat="1" applyFont="1" applyBorder="1"/>
    <xf numFmtId="169" fontId="0" fillId="0" borderId="20" xfId="50" applyNumberFormat="1" applyFont="1" applyBorder="1"/>
    <xf numFmtId="169" fontId="0" fillId="0" borderId="94" xfId="50" applyNumberFormat="1" applyFont="1" applyBorder="1"/>
    <xf numFmtId="169" fontId="0" fillId="0" borderId="95" xfId="50" applyNumberFormat="1" applyFont="1" applyBorder="1"/>
    <xf numFmtId="169" fontId="59" fillId="0" borderId="94" xfId="50" applyNumberFormat="1" applyFont="1" applyBorder="1"/>
    <xf numFmtId="169" fontId="59" fillId="0" borderId="12" xfId="50" applyNumberFormat="1" applyFont="1" applyBorder="1"/>
    <xf numFmtId="169" fontId="59" fillId="0" borderId="95" xfId="50" applyNumberFormat="1" applyFont="1" applyBorder="1"/>
    <xf numFmtId="169" fontId="16" fillId="0" borderId="0" xfId="0" applyNumberFormat="1" applyFont="1"/>
    <xf numFmtId="169" fontId="16" fillId="0" borderId="0" xfId="0" applyNumberFormat="1" applyFont="1" applyAlignment="1">
      <alignment horizontal="center" vertical="center"/>
    </xf>
    <xf numFmtId="9" fontId="16" fillId="0" borderId="0" xfId="54" applyFont="1" applyAlignment="1">
      <alignment horizontal="center" vertical="center"/>
    </xf>
    <xf numFmtId="0" fontId="37" fillId="0" borderId="0" xfId="0" applyFont="1" applyAlignment="1">
      <alignment horizontal="center" vertical="center"/>
    </xf>
    <xf numFmtId="0" fontId="36" fillId="38" borderId="97" xfId="0" applyFont="1" applyFill="1" applyBorder="1"/>
    <xf numFmtId="169" fontId="38" fillId="40" borderId="98" xfId="62" applyNumberFormat="1" applyFont="1" applyFill="1" applyBorder="1"/>
    <xf numFmtId="0" fontId="36" fillId="38" borderId="99" xfId="0" applyFont="1" applyFill="1" applyBorder="1"/>
    <xf numFmtId="169" fontId="38" fillId="40" borderId="100" xfId="62" applyNumberFormat="1" applyFont="1" applyFill="1" applyBorder="1"/>
    <xf numFmtId="177" fontId="36" fillId="0" borderId="0" xfId="0" applyNumberFormat="1" applyFont="1"/>
    <xf numFmtId="177" fontId="36" fillId="36" borderId="0" xfId="0" applyNumberFormat="1" applyFont="1" applyFill="1"/>
    <xf numFmtId="177" fontId="38" fillId="40" borderId="19" xfId="62" applyNumberFormat="1" applyFont="1" applyFill="1" applyBorder="1" applyProtection="1"/>
    <xf numFmtId="169" fontId="0" fillId="0" borderId="102" xfId="50" applyNumberFormat="1" applyFont="1" applyBorder="1"/>
    <xf numFmtId="169" fontId="0" fillId="0" borderId="103" xfId="50" applyNumberFormat="1" applyFont="1" applyBorder="1"/>
    <xf numFmtId="169" fontId="0" fillId="0" borderId="96" xfId="50" applyNumberFormat="1" applyFont="1" applyBorder="1"/>
    <xf numFmtId="169" fontId="0" fillId="0" borderId="104" xfId="50" applyNumberFormat="1" applyFont="1" applyBorder="1"/>
    <xf numFmtId="0" fontId="51" fillId="0" borderId="29" xfId="0" applyFont="1" applyBorder="1"/>
    <xf numFmtId="9" fontId="16" fillId="0" borderId="0" xfId="0" applyNumberFormat="1" applyFont="1" applyAlignment="1">
      <alignment horizontal="center"/>
    </xf>
    <xf numFmtId="169" fontId="16" fillId="0" borderId="101" xfId="50" applyNumberFormat="1" applyFont="1" applyBorder="1" applyAlignment="1"/>
    <xf numFmtId="169" fontId="16" fillId="0" borderId="12" xfId="0" applyNumberFormat="1" applyFont="1" applyBorder="1"/>
    <xf numFmtId="169" fontId="16" fillId="0" borderId="11" xfId="0" applyNumberFormat="1" applyFont="1" applyBorder="1"/>
    <xf numFmtId="0" fontId="16" fillId="0" borderId="0" xfId="0" applyFont="1" applyAlignment="1">
      <alignment horizontal="center" vertical="center"/>
    </xf>
    <xf numFmtId="0" fontId="16" fillId="0" borderId="0" xfId="0" applyFont="1" applyAlignment="1">
      <alignment horizontal="center"/>
    </xf>
    <xf numFmtId="0" fontId="36" fillId="43" borderId="0" xfId="0" applyFont="1" applyFill="1"/>
    <xf numFmtId="169" fontId="0" fillId="0" borderId="105" xfId="50" applyNumberFormat="1" applyFont="1" applyBorder="1"/>
    <xf numFmtId="169" fontId="16" fillId="0" borderId="106" xfId="50" applyNumberFormat="1" applyFont="1" applyBorder="1" applyAlignment="1"/>
    <xf numFmtId="0" fontId="55" fillId="0" borderId="107" xfId="0" applyFont="1" applyBorder="1" applyAlignment="1">
      <alignment horizontal="center" vertical="center" wrapText="1"/>
    </xf>
    <xf numFmtId="0" fontId="0" fillId="38" borderId="38" xfId="0" quotePrefix="1" applyFill="1" applyBorder="1" applyAlignment="1">
      <alignment horizontal="center"/>
    </xf>
    <xf numFmtId="0" fontId="55" fillId="0" borderId="0" xfId="0" applyFont="1"/>
    <xf numFmtId="169" fontId="0" fillId="0" borderId="79" xfId="0" applyNumberFormat="1" applyBorder="1"/>
    <xf numFmtId="169" fontId="0" fillId="0" borderId="109" xfId="0" applyNumberFormat="1" applyBorder="1"/>
    <xf numFmtId="169" fontId="16" fillId="0" borderId="110" xfId="0" applyNumberFormat="1" applyFont="1" applyBorder="1"/>
    <xf numFmtId="169" fontId="16" fillId="0" borderId="77" xfId="0" applyNumberFormat="1" applyFont="1" applyBorder="1"/>
    <xf numFmtId="9" fontId="16" fillId="0" borderId="0" xfId="54" applyFont="1" applyBorder="1" applyAlignment="1">
      <alignment horizontal="center" vertical="center"/>
    </xf>
    <xf numFmtId="9" fontId="16" fillId="0" borderId="79" xfId="54" applyFont="1" applyBorder="1" applyAlignment="1">
      <alignment horizontal="center" vertical="center"/>
    </xf>
    <xf numFmtId="169" fontId="16" fillId="0" borderId="80" xfId="0" applyNumberFormat="1" applyFont="1" applyBorder="1"/>
    <xf numFmtId="0" fontId="16" fillId="0" borderId="73" xfId="0" applyFont="1" applyBorder="1" applyAlignment="1">
      <alignment horizontal="center" vertical="center"/>
    </xf>
    <xf numFmtId="0" fontId="16" fillId="0" borderId="74" xfId="0" applyFont="1" applyBorder="1" applyAlignment="1">
      <alignment horizontal="center" vertical="center"/>
    </xf>
    <xf numFmtId="0" fontId="16" fillId="0" borderId="75" xfId="0" applyFont="1" applyBorder="1" applyAlignment="1">
      <alignment horizontal="center" vertical="center"/>
    </xf>
    <xf numFmtId="169" fontId="0" fillId="0" borderId="108" xfId="0" applyNumberFormat="1" applyBorder="1"/>
    <xf numFmtId="169" fontId="0" fillId="0" borderId="76" xfId="0" applyNumberFormat="1" applyBorder="1"/>
    <xf numFmtId="169" fontId="0" fillId="0" borderId="78" xfId="0" applyNumberFormat="1" applyBorder="1"/>
    <xf numFmtId="0" fontId="20" fillId="43" borderId="19" xfId="0" applyFont="1" applyFill="1" applyBorder="1" applyAlignment="1">
      <alignment horizontal="center" vertical="center"/>
    </xf>
    <xf numFmtId="0" fontId="61" fillId="0" borderId="0" xfId="0" applyFont="1"/>
    <xf numFmtId="0" fontId="17" fillId="0" borderId="0" xfId="0" applyFont="1"/>
    <xf numFmtId="0" fontId="62" fillId="0" borderId="0" xfId="0" applyFont="1"/>
    <xf numFmtId="0" fontId="62" fillId="43" borderId="22" xfId="0" applyFont="1" applyFill="1" applyBorder="1" applyAlignment="1">
      <alignment horizontal="center"/>
    </xf>
    <xf numFmtId="171" fontId="63" fillId="43" borderId="23" xfId="53" applyNumberFormat="1" applyFont="1" applyFill="1" applyBorder="1"/>
    <xf numFmtId="0" fontId="64" fillId="43" borderId="19" xfId="0" applyFont="1" applyFill="1" applyBorder="1"/>
    <xf numFmtId="171" fontId="63" fillId="43" borderId="20" xfId="53" applyNumberFormat="1" applyFont="1" applyFill="1" applyBorder="1"/>
    <xf numFmtId="0" fontId="20" fillId="44" borderId="21" xfId="0" applyFont="1" applyFill="1" applyBorder="1" applyAlignment="1">
      <alignment horizontal="center" vertical="center" wrapText="1"/>
    </xf>
    <xf numFmtId="0" fontId="20" fillId="44" borderId="22" xfId="0" applyFont="1" applyFill="1" applyBorder="1" applyAlignment="1">
      <alignment horizontal="center" vertical="center" wrapText="1"/>
    </xf>
    <xf numFmtId="171" fontId="20" fillId="44" borderId="23" xfId="53" applyNumberFormat="1" applyFont="1" applyFill="1" applyBorder="1" applyAlignment="1">
      <alignment horizontal="center" vertical="center" wrapText="1"/>
    </xf>
    <xf numFmtId="0" fontId="0" fillId="0" borderId="38" xfId="0" applyBorder="1"/>
    <xf numFmtId="10" fontId="0" fillId="0" borderId="38" xfId="54" applyNumberFormat="1" applyFont="1" applyFill="1" applyBorder="1" applyAlignment="1">
      <alignment horizontal="center" vertical="center"/>
    </xf>
    <xf numFmtId="9" fontId="0" fillId="0" borderId="38" xfId="54" applyFont="1" applyFill="1" applyBorder="1" applyAlignment="1">
      <alignment horizontal="center" vertical="center"/>
    </xf>
    <xf numFmtId="9" fontId="0" fillId="0" borderId="38" xfId="0" applyNumberFormat="1" applyBorder="1" applyAlignment="1">
      <alignment horizontal="center"/>
    </xf>
    <xf numFmtId="0" fontId="0" fillId="0" borderId="0" xfId="0" quotePrefix="1"/>
    <xf numFmtId="0" fontId="46" fillId="43" borderId="0" xfId="0" applyFont="1" applyFill="1" applyAlignment="1">
      <alignment vertical="center" wrapText="1"/>
    </xf>
    <xf numFmtId="0" fontId="46" fillId="43" borderId="0" xfId="0" applyFont="1" applyFill="1" applyAlignment="1">
      <alignment horizontal="center" vertical="center" wrapText="1"/>
    </xf>
    <xf numFmtId="9" fontId="0" fillId="0" borderId="0" xfId="0" applyNumberFormat="1" applyAlignment="1">
      <alignment horizontal="center"/>
    </xf>
    <xf numFmtId="0" fontId="50" fillId="0" borderId="0" xfId="0" applyFont="1" applyAlignment="1">
      <alignment vertical="center" wrapText="1"/>
    </xf>
    <xf numFmtId="0" fontId="49" fillId="0" borderId="0" xfId="0" applyFont="1" applyAlignment="1">
      <alignment vertical="center" wrapText="1"/>
    </xf>
    <xf numFmtId="0" fontId="50" fillId="0" borderId="19" xfId="0" applyFont="1" applyBorder="1" applyAlignment="1">
      <alignment vertical="center" wrapText="1"/>
    </xf>
    <xf numFmtId="0" fontId="0" fillId="0" borderId="73" xfId="0" applyBorder="1"/>
    <xf numFmtId="0" fontId="0" fillId="0" borderId="74" xfId="0" applyBorder="1"/>
    <xf numFmtId="0" fontId="0" fillId="0" borderId="112" xfId="0" applyBorder="1"/>
    <xf numFmtId="0" fontId="0" fillId="0" borderId="113" xfId="0" applyBorder="1"/>
    <xf numFmtId="0" fontId="0" fillId="0" borderId="76" xfId="0" applyBorder="1"/>
    <xf numFmtId="169" fontId="0" fillId="0" borderId="115" xfId="0" applyNumberFormat="1" applyBorder="1"/>
    <xf numFmtId="169" fontId="0" fillId="0" borderId="38" xfId="0" applyNumberFormat="1" applyBorder="1"/>
    <xf numFmtId="169" fontId="0" fillId="0" borderId="117" xfId="0" applyNumberFormat="1" applyBorder="1"/>
    <xf numFmtId="169" fontId="0" fillId="0" borderId="111" xfId="0" applyNumberFormat="1" applyBorder="1"/>
    <xf numFmtId="0" fontId="0" fillId="0" borderId="78" xfId="0" applyBorder="1"/>
    <xf numFmtId="0" fontId="0" fillId="0" borderId="79" xfId="0" applyBorder="1"/>
    <xf numFmtId="169" fontId="0" fillId="0" borderId="118" xfId="0" applyNumberFormat="1" applyBorder="1"/>
    <xf numFmtId="169" fontId="0" fillId="0" borderId="119" xfId="0" applyNumberFormat="1" applyBorder="1"/>
    <xf numFmtId="0" fontId="16" fillId="0" borderId="75" xfId="0" applyFont="1" applyBorder="1" applyAlignment="1">
      <alignment horizontal="center"/>
    </xf>
    <xf numFmtId="169" fontId="16" fillId="0" borderId="116" xfId="0" applyNumberFormat="1" applyFont="1" applyBorder="1"/>
    <xf numFmtId="169" fontId="16" fillId="0" borderId="120" xfId="0" applyNumberFormat="1" applyFont="1" applyBorder="1"/>
    <xf numFmtId="169" fontId="16" fillId="45" borderId="116" xfId="0" applyNumberFormat="1" applyFont="1" applyFill="1" applyBorder="1"/>
    <xf numFmtId="169" fontId="16" fillId="45" borderId="114" xfId="0" applyNumberFormat="1" applyFont="1" applyFill="1" applyBorder="1"/>
    <xf numFmtId="173" fontId="58" fillId="0" borderId="37" xfId="61" applyNumberFormat="1" applyFont="1" applyBorder="1" applyAlignment="1">
      <alignment horizontal="left" vertical="center"/>
    </xf>
    <xf numFmtId="0" fontId="33" fillId="0" borderId="37" xfId="61" applyFont="1" applyBorder="1" applyAlignment="1">
      <alignment horizontal="left" vertical="top" wrapText="1"/>
    </xf>
    <xf numFmtId="0" fontId="59" fillId="38" borderId="0" xfId="0" applyFont="1" applyFill="1" applyAlignment="1">
      <alignment horizontal="left" vertical="center" wrapText="1"/>
    </xf>
    <xf numFmtId="0" fontId="62" fillId="43" borderId="21" xfId="0" applyFont="1" applyFill="1" applyBorder="1" applyAlignment="1">
      <alignment horizontal="left" vertical="center"/>
    </xf>
    <xf numFmtId="0" fontId="62" fillId="43" borderId="18" xfId="0" applyFont="1" applyFill="1" applyBorder="1" applyAlignment="1">
      <alignment horizontal="left" vertical="center"/>
    </xf>
    <xf numFmtId="169" fontId="36" fillId="0" borderId="0" xfId="50" applyNumberFormat="1" applyFont="1" applyBorder="1" applyAlignment="1">
      <alignment horizontal="center" vertical="center"/>
    </xf>
    <xf numFmtId="2" fontId="36" fillId="0" borderId="0" xfId="53" applyNumberFormat="1" applyFont="1" applyBorder="1" applyAlignment="1">
      <alignment horizontal="center" vertical="center"/>
    </xf>
    <xf numFmtId="0" fontId="46" fillId="43" borderId="0" xfId="0" applyFont="1" applyFill="1" applyAlignment="1">
      <alignment horizontal="center" vertical="center"/>
    </xf>
    <xf numFmtId="0" fontId="20" fillId="43" borderId="0" xfId="0" applyFont="1" applyFill="1" applyAlignment="1">
      <alignment horizontal="center" vertical="center"/>
    </xf>
    <xf numFmtId="0" fontId="0" fillId="0" borderId="76" xfId="0" applyBorder="1" applyAlignment="1">
      <alignment horizontal="center" vertical="center" wrapText="1"/>
    </xf>
    <xf numFmtId="0" fontId="0" fillId="0" borderId="78" xfId="0" applyBorder="1" applyAlignment="1">
      <alignment horizontal="center" vertical="center" wrapText="1"/>
    </xf>
    <xf numFmtId="0" fontId="16" fillId="0" borderId="108" xfId="0" applyFont="1" applyBorder="1" applyAlignment="1">
      <alignment horizontal="center"/>
    </xf>
    <xf numFmtId="0" fontId="16" fillId="0" borderId="110" xfId="0" applyFont="1" applyBorder="1" applyAlignment="1">
      <alignment horizontal="center"/>
    </xf>
    <xf numFmtId="0" fontId="20" fillId="43" borderId="0" xfId="0" applyFont="1" applyFill="1" applyAlignment="1">
      <alignment horizontal="center" vertical="center" wrapText="1"/>
    </xf>
    <xf numFmtId="0" fontId="20" fillId="43" borderId="12" xfId="0" applyFont="1" applyFill="1" applyBorder="1" applyAlignment="1">
      <alignment horizontal="center" vertical="center" wrapText="1"/>
    </xf>
    <xf numFmtId="0" fontId="23" fillId="36" borderId="43" xfId="0" applyFont="1" applyFill="1" applyBorder="1" applyAlignment="1">
      <alignment horizontal="center" vertical="center"/>
    </xf>
    <xf numFmtId="0" fontId="23" fillId="36" borderId="0" xfId="0" applyFont="1" applyFill="1" applyAlignment="1">
      <alignment horizontal="center" vertical="center"/>
    </xf>
    <xf numFmtId="0" fontId="23" fillId="36" borderId="96" xfId="0" applyFont="1" applyFill="1" applyBorder="1" applyAlignment="1">
      <alignment horizontal="center" vertical="center"/>
    </xf>
    <xf numFmtId="0" fontId="20" fillId="41" borderId="0" xfId="0" applyFont="1" applyFill="1" applyAlignment="1">
      <alignment horizontal="center" vertical="center"/>
    </xf>
    <xf numFmtId="0" fontId="41" fillId="41" borderId="0" xfId="0" applyFont="1" applyFill="1" applyAlignment="1">
      <alignment horizontal="center" vertical="center"/>
    </xf>
    <xf numFmtId="0" fontId="51" fillId="40" borderId="0" xfId="0" applyFont="1" applyFill="1" applyAlignment="1">
      <alignment horizontal="left" vertical="top" wrapText="1"/>
    </xf>
    <xf numFmtId="0" fontId="51" fillId="40" borderId="73" xfId="0" applyFont="1" applyFill="1" applyBorder="1" applyAlignment="1" applyProtection="1">
      <alignment horizontal="left" vertical="top" wrapText="1"/>
      <protection locked="0"/>
    </xf>
    <xf numFmtId="0" fontId="51" fillId="40" borderId="74" xfId="0" applyFont="1" applyFill="1" applyBorder="1" applyAlignment="1" applyProtection="1">
      <alignment horizontal="left" vertical="top" wrapText="1"/>
      <protection locked="0"/>
    </xf>
    <xf numFmtId="0" fontId="51" fillId="40" borderId="75" xfId="0" applyFont="1" applyFill="1" applyBorder="1" applyAlignment="1" applyProtection="1">
      <alignment horizontal="left" vertical="top" wrapText="1"/>
      <protection locked="0"/>
    </xf>
    <xf numFmtId="0" fontId="51" fillId="40" borderId="76" xfId="0" applyFont="1" applyFill="1" applyBorder="1" applyAlignment="1" applyProtection="1">
      <alignment horizontal="left" vertical="top" wrapText="1"/>
      <protection locked="0"/>
    </xf>
    <xf numFmtId="0" fontId="51" fillId="40" borderId="0" xfId="0" applyFont="1" applyFill="1" applyAlignment="1" applyProtection="1">
      <alignment horizontal="left" vertical="top" wrapText="1"/>
      <protection locked="0"/>
    </xf>
    <xf numFmtId="0" fontId="51" fillId="40" borderId="77" xfId="0" applyFont="1" applyFill="1" applyBorder="1" applyAlignment="1" applyProtection="1">
      <alignment horizontal="left" vertical="top" wrapText="1"/>
      <protection locked="0"/>
    </xf>
    <xf numFmtId="0" fontId="51" fillId="40" borderId="78" xfId="0" applyFont="1" applyFill="1" applyBorder="1" applyAlignment="1" applyProtection="1">
      <alignment horizontal="left" vertical="top" wrapText="1"/>
      <protection locked="0"/>
    </xf>
    <xf numFmtId="0" fontId="51" fillId="40" borderId="79" xfId="0" applyFont="1" applyFill="1" applyBorder="1" applyAlignment="1" applyProtection="1">
      <alignment horizontal="left" vertical="top" wrapText="1"/>
      <protection locked="0"/>
    </xf>
    <xf numFmtId="0" fontId="51" fillId="40" borderId="80" xfId="0" applyFont="1" applyFill="1" applyBorder="1" applyAlignment="1" applyProtection="1">
      <alignment horizontal="left" vertical="top" wrapText="1"/>
      <protection locked="0"/>
    </xf>
    <xf numFmtId="174" fontId="13" fillId="41" borderId="46" xfId="0" applyNumberFormat="1" applyFont="1" applyFill="1" applyBorder="1" applyAlignment="1" applyProtection="1">
      <alignment horizontal="center" vertical="center"/>
      <protection locked="0"/>
    </xf>
    <xf numFmtId="174" fontId="13" fillId="41" borderId="47" xfId="0" applyNumberFormat="1" applyFont="1" applyFill="1" applyBorder="1" applyAlignment="1" applyProtection="1">
      <alignment horizontal="center" vertical="center"/>
      <protection locked="0"/>
    </xf>
    <xf numFmtId="174" fontId="13" fillId="41" borderId="0" xfId="0" applyNumberFormat="1" applyFont="1" applyFill="1" applyAlignment="1" applyProtection="1">
      <alignment horizontal="center" vertical="center"/>
      <protection locked="0"/>
    </xf>
    <xf numFmtId="0" fontId="40" fillId="40" borderId="0" xfId="0" applyFont="1" applyFill="1" applyAlignment="1">
      <alignment horizontal="left" vertical="center" readingOrder="1"/>
    </xf>
    <xf numFmtId="0" fontId="40" fillId="40" borderId="0" xfId="0" applyFont="1" applyFill="1" applyAlignment="1">
      <alignment horizontal="left" vertical="center" wrapText="1" readingOrder="1"/>
    </xf>
    <xf numFmtId="0" fontId="36" fillId="40" borderId="0" xfId="0" applyFont="1" applyFill="1" applyAlignment="1" applyProtection="1">
      <alignment horizontal="left" vertical="top" wrapText="1"/>
      <protection locked="0"/>
    </xf>
    <xf numFmtId="0" fontId="36" fillId="40" borderId="73" xfId="0" applyFont="1" applyFill="1" applyBorder="1" applyAlignment="1" applyProtection="1">
      <alignment horizontal="left" vertical="top" wrapText="1"/>
      <protection locked="0"/>
    </xf>
    <xf numFmtId="0" fontId="36" fillId="40" borderId="74" xfId="0" applyFont="1" applyFill="1" applyBorder="1" applyAlignment="1" applyProtection="1">
      <alignment horizontal="left" vertical="top" wrapText="1"/>
      <protection locked="0"/>
    </xf>
    <xf numFmtId="0" fontId="36" fillId="40" borderId="75" xfId="0" applyFont="1" applyFill="1" applyBorder="1" applyAlignment="1" applyProtection="1">
      <alignment horizontal="left" vertical="top" wrapText="1"/>
      <protection locked="0"/>
    </xf>
    <xf numFmtId="0" fontId="36" fillId="40" borderId="76" xfId="0" applyFont="1" applyFill="1" applyBorder="1" applyAlignment="1" applyProtection="1">
      <alignment horizontal="left" vertical="top" wrapText="1"/>
      <protection locked="0"/>
    </xf>
    <xf numFmtId="0" fontId="36" fillId="40" borderId="77" xfId="0" applyFont="1" applyFill="1" applyBorder="1" applyAlignment="1" applyProtection="1">
      <alignment horizontal="left" vertical="top" wrapText="1"/>
      <protection locked="0"/>
    </xf>
    <xf numFmtId="0" fontId="36" fillId="40" borderId="78" xfId="0" applyFont="1" applyFill="1" applyBorder="1" applyAlignment="1" applyProtection="1">
      <alignment horizontal="left" vertical="top" wrapText="1"/>
      <protection locked="0"/>
    </xf>
    <xf numFmtId="0" fontId="36" fillId="40" borderId="79" xfId="0" applyFont="1" applyFill="1" applyBorder="1" applyAlignment="1" applyProtection="1">
      <alignment horizontal="left" vertical="top" wrapText="1"/>
      <protection locked="0"/>
    </xf>
    <xf numFmtId="0" fontId="36" fillId="40" borderId="80" xfId="0" applyFont="1" applyFill="1" applyBorder="1" applyAlignment="1" applyProtection="1">
      <alignment horizontal="left" vertical="top" wrapText="1"/>
      <protection locked="0"/>
    </xf>
    <xf numFmtId="0" fontId="37" fillId="40" borderId="0" xfId="0" applyFont="1" applyFill="1" applyAlignment="1" applyProtection="1">
      <alignment horizontal="center" vertical="center" wrapText="1"/>
      <protection locked="0"/>
    </xf>
    <xf numFmtId="0" fontId="36" fillId="40" borderId="73" xfId="0" applyFont="1" applyFill="1" applyBorder="1" applyAlignment="1" applyProtection="1">
      <alignment horizontal="left" vertical="center" wrapText="1"/>
      <protection locked="0"/>
    </xf>
    <xf numFmtId="0" fontId="36" fillId="40" borderId="74" xfId="0" applyFont="1" applyFill="1" applyBorder="1" applyAlignment="1" applyProtection="1">
      <alignment horizontal="left" vertical="center" wrapText="1"/>
      <protection locked="0"/>
    </xf>
    <xf numFmtId="0" fontId="36" fillId="40" borderId="75" xfId="0" applyFont="1" applyFill="1" applyBorder="1" applyAlignment="1" applyProtection="1">
      <alignment horizontal="left" vertical="center" wrapText="1"/>
      <protection locked="0"/>
    </xf>
    <xf numFmtId="0" fontId="36" fillId="40" borderId="76" xfId="0" applyFont="1" applyFill="1" applyBorder="1" applyAlignment="1" applyProtection="1">
      <alignment horizontal="left" vertical="center" wrapText="1"/>
      <protection locked="0"/>
    </xf>
    <xf numFmtId="0" fontId="36" fillId="40" borderId="0" xfId="0" applyFont="1" applyFill="1" applyAlignment="1" applyProtection="1">
      <alignment horizontal="left" vertical="center" wrapText="1"/>
      <protection locked="0"/>
    </xf>
    <xf numFmtId="0" fontId="36" fillId="40" borderId="77" xfId="0" applyFont="1" applyFill="1" applyBorder="1" applyAlignment="1" applyProtection="1">
      <alignment horizontal="left" vertical="center" wrapText="1"/>
      <protection locked="0"/>
    </xf>
    <xf numFmtId="0" fontId="36" fillId="40" borderId="78" xfId="0" applyFont="1" applyFill="1" applyBorder="1" applyAlignment="1" applyProtection="1">
      <alignment horizontal="left" vertical="center" wrapText="1"/>
      <protection locked="0"/>
    </xf>
    <xf numFmtId="0" fontId="36" fillId="40" borderId="79" xfId="0" applyFont="1" applyFill="1" applyBorder="1" applyAlignment="1" applyProtection="1">
      <alignment horizontal="left" vertical="center" wrapText="1"/>
      <protection locked="0"/>
    </xf>
    <xf numFmtId="0" fontId="36" fillId="40" borderId="80" xfId="0" applyFont="1" applyFill="1" applyBorder="1" applyAlignment="1" applyProtection="1">
      <alignment horizontal="left" vertical="center" wrapText="1"/>
      <protection locked="0"/>
    </xf>
    <xf numFmtId="0" fontId="39" fillId="40" borderId="74" xfId="0" applyFont="1" applyFill="1" applyBorder="1" applyAlignment="1" applyProtection="1">
      <alignment horizontal="left" vertical="top" wrapText="1"/>
      <protection locked="0"/>
    </xf>
    <xf numFmtId="0" fontId="39" fillId="40" borderId="75" xfId="0" applyFont="1" applyFill="1" applyBorder="1" applyAlignment="1" applyProtection="1">
      <alignment horizontal="left" vertical="top" wrapText="1"/>
      <protection locked="0"/>
    </xf>
    <xf numFmtId="0" fontId="39" fillId="40" borderId="76" xfId="0" applyFont="1" applyFill="1" applyBorder="1" applyAlignment="1" applyProtection="1">
      <alignment horizontal="left" vertical="top" wrapText="1"/>
      <protection locked="0"/>
    </xf>
    <xf numFmtId="0" fontId="39" fillId="40" borderId="0" xfId="0" applyFont="1" applyFill="1" applyAlignment="1" applyProtection="1">
      <alignment horizontal="left" vertical="top" wrapText="1"/>
      <protection locked="0"/>
    </xf>
    <xf numFmtId="0" fontId="39" fillId="40" borderId="77" xfId="0" applyFont="1" applyFill="1" applyBorder="1" applyAlignment="1" applyProtection="1">
      <alignment horizontal="left" vertical="top" wrapText="1"/>
      <protection locked="0"/>
    </xf>
    <xf numFmtId="0" fontId="39" fillId="40" borderId="78" xfId="0" applyFont="1" applyFill="1" applyBorder="1" applyAlignment="1" applyProtection="1">
      <alignment horizontal="left" vertical="top" wrapText="1"/>
      <protection locked="0"/>
    </xf>
    <xf numFmtId="0" fontId="39" fillId="40" borderId="79" xfId="0" applyFont="1" applyFill="1" applyBorder="1" applyAlignment="1" applyProtection="1">
      <alignment horizontal="left" vertical="top" wrapText="1"/>
      <protection locked="0"/>
    </xf>
    <xf numFmtId="0" fontId="39" fillId="40" borderId="80" xfId="0" applyFont="1" applyFill="1" applyBorder="1" applyAlignment="1" applyProtection="1">
      <alignment horizontal="left" vertical="top" wrapText="1"/>
      <protection locked="0"/>
    </xf>
    <xf numFmtId="0" fontId="39" fillId="40" borderId="73" xfId="0" applyFont="1" applyFill="1" applyBorder="1" applyAlignment="1" applyProtection="1">
      <alignment horizontal="left" vertical="center" wrapText="1"/>
      <protection locked="0"/>
    </xf>
    <xf numFmtId="0" fontId="39" fillId="40" borderId="74" xfId="0" applyFont="1" applyFill="1" applyBorder="1" applyAlignment="1" applyProtection="1">
      <alignment horizontal="left" vertical="center" wrapText="1"/>
      <protection locked="0"/>
    </xf>
    <xf numFmtId="0" fontId="39" fillId="40" borderId="75" xfId="0" applyFont="1" applyFill="1" applyBorder="1" applyAlignment="1" applyProtection="1">
      <alignment horizontal="left" vertical="center" wrapText="1"/>
      <protection locked="0"/>
    </xf>
    <xf numFmtId="0" fontId="39" fillId="40" borderId="76" xfId="0" applyFont="1" applyFill="1" applyBorder="1" applyAlignment="1" applyProtection="1">
      <alignment horizontal="left" vertical="center" wrapText="1"/>
      <protection locked="0"/>
    </xf>
    <xf numFmtId="0" fontId="39" fillId="40" borderId="0" xfId="0" applyFont="1" applyFill="1" applyAlignment="1" applyProtection="1">
      <alignment horizontal="left" vertical="center" wrapText="1"/>
      <protection locked="0"/>
    </xf>
    <xf numFmtId="0" fontId="39" fillId="40" borderId="77" xfId="0" applyFont="1" applyFill="1" applyBorder="1" applyAlignment="1" applyProtection="1">
      <alignment horizontal="left" vertical="center" wrapText="1"/>
      <protection locked="0"/>
    </xf>
    <xf numFmtId="0" fontId="39" fillId="40" borderId="78" xfId="0" applyFont="1" applyFill="1" applyBorder="1" applyAlignment="1" applyProtection="1">
      <alignment horizontal="left" vertical="center" wrapText="1"/>
      <protection locked="0"/>
    </xf>
    <xf numFmtId="0" fontId="39" fillId="40" borderId="79" xfId="0" applyFont="1" applyFill="1" applyBorder="1" applyAlignment="1" applyProtection="1">
      <alignment horizontal="left" vertical="center" wrapText="1"/>
      <protection locked="0"/>
    </xf>
    <xf numFmtId="0" fontId="39" fillId="40" borderId="80" xfId="0" applyFont="1" applyFill="1" applyBorder="1" applyAlignment="1" applyProtection="1">
      <alignment horizontal="left" vertical="center" wrapText="1"/>
      <protection locked="0"/>
    </xf>
    <xf numFmtId="0" fontId="39" fillId="40" borderId="73" xfId="0" applyFont="1" applyFill="1" applyBorder="1" applyAlignment="1" applyProtection="1">
      <alignment horizontal="left" vertical="top" wrapText="1"/>
      <protection locked="0"/>
    </xf>
    <xf numFmtId="0" fontId="36" fillId="40" borderId="0" xfId="0" applyFont="1" applyFill="1" applyAlignment="1">
      <alignment horizontal="left" vertical="top" wrapText="1"/>
    </xf>
  </cellXfs>
  <cellStyles count="66">
    <cellStyle name="1_dms_Financial" xfId="46" xr:uid="{66D3FE7B-9F43-4F41-82BC-CE2F6508967B}"/>
    <cellStyle name="1_dms_Financial 2" xfId="47" xr:uid="{FFC07D95-77E4-4B0E-ABF4-4C90FB3B44FF}"/>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53" builtinId="3"/>
    <cellStyle name="Comma 2" xfId="42" xr:uid="{AFD99329-9149-4444-AE39-A179550E30D6}"/>
    <cellStyle name="Comma 2 2" xfId="57" xr:uid="{B673F641-5A5D-4FE0-8793-7559BE54A05F}"/>
    <cellStyle name="Comma 2 3" xfId="59" xr:uid="{9E7EB21F-314F-41B0-9629-F966CBDDC6D9}"/>
    <cellStyle name="Comma 3" xfId="49" xr:uid="{1FA0383A-5A85-4904-88C5-F5344DEAF6D3}"/>
    <cellStyle name="Currency" xfId="50" builtinId="4"/>
    <cellStyle name="Currency 2" xfId="52" xr:uid="{B5826703-F5D3-451A-BD08-A4EEC9783747}"/>
    <cellStyle name="Currency 3" xfId="62" xr:uid="{BF57156A-E073-42AC-AB30-815699599E6B}"/>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63" builtinId="8"/>
    <cellStyle name="Input" xfId="9" builtinId="20" customBuiltin="1"/>
    <cellStyle name="Linked Cell" xfId="12" builtinId="24" customBuiltin="1"/>
    <cellStyle name="Neutral" xfId="8" builtinId="28" customBuiltin="1"/>
    <cellStyle name="Normal" xfId="0" builtinId="0"/>
    <cellStyle name="Normal 2" xfId="48" xr:uid="{B7A67422-8E2B-4FF8-B067-D44899ECA4B6}"/>
    <cellStyle name="Normal 2 2" xfId="55" xr:uid="{412F2579-0949-4871-B83A-4CDC1B257083}"/>
    <cellStyle name="Normal 2 2 17" xfId="45" xr:uid="{50A70EF5-FED9-4F31-9DEC-067E84C80B11}"/>
    <cellStyle name="Normal 2 3" xfId="56" xr:uid="{25FA6EC2-A81F-465C-A162-6281F8737C80}"/>
    <cellStyle name="Normal 3" xfId="51" xr:uid="{3D077DF5-025E-4100-9A76-661D7CE1A9D2}"/>
    <cellStyle name="Normal 3 2" xfId="64" xr:uid="{A4284950-D56A-46FC-AB8A-4CF4A8CD4234}"/>
    <cellStyle name="Normal 5" xfId="61" xr:uid="{DC560C96-1C56-4817-8389-0A049619791D}"/>
    <cellStyle name="Note" xfId="15" builtinId="10" customBuiltin="1"/>
    <cellStyle name="Output" xfId="10" builtinId="21" customBuiltin="1"/>
    <cellStyle name="Percent" xfId="54" builtinId="5"/>
    <cellStyle name="Percent 2" xfId="58" xr:uid="{75BD6811-908B-44CB-9A9A-74DDB4394AC9}"/>
    <cellStyle name="Percent 2 2" xfId="60" xr:uid="{E20F8592-0466-449B-AD02-0AED2108BF1E}"/>
    <cellStyle name="Percent 3" xfId="65" xr:uid="{798817D6-4AEF-4E95-A8F2-A9D9642FC9AB}"/>
    <cellStyle name="RIN_TL3" xfId="43" xr:uid="{F3B0FF1C-7ADC-4EA8-BFD3-79E3944B372C}"/>
    <cellStyle name="TableLvl3" xfId="44" xr:uid="{478B31BD-6664-4A65-8BF9-5770B5E9DC83}"/>
    <cellStyle name="Title" xfId="1" builtinId="15" customBuiltin="1"/>
    <cellStyle name="Total" xfId="17" builtinId="25" customBuiltin="1"/>
    <cellStyle name="Warning Text" xfId="14" builtinId="11" customBuiltin="1"/>
  </cellStyles>
  <dxfs count="94">
    <dxf>
      <font>
        <color rgb="FF9C0006"/>
      </font>
      <fill>
        <patternFill>
          <bgColor rgb="FFFFC7CE"/>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strike val="0"/>
        <outline val="0"/>
        <shadow val="0"/>
        <u val="none"/>
        <vertAlign val="baseline"/>
        <color theme="1"/>
        <name val="Arial"/>
        <family val="2"/>
        <scheme val="none"/>
      </font>
      <numFmt numFmtId="172" formatCode="#,##0.00000"/>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color theme="1"/>
        <name val="Arial"/>
        <family val="2"/>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numFmt numFmtId="13" formatCode="0%"/>
      <fill>
        <patternFill patternType="none">
          <fgColor indexed="64"/>
          <bgColor auto="1"/>
        </patternFill>
      </fill>
    </dxf>
    <dxf>
      <font>
        <strike val="0"/>
        <outline val="0"/>
        <shadow val="0"/>
        <u val="none"/>
        <vertAlign val="baseline"/>
        <color theme="1"/>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color theme="1"/>
        <name val="Arial"/>
        <family val="2"/>
        <scheme val="none"/>
      </font>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6"/>
      </font>
    </dxf>
    <dxf>
      <font>
        <sz val="16"/>
      </font>
    </dxf>
    <dxf>
      <font>
        <sz val="16"/>
      </font>
    </dxf>
    <dxf>
      <font>
        <sz val="20"/>
      </font>
    </dxf>
    <dxf>
      <font>
        <sz val="20"/>
      </font>
    </dxf>
    <dxf>
      <font>
        <sz val="12"/>
      </font>
    </dxf>
    <dxf>
      <font>
        <sz val="12"/>
      </font>
    </dxf>
    <dxf>
      <font>
        <sz val="12"/>
      </font>
    </dxf>
    <dxf>
      <alignment wrapText="1"/>
    </dxf>
    <dxf>
      <alignment wrapText="1"/>
    </dxf>
    <dxf>
      <alignment wrapText="1"/>
    </dxf>
    <dxf>
      <numFmt numFmtId="169" formatCode="_-&quot;$&quot;* #,##0_-;\-&quot;$&quot;* #,##0_-;_-&quot;$&quot;* &quot;-&quot;??_-;_-@_-"/>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6"/>
      </font>
    </dxf>
    <dxf>
      <font>
        <sz val="16"/>
      </font>
    </dxf>
    <dxf>
      <font>
        <sz val="16"/>
      </font>
    </dxf>
    <dxf>
      <font>
        <sz val="20"/>
      </font>
    </dxf>
    <dxf>
      <font>
        <sz val="20"/>
      </font>
    </dxf>
    <dxf>
      <font>
        <sz val="12"/>
      </font>
    </dxf>
    <dxf>
      <font>
        <sz val="12"/>
      </font>
    </dxf>
    <dxf>
      <font>
        <sz val="12"/>
      </font>
    </dxf>
    <dxf>
      <alignment wrapText="1"/>
    </dxf>
    <dxf>
      <alignment wrapText="1"/>
    </dxf>
    <dxf>
      <alignment wrapText="1"/>
    </dxf>
    <dxf>
      <numFmt numFmtId="169" formatCode="_-&quot;$&quot;* #,##0_-;\-&quot;$&quot;* #,##0_-;_-&quot;$&quot;* &quot;-&quot;??_-;_-@_-"/>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6"/>
      </font>
    </dxf>
    <dxf>
      <font>
        <sz val="16"/>
      </font>
    </dxf>
    <dxf>
      <font>
        <sz val="16"/>
      </font>
    </dxf>
    <dxf>
      <font>
        <sz val="20"/>
      </font>
    </dxf>
    <dxf>
      <font>
        <sz val="20"/>
      </font>
    </dxf>
    <dxf>
      <font>
        <sz val="12"/>
      </font>
    </dxf>
    <dxf>
      <font>
        <sz val="12"/>
      </font>
    </dxf>
    <dxf>
      <font>
        <sz val="12"/>
      </font>
    </dxf>
    <dxf>
      <alignment wrapText="1"/>
    </dxf>
    <dxf>
      <alignment wrapText="1"/>
    </dxf>
    <dxf>
      <alignment wrapText="1"/>
    </dxf>
    <dxf>
      <numFmt numFmtId="169" formatCode="_-&quot;$&quot;* #,##0_-;\-&quot;$&quot;* #,##0_-;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2.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1.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7540167664331E-2"/>
          <c:y val="2.6524821213781136E-2"/>
          <c:w val="0.88737079418274367"/>
          <c:h val="0.80023752721072627"/>
        </c:manualLayout>
      </c:layout>
      <c:barChart>
        <c:barDir val="col"/>
        <c:grouping val="stacked"/>
        <c:varyColors val="0"/>
        <c:ser>
          <c:idx val="0"/>
          <c:order val="0"/>
          <c:tx>
            <c:strRef>
              <c:f>'Benefits Summary'!$D$7</c:f>
              <c:strCache>
                <c:ptCount val="1"/>
                <c:pt idx="0">
                  <c:v>Safety</c:v>
                </c:pt>
              </c:strCache>
            </c:strRef>
          </c:tx>
          <c:spPr>
            <a:solidFill>
              <a:schemeClr val="accent3"/>
            </a:solidFill>
            <a:ln>
              <a:noFill/>
            </a:ln>
            <a:effectLst/>
          </c:spPr>
          <c:invertIfNegative val="0"/>
          <c:cat>
            <c:strRef>
              <c:f>'Benefits Summary'!$B$8:$B$10</c:f>
              <c:strCache>
                <c:ptCount val="3"/>
                <c:pt idx="0">
                  <c:v>Total program cost</c:v>
                </c:pt>
                <c:pt idx="1">
                  <c:v>PV of 2024-29 benefits</c:v>
                </c:pt>
                <c:pt idx="2">
                  <c:v>Present value of total benefits</c:v>
                </c:pt>
              </c:strCache>
            </c:strRef>
          </c:cat>
          <c:val>
            <c:numRef>
              <c:f>'Benefits Summary'!$D$8:$D$10</c:f>
              <c:numCache>
                <c:formatCode>_-"$"* #,##0_-;\-"$"* #,##0_-;_-"$"* "-"??_-;_-@_-</c:formatCode>
                <c:ptCount val="3"/>
                <c:pt idx="1">
                  <c:v>2443803.1839432982</c:v>
                </c:pt>
                <c:pt idx="2">
                  <c:v>19609172.856428321</c:v>
                </c:pt>
              </c:numCache>
            </c:numRef>
          </c:val>
          <c:extLst>
            <c:ext xmlns:c16="http://schemas.microsoft.com/office/drawing/2014/chart" uri="{C3380CC4-5D6E-409C-BE32-E72D297353CC}">
              <c16:uniqueId val="{00000000-923B-4F23-BB62-F95D725032D6}"/>
            </c:ext>
          </c:extLst>
        </c:ser>
        <c:ser>
          <c:idx val="1"/>
          <c:order val="1"/>
          <c:tx>
            <c:strRef>
              <c:f>'Benefits Summary'!$E$7</c:f>
              <c:strCache>
                <c:ptCount val="1"/>
                <c:pt idx="0">
                  <c:v>Capex efficiency</c:v>
                </c:pt>
              </c:strCache>
            </c:strRef>
          </c:tx>
          <c:spPr>
            <a:solidFill>
              <a:schemeClr val="accent1"/>
            </a:solidFill>
            <a:ln>
              <a:noFill/>
            </a:ln>
            <a:effectLst/>
          </c:spPr>
          <c:invertIfNegative val="0"/>
          <c:cat>
            <c:strRef>
              <c:f>'Benefits Summary'!$B$8:$B$10</c:f>
              <c:strCache>
                <c:ptCount val="3"/>
                <c:pt idx="0">
                  <c:v>Total program cost</c:v>
                </c:pt>
                <c:pt idx="1">
                  <c:v>PV of 2024-29 benefits</c:v>
                </c:pt>
                <c:pt idx="2">
                  <c:v>Present value of total benefits</c:v>
                </c:pt>
              </c:strCache>
            </c:strRef>
          </c:cat>
          <c:val>
            <c:numRef>
              <c:f>'Benefits Summary'!$E$8:$E$10</c:f>
              <c:numCache>
                <c:formatCode>_-"$"* #,##0_-;\-"$"* #,##0_-;_-"$"* "-"??_-;_-@_-</c:formatCode>
                <c:ptCount val="3"/>
                <c:pt idx="1">
                  <c:v>4541774.2591176899</c:v>
                </c:pt>
                <c:pt idx="2">
                  <c:v>26355732.130751882</c:v>
                </c:pt>
              </c:numCache>
            </c:numRef>
          </c:val>
          <c:extLst>
            <c:ext xmlns:c16="http://schemas.microsoft.com/office/drawing/2014/chart" uri="{C3380CC4-5D6E-409C-BE32-E72D297353CC}">
              <c16:uniqueId val="{00000001-923B-4F23-BB62-F95D725032D6}"/>
            </c:ext>
          </c:extLst>
        </c:ser>
        <c:ser>
          <c:idx val="2"/>
          <c:order val="2"/>
          <c:tx>
            <c:strRef>
              <c:f>'Benefits Summary'!$F$7</c:f>
              <c:strCache>
                <c:ptCount val="1"/>
                <c:pt idx="0">
                  <c:v>Opex Efficiency</c:v>
                </c:pt>
              </c:strCache>
            </c:strRef>
          </c:tx>
          <c:spPr>
            <a:solidFill>
              <a:schemeClr val="accent1">
                <a:lumMod val="40000"/>
                <a:lumOff val="60000"/>
              </a:schemeClr>
            </a:solidFill>
            <a:ln>
              <a:noFill/>
            </a:ln>
            <a:effectLst/>
          </c:spPr>
          <c:invertIfNegative val="0"/>
          <c:cat>
            <c:strRef>
              <c:f>'Benefits Summary'!$B$8:$B$10</c:f>
              <c:strCache>
                <c:ptCount val="3"/>
                <c:pt idx="0">
                  <c:v>Total program cost</c:v>
                </c:pt>
                <c:pt idx="1">
                  <c:v>PV of 2024-29 benefits</c:v>
                </c:pt>
                <c:pt idx="2">
                  <c:v>Present value of total benefits</c:v>
                </c:pt>
              </c:strCache>
            </c:strRef>
          </c:cat>
          <c:val>
            <c:numRef>
              <c:f>'Benefits Summary'!$F$8:$F$10</c:f>
              <c:numCache>
                <c:formatCode>_-"$"* #,##0_-;\-"$"* #,##0_-;_-"$"* "-"??_-;_-@_-</c:formatCode>
                <c:ptCount val="3"/>
                <c:pt idx="1">
                  <c:v>1083719.6137094074</c:v>
                </c:pt>
                <c:pt idx="2">
                  <c:v>9607352.0613631755</c:v>
                </c:pt>
              </c:numCache>
            </c:numRef>
          </c:val>
          <c:extLst>
            <c:ext xmlns:c16="http://schemas.microsoft.com/office/drawing/2014/chart" uri="{C3380CC4-5D6E-409C-BE32-E72D297353CC}">
              <c16:uniqueId val="{00000002-923B-4F23-BB62-F95D725032D6}"/>
            </c:ext>
          </c:extLst>
        </c:ser>
        <c:ser>
          <c:idx val="3"/>
          <c:order val="3"/>
          <c:tx>
            <c:strRef>
              <c:f>'Benefits Summary'!$G$7</c:f>
              <c:strCache>
                <c:ptCount val="1"/>
                <c:pt idx="0">
                  <c:v>Market benefits</c:v>
                </c:pt>
              </c:strCache>
            </c:strRef>
          </c:tx>
          <c:spPr>
            <a:solidFill>
              <a:srgbClr val="002060"/>
            </a:solidFill>
            <a:ln>
              <a:noFill/>
            </a:ln>
            <a:effectLst/>
          </c:spPr>
          <c:invertIfNegative val="0"/>
          <c:cat>
            <c:strRef>
              <c:f>'Benefits Summary'!$B$8:$B$10</c:f>
              <c:strCache>
                <c:ptCount val="3"/>
                <c:pt idx="0">
                  <c:v>Total program cost</c:v>
                </c:pt>
                <c:pt idx="1">
                  <c:v>PV of 2024-29 benefits</c:v>
                </c:pt>
                <c:pt idx="2">
                  <c:v>Present value of total benefits</c:v>
                </c:pt>
              </c:strCache>
            </c:strRef>
          </c:cat>
          <c:val>
            <c:numRef>
              <c:f>'Benefits Summary'!$G$8:$G$10</c:f>
              <c:numCache>
                <c:formatCode>_-"$"* #,##0_-;\-"$"* #,##0_-;_-"$"* "-"??_-;_-@_-</c:formatCode>
                <c:ptCount val="3"/>
                <c:pt idx="1">
                  <c:v>14892111.783286631</c:v>
                </c:pt>
                <c:pt idx="2">
                  <c:v>91347589.499397933</c:v>
                </c:pt>
              </c:numCache>
            </c:numRef>
          </c:val>
          <c:extLst>
            <c:ext xmlns:c16="http://schemas.microsoft.com/office/drawing/2014/chart" uri="{C3380CC4-5D6E-409C-BE32-E72D297353CC}">
              <c16:uniqueId val="{00000003-923B-4F23-BB62-F95D725032D6}"/>
            </c:ext>
          </c:extLst>
        </c:ser>
        <c:ser>
          <c:idx val="4"/>
          <c:order val="4"/>
          <c:tx>
            <c:strRef>
              <c:f>'Benefits Summary'!$H$7</c:f>
              <c:strCache>
                <c:ptCount val="1"/>
                <c:pt idx="0">
                  <c:v>Total</c:v>
                </c:pt>
              </c:strCache>
            </c:strRef>
          </c:tx>
          <c:spPr>
            <a:solidFill>
              <a:schemeClr val="tx1">
                <a:lumMod val="75000"/>
                <a:lumOff val="25000"/>
              </a:schemeClr>
            </a:solidFill>
            <a:ln>
              <a:noFill/>
            </a:ln>
            <a:effectLst/>
          </c:spPr>
          <c:invertIfNegative val="0"/>
          <c:cat>
            <c:strRef>
              <c:f>'Benefits Summary'!$B$8:$B$10</c:f>
              <c:strCache>
                <c:ptCount val="3"/>
                <c:pt idx="0">
                  <c:v>Total program cost</c:v>
                </c:pt>
                <c:pt idx="1">
                  <c:v>PV of 2024-29 benefits</c:v>
                </c:pt>
                <c:pt idx="2">
                  <c:v>Present value of total benefits</c:v>
                </c:pt>
              </c:strCache>
            </c:strRef>
          </c:cat>
          <c:val>
            <c:numRef>
              <c:f>'Benefits Summary'!$H$8:$H$10</c:f>
              <c:numCache>
                <c:formatCode>_-"$"* #,##0_-;\-"$"* #,##0_-;_-"$"* "-"??_-;_-@_-</c:formatCode>
                <c:ptCount val="3"/>
                <c:pt idx="0">
                  <c:v>44659000.009999998</c:v>
                </c:pt>
                <c:pt idx="1">
                  <c:v>22961408.840057027</c:v>
                </c:pt>
                <c:pt idx="2">
                  <c:v>146919846.54794133</c:v>
                </c:pt>
              </c:numCache>
            </c:numRef>
          </c:val>
          <c:extLst>
            <c:ext xmlns:c16="http://schemas.microsoft.com/office/drawing/2014/chart" uri="{C3380CC4-5D6E-409C-BE32-E72D297353CC}">
              <c16:uniqueId val="{00000004-923B-4F23-BB62-F95D725032D6}"/>
            </c:ext>
          </c:extLst>
        </c:ser>
        <c:dLbls>
          <c:showLegendKey val="0"/>
          <c:showVal val="0"/>
          <c:showCatName val="0"/>
          <c:showSerName val="0"/>
          <c:showPercent val="0"/>
          <c:showBubbleSize val="0"/>
        </c:dLbls>
        <c:gapWidth val="75"/>
        <c:overlap val="100"/>
        <c:axId val="490408208"/>
        <c:axId val="562595087"/>
      </c:barChart>
      <c:catAx>
        <c:axId val="49040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2595087"/>
        <c:crosses val="autoZero"/>
        <c:auto val="1"/>
        <c:lblAlgn val="ctr"/>
        <c:lblOffset val="100"/>
        <c:noMultiLvlLbl val="0"/>
      </c:catAx>
      <c:valAx>
        <c:axId val="562595087"/>
        <c:scaling>
          <c:orientation val="minMax"/>
        </c:scaling>
        <c:delete val="0"/>
        <c:axPos val="l"/>
        <c:majorGridlines>
          <c:spPr>
            <a:ln w="9525" cap="flat" cmpd="sng" algn="ctr">
              <a:noFill/>
              <a:round/>
            </a:ln>
            <a:effectLst/>
          </c:spPr>
        </c:majorGridlines>
        <c:numFmt formatCode="_(&quot;$&quot;* #,##0_);_(&quot;$&quot;* \(#,##0\);_(&quot;$&quot;* &quot;-&quot;_);_(@_)" sourceLinked="0"/>
        <c:majorTickMark val="none"/>
        <c:minorTickMark val="none"/>
        <c:tickLblPos val="low"/>
        <c:spPr>
          <a:noFill/>
          <a:ln>
            <a:solidFill>
              <a:schemeClr val="bg2"/>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408208"/>
        <c:crosses val="autoZero"/>
        <c:crossBetween val="between"/>
        <c:dispUnits>
          <c:builtInUnit val="millions"/>
          <c:dispUnitsLbl>
            <c:layout>
              <c:manualLayout>
                <c:xMode val="edge"/>
                <c:yMode val="edge"/>
                <c:x val="2.1229582439444897E-2"/>
                <c:y val="0.42562938137685541"/>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17712527796971952"/>
          <c:y val="0.91493753755863416"/>
          <c:w val="0.67234657810883669"/>
          <c:h val="4.648090431222961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588377</xdr:colOff>
      <xdr:row>27</xdr:row>
      <xdr:rowOff>94748</xdr:rowOff>
    </xdr:from>
    <xdr:to>
      <xdr:col>2</xdr:col>
      <xdr:colOff>230552</xdr:colOff>
      <xdr:row>27</xdr:row>
      <xdr:rowOff>150493</xdr:rowOff>
    </xdr:to>
    <xdr:sp macro="" textlink="">
      <xdr:nvSpPr>
        <xdr:cNvPr id="3" name="Rectangle 2">
          <a:extLst>
            <a:ext uri="{FF2B5EF4-FFF2-40B4-BE49-F238E27FC236}">
              <a16:creationId xmlns:a16="http://schemas.microsoft.com/office/drawing/2014/main" id="{29517C10-0B00-402C-8332-5198222C5D42}"/>
            </a:ext>
          </a:extLst>
        </xdr:cNvPr>
        <xdr:cNvSpPr/>
      </xdr:nvSpPr>
      <xdr:spPr>
        <a:xfrm flipH="1" flipV="1">
          <a:off x="588377" y="5657348"/>
          <a:ext cx="861375" cy="55745"/>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twoCellAnchor editAs="oneCell">
    <xdr:from>
      <xdr:col>0</xdr:col>
      <xdr:colOff>38100</xdr:colOff>
      <xdr:row>36</xdr:row>
      <xdr:rowOff>114301</xdr:rowOff>
    </xdr:from>
    <xdr:to>
      <xdr:col>9</xdr:col>
      <xdr:colOff>323850</xdr:colOff>
      <xdr:row>37</xdr:row>
      <xdr:rowOff>13367</xdr:rowOff>
    </xdr:to>
    <xdr:pic>
      <xdr:nvPicPr>
        <xdr:cNvPr id="4" name="image2.png">
          <a:extLst>
            <a:ext uri="{FF2B5EF4-FFF2-40B4-BE49-F238E27FC236}">
              <a16:creationId xmlns:a16="http://schemas.microsoft.com/office/drawing/2014/main" id="{8A5D6A03-2DE9-447D-88B3-E7355A77A4A6}"/>
            </a:ext>
          </a:extLst>
        </xdr:cNvPr>
        <xdr:cNvPicPr>
          <a:picLocks noChangeAspect="1"/>
        </xdr:cNvPicPr>
      </xdr:nvPicPr>
      <xdr:blipFill>
        <a:blip xmlns:r="http://schemas.openxmlformats.org/officeDocument/2006/relationships" r:embed="rId1" cstate="print"/>
        <a:stretch>
          <a:fillRect/>
        </a:stretch>
      </xdr:blipFill>
      <xdr:spPr>
        <a:xfrm>
          <a:off x="38100" y="7372351"/>
          <a:ext cx="5429250" cy="89566"/>
        </a:xfrm>
        <a:prstGeom prst="rect">
          <a:avLst/>
        </a:prstGeom>
      </xdr:spPr>
    </xdr:pic>
    <xdr:clientData/>
  </xdr:twoCellAnchor>
  <xdr:twoCellAnchor>
    <xdr:from>
      <xdr:col>6</xdr:col>
      <xdr:colOff>231140</xdr:colOff>
      <xdr:row>34</xdr:row>
      <xdr:rowOff>27940</xdr:rowOff>
    </xdr:from>
    <xdr:to>
      <xdr:col>8</xdr:col>
      <xdr:colOff>197485</xdr:colOff>
      <xdr:row>35</xdr:row>
      <xdr:rowOff>169545</xdr:rowOff>
    </xdr:to>
    <xdr:grpSp>
      <xdr:nvGrpSpPr>
        <xdr:cNvPr id="5" name="Group 4">
          <a:extLst>
            <a:ext uri="{FF2B5EF4-FFF2-40B4-BE49-F238E27FC236}">
              <a16:creationId xmlns:a16="http://schemas.microsoft.com/office/drawing/2014/main" id="{114107BE-A430-4E5C-BE57-54E074779097}"/>
            </a:ext>
          </a:extLst>
        </xdr:cNvPr>
        <xdr:cNvGrpSpPr>
          <a:grpSpLocks/>
        </xdr:cNvGrpSpPr>
      </xdr:nvGrpSpPr>
      <xdr:grpSpPr bwMode="auto">
        <a:xfrm>
          <a:off x="3558540" y="6314440"/>
          <a:ext cx="1185545" cy="325755"/>
          <a:chOff x="8854" y="75"/>
          <a:chExt cx="1867" cy="513"/>
        </a:xfrm>
      </xdr:grpSpPr>
      <xdr:sp macro="" textlink="">
        <xdr:nvSpPr>
          <xdr:cNvPr id="6" name="AutoShape 22">
            <a:extLst>
              <a:ext uri="{FF2B5EF4-FFF2-40B4-BE49-F238E27FC236}">
                <a16:creationId xmlns:a16="http://schemas.microsoft.com/office/drawing/2014/main" id="{E4D0F707-BAA9-5D17-52FF-987841A1D945}"/>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 name="Picture 6">
            <a:extLst>
              <a:ext uri="{FF2B5EF4-FFF2-40B4-BE49-F238E27FC236}">
                <a16:creationId xmlns:a16="http://schemas.microsoft.com/office/drawing/2014/main" id="{94391CF7-C464-02B4-6A05-7012B8511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34</xdr:row>
      <xdr:rowOff>19051</xdr:rowOff>
    </xdr:from>
    <xdr:to>
      <xdr:col>4</xdr:col>
      <xdr:colOff>339725</xdr:colOff>
      <xdr:row>36</xdr:row>
      <xdr:rowOff>34925</xdr:rowOff>
    </xdr:to>
    <xdr:sp macro="" textlink="">
      <xdr:nvSpPr>
        <xdr:cNvPr id="8" name="TextBox 7">
          <a:extLst>
            <a:ext uri="{FF2B5EF4-FFF2-40B4-BE49-F238E27FC236}">
              <a16:creationId xmlns:a16="http://schemas.microsoft.com/office/drawing/2014/main" id="{18D6DF2A-4B6F-49E6-8FA9-265216471FF1}"/>
            </a:ext>
          </a:extLst>
        </xdr:cNvPr>
        <xdr:cNvSpPr txBox="1"/>
      </xdr:nvSpPr>
      <xdr:spPr>
        <a:xfrm>
          <a:off x="215900" y="6877051"/>
          <a:ext cx="2238375" cy="396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editAs="oneCell">
    <xdr:from>
      <xdr:col>0</xdr:col>
      <xdr:colOff>0</xdr:colOff>
      <xdr:row>0</xdr:row>
      <xdr:rowOff>0</xdr:rowOff>
    </xdr:from>
    <xdr:to>
      <xdr:col>8</xdr:col>
      <xdr:colOff>485775</xdr:colOff>
      <xdr:row>22</xdr:row>
      <xdr:rowOff>120650</xdr:rowOff>
    </xdr:to>
    <xdr:pic>
      <xdr:nvPicPr>
        <xdr:cNvPr id="9" name="Picture 8">
          <a:extLst>
            <a:ext uri="{FF2B5EF4-FFF2-40B4-BE49-F238E27FC236}">
              <a16:creationId xmlns:a16="http://schemas.microsoft.com/office/drawing/2014/main" id="{2E196E40-D9DC-4FEE-BD58-BA31FFD99AF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5172"/>
        <a:stretch/>
      </xdr:blipFill>
      <xdr:spPr>
        <a:xfrm>
          <a:off x="0" y="0"/>
          <a:ext cx="5019675" cy="4311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78B714DD-D646-4F31-BD94-DBFF463F1599}"/>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B5D805CC-F0A5-4FA4-AE30-14073609CB8A}"/>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63EF6410-AF8D-4E99-BD4F-622E38FEB8F7}"/>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FFAD0FFF-E47A-4460-92D3-1DAEC644E0F3}"/>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DD510B26-43EF-440E-9F11-71256D8CEB27}"/>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01744209-8E14-45F7-9E0C-2EC482EA86DC}"/>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C2D9D34C-0BEE-415C-8F8C-E5C0B0A905EE}"/>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F674897-F78D-4335-A666-A73128ACE021}"/>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C6A63C90-6A83-47D8-9F2F-61DB6DCEDA34}"/>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49AFDC70-639C-4A19-A424-1ED6A0533AB6}"/>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200026</xdr:colOff>
      <xdr:row>7</xdr:row>
      <xdr:rowOff>114301</xdr:rowOff>
    </xdr:from>
    <xdr:to>
      <xdr:col>3</xdr:col>
      <xdr:colOff>6616796</xdr:colOff>
      <xdr:row>19</xdr:row>
      <xdr:rowOff>158750</xdr:rowOff>
    </xdr:to>
    <xdr:pic>
      <xdr:nvPicPr>
        <xdr:cNvPr id="2" name="Picture 1">
          <a:extLst>
            <a:ext uri="{FF2B5EF4-FFF2-40B4-BE49-F238E27FC236}">
              <a16:creationId xmlns:a16="http://schemas.microsoft.com/office/drawing/2014/main" id="{306A5BD7-FB20-49AF-8B31-9C11E2175CE7}"/>
            </a:ext>
          </a:extLst>
        </xdr:cNvPr>
        <xdr:cNvPicPr>
          <a:picLocks noChangeAspect="1"/>
        </xdr:cNvPicPr>
      </xdr:nvPicPr>
      <xdr:blipFill>
        <a:blip xmlns:r="http://schemas.openxmlformats.org/officeDocument/2006/relationships" r:embed="rId1"/>
        <a:stretch>
          <a:fillRect/>
        </a:stretch>
      </xdr:blipFill>
      <xdr:spPr>
        <a:xfrm>
          <a:off x="581026" y="2105026"/>
          <a:ext cx="9182195" cy="2333624"/>
        </a:xfrm>
        <a:prstGeom prst="rect">
          <a:avLst/>
        </a:prstGeom>
      </xdr:spPr>
    </xdr:pic>
    <xdr:clientData/>
  </xdr:twoCellAnchor>
  <xdr:twoCellAnchor>
    <xdr:from>
      <xdr:col>3</xdr:col>
      <xdr:colOff>1716698</xdr:colOff>
      <xdr:row>19</xdr:row>
      <xdr:rowOff>9526</xdr:rowOff>
    </xdr:from>
    <xdr:to>
      <xdr:col>3</xdr:col>
      <xdr:colOff>6696075</xdr:colOff>
      <xdr:row>19</xdr:row>
      <xdr:rowOff>152400</xdr:rowOff>
    </xdr:to>
    <xdr:sp macro="" textlink="">
      <xdr:nvSpPr>
        <xdr:cNvPr id="4" name="TextBox 3">
          <a:extLst>
            <a:ext uri="{FF2B5EF4-FFF2-40B4-BE49-F238E27FC236}">
              <a16:creationId xmlns:a16="http://schemas.microsoft.com/office/drawing/2014/main" id="{C2EB9A2D-E557-52DC-391D-2C9005424E6B}"/>
            </a:ext>
          </a:extLst>
        </xdr:cNvPr>
        <xdr:cNvSpPr txBox="1"/>
      </xdr:nvSpPr>
      <xdr:spPr>
        <a:xfrm>
          <a:off x="4859948" y="4286251"/>
          <a:ext cx="4979377" cy="142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700" i="1">
              <a:solidFill>
                <a:srgbClr val="002060"/>
              </a:solidFill>
            </a:rPr>
            <a:t>*Benefits estimated in accrodance with Ausgrid's value framework - Tab 3, with input from internal SMEs,</a:t>
          </a:r>
          <a:r>
            <a:rPr lang="en-AU" sz="700" i="1" baseline="0">
              <a:solidFill>
                <a:srgbClr val="002060"/>
              </a:solidFill>
            </a:rPr>
            <a:t> other DNSPs, suppliers etc.</a:t>
          </a:r>
          <a:endParaRPr lang="en-AU" sz="700" i="1">
            <a:solidFill>
              <a:srgbClr val="00206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51EDCB4E-A8D4-4AC0-9FA3-425327D20585}"/>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F395D220-DD87-48BB-A241-CE11249F5C54}"/>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DC4AA521-BDAE-4202-BBD1-A0E9683BB7FB}"/>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9F5C5A45-07C9-4F4D-873A-825D7FE4AAE1}"/>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39629525-763C-4AC1-B40F-76148547A88C}"/>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81503D6B-B23F-4723-BBFB-9CC24B74619B}"/>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9CB9207E-FAB0-4A70-978B-5209C4C2E7B4}"/>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F28B3077-DBE1-4F7D-94DB-B77C61ED0811}"/>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460CB7DC-DB1E-4B64-BAC5-4B374AB50FB5}"/>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EB1111F8-339B-4994-B8B2-C311A2C8BC82}"/>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493057</xdr:colOff>
      <xdr:row>5</xdr:row>
      <xdr:rowOff>0</xdr:rowOff>
    </xdr:from>
    <xdr:to>
      <xdr:col>18</xdr:col>
      <xdr:colOff>560292</xdr:colOff>
      <xdr:row>32</xdr:row>
      <xdr:rowOff>11206</xdr:rowOff>
    </xdr:to>
    <xdr:graphicFrame macro="">
      <xdr:nvGraphicFramePr>
        <xdr:cNvPr id="2" name="Chart 3">
          <a:extLst>
            <a:ext uri="{FF2B5EF4-FFF2-40B4-BE49-F238E27FC236}">
              <a16:creationId xmlns:a16="http://schemas.microsoft.com/office/drawing/2014/main" id="{825A018D-D99A-4781-A3C4-DBDC231F9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28369A2A-E57E-4F21-9679-A48CA9B7A0A8}"/>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050D419-3D9E-41F2-8754-826E1B10DFBB}"/>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BA0CE1FA-71CB-4C00-8223-EE67988159FD}"/>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F2282BDA-5E4D-4634-B606-3396B51A578D}"/>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7DB226D0-FCCC-42CA-B4A9-5F00950F250A}"/>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6CA48E2-72B9-4FB1-8CC1-E7CE061E0EB0}"/>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A0D6EE4-BEAF-4EA2-B2F2-8DDBE3D8DAEE}"/>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2F616070-AFD5-4373-B1D1-C982D645AA70}"/>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171D09E-CB07-4642-B56E-16B6F95AC623}"/>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71F987F7-CCDA-4C8A-8CD0-E0B13B336FA6}"/>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F7C5BB7E-C8D1-46EA-A23D-5DED5727CF84}"/>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E25A1818-3777-4503-AAA8-9D65FE9C0BC9}"/>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A1A317B0-2C11-4EE6-8264-D891415E644B}"/>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835FB0FC-4DAC-414F-A269-B40F1F9C61BE}"/>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54429</xdr:colOff>
      <xdr:row>0</xdr:row>
      <xdr:rowOff>68836</xdr:rowOff>
    </xdr:from>
    <xdr:to>
      <xdr:col>1</xdr:col>
      <xdr:colOff>1935129</xdr:colOff>
      <xdr:row>0</xdr:row>
      <xdr:rowOff>653943</xdr:rowOff>
    </xdr:to>
    <xdr:pic>
      <xdr:nvPicPr>
        <xdr:cNvPr id="2" name="Picture 1">
          <a:extLst>
            <a:ext uri="{FF2B5EF4-FFF2-40B4-BE49-F238E27FC236}">
              <a16:creationId xmlns:a16="http://schemas.microsoft.com/office/drawing/2014/main" id="{645CB512-BF00-4EF8-9525-7E0A6F9AFF55}"/>
            </a:ext>
          </a:extLst>
        </xdr:cNvPr>
        <xdr:cNvPicPr>
          <a:picLocks noChangeAspect="1"/>
        </xdr:cNvPicPr>
      </xdr:nvPicPr>
      <xdr:blipFill>
        <a:blip xmlns:r="http://schemas.openxmlformats.org/officeDocument/2006/relationships" r:embed="rId1"/>
        <a:stretch>
          <a:fillRect/>
        </a:stretch>
      </xdr:blipFill>
      <xdr:spPr>
        <a:xfrm>
          <a:off x="130629" y="68836"/>
          <a:ext cx="1880700" cy="58510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sites/GRPO365_NetworkInnovationIntelligence2/Shared%20Documents/Planning/24-29%20Reset%20Materials/Revised%20Proposal%20-%20For%20Initial%20Review/Ausgrid%20-%20Att.%205.8.1%20-%20Network%20innovation%20CBA%20model%20-%20DRAFT%2024112023.xlsx?11D0CB68" TargetMode="External"/><Relationship Id="rId2" Type="http://schemas.openxmlformats.org/officeDocument/2006/relationships/externalLinkPath" Target="file:///\\11D0CB68\Ausgrid%20-%20Att.%205.8.1%20-%20Network%20innovation%20CBA%20model%20-%20DRAFT%2024112023.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sites/GRPO365_NetworkInnovationIntelligence2/Shared%20Documents/Planning/24-29%20Reset%20Materials/Revised%20Proposal%20-%20For%20Initial%20Review/Ausgrid%20-%20Att.%205.8.1%20-%20Network%20innovation%20CBA%20model%20-%20DRAFT%2024112023.xlsx?11D0CB68" TargetMode="External"/><Relationship Id="rId2" Type="http://schemas.openxmlformats.org/officeDocument/2006/relationships/externalLinkPath" Target="file:///\\11D0CB68\Ausgrid%20-%20Att.%205.8.1%20-%20Network%20innovation%20CBA%20model%20-%20DRAFT%2024112023.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 Moran" refreshedDate="44951.530805092596" createdVersion="7" refreshedVersion="8" minRefreshableVersion="3" recordCount="41" xr:uid="{6905A1E3-C9D2-454D-98CA-BA3598D5E087}">
  <cacheSource type="worksheet">
    <worksheetSource ref="B3:BL44" sheet="CBA" r:id="rId2"/>
  </cacheSource>
  <cacheFields count="55">
    <cacheField name="Proposed RegID" numFmtId="0">
      <sharedItems count="10">
        <s v="Network Innovation - Safe, Intelligent Networks (Systems)"/>
        <s v="Network Innovation - Safe, Intelligent Networks (Devices)"/>
        <s v="Network Innovation - CER Support &amp; Enablement "/>
        <s v="Network Innovation - Community Resilience"/>
        <s v="Network Innovation - Intelligent Systems" u="1"/>
        <s v="Network Innovation - DER &amp; Net Zero" u="1"/>
        <s v="Network Innovation - Resilience" u="1"/>
        <s v="Network Innovation - Intelligent Devices" u="1"/>
        <s v="Network Innovation - Network Resilience" u="1"/>
        <s v="Network Innovation - DER Support &amp; Enablement " u="1"/>
      </sharedItems>
    </cacheField>
    <cacheField name="Project Title" numFmtId="0">
      <sharedItems/>
    </cacheField>
    <cacheField name="Maturity" numFmtId="0">
      <sharedItems/>
    </cacheField>
    <cacheField name="Resilience Program Grouping" numFmtId="0">
      <sharedItems/>
    </cacheField>
    <cacheField name="Total Refined Capex Cost" numFmtId="169">
      <sharedItems containsSemiMixedTypes="0" containsString="0" containsNumber="1" containsInteger="1" minValue="95000" maxValue="5700000"/>
    </cacheField>
    <cacheField name="Annual Opex (end state)" numFmtId="169">
      <sharedItems containsSemiMixedTypes="0" containsString="0" containsNumber="1" containsInteger="1" minValue="0" maxValue="120000"/>
    </cacheField>
    <cacheField name="Assumptions" numFmtId="0">
      <sharedItems/>
    </cacheField>
    <cacheField name="Public Safety" numFmtId="10">
      <sharedItems containsSemiMixedTypes="0" containsString="0" containsNumber="1" minValue="0" maxValue="1.6E-2"/>
    </cacheField>
    <cacheField name="Fire Starts" numFmtId="10">
      <sharedItems containsSemiMixedTypes="0" containsString="0" containsNumber="1" minValue="0" maxValue="0.02"/>
    </cacheField>
    <cacheField name="Environment" numFmtId="10">
      <sharedItems containsSemiMixedTypes="0" containsString="0" containsNumber="1" minValue="0" maxValue="0.01"/>
    </cacheField>
    <cacheField name="Worker Safety" numFmtId="10">
      <sharedItems containsSemiMixedTypes="0" containsString="0" containsNumber="1" minValue="0" maxValue="0.01"/>
    </cacheField>
    <cacheField name="Planning / Design" numFmtId="0">
      <sharedItems containsSemiMixedTypes="0" containsString="0" containsNumber="1" minValue="0" maxValue="0.01"/>
    </cacheField>
    <cacheField name="Utilisation" numFmtId="0">
      <sharedItems containsSemiMixedTypes="0" containsString="0" containsNumber="1" minValue="0" maxValue="1.6500000000000001E-2"/>
    </cacheField>
    <cacheField name="Prioritisation (Replacement)" numFmtId="0">
      <sharedItems containsSemiMixedTypes="0" containsString="0" containsNumber="1" minValue="0" maxValue="5.0000000000000001E-3"/>
    </cacheField>
    <cacheField name="Asset Life Extension (Condition)" numFmtId="0">
      <sharedItems containsSemiMixedTypes="0" containsString="0" containsNumber="1" minValue="0" maxValue="1.5E-3"/>
    </cacheField>
    <cacheField name="Asset Cost (unit cost)" numFmtId="0">
      <sharedItems containsSemiMixedTypes="0" containsString="0" containsNumber="1" minValue="0" maxValue="1E-3"/>
    </cacheField>
    <cacheField name="Breakdown vs Planned" numFmtId="0">
      <sharedItems containsSemiMixedTypes="0" containsString="0" containsNumber="1" minValue="0" maxValue="0.01"/>
    </cacheField>
    <cacheField name="Reduced maintenance" numFmtId="0">
      <sharedItems containsSemiMixedTypes="0" containsString="0" containsNumber="1" minValue="0" maxValue="5.0000000000000001E-3"/>
    </cacheField>
    <cacheField name="Reduced field operations" numFmtId="0">
      <sharedItems containsSemiMixedTypes="0" containsString="0" containsNumber="1" minValue="0" maxValue="8.3333333333333332E-3"/>
    </cacheField>
    <cacheField name="Unserved Energy" numFmtId="0">
      <sharedItems containsSemiMixedTypes="0" containsString="0" containsNumber="1" minValue="0" maxValue="0.02"/>
    </cacheField>
    <cacheField name="Value of curtailment" numFmtId="0">
      <sharedItems containsSemiMixedTypes="0" containsString="0" containsNumber="1" containsInteger="1" minValue="0" maxValue="0"/>
    </cacheField>
    <cacheField name="Wholesale pricing" numFmtId="0">
      <sharedItems containsSemiMixedTypes="0" containsString="0" containsNumber="1" minValue="0" maxValue="0.01"/>
    </cacheField>
    <cacheField name="Community Resilience" numFmtId="0">
      <sharedItems containsSemiMixedTypes="0" containsString="0" containsNumber="1" containsInteger="1" minValue="0" maxValue="0"/>
    </cacheField>
    <cacheField name="Emissions" numFmtId="10">
      <sharedItems containsSemiMixedTypes="0" containsString="0" containsNumber="1" minValue="0" maxValue="3.7000000000000005E-4"/>
    </cacheField>
    <cacheField name="Energy Losses" numFmtId="10">
      <sharedItems containsSemiMixedTypes="0" containsString="0" containsNumber="1" minValue="0" maxValue="0.01"/>
    </cacheField>
    <cacheField name="Customer Time" numFmtId="10">
      <sharedItems containsSemiMixedTypes="0" containsString="0" containsNumber="1" minValue="0" maxValue="4.2000000000000002E-4"/>
    </cacheField>
    <cacheField name="Public Safety2" numFmtId="169">
      <sharedItems containsSemiMixedTypes="0" containsString="0" containsNumber="1" minValue="0" maxValue="583919.11957952473"/>
    </cacheField>
    <cacheField name="Fire Starts2" numFmtId="169">
      <sharedItems containsSemiMixedTypes="0" containsString="0" containsNumber="1" minValue="0" maxValue="524931.91896146105"/>
    </cacheField>
    <cacheField name="Environment2" numFmtId="169">
      <sharedItems containsSemiMixedTypes="0" containsString="0" containsNumber="1" minValue="0" maxValue="50949.871079823672"/>
    </cacheField>
    <cacheField name="Worker Safety2" numFmtId="169">
      <sharedItems containsSemiMixedTypes="0" containsString="0" containsNumber="1" minValue="0" maxValue="314491.53317536763"/>
    </cacheField>
    <cacheField name="Planning/ Design" numFmtId="169">
      <sharedItems containsSemiMixedTypes="0" containsString="0" containsNumber="1" containsInteger="1" minValue="0" maxValue="278000"/>
    </cacheField>
    <cacheField name="Utilisation2" numFmtId="169">
      <sharedItems containsSemiMixedTypes="0" containsString="0" containsNumber="1" containsInteger="1" minValue="0" maxValue="775500"/>
    </cacheField>
    <cacheField name="Prioritisation (Replacement)2" numFmtId="169">
      <sharedItems containsSemiMixedTypes="0" containsString="0" containsNumber="1" containsInteger="1" minValue="0" maxValue="52460"/>
    </cacheField>
    <cacheField name="Asset Life Extension (Condition)2" numFmtId="169">
      <sharedItems containsSemiMixedTypes="0" containsString="0" containsNumber="1" containsInteger="1" minValue="0" maxValue="457500"/>
    </cacheField>
    <cacheField name="Asset Cost (unit cost)2" numFmtId="169">
      <sharedItems containsSemiMixedTypes="0" containsString="0" containsNumber="1" containsInteger="1" minValue="0" maxValue="352000"/>
    </cacheField>
    <cacheField name="Breakdown vs Planned2" numFmtId="169">
      <sharedItems containsSemiMixedTypes="0" containsString="0" containsNumber="1" minValue="0" maxValue="85000"/>
    </cacheField>
    <cacheField name="Reduced maintenance2" numFmtId="169">
      <sharedItems containsSemiMixedTypes="0" containsString="0" containsNumber="1" containsInteger="1" minValue="0" maxValue="655000"/>
    </cacheField>
    <cacheField name="Reduced field operations2" numFmtId="169">
      <sharedItems containsSemiMixedTypes="0" containsString="0" containsNumber="1" containsInteger="1" minValue="0" maxValue="250000"/>
    </cacheField>
    <cacheField name="Unserved Energy2" numFmtId="169">
      <sharedItems containsSemiMixedTypes="0" containsString="0" containsNumber="1" minValue="0" maxValue="2520000"/>
    </cacheField>
    <cacheField name="Value of curtailment2" numFmtId="169">
      <sharedItems containsSemiMixedTypes="0" containsString="0" containsNumber="1" containsInteger="1" minValue="0" maxValue="0"/>
    </cacheField>
    <cacheField name="Wholesale pricing2" numFmtId="169">
      <sharedItems containsSemiMixedTypes="0" containsString="0" containsNumber="1" minValue="0" maxValue="414000"/>
    </cacheField>
    <cacheField name="Community Resilience2" numFmtId="169">
      <sharedItems containsSemiMixedTypes="0" containsString="0" containsNumber="1" containsInteger="1" minValue="0" maxValue="0"/>
    </cacheField>
    <cacheField name="Emissions2" numFmtId="169">
      <sharedItems containsSemiMixedTypes="0" containsString="0" containsNumber="1" minValue="0" maxValue="555000.00000000012"/>
    </cacheField>
    <cacheField name="Energy Losses2" numFmtId="169">
      <sharedItems containsSemiMixedTypes="0" containsString="0" containsNumber="1" containsInteger="1" minValue="0" maxValue="765000"/>
    </cacheField>
    <cacheField name="Customer Time2" numFmtId="169">
      <sharedItems containsSemiMixedTypes="0" containsString="0" containsNumber="1" containsInteger="1" minValue="0" maxValue="16632"/>
    </cacheField>
    <cacheField name="Safety Benefit" numFmtId="169">
      <sharedItems containsSemiMixedTypes="0" containsString="0" containsNumber="1" minValue="0" maxValue="1255322.7729538553"/>
    </cacheField>
    <cacheField name="Capex Benefit" numFmtId="169">
      <sharedItems containsSemiMixedTypes="0" containsString="0" containsNumber="1" minValue="0" maxValue="775500"/>
    </cacheField>
    <cacheField name="Opex Benefit" numFmtId="169">
      <sharedItems containsSemiMixedTypes="0" containsString="0" containsNumber="1" containsInteger="1" minValue="0" maxValue="655000"/>
    </cacheField>
    <cacheField name="EUE Benefit" numFmtId="169">
      <sharedItems containsSemiMixedTypes="0" containsString="0" containsNumber="1" minValue="0" maxValue="2520000"/>
    </cacheField>
    <cacheField name="Other Market Benefit" numFmtId="169">
      <sharedItems containsSemiMixedTypes="0" containsString="0" containsNumber="1" minValue="0" maxValue="1320000"/>
    </cacheField>
    <cacheField name="Annual Benefit" numFmtId="171">
      <sharedItems containsSemiMixedTypes="0" containsString="0" containsNumber="1" minValue="17750" maxValue="2905000"/>
    </cacheField>
    <cacheField name="BCR (annual)" numFmtId="2">
      <sharedItems containsSemiMixedTypes="0" containsString="0" containsNumber="1" minValue="4.9473684210526316E-2" maxValue="3.0578947368421052"/>
    </cacheField>
    <cacheField name="NPV Approach" numFmtId="0">
      <sharedItems/>
    </cacheField>
    <cacheField name="NPV BCR (estimate)" numFmtId="2">
      <sharedItems containsSemiMixedTypes="0" containsString="0" containsNumber="1" minValue="0.22461052631578948" maxValue="13.882842105263158"/>
    </cacheField>
    <cacheField name="Optimised Option" numFmtId="0">
      <sharedItems count="2">
        <s v="YES"/>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 Moran" refreshedDate="44951.530926851854" createdVersion="8" refreshedVersion="8" minRefreshableVersion="3" recordCount="41" xr:uid="{4C7A7382-680B-4EF3-90B4-1AF7DF7F7A3A}">
  <cacheSource type="worksheet">
    <worksheetSource ref="B3:BN44" sheet="CBA" r:id="rId2"/>
  </cacheSource>
  <cacheFields count="57">
    <cacheField name="Proposed RegID" numFmtId="0">
      <sharedItems count="5">
        <s v="Network Innovation - Safe, Intelligent Networks (Systems)"/>
        <s v="Network Innovation - Safe, Intelligent Networks (Devices)"/>
        <s v="Network Innovation - CER Support &amp; Enablement "/>
        <s v="Network Innovation - Community Resilience"/>
        <s v="Network Innovation - DER Support &amp; Enablement " u="1"/>
      </sharedItems>
    </cacheField>
    <cacheField name="Project Title" numFmtId="0">
      <sharedItems/>
    </cacheField>
    <cacheField name="Maturity" numFmtId="0">
      <sharedItems/>
    </cacheField>
    <cacheField name="Resilience Program Grouping" numFmtId="0">
      <sharedItems/>
    </cacheField>
    <cacheField name="Total Refined Capex Cost" numFmtId="169">
      <sharedItems containsSemiMixedTypes="0" containsString="0" containsNumber="1" containsInteger="1" minValue="95000" maxValue="5700000"/>
    </cacheField>
    <cacheField name="Annual Opex (end state)" numFmtId="169">
      <sharedItems containsSemiMixedTypes="0" containsString="0" containsNumber="1" containsInteger="1" minValue="0" maxValue="120000"/>
    </cacheField>
    <cacheField name="Assumptions" numFmtId="0">
      <sharedItems/>
    </cacheField>
    <cacheField name="Public Safety" numFmtId="10">
      <sharedItems containsSemiMixedTypes="0" containsString="0" containsNumber="1" minValue="0" maxValue="1.6E-2"/>
    </cacheField>
    <cacheField name="Fire Starts" numFmtId="10">
      <sharedItems containsSemiMixedTypes="0" containsString="0" containsNumber="1" minValue="0" maxValue="0.02"/>
    </cacheField>
    <cacheField name="Environment" numFmtId="10">
      <sharedItems containsSemiMixedTypes="0" containsString="0" containsNumber="1" minValue="0" maxValue="0.01"/>
    </cacheField>
    <cacheField name="Worker Safety" numFmtId="10">
      <sharedItems containsSemiMixedTypes="0" containsString="0" containsNumber="1" minValue="0" maxValue="0.01"/>
    </cacheField>
    <cacheField name="Planning / Design" numFmtId="0">
      <sharedItems containsSemiMixedTypes="0" containsString="0" containsNumber="1" minValue="0" maxValue="0.01"/>
    </cacheField>
    <cacheField name="Utilisation" numFmtId="0">
      <sharedItems containsSemiMixedTypes="0" containsString="0" containsNumber="1" minValue="0" maxValue="1.6500000000000001E-2"/>
    </cacheField>
    <cacheField name="Prioritisation (Replacement)" numFmtId="0">
      <sharedItems containsSemiMixedTypes="0" containsString="0" containsNumber="1" minValue="0" maxValue="5.0000000000000001E-3"/>
    </cacheField>
    <cacheField name="Asset Life Extension (Condition)" numFmtId="0">
      <sharedItems containsSemiMixedTypes="0" containsString="0" containsNumber="1" minValue="0" maxValue="1.5E-3"/>
    </cacheField>
    <cacheField name="Asset Cost (unit cost)" numFmtId="0">
      <sharedItems containsSemiMixedTypes="0" containsString="0" containsNumber="1" minValue="0" maxValue="1E-3"/>
    </cacheField>
    <cacheField name="Breakdown vs Planned" numFmtId="0">
      <sharedItems containsSemiMixedTypes="0" containsString="0" containsNumber="1" minValue="0" maxValue="0.01"/>
    </cacheField>
    <cacheField name="Reduced maintenance" numFmtId="0">
      <sharedItems containsSemiMixedTypes="0" containsString="0" containsNumber="1" minValue="0" maxValue="5.0000000000000001E-3"/>
    </cacheField>
    <cacheField name="Reduced field operations" numFmtId="0">
      <sharedItems containsSemiMixedTypes="0" containsString="0" containsNumber="1" minValue="0" maxValue="8.3333333333333332E-3"/>
    </cacheField>
    <cacheField name="Unserved Energy" numFmtId="0">
      <sharedItems containsSemiMixedTypes="0" containsString="0" containsNumber="1" minValue="0" maxValue="0.02"/>
    </cacheField>
    <cacheField name="Value of curtailment" numFmtId="0">
      <sharedItems containsSemiMixedTypes="0" containsString="0" containsNumber="1" containsInteger="1" minValue="0" maxValue="0"/>
    </cacheField>
    <cacheField name="Wholesale pricing" numFmtId="0">
      <sharedItems containsSemiMixedTypes="0" containsString="0" containsNumber="1" minValue="0" maxValue="0.01"/>
    </cacheField>
    <cacheField name="Community Resilience" numFmtId="0">
      <sharedItems containsSemiMixedTypes="0" containsString="0" containsNumber="1" containsInteger="1" minValue="0" maxValue="0"/>
    </cacheField>
    <cacheField name="Emissions" numFmtId="10">
      <sharedItems containsSemiMixedTypes="0" containsString="0" containsNumber="1" minValue="0" maxValue="3.7000000000000005E-4"/>
    </cacheField>
    <cacheField name="Energy Losses" numFmtId="10">
      <sharedItems containsSemiMixedTypes="0" containsString="0" containsNumber="1" minValue="0" maxValue="0.01"/>
    </cacheField>
    <cacheField name="Customer Time" numFmtId="10">
      <sharedItems containsSemiMixedTypes="0" containsString="0" containsNumber="1" minValue="0" maxValue="4.2000000000000002E-4"/>
    </cacheField>
    <cacheField name="Public Safety2" numFmtId="169">
      <sharedItems containsSemiMixedTypes="0" containsString="0" containsNumber="1" minValue="0" maxValue="583919.11957952473"/>
    </cacheField>
    <cacheField name="Fire Starts2" numFmtId="169">
      <sharedItems containsSemiMixedTypes="0" containsString="0" containsNumber="1" minValue="0" maxValue="524931.91896146105"/>
    </cacheField>
    <cacheField name="Environment2" numFmtId="169">
      <sharedItems containsSemiMixedTypes="0" containsString="0" containsNumber="1" minValue="0" maxValue="50949.871079823672"/>
    </cacheField>
    <cacheField name="Worker Safety2" numFmtId="169">
      <sharedItems containsSemiMixedTypes="0" containsString="0" containsNumber="1" minValue="0" maxValue="314491.53317536763"/>
    </cacheField>
    <cacheField name="Planning/ Design" numFmtId="169">
      <sharedItems containsSemiMixedTypes="0" containsString="0" containsNumber="1" containsInteger="1" minValue="0" maxValue="278000"/>
    </cacheField>
    <cacheField name="Utilisation2" numFmtId="169">
      <sharedItems containsSemiMixedTypes="0" containsString="0" containsNumber="1" containsInteger="1" minValue="0" maxValue="775500"/>
    </cacheField>
    <cacheField name="Prioritisation (Replacement)2" numFmtId="169">
      <sharedItems containsSemiMixedTypes="0" containsString="0" containsNumber="1" containsInteger="1" minValue="0" maxValue="52460"/>
    </cacheField>
    <cacheField name="Asset Life Extension (Condition)2" numFmtId="169">
      <sharedItems containsSemiMixedTypes="0" containsString="0" containsNumber="1" containsInteger="1" minValue="0" maxValue="457500"/>
    </cacheField>
    <cacheField name="Asset Cost (unit cost)2" numFmtId="169">
      <sharedItems containsSemiMixedTypes="0" containsString="0" containsNumber="1" containsInteger="1" minValue="0" maxValue="352000"/>
    </cacheField>
    <cacheField name="Breakdown vs Planned2" numFmtId="169">
      <sharedItems containsSemiMixedTypes="0" containsString="0" containsNumber="1" minValue="0" maxValue="85000"/>
    </cacheField>
    <cacheField name="Reduced maintenance2" numFmtId="169">
      <sharedItems containsSemiMixedTypes="0" containsString="0" containsNumber="1" containsInteger="1" minValue="0" maxValue="655000"/>
    </cacheField>
    <cacheField name="Reduced field operations2" numFmtId="169">
      <sharedItems containsSemiMixedTypes="0" containsString="0" containsNumber="1" containsInteger="1" minValue="0" maxValue="250000"/>
    </cacheField>
    <cacheField name="Unserved Energy2" numFmtId="169">
      <sharedItems containsSemiMixedTypes="0" containsString="0" containsNumber="1" minValue="0" maxValue="2520000"/>
    </cacheField>
    <cacheField name="Value of curtailment2" numFmtId="169">
      <sharedItems containsSemiMixedTypes="0" containsString="0" containsNumber="1" containsInteger="1" minValue="0" maxValue="0"/>
    </cacheField>
    <cacheField name="Wholesale pricing2" numFmtId="169">
      <sharedItems containsSemiMixedTypes="0" containsString="0" containsNumber="1" minValue="0" maxValue="414000"/>
    </cacheField>
    <cacheField name="Community Resilience2" numFmtId="169">
      <sharedItems containsSemiMixedTypes="0" containsString="0" containsNumber="1" containsInteger="1" minValue="0" maxValue="0"/>
    </cacheField>
    <cacheField name="Emissions2" numFmtId="169">
      <sharedItems containsSemiMixedTypes="0" containsString="0" containsNumber="1" minValue="0" maxValue="555000.00000000012"/>
    </cacheField>
    <cacheField name="Energy Losses2" numFmtId="169">
      <sharedItems containsSemiMixedTypes="0" containsString="0" containsNumber="1" containsInteger="1" minValue="0" maxValue="765000"/>
    </cacheField>
    <cacheField name="Customer Time2" numFmtId="169">
      <sharedItems containsSemiMixedTypes="0" containsString="0" containsNumber="1" containsInteger="1" minValue="0" maxValue="16632"/>
    </cacheField>
    <cacheField name="Safety Benefit" numFmtId="169">
      <sharedItems containsSemiMixedTypes="0" containsString="0" containsNumber="1" minValue="0" maxValue="1255322.7729538553"/>
    </cacheField>
    <cacheField name="Capex Benefit" numFmtId="169">
      <sharedItems containsSemiMixedTypes="0" containsString="0" containsNumber="1" minValue="0" maxValue="775500"/>
    </cacheField>
    <cacheField name="Opex Benefit" numFmtId="169">
      <sharedItems containsSemiMixedTypes="0" containsString="0" containsNumber="1" containsInteger="1" minValue="0" maxValue="655000"/>
    </cacheField>
    <cacheField name="EUE Benefit" numFmtId="169">
      <sharedItems containsSemiMixedTypes="0" containsString="0" containsNumber="1" minValue="0" maxValue="2520000"/>
    </cacheField>
    <cacheField name="Other Market Benefit" numFmtId="169">
      <sharedItems containsSemiMixedTypes="0" containsString="0" containsNumber="1" minValue="0" maxValue="1320000"/>
    </cacheField>
    <cacheField name="Annual Benefit" numFmtId="171">
      <sharedItems containsSemiMixedTypes="0" containsString="0" containsNumber="1" minValue="17750" maxValue="2905000"/>
    </cacheField>
    <cacheField name="BCR (annual)" numFmtId="2">
      <sharedItems containsSemiMixedTypes="0" containsString="0" containsNumber="1" minValue="4.9473684210526316E-2" maxValue="3.0578947368421052"/>
    </cacheField>
    <cacheField name="NPV Approach" numFmtId="0">
      <sharedItems/>
    </cacheField>
    <cacheField name="NPV BCR (estimate)" numFmtId="2">
      <sharedItems containsSemiMixedTypes="0" containsString="0" containsNumber="1" minValue="0.22461052631578948" maxValue="13.882842105263158"/>
    </cacheField>
    <cacheField name="Optimised Option" numFmtId="0">
      <sharedItems/>
    </cacheField>
    <cacheField name="Trial Option" numFmtId="0">
      <sharedItems count="2">
        <s v="YES"/>
        <s v="NO"/>
      </sharedItems>
    </cacheField>
    <cacheField name="Full O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x v="0"/>
    <s v="Network Sectionalising and Optimisation Engine - provide various forms with outcomes like FLISR."/>
    <s v="Trial"/>
    <s v="Recovery"/>
    <n v="950000"/>
    <n v="10000"/>
    <s v="Allows faster response to outages - reducing unserved energy and field operational visits by preconfiguring and reconfiguring network. Also allows minor uplift in utilisation."/>
    <n v="0"/>
    <n v="0"/>
    <n v="0"/>
    <n v="0"/>
    <n v="0"/>
    <n v="5.0000000000000001E-3"/>
    <n v="0"/>
    <n v="0"/>
    <n v="0"/>
    <n v="0"/>
    <n v="0"/>
    <n v="5.0000000000000001E-3"/>
    <n v="0.02"/>
    <n v="0"/>
    <n v="0"/>
    <n v="0"/>
    <n v="0"/>
    <n v="0"/>
    <n v="0"/>
    <n v="0"/>
    <n v="0"/>
    <n v="0"/>
    <n v="0"/>
    <n v="0"/>
    <n v="235000"/>
    <n v="0"/>
    <n v="0"/>
    <n v="0"/>
    <n v="0"/>
    <n v="0"/>
    <n v="150000"/>
    <n v="2520000"/>
    <n v="0"/>
    <n v="0"/>
    <n v="0"/>
    <n v="0"/>
    <n v="0"/>
    <n v="0"/>
    <n v="0"/>
    <n v="235000"/>
    <n v="150000"/>
    <n v="2520000"/>
    <n v="0"/>
    <n v="2905000"/>
    <n v="3.0578947368421052"/>
    <s v="System"/>
    <n v="13.882842105263158"/>
    <x v="0"/>
  </r>
  <r>
    <x v="1"/>
    <s v="Digital substation trials"/>
    <s v="Trial"/>
    <s v="none"/>
    <n v="475000"/>
    <n v="5000"/>
    <s v="Lower asset costs and maintenance costs due to fewer assets and simpler maintenance and configuration management."/>
    <n v="0"/>
    <n v="0"/>
    <n v="0"/>
    <n v="0"/>
    <n v="0"/>
    <n v="0"/>
    <n v="0"/>
    <n v="0"/>
    <n v="1E-3"/>
    <n v="0"/>
    <n v="1E-3"/>
    <n v="0"/>
    <n v="1E-3"/>
    <n v="0"/>
    <n v="0"/>
    <n v="0"/>
    <n v="0"/>
    <n v="0"/>
    <n v="0"/>
    <n v="0"/>
    <n v="0"/>
    <n v="0"/>
    <n v="0"/>
    <n v="0"/>
    <n v="0"/>
    <n v="0"/>
    <n v="0"/>
    <n v="352000"/>
    <n v="0"/>
    <n v="131000"/>
    <n v="0"/>
    <n v="126000"/>
    <n v="0"/>
    <n v="0"/>
    <n v="0"/>
    <n v="0"/>
    <n v="0"/>
    <n v="0"/>
    <n v="0"/>
    <n v="352000"/>
    <n v="131000"/>
    <n v="126000"/>
    <n v="0"/>
    <n v="609000"/>
    <n v="1.2821052631578946"/>
    <s v="Field Asset"/>
    <n v="9.1414105263157879"/>
    <x v="0"/>
  </r>
  <r>
    <x v="0"/>
    <s v="Controlled load management system"/>
    <s v="Trial"/>
    <s v="none"/>
    <n v="425000"/>
    <n v="15000"/>
    <s v="Customer benefit for wholesale pricing  and curtailment improvement, as well as indirect emissions benefits by moving generation to day (solar) from night (coal)."/>
    <n v="0"/>
    <n v="0"/>
    <n v="0"/>
    <n v="0"/>
    <n v="0"/>
    <n v="0"/>
    <n v="0"/>
    <n v="0"/>
    <n v="0"/>
    <n v="0"/>
    <n v="0"/>
    <n v="0"/>
    <n v="0"/>
    <n v="0"/>
    <n v="0.01"/>
    <n v="0"/>
    <n v="2.0000000000000001E-4"/>
    <n v="1E-3"/>
    <n v="0"/>
    <n v="0"/>
    <n v="0"/>
    <n v="0"/>
    <n v="0"/>
    <n v="0"/>
    <n v="0"/>
    <n v="0"/>
    <n v="0"/>
    <n v="0"/>
    <n v="0"/>
    <n v="0"/>
    <n v="0"/>
    <n v="0"/>
    <n v="0"/>
    <n v="414000"/>
    <n v="0"/>
    <n v="300000"/>
    <n v="76500"/>
    <n v="0"/>
    <n v="0"/>
    <n v="0"/>
    <n v="0"/>
    <n v="0"/>
    <n v="790500"/>
    <n v="790500"/>
    <n v="1.86"/>
    <s v="System"/>
    <n v="8.4443999999999999"/>
    <x v="0"/>
  </r>
  <r>
    <x v="1"/>
    <s v="Phasor Measurement Units (PMU) trials"/>
    <s v="Trial"/>
    <s v="Prevention"/>
    <n v="450000"/>
    <n v="10000"/>
    <s v="Improve wholesale pricing (through frequency services) and detection of emerging faults reducing operational and breakdown costs."/>
    <n v="0"/>
    <n v="0"/>
    <n v="0"/>
    <n v="0"/>
    <n v="1E-3"/>
    <n v="1E-3"/>
    <n v="0"/>
    <n v="0"/>
    <n v="0"/>
    <n v="0"/>
    <n v="0"/>
    <n v="1E-3"/>
    <n v="1E-3"/>
    <n v="0"/>
    <n v="5.0000000000000001E-3"/>
    <n v="0"/>
    <n v="1.4800000000000002E-4"/>
    <n v="1E-3"/>
    <n v="0"/>
    <n v="0"/>
    <n v="0"/>
    <n v="0"/>
    <n v="0"/>
    <n v="27800"/>
    <n v="47000"/>
    <n v="0"/>
    <n v="0"/>
    <n v="0"/>
    <n v="0"/>
    <n v="0"/>
    <n v="30000"/>
    <n v="126000"/>
    <n v="0"/>
    <n v="207000"/>
    <n v="0"/>
    <n v="222000.00000000003"/>
    <n v="76500"/>
    <n v="0"/>
    <n v="0"/>
    <n v="74800"/>
    <n v="30000"/>
    <n v="126000"/>
    <n v="505500"/>
    <n v="736300"/>
    <n v="1.6362222222222222"/>
    <s v="Field Asset"/>
    <n v="11.666264444444444"/>
    <x v="0"/>
  </r>
  <r>
    <x v="0"/>
    <s v="Advanced Load Information System"/>
    <s v="Trial"/>
    <s v="none"/>
    <n v="950000"/>
    <n v="10000"/>
    <s v="More accurate network modelling leading to improvement in planning efficiency and utilisation, optimisation of energy losses and solar curtailment."/>
    <n v="0"/>
    <n v="0"/>
    <n v="0"/>
    <n v="0"/>
    <n v="0.01"/>
    <n v="0.01"/>
    <n v="0"/>
    <n v="0"/>
    <n v="0"/>
    <n v="0"/>
    <n v="0"/>
    <n v="0"/>
    <n v="1E-3"/>
    <n v="0"/>
    <n v="0"/>
    <n v="0"/>
    <n v="5.1333333333333332E-5"/>
    <n v="1E-3"/>
    <n v="0"/>
    <n v="0"/>
    <n v="0"/>
    <n v="0"/>
    <n v="0"/>
    <n v="278000"/>
    <n v="470000"/>
    <n v="0"/>
    <n v="0"/>
    <n v="0"/>
    <n v="0"/>
    <n v="0"/>
    <n v="0"/>
    <n v="126000"/>
    <n v="0"/>
    <n v="0"/>
    <n v="0"/>
    <n v="77000"/>
    <n v="76500"/>
    <n v="0"/>
    <n v="0"/>
    <n v="748000"/>
    <n v="0"/>
    <n v="126000"/>
    <n v="153500"/>
    <n v="1027500"/>
    <n v="1.081578947368421"/>
    <s v="System"/>
    <n v="4.910368421052631"/>
    <x v="0"/>
  </r>
  <r>
    <x v="2"/>
    <s v="Low loss transformer &amp; reactor trials"/>
    <s v="Trial"/>
    <s v="none"/>
    <n v="1500000"/>
    <n v="0"/>
    <s v="Leads to reduction in energy losses across fleet over time with progressive replacement of existing standard loss equipment"/>
    <n v="0"/>
    <n v="0"/>
    <n v="0"/>
    <n v="0"/>
    <n v="0"/>
    <n v="0"/>
    <n v="0"/>
    <n v="0"/>
    <n v="0"/>
    <n v="0"/>
    <n v="0"/>
    <n v="0"/>
    <n v="0"/>
    <n v="0"/>
    <n v="0"/>
    <n v="0"/>
    <n v="2.5666666666666665E-4"/>
    <n v="7.4999999999999997E-3"/>
    <n v="0"/>
    <n v="0"/>
    <n v="0"/>
    <n v="0"/>
    <n v="0"/>
    <n v="0"/>
    <n v="0"/>
    <n v="0"/>
    <n v="0"/>
    <n v="0"/>
    <n v="0"/>
    <n v="0"/>
    <n v="0"/>
    <n v="0"/>
    <n v="0"/>
    <n v="0"/>
    <n v="0"/>
    <n v="385000"/>
    <n v="573750"/>
    <n v="0"/>
    <n v="0"/>
    <n v="0"/>
    <n v="0"/>
    <n v="0"/>
    <n v="958750"/>
    <n v="958750"/>
    <n v="0.63916666666666666"/>
    <s v="Field Asset"/>
    <n v="4.5572583333333334"/>
    <x v="0"/>
  </r>
  <r>
    <x v="2"/>
    <s v="Low loss cable and line designs"/>
    <s v="Trial"/>
    <s v="none"/>
    <n v="1500000"/>
    <n v="0"/>
    <s v="Leads to reduction in energy losses across fleet over time with progressive replacement of existing standard loss equipment"/>
    <n v="0"/>
    <n v="0"/>
    <n v="0"/>
    <n v="0"/>
    <n v="0"/>
    <n v="0"/>
    <n v="0"/>
    <n v="0"/>
    <n v="0"/>
    <n v="0"/>
    <n v="0"/>
    <n v="0"/>
    <n v="0"/>
    <n v="0"/>
    <n v="0"/>
    <n v="0"/>
    <n v="2.5666666666666665E-4"/>
    <n v="7.4999999999999997E-3"/>
    <n v="0"/>
    <n v="0"/>
    <n v="0"/>
    <n v="0"/>
    <n v="0"/>
    <n v="0"/>
    <n v="0"/>
    <n v="0"/>
    <n v="0"/>
    <n v="0"/>
    <n v="0"/>
    <n v="0"/>
    <n v="0"/>
    <n v="0"/>
    <n v="0"/>
    <n v="0"/>
    <n v="0"/>
    <n v="385000"/>
    <n v="573750"/>
    <n v="0"/>
    <n v="0"/>
    <n v="0"/>
    <n v="0"/>
    <n v="0"/>
    <n v="958750"/>
    <n v="958750"/>
    <n v="0.63916666666666666"/>
    <s v="Field Asset"/>
    <n v="4.5572583333333334"/>
    <x v="0"/>
  </r>
  <r>
    <x v="2"/>
    <s v="Smart meter advanced functionality systems"/>
    <s v="Trial"/>
    <s v="none"/>
    <n v="850000"/>
    <n v="30000"/>
    <s v="Safety benefit largely from edge alarms of neutral integrity"/>
    <n v="1.6E-2"/>
    <n v="0"/>
    <n v="0"/>
    <n v="0"/>
    <n v="0"/>
    <n v="0"/>
    <n v="0"/>
    <n v="0"/>
    <n v="0"/>
    <n v="0"/>
    <n v="0"/>
    <n v="0"/>
    <n v="0"/>
    <n v="0"/>
    <n v="0"/>
    <n v="0"/>
    <n v="0"/>
    <n v="0"/>
    <n v="0"/>
    <n v="583919.11957952473"/>
    <n v="0"/>
    <n v="0"/>
    <n v="0"/>
    <n v="0"/>
    <n v="0"/>
    <n v="0"/>
    <n v="0"/>
    <n v="0"/>
    <n v="0"/>
    <n v="0"/>
    <n v="0"/>
    <n v="0"/>
    <n v="0"/>
    <n v="0"/>
    <n v="0"/>
    <n v="0"/>
    <n v="0"/>
    <n v="0"/>
    <n v="583919.11957952473"/>
    <n v="0"/>
    <n v="0"/>
    <n v="0"/>
    <n v="0"/>
    <n v="583919.11957952473"/>
    <n v="0.68696367009355852"/>
    <s v="Field Asset"/>
    <n v="4.8980509677670723"/>
    <x v="0"/>
  </r>
  <r>
    <x v="2"/>
    <s v="Low embodied carbon asset trial - SF6 alternatives"/>
    <s v="Trial"/>
    <s v="none"/>
    <n v="750000"/>
    <n v="0"/>
    <s v="Carbon emission benefits only - assume  AG SF6 emissions reduced by 10% long run"/>
    <n v="0"/>
    <n v="0"/>
    <n v="0"/>
    <n v="0"/>
    <n v="0"/>
    <n v="0"/>
    <n v="0"/>
    <n v="0"/>
    <n v="0"/>
    <n v="0"/>
    <n v="0"/>
    <n v="0"/>
    <n v="0"/>
    <n v="0"/>
    <n v="0"/>
    <n v="0"/>
    <n v="2.4074074074074072E-4"/>
    <n v="0"/>
    <n v="0"/>
    <n v="0"/>
    <n v="0"/>
    <n v="0"/>
    <n v="0"/>
    <n v="0"/>
    <n v="0"/>
    <n v="0"/>
    <n v="0"/>
    <n v="0"/>
    <n v="0"/>
    <n v="0"/>
    <n v="0"/>
    <n v="0"/>
    <n v="0"/>
    <n v="0"/>
    <n v="0"/>
    <n v="361111.11111111107"/>
    <n v="0"/>
    <n v="0"/>
    <n v="0"/>
    <n v="0"/>
    <n v="0"/>
    <n v="0"/>
    <n v="361111.11111111107"/>
    <n v="361111.11111111107"/>
    <n v="0.4814814814814814"/>
    <s v="Field Asset"/>
    <n v="3.4329629629629621"/>
    <x v="0"/>
  </r>
  <r>
    <x v="3"/>
    <s v="Substation Fire Detection Systems"/>
    <s v="Trial"/>
    <s v="Recovery"/>
    <n v="237500"/>
    <n v="2500"/>
    <s v="Avoid substation fires (reducing unserved energy, asset life, etc)"/>
    <n v="0"/>
    <n v="5.0000000000000001E-4"/>
    <n v="5.0000000000000001E-4"/>
    <n v="5.0000000000000001E-4"/>
    <n v="0"/>
    <n v="0"/>
    <n v="0"/>
    <n v="0"/>
    <n v="0"/>
    <n v="0"/>
    <n v="0"/>
    <n v="0"/>
    <n v="1E-3"/>
    <n v="0"/>
    <n v="0"/>
    <n v="0"/>
    <n v="0"/>
    <n v="0"/>
    <n v="0"/>
    <n v="0"/>
    <n v="13123.297974036526"/>
    <n v="2547.4935539911835"/>
    <n v="15724.576658768381"/>
    <n v="0"/>
    <n v="0"/>
    <n v="0"/>
    <n v="0"/>
    <n v="0"/>
    <n v="0"/>
    <n v="0"/>
    <n v="0"/>
    <n v="126000"/>
    <n v="0"/>
    <n v="0"/>
    <n v="0"/>
    <n v="0"/>
    <n v="0"/>
    <n v="0"/>
    <n v="31395.368186796091"/>
    <n v="0"/>
    <n v="0"/>
    <n v="126000"/>
    <n v="0"/>
    <n v="157395.36818679608"/>
    <n v="0.66271733973387825"/>
    <s v="Field Asset"/>
    <n v="4.7251746323025516"/>
    <x v="0"/>
  </r>
  <r>
    <x v="1"/>
    <s v="Network high accuracy neutral integrity monitors"/>
    <s v="Pilot"/>
    <s v="none"/>
    <n v="95000"/>
    <n v="1000"/>
    <s v="Risk reduction for asset failure / safety incidents by targeting to high risk failure locations"/>
    <n v="1E-3"/>
    <n v="1E-3"/>
    <n v="1E-3"/>
    <n v="0"/>
    <n v="0"/>
    <n v="0"/>
    <n v="0"/>
    <n v="0"/>
    <n v="0"/>
    <n v="1E-3"/>
    <n v="0"/>
    <n v="0"/>
    <n v="0"/>
    <n v="0"/>
    <n v="0"/>
    <n v="0"/>
    <n v="0"/>
    <n v="0"/>
    <n v="0"/>
    <n v="36494.944973720296"/>
    <n v="26246.595948073053"/>
    <n v="5094.987107982367"/>
    <n v="0"/>
    <n v="0"/>
    <n v="0"/>
    <n v="0"/>
    <n v="0"/>
    <n v="0"/>
    <n v="8500"/>
    <n v="0"/>
    <n v="0"/>
    <n v="0"/>
    <n v="0"/>
    <n v="0"/>
    <n v="0"/>
    <n v="0"/>
    <n v="0"/>
    <n v="0"/>
    <n v="67836.528029775713"/>
    <n v="8500"/>
    <n v="0"/>
    <n v="0"/>
    <n v="0"/>
    <n v="76336.528029775713"/>
    <n v="0.80354240031342861"/>
    <s v="Field Asset"/>
    <n v="5.7292573142347463"/>
    <x v="0"/>
  </r>
  <r>
    <x v="3"/>
    <s v="Local weather stations"/>
    <s v="Trial"/>
    <s v="Prevention"/>
    <n v="240000"/>
    <n v="12000"/>
    <s v="Reduce bushfire risk and unserved energy. Opex for comms or SaaS subscription assume 10 sites"/>
    <n v="1E-3"/>
    <n v="1E-3"/>
    <n v="1E-3"/>
    <n v="0"/>
    <n v="0"/>
    <n v="0"/>
    <n v="0"/>
    <n v="0"/>
    <n v="0"/>
    <n v="0"/>
    <n v="0"/>
    <n v="0"/>
    <n v="5.0000000000000001E-4"/>
    <n v="0"/>
    <n v="0"/>
    <n v="0"/>
    <n v="0"/>
    <n v="0"/>
    <n v="0"/>
    <n v="36494.944973720296"/>
    <n v="26246.595948073053"/>
    <n v="5094.987107982367"/>
    <n v="0"/>
    <n v="0"/>
    <n v="0"/>
    <n v="0"/>
    <n v="0"/>
    <n v="0"/>
    <n v="0"/>
    <n v="0"/>
    <n v="0"/>
    <n v="63000"/>
    <n v="0"/>
    <n v="0"/>
    <n v="0"/>
    <n v="0"/>
    <n v="0"/>
    <n v="0"/>
    <n v="67836.528029775713"/>
    <n v="0"/>
    <n v="0"/>
    <n v="63000"/>
    <n v="0"/>
    <n v="130836.52802977571"/>
    <n v="0.54515220012406551"/>
    <s v="Field Asset"/>
    <n v="3.8869351868845872"/>
    <x v="0"/>
  </r>
  <r>
    <x v="0"/>
    <s v="Network State Estimator"/>
    <s v="Trial"/>
    <s v="Recovery"/>
    <n v="1900000"/>
    <n v="20000"/>
    <s v="Improve utilisation &amp; unserved energy (minor), reduce curtailment (minor)"/>
    <n v="0"/>
    <n v="0"/>
    <n v="0"/>
    <n v="0"/>
    <n v="0"/>
    <n v="0.01"/>
    <n v="0"/>
    <n v="0"/>
    <n v="0"/>
    <n v="0"/>
    <n v="0"/>
    <n v="0"/>
    <n v="5.0000000000000001E-3"/>
    <n v="0"/>
    <n v="0"/>
    <n v="0"/>
    <n v="1.9999999999999999E-6"/>
    <n v="5.0000000000000001E-4"/>
    <n v="0"/>
    <n v="0"/>
    <n v="0"/>
    <n v="0"/>
    <n v="0"/>
    <n v="0"/>
    <n v="470000"/>
    <n v="0"/>
    <n v="0"/>
    <n v="0"/>
    <n v="0"/>
    <n v="0"/>
    <n v="0"/>
    <n v="630000"/>
    <n v="0"/>
    <n v="0"/>
    <n v="0"/>
    <n v="3000"/>
    <n v="38250"/>
    <n v="0"/>
    <n v="0"/>
    <n v="470000"/>
    <n v="0"/>
    <n v="630000"/>
    <n v="41250"/>
    <n v="1141250"/>
    <n v="0.60065789473684206"/>
    <s v="System"/>
    <n v="2.726986842105263"/>
    <x v="0"/>
  </r>
  <r>
    <x v="1"/>
    <s v="Trial ultra-sonic discharge detection devices"/>
    <s v="Trial"/>
    <s v="Prevention"/>
    <n v="425000"/>
    <n v="15000"/>
    <s v="Primarly asset prioritisation and breakdown expenditure avoidance, some safety risk reduction."/>
    <n v="5.0000000000000002E-5"/>
    <n v="1E-4"/>
    <n v="1E-4"/>
    <n v="1E-4"/>
    <n v="0"/>
    <n v="0"/>
    <n v="1E-3"/>
    <n v="0"/>
    <n v="0"/>
    <n v="1E-3"/>
    <n v="0"/>
    <n v="1E-4"/>
    <n v="1E-3"/>
    <n v="0"/>
    <n v="0"/>
    <n v="0"/>
    <n v="0"/>
    <n v="0"/>
    <n v="0"/>
    <n v="1824.7472486860149"/>
    <n v="2624.6595948073054"/>
    <n v="509.49871079823674"/>
    <n v="3144.9153317536761"/>
    <n v="0"/>
    <n v="0"/>
    <n v="10492"/>
    <n v="0"/>
    <n v="0"/>
    <n v="8500"/>
    <n v="0"/>
    <n v="3000"/>
    <n v="126000"/>
    <n v="0"/>
    <n v="0"/>
    <n v="0"/>
    <n v="0"/>
    <n v="0"/>
    <n v="0"/>
    <n v="8103.8208860452341"/>
    <n v="18992"/>
    <n v="3000"/>
    <n v="126000"/>
    <n v="0"/>
    <n v="156095.82088604523"/>
    <n v="0.36728428443775346"/>
    <s v="Field Asset"/>
    <n v="2.6187369480411822"/>
    <x v="0"/>
  </r>
  <r>
    <x v="0"/>
    <s v="Dynamic Ratings Calculation System"/>
    <s v="Trial"/>
    <s v="Prevention"/>
    <n v="950000"/>
    <n v="10000"/>
    <s v="Improve utilisation and asset life metrics by stretching capability of existing assets"/>
    <n v="0"/>
    <n v="0"/>
    <n v="0"/>
    <n v="0"/>
    <n v="0"/>
    <n v="5.0000000000000001E-3"/>
    <n v="0"/>
    <n v="1.5E-3"/>
    <n v="0"/>
    <n v="0"/>
    <n v="0"/>
    <n v="0"/>
    <n v="0"/>
    <n v="0"/>
    <n v="0"/>
    <n v="0"/>
    <n v="0"/>
    <n v="0"/>
    <n v="0"/>
    <n v="0"/>
    <n v="0"/>
    <n v="0"/>
    <n v="0"/>
    <n v="0"/>
    <n v="235000"/>
    <n v="0"/>
    <n v="457500"/>
    <n v="0"/>
    <n v="0"/>
    <n v="0"/>
    <n v="0"/>
    <n v="0"/>
    <n v="0"/>
    <n v="0"/>
    <n v="0"/>
    <n v="0"/>
    <n v="0"/>
    <n v="0"/>
    <n v="0"/>
    <n v="692500"/>
    <n v="0"/>
    <n v="0"/>
    <n v="0"/>
    <n v="692500"/>
    <n v="0.72894736842105268"/>
    <s v="System"/>
    <n v="3.309421052631579"/>
    <x v="0"/>
  </r>
  <r>
    <x v="0"/>
    <s v="Defect Identification trial - Photo analysis AI"/>
    <s v="Trial"/>
    <s v="Prevention"/>
    <n v="475000"/>
    <n v="5000"/>
    <s v="Identifies additional defects and facilitates proactive prioritisation"/>
    <n v="1E-4"/>
    <n v="5.0000000000000001E-4"/>
    <n v="5.0000000000000001E-4"/>
    <n v="5.0000000000000001E-4"/>
    <n v="0"/>
    <n v="0"/>
    <n v="5.0000000000000001E-3"/>
    <n v="0"/>
    <n v="0"/>
    <n v="5.0000000000000001E-3"/>
    <n v="1E-4"/>
    <n v="1E-4"/>
    <n v="1E-3"/>
    <n v="0"/>
    <n v="0"/>
    <n v="0"/>
    <n v="0"/>
    <n v="0"/>
    <n v="0"/>
    <n v="3649.4944973720299"/>
    <n v="13123.297974036526"/>
    <n v="2547.4935539911835"/>
    <n v="15724.576658768381"/>
    <n v="0"/>
    <n v="0"/>
    <n v="52460"/>
    <n v="0"/>
    <n v="0"/>
    <n v="42500"/>
    <n v="13100"/>
    <n v="3000"/>
    <n v="126000"/>
    <n v="0"/>
    <n v="0"/>
    <n v="0"/>
    <n v="0"/>
    <n v="0"/>
    <n v="0"/>
    <n v="35044.862684168118"/>
    <n v="94960"/>
    <n v="16100"/>
    <n v="126000"/>
    <n v="0"/>
    <n v="272104.86268416815"/>
    <n v="0.57285234249298556"/>
    <s v="System"/>
    <n v="2.6007496349181545"/>
    <x v="0"/>
  </r>
  <r>
    <x v="0"/>
    <s v="mobile contact voltage detection pilot"/>
    <s v="Pilot"/>
    <s v="none"/>
    <n v="2550000"/>
    <n v="90000"/>
    <s v="Based on SPEN business case considering safety risk, EUE and losses."/>
    <n v="5.0000000000000001E-3"/>
    <n v="0"/>
    <n v="0"/>
    <n v="0"/>
    <n v="0"/>
    <n v="0"/>
    <n v="0"/>
    <n v="0"/>
    <n v="0"/>
    <n v="5.9999999999999993E-3"/>
    <n v="0"/>
    <n v="0"/>
    <n v="5.0000000000000001E-3"/>
    <n v="0"/>
    <n v="1.4800000000000002E-4"/>
    <n v="0"/>
    <n v="1.4800000000000002E-4"/>
    <n v="4.0000000000000001E-3"/>
    <n v="0"/>
    <n v="182474.72486860148"/>
    <n v="0"/>
    <n v="0"/>
    <n v="0"/>
    <n v="0"/>
    <n v="0"/>
    <n v="0"/>
    <n v="0"/>
    <n v="0"/>
    <n v="50999.999999999993"/>
    <n v="0"/>
    <n v="0"/>
    <n v="630000"/>
    <n v="0"/>
    <n v="6127.2000000000007"/>
    <n v="0"/>
    <n v="222000.00000000003"/>
    <n v="306000"/>
    <n v="0"/>
    <n v="182474.72486860148"/>
    <n v="50999.999999999993"/>
    <n v="0"/>
    <n v="630000"/>
    <n v="534127.20000000007"/>
    <n v="1397601.9248686014"/>
    <n v="0.54807918622298091"/>
    <s v="System"/>
    <n v="2.4882795054523332"/>
    <x v="0"/>
  </r>
  <r>
    <x v="2"/>
    <s v="Feeder level load shedding capability"/>
    <s v="Pilot"/>
    <s v="none"/>
    <n v="1900000"/>
    <n v="20000"/>
    <s v="Safety, EUE and efficiency benefits"/>
    <n v="0"/>
    <n v="0"/>
    <n v="0"/>
    <n v="0"/>
    <n v="0"/>
    <n v="0"/>
    <n v="0"/>
    <n v="0"/>
    <n v="0"/>
    <n v="0"/>
    <n v="0"/>
    <n v="0"/>
    <n v="5.0000000000000001E-3"/>
    <n v="0"/>
    <n v="0"/>
    <n v="0"/>
    <n v="0"/>
    <n v="0"/>
    <n v="0"/>
    <n v="0"/>
    <n v="0"/>
    <n v="0"/>
    <n v="0"/>
    <n v="0"/>
    <n v="0"/>
    <n v="0"/>
    <n v="0"/>
    <n v="0"/>
    <n v="0"/>
    <n v="0"/>
    <n v="0"/>
    <n v="630000"/>
    <n v="0"/>
    <n v="0"/>
    <n v="0"/>
    <n v="0"/>
    <n v="0"/>
    <n v="0"/>
    <n v="0"/>
    <n v="0"/>
    <n v="0"/>
    <n v="630000"/>
    <n v="0"/>
    <n v="630000"/>
    <n v="0.33157894736842103"/>
    <s v="Field Asset"/>
    <n v="2.364157894736842"/>
    <x v="0"/>
  </r>
  <r>
    <x v="3"/>
    <s v="MV cable Partial Discharge monitoring"/>
    <s v="Trial"/>
    <s v="Prevention"/>
    <n v="950000"/>
    <n v="10000"/>
    <s v="Benefits include risk reduction, energy conservation, avoided outages and response. Opex for comms or SaaS subscription assume 3 sites."/>
    <n v="1E-3"/>
    <n v="0"/>
    <n v="1E-3"/>
    <n v="0"/>
    <n v="0"/>
    <n v="0"/>
    <n v="1E-3"/>
    <n v="0"/>
    <n v="0"/>
    <n v="1E-3"/>
    <n v="0"/>
    <n v="1E-3"/>
    <n v="1E-3"/>
    <n v="0"/>
    <n v="0"/>
    <n v="0"/>
    <n v="3.9999999999999998E-6"/>
    <n v="1E-3"/>
    <n v="0"/>
    <n v="36494.944973720296"/>
    <n v="0"/>
    <n v="5094.987107982367"/>
    <n v="0"/>
    <n v="0"/>
    <n v="0"/>
    <n v="10492"/>
    <n v="0"/>
    <n v="0"/>
    <n v="8500"/>
    <n v="0"/>
    <n v="30000"/>
    <n v="126000"/>
    <n v="0"/>
    <n v="0"/>
    <n v="0"/>
    <n v="6000"/>
    <n v="76500"/>
    <n v="0"/>
    <n v="41589.93208170266"/>
    <n v="18992"/>
    <n v="30000"/>
    <n v="126000"/>
    <n v="82500"/>
    <n v="299081.93208170263"/>
    <n v="0.31482308640179224"/>
    <s v="Field Asset"/>
    <n v="2.2446886060447788"/>
    <x v="0"/>
  </r>
  <r>
    <x v="0"/>
    <s v="Data driven Fault Prediction Intelligence System"/>
    <s v="Trial"/>
    <s v="Prevention"/>
    <n v="950000"/>
    <n v="10000"/>
    <s v="7000 unplanned outages &amp; 1200 DMAs p.a. Assume this can avoid 1% of DMA faults and (1200/7000) * 1% unserved energy, defects dealt proactive rather than reactive, plus risk reduction and operational field visits avoided. Shared with Detection sensors"/>
    <n v="1E-3"/>
    <n v="1E-3"/>
    <n v="1E-3"/>
    <n v="1E-3"/>
    <n v="0"/>
    <n v="0"/>
    <n v="1E-3"/>
    <n v="0"/>
    <n v="0"/>
    <n v="5.0000000000000001E-3"/>
    <n v="0"/>
    <n v="2.5000000000000001E-3"/>
    <n v="8.5714285714285721E-4"/>
    <n v="0"/>
    <n v="0"/>
    <n v="0"/>
    <n v="0"/>
    <n v="0"/>
    <n v="0"/>
    <n v="36494.944973720296"/>
    <n v="26246.595948073053"/>
    <n v="5094.987107982367"/>
    <n v="31449.153317536762"/>
    <n v="0"/>
    <n v="0"/>
    <n v="10492"/>
    <n v="0"/>
    <n v="0"/>
    <n v="42500"/>
    <n v="0"/>
    <n v="75000"/>
    <n v="108000.00000000001"/>
    <n v="0"/>
    <n v="0"/>
    <n v="0"/>
    <n v="0"/>
    <n v="0"/>
    <n v="0"/>
    <n v="99285.681347312478"/>
    <n v="52992"/>
    <n v="75000"/>
    <n v="108000.00000000001"/>
    <n v="0"/>
    <n v="335277.68134731246"/>
    <n v="0.35292387510243417"/>
    <s v="System"/>
    <n v="1.6022743929650511"/>
    <x v="0"/>
  </r>
  <r>
    <x v="1"/>
    <s v="Dynamic protection relay trials"/>
    <s v="Pilot"/>
    <s v="none"/>
    <n v="2375000"/>
    <n v="25000"/>
    <s v="Assuming improvement in maintenance requirements, and reliability (reduce unserved energy on zone/sts protection related faults), enabler for CVR and others"/>
    <n v="0"/>
    <n v="0"/>
    <n v="0"/>
    <n v="0"/>
    <n v="0"/>
    <n v="0"/>
    <n v="0"/>
    <n v="0"/>
    <n v="0"/>
    <n v="0"/>
    <n v="5.0000000000000001E-3"/>
    <n v="0"/>
    <n v="0"/>
    <n v="0"/>
    <n v="0"/>
    <n v="0"/>
    <n v="0"/>
    <n v="0"/>
    <n v="0"/>
    <n v="0"/>
    <n v="0"/>
    <n v="0"/>
    <n v="0"/>
    <n v="0"/>
    <n v="0"/>
    <n v="0"/>
    <n v="0"/>
    <n v="0"/>
    <n v="0"/>
    <n v="655000"/>
    <n v="0"/>
    <n v="0"/>
    <n v="0"/>
    <n v="0"/>
    <n v="0"/>
    <n v="0"/>
    <n v="0"/>
    <n v="0"/>
    <n v="0"/>
    <n v="0"/>
    <n v="655000"/>
    <n v="0"/>
    <n v="0"/>
    <n v="655000"/>
    <n v="0.27578947368421053"/>
    <s v="Field Asset"/>
    <n v="1.966378947368421"/>
    <x v="0"/>
  </r>
  <r>
    <x v="1"/>
    <s v="Kiosk SCADA-linked EFIs (Retrofit)"/>
    <s v="Pilot"/>
    <s v="Recovery"/>
    <n v="4750000"/>
    <n v="50000"/>
    <s v="Assume 500 kiosks with remote EFIs (out of 15000 kiosks) - 1/4 time saving for outages involving those kiosks (2% of kiosks) and commensurate reduction in opex costs for field response requirements (tie to remote ops on other subs). Opex for 500 sites"/>
    <n v="0"/>
    <n v="0"/>
    <n v="0"/>
    <n v="0"/>
    <n v="0"/>
    <n v="0"/>
    <n v="0"/>
    <n v="0"/>
    <n v="0"/>
    <n v="0"/>
    <n v="0"/>
    <n v="8.3333333333333332E-3"/>
    <n v="8.3333333333333332E-3"/>
    <n v="0"/>
    <n v="0"/>
    <n v="0"/>
    <n v="0"/>
    <n v="0"/>
    <n v="0"/>
    <n v="0"/>
    <n v="0"/>
    <n v="0"/>
    <n v="0"/>
    <n v="0"/>
    <n v="0"/>
    <n v="0"/>
    <n v="0"/>
    <n v="0"/>
    <n v="0"/>
    <n v="0"/>
    <n v="250000"/>
    <n v="1050000"/>
    <n v="0"/>
    <n v="0"/>
    <n v="0"/>
    <n v="0"/>
    <n v="0"/>
    <n v="0"/>
    <n v="0"/>
    <n v="0"/>
    <n v="250000"/>
    <n v="1050000"/>
    <n v="0"/>
    <n v="1300000"/>
    <n v="0.27368421052631581"/>
    <s v="Field Asset"/>
    <n v="1.9513684210526316"/>
    <x v="0"/>
  </r>
  <r>
    <x v="0"/>
    <s v="Closed Loop Voltage Regulation and Optimisation Control System"/>
    <s v="Trial"/>
    <s v="none"/>
    <n v="1900000"/>
    <n v="20000"/>
    <s v="Value in ~25% improvement in value of curtailment as per CSIRO / SAPN studies (shared with smart meter and voltage sensor line items) and a 1% benefit in reducing losses from using CVR method"/>
    <n v="0"/>
    <n v="0"/>
    <n v="0"/>
    <n v="0"/>
    <n v="0"/>
    <n v="0"/>
    <n v="0"/>
    <n v="0"/>
    <n v="0"/>
    <n v="0"/>
    <n v="0"/>
    <n v="0"/>
    <n v="0"/>
    <n v="0"/>
    <n v="0"/>
    <n v="0"/>
    <n v="3.7000000000000005E-4"/>
    <n v="0.01"/>
    <n v="0"/>
    <n v="0"/>
    <n v="0"/>
    <n v="0"/>
    <n v="0"/>
    <n v="0"/>
    <n v="0"/>
    <n v="0"/>
    <n v="0"/>
    <n v="0"/>
    <n v="0"/>
    <n v="0"/>
    <n v="0"/>
    <n v="0"/>
    <n v="0"/>
    <n v="0"/>
    <n v="0"/>
    <n v="555000.00000000012"/>
    <n v="765000"/>
    <n v="0"/>
    <n v="0"/>
    <n v="0"/>
    <n v="0"/>
    <n v="0"/>
    <n v="1320000"/>
    <n v="1320000"/>
    <n v="0.69473684210526321"/>
    <s v="System"/>
    <n v="3.154105263157895"/>
    <x v="0"/>
  </r>
  <r>
    <x v="2"/>
    <s v="Grid Batteries (Zone/STS scale)"/>
    <s v="Trial"/>
    <s v="none"/>
    <n v="3800000"/>
    <n v="40000"/>
    <s v="Reduced energy losses and EUE"/>
    <n v="0"/>
    <n v="0"/>
    <n v="0"/>
    <n v="0"/>
    <n v="0"/>
    <n v="1.6500000000000001E-2"/>
    <n v="0"/>
    <n v="0"/>
    <n v="0"/>
    <n v="0"/>
    <n v="0"/>
    <n v="0"/>
    <n v="0"/>
    <n v="0"/>
    <n v="0"/>
    <n v="0"/>
    <n v="3.9999999999999998E-6"/>
    <n v="1E-3"/>
    <n v="0"/>
    <n v="0"/>
    <n v="0"/>
    <n v="0"/>
    <n v="0"/>
    <n v="0"/>
    <n v="775500"/>
    <n v="0"/>
    <n v="0"/>
    <n v="0"/>
    <n v="0"/>
    <n v="0"/>
    <n v="0"/>
    <n v="0"/>
    <n v="0"/>
    <n v="0"/>
    <n v="0"/>
    <n v="6000"/>
    <n v="76500"/>
    <n v="0"/>
    <n v="0"/>
    <n v="775500"/>
    <n v="0"/>
    <n v="0"/>
    <n v="82500"/>
    <n v="858000"/>
    <n v="0.22578947368421054"/>
    <s v="Field Asset"/>
    <n v="1.6098789473684212"/>
    <x v="0"/>
  </r>
  <r>
    <x v="3"/>
    <s v="Mobile hydrogen units for emergency response"/>
    <s v="Trial"/>
    <s v="Support"/>
    <n v="2125000"/>
    <n v="75000"/>
    <s v="Based on prior portable SAPS analysis unserved energy + reduced field time opex"/>
    <n v="0"/>
    <n v="0"/>
    <n v="0"/>
    <n v="0"/>
    <n v="0"/>
    <n v="0"/>
    <n v="0"/>
    <n v="0"/>
    <n v="0"/>
    <n v="0"/>
    <n v="0"/>
    <n v="3.0000000000000001E-3"/>
    <n v="3.0000000000000001E-3"/>
    <n v="0"/>
    <n v="0"/>
    <n v="0"/>
    <n v="0"/>
    <n v="0"/>
    <n v="0"/>
    <n v="0"/>
    <n v="0"/>
    <n v="0"/>
    <n v="0"/>
    <n v="0"/>
    <n v="0"/>
    <n v="0"/>
    <n v="0"/>
    <n v="0"/>
    <n v="0"/>
    <n v="0"/>
    <n v="90000"/>
    <n v="378000"/>
    <n v="0"/>
    <n v="0"/>
    <n v="0"/>
    <n v="0"/>
    <n v="0"/>
    <n v="0"/>
    <n v="0"/>
    <n v="0"/>
    <n v="90000"/>
    <n v="378000"/>
    <n v="0"/>
    <n v="468000"/>
    <n v="0.22023529411764706"/>
    <s v="Field Asset"/>
    <n v="1.5702776470588236"/>
    <x v="0"/>
  </r>
  <r>
    <x v="2"/>
    <s v="Low embodied carbon asset trial - Polypropelene cables"/>
    <s v="Trial"/>
    <s v="none"/>
    <n v="750000"/>
    <n v="0"/>
    <s v="carbon emission &amp; energy loss benefits"/>
    <n v="0"/>
    <n v="0"/>
    <n v="0"/>
    <n v="0"/>
    <n v="0"/>
    <n v="0"/>
    <n v="0"/>
    <n v="0"/>
    <n v="0"/>
    <n v="0"/>
    <n v="0"/>
    <n v="0"/>
    <n v="0"/>
    <n v="0"/>
    <n v="0"/>
    <n v="0"/>
    <n v="1E-4"/>
    <n v="0"/>
    <n v="0"/>
    <n v="0"/>
    <n v="0"/>
    <n v="0"/>
    <n v="0"/>
    <n v="0"/>
    <n v="0"/>
    <n v="0"/>
    <n v="0"/>
    <n v="0"/>
    <n v="0"/>
    <n v="0"/>
    <n v="0"/>
    <n v="0"/>
    <n v="0"/>
    <n v="0"/>
    <n v="0"/>
    <n v="150000"/>
    <n v="0"/>
    <n v="0"/>
    <n v="0"/>
    <n v="0"/>
    <n v="0"/>
    <n v="0"/>
    <n v="150000"/>
    <n v="150000"/>
    <n v="0.2"/>
    <s v="Field Asset"/>
    <n v="1.4260000000000002"/>
    <x v="0"/>
  </r>
  <r>
    <x v="1"/>
    <s v="Wires down detection device trials"/>
    <s v="Trial"/>
    <s v="Recovery"/>
    <n v="5700000"/>
    <n v="60000"/>
    <s v="Bushfire risk, shock and property damage avoidance. Opex for 150 sites"/>
    <n v="0.01"/>
    <n v="0.02"/>
    <n v="0.01"/>
    <n v="0.01"/>
    <n v="0"/>
    <n v="0"/>
    <n v="0"/>
    <n v="0"/>
    <n v="0"/>
    <n v="0"/>
    <n v="0"/>
    <n v="0"/>
    <n v="0"/>
    <n v="0"/>
    <n v="0"/>
    <n v="0"/>
    <n v="0"/>
    <n v="0"/>
    <n v="0"/>
    <n v="364949.44973720296"/>
    <n v="524931.91896146105"/>
    <n v="50949.871079823672"/>
    <n v="314491.53317536763"/>
    <n v="0"/>
    <n v="0"/>
    <n v="0"/>
    <n v="0"/>
    <n v="0"/>
    <n v="0"/>
    <n v="0"/>
    <n v="0"/>
    <n v="0"/>
    <n v="0"/>
    <n v="0"/>
    <n v="0"/>
    <n v="0"/>
    <n v="0"/>
    <n v="0"/>
    <n v="1255322.7729538553"/>
    <n v="0"/>
    <n v="0"/>
    <n v="0"/>
    <n v="0"/>
    <n v="1255322.7729538553"/>
    <n v="0.22023206543050095"/>
    <s v="Field Asset"/>
    <n v="1.5702546265194717"/>
    <x v="0"/>
  </r>
  <r>
    <x v="1"/>
    <s v="Distribution and transmission line defect detection sensors"/>
    <s v="Trial"/>
    <s v="Prevention"/>
    <n v="3800000"/>
    <n v="40000"/>
    <s v="Assume same as Fault prediction engine - sharing benefits. Opex for comms or SaaS subscription assume 40 sites"/>
    <n v="2E-3"/>
    <n v="2E-3"/>
    <n v="2E-3"/>
    <n v="2E-3"/>
    <n v="0"/>
    <n v="0"/>
    <n v="0"/>
    <n v="0"/>
    <n v="0"/>
    <n v="0.01"/>
    <n v="0"/>
    <n v="5.0000000000000001E-3"/>
    <n v="1.7142857142857144E-3"/>
    <n v="0"/>
    <n v="0"/>
    <n v="0"/>
    <n v="0"/>
    <n v="0"/>
    <n v="0"/>
    <n v="72989.889947440592"/>
    <n v="52493.191896146105"/>
    <n v="10189.974215964734"/>
    <n v="62898.306635073524"/>
    <n v="0"/>
    <n v="0"/>
    <n v="0"/>
    <n v="0"/>
    <n v="0"/>
    <n v="85000"/>
    <n v="0"/>
    <n v="150000"/>
    <n v="216000.00000000003"/>
    <n v="0"/>
    <n v="0"/>
    <n v="0"/>
    <n v="0"/>
    <n v="0"/>
    <n v="0"/>
    <n v="198571.36269462496"/>
    <n v="85000"/>
    <n v="150000"/>
    <n v="216000.00000000003"/>
    <n v="0"/>
    <n v="649571.36269462493"/>
    <n v="0.1709398322880592"/>
    <s v="Field Asset"/>
    <n v="1.2188010042138622"/>
    <x v="0"/>
  </r>
  <r>
    <x v="0"/>
    <s v="Smart Meter Enquiry OT integration systems"/>
    <s v="Pilot"/>
    <s v="none"/>
    <n v="950000"/>
    <n v="10000"/>
    <s v="Meter enquiry roll-out integration e.g less truck rolls (Assuming 1% EMSO callouts = 700 tasks avoided @ 200 per visit) &amp; better planning (i.e complaint response)"/>
    <n v="0"/>
    <n v="0"/>
    <n v="0"/>
    <n v="0"/>
    <n v="2.5000000000000001E-3"/>
    <n v="0"/>
    <n v="0"/>
    <n v="0"/>
    <n v="0"/>
    <n v="0"/>
    <n v="0"/>
    <n v="4.7499999999999999E-3"/>
    <n v="0"/>
    <n v="0"/>
    <n v="0"/>
    <n v="0"/>
    <n v="0"/>
    <n v="0"/>
    <n v="4.2000000000000002E-4"/>
    <n v="0"/>
    <n v="0"/>
    <n v="0"/>
    <n v="0"/>
    <n v="69500"/>
    <n v="0"/>
    <n v="0"/>
    <n v="0"/>
    <n v="0"/>
    <n v="0"/>
    <n v="0"/>
    <n v="142500"/>
    <n v="0"/>
    <n v="0"/>
    <n v="0"/>
    <n v="0"/>
    <n v="0"/>
    <n v="0"/>
    <n v="16632"/>
    <n v="0"/>
    <n v="69500"/>
    <n v="142500"/>
    <n v="0"/>
    <n v="16632"/>
    <n v="228632"/>
    <n v="0.24066526315789474"/>
    <s v="System"/>
    <n v="1.0926202947368422"/>
    <x v="0"/>
  </r>
  <r>
    <x v="2"/>
    <s v="Local Autonomous Networks (smart islanding)"/>
    <s v="Trial"/>
    <s v="Recovery"/>
    <n v="3375000"/>
    <n v="75000"/>
    <s v="Reduced EUE and energy losses. Fire safety benefits when applied in bushfire prone areas"/>
    <n v="0"/>
    <n v="0"/>
    <n v="0"/>
    <n v="0"/>
    <n v="0"/>
    <n v="0"/>
    <n v="0"/>
    <n v="0"/>
    <n v="0"/>
    <n v="0"/>
    <n v="0"/>
    <n v="0"/>
    <n v="3.5000000000000001E-3"/>
    <n v="0"/>
    <n v="0"/>
    <n v="0"/>
    <n v="0"/>
    <n v="0"/>
    <n v="0"/>
    <n v="0"/>
    <n v="0"/>
    <n v="0"/>
    <n v="0"/>
    <n v="0"/>
    <n v="0"/>
    <n v="0"/>
    <n v="0"/>
    <n v="0"/>
    <n v="0"/>
    <n v="0"/>
    <n v="0"/>
    <n v="441000"/>
    <n v="0"/>
    <n v="0"/>
    <n v="0"/>
    <n v="0"/>
    <n v="0"/>
    <n v="0"/>
    <n v="0"/>
    <n v="0"/>
    <n v="0"/>
    <n v="441000"/>
    <n v="0"/>
    <n v="441000"/>
    <n v="0.13066666666666665"/>
    <s v="Field Asset"/>
    <n v="0.93165333333333322"/>
    <x v="1"/>
  </r>
  <r>
    <x v="3"/>
    <s v="Online thermal monitoring system"/>
    <s v="Trial"/>
    <s v="Prevention"/>
    <n v="1350000"/>
    <n v="30000"/>
    <s v="Reduce risk of fire or property damage. Potentially increase utilisation / reduce unserved enegy / maintain assets better"/>
    <n v="0"/>
    <n v="2.9999999999999997E-4"/>
    <n v="2.9999999999999997E-4"/>
    <n v="0"/>
    <n v="0"/>
    <n v="4.0000000000000002E-4"/>
    <n v="0"/>
    <n v="4.0000000000000002E-4"/>
    <n v="0"/>
    <n v="4.0000000000000002E-4"/>
    <n v="0"/>
    <n v="0"/>
    <n v="2.0000000000000001E-4"/>
    <n v="0"/>
    <n v="0"/>
    <n v="0"/>
    <n v="0"/>
    <n v="0"/>
    <n v="0"/>
    <n v="0"/>
    <n v="7873.9787844219145"/>
    <n v="1528.49613239471"/>
    <n v="0"/>
    <n v="0"/>
    <n v="18800"/>
    <n v="0"/>
    <n v="122000"/>
    <n v="0"/>
    <n v="3400"/>
    <n v="0"/>
    <n v="0"/>
    <n v="25200"/>
    <n v="0"/>
    <n v="0"/>
    <n v="0"/>
    <n v="0"/>
    <n v="0"/>
    <n v="0"/>
    <n v="9402.4749168166236"/>
    <n v="144200"/>
    <n v="0"/>
    <n v="25200"/>
    <n v="0"/>
    <n v="178802.47491681663"/>
    <n v="0.13244627771616047"/>
    <s v="Field Asset"/>
    <n v="0.94434196011622407"/>
    <x v="1"/>
  </r>
  <r>
    <x v="2"/>
    <s v="Retrofit of kiosk voltage sensors"/>
    <s v="Pilot"/>
    <s v="Recovery"/>
    <n v="2700000"/>
    <n v="60000"/>
    <s v="Visibility benefits supporting other line items (CVR, state estimation, etc - divided across key visibility line items). Opex for 50 site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0.14351851851851852"/>
    <s v="Field Asset"/>
    <n v="1.0232870370370371"/>
    <x v="1"/>
  </r>
  <r>
    <x v="3"/>
    <s v="High Voltage Microgrid"/>
    <s v="Pilot"/>
    <s v="Prevention"/>
    <n v="4750000"/>
    <n v="50000"/>
    <s v="Based on prior HV Microgrid CBA analysis"/>
    <n v="0"/>
    <n v="4.0000000000000001E-3"/>
    <n v="0"/>
    <n v="0"/>
    <n v="0"/>
    <n v="0"/>
    <n v="0"/>
    <n v="0"/>
    <n v="0"/>
    <n v="0"/>
    <n v="0"/>
    <n v="1.5E-3"/>
    <n v="2.5000000000000001E-3"/>
    <n v="0"/>
    <n v="0"/>
    <n v="0"/>
    <n v="0"/>
    <n v="1E-3"/>
    <n v="0"/>
    <n v="0"/>
    <n v="104986.38379229221"/>
    <n v="0"/>
    <n v="0"/>
    <n v="0"/>
    <n v="0"/>
    <n v="0"/>
    <n v="0"/>
    <n v="0"/>
    <n v="0"/>
    <n v="0"/>
    <n v="45000"/>
    <n v="315000"/>
    <n v="0"/>
    <n v="0"/>
    <n v="0"/>
    <n v="0"/>
    <n v="76500"/>
    <n v="0"/>
    <n v="104986.38379229221"/>
    <n v="0"/>
    <n v="45000"/>
    <n v="315000"/>
    <n v="76500"/>
    <n v="541486.38379229221"/>
    <n v="0.11399713342995625"/>
    <s v="Field Asset"/>
    <n v="0.81279956135558806"/>
    <x v="1"/>
  </r>
  <r>
    <x v="3"/>
    <s v="Hydrogen turbine microgrid"/>
    <s v="Trial"/>
    <s v="Prevention"/>
    <n v="4750000"/>
    <n v="50000"/>
    <s v="Based on prior HV Microgrid CBA analysis"/>
    <n v="0"/>
    <n v="4.0000000000000001E-3"/>
    <n v="0"/>
    <n v="0"/>
    <n v="0"/>
    <n v="0"/>
    <n v="0"/>
    <n v="0"/>
    <n v="0"/>
    <n v="0"/>
    <n v="0"/>
    <n v="1.5E-3"/>
    <n v="2.5000000000000001E-3"/>
    <n v="0"/>
    <n v="0"/>
    <n v="0"/>
    <n v="0"/>
    <n v="1E-3"/>
    <n v="0"/>
    <n v="0"/>
    <n v="104986.38379229221"/>
    <n v="0"/>
    <n v="0"/>
    <n v="0"/>
    <n v="0"/>
    <n v="0"/>
    <n v="0"/>
    <n v="0"/>
    <n v="0"/>
    <n v="0"/>
    <n v="45000"/>
    <n v="315000"/>
    <n v="0"/>
    <n v="0"/>
    <n v="0"/>
    <n v="0"/>
    <n v="76500"/>
    <n v="0"/>
    <n v="104986.38379229221"/>
    <n v="0"/>
    <n v="45000"/>
    <n v="315000"/>
    <n v="76500"/>
    <n v="541486.38379229221"/>
    <n v="0.11399713342995625"/>
    <s v="Field Asset"/>
    <n v="0.81279956135558806"/>
    <x v="1"/>
  </r>
  <r>
    <x v="3"/>
    <s v="Conductor movement sensor trials"/>
    <s v="Trial"/>
    <s v="Prevention"/>
    <n v="450000"/>
    <n v="10000"/>
    <s v="Safety risk reduction, improved ratings &amp; asset lifespan, reliability. Opex for comms or SaaS subscription assume 20 sites"/>
    <n v="0"/>
    <n v="1E-4"/>
    <n v="1E-4"/>
    <n v="0"/>
    <n v="0"/>
    <n v="1E-4"/>
    <n v="0"/>
    <n v="1E-4"/>
    <n v="0"/>
    <n v="1E-4"/>
    <n v="0"/>
    <n v="0"/>
    <n v="1E-4"/>
    <n v="0"/>
    <n v="0"/>
    <n v="0"/>
    <n v="0"/>
    <n v="0"/>
    <n v="0"/>
    <n v="0"/>
    <n v="2624.6595948073054"/>
    <n v="509.49871079823674"/>
    <n v="0"/>
    <n v="0"/>
    <n v="4700"/>
    <n v="0"/>
    <n v="30500"/>
    <n v="0"/>
    <n v="850"/>
    <n v="0"/>
    <n v="0"/>
    <n v="12600"/>
    <n v="0"/>
    <n v="0"/>
    <n v="0"/>
    <n v="0"/>
    <n v="0"/>
    <n v="0"/>
    <n v="3134.1583056055424"/>
    <n v="36050"/>
    <n v="0"/>
    <n v="12600"/>
    <n v="0"/>
    <n v="51784.158305605539"/>
    <n v="0.11507590734579008"/>
    <s v="Field Asset"/>
    <n v="0.8204912193754833"/>
    <x v="1"/>
  </r>
  <r>
    <x v="2"/>
    <s v="PT monitoring device (Retrofit)"/>
    <s v="Pilot"/>
    <s v="Recovery"/>
    <n v="3375000"/>
    <n v="75000"/>
    <s v="Visibility benefits supporting other line items (CVR, state estimation, etc - divided across key visibility line item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0.11481481481481481"/>
    <s v="Field Asset"/>
    <n v="0.8186296296296296"/>
    <x v="1"/>
  </r>
  <r>
    <x v="2"/>
    <s v="Kiosk with integrated battery"/>
    <s v="Trial"/>
    <s v="none"/>
    <n v="950000"/>
    <n v="10000"/>
    <s v="Provides network support, customer solar storage, FACS/market arbitrage, in line with community battery analysis"/>
    <n v="0"/>
    <n v="0"/>
    <n v="0"/>
    <n v="0"/>
    <n v="0"/>
    <n v="6.9999999999999999E-4"/>
    <n v="0"/>
    <n v="0"/>
    <n v="0"/>
    <n v="0"/>
    <n v="0"/>
    <n v="0"/>
    <n v="0"/>
    <n v="0"/>
    <n v="1.8E-3"/>
    <n v="0"/>
    <n v="0"/>
    <n v="0"/>
    <n v="0"/>
    <n v="0"/>
    <n v="0"/>
    <n v="0"/>
    <n v="0"/>
    <n v="0"/>
    <n v="32900"/>
    <n v="0"/>
    <n v="0"/>
    <n v="0"/>
    <n v="0"/>
    <n v="0"/>
    <n v="0"/>
    <n v="0"/>
    <n v="0"/>
    <n v="74520"/>
    <n v="0"/>
    <n v="0"/>
    <n v="0"/>
    <n v="0"/>
    <n v="0"/>
    <n v="32900"/>
    <n v="0"/>
    <n v="0"/>
    <n v="74520"/>
    <n v="107420"/>
    <n v="0.11307368421052631"/>
    <s v="Field Asset"/>
    <n v="0.80621536842105257"/>
    <x v="1"/>
  </r>
  <r>
    <x v="3"/>
    <s v="Conductor sag detection"/>
    <s v="Trial"/>
    <s v="Prevention"/>
    <n v="180000"/>
    <n v="9000"/>
    <s v="Similar to span movement monitors. Opex for comms or SaaS subscription assume 10 sites"/>
    <n v="0"/>
    <n v="0"/>
    <n v="0"/>
    <n v="0"/>
    <n v="0"/>
    <n v="0"/>
    <n v="0"/>
    <n v="0"/>
    <n v="0"/>
    <n v="0"/>
    <n v="0"/>
    <n v="4.1666666666666669E-4"/>
    <n v="4.1666666666666665E-5"/>
    <n v="0"/>
    <n v="0"/>
    <n v="0"/>
    <n v="0"/>
    <n v="0"/>
    <n v="0"/>
    <n v="0"/>
    <n v="0"/>
    <n v="0"/>
    <n v="0"/>
    <n v="0"/>
    <n v="0"/>
    <n v="0"/>
    <n v="0"/>
    <n v="0"/>
    <n v="0"/>
    <n v="0"/>
    <n v="12500"/>
    <n v="5250"/>
    <n v="0"/>
    <n v="0"/>
    <n v="0"/>
    <n v="0"/>
    <n v="0"/>
    <n v="0"/>
    <n v="0"/>
    <n v="0"/>
    <n v="12500"/>
    <n v="5250"/>
    <n v="0"/>
    <n v="17750"/>
    <n v="9.8611111111111108E-2"/>
    <s v="Field Asset"/>
    <n v="0.70309722222222215"/>
    <x v="1"/>
  </r>
  <r>
    <x v="1"/>
    <s v="Low voltage &quot;softbridge&quot; type automated switches"/>
    <s v="Trial"/>
    <s v="none"/>
    <n v="1250000"/>
    <n v="0"/>
    <s v="Trial 50 switches - allow reconfiguration of LV distributor to resolve safety, voltage constraints and unserved energy"/>
    <n v="8.6805555555555559E-5"/>
    <n v="0"/>
    <n v="8.6805555555555559E-5"/>
    <n v="0"/>
    <n v="0"/>
    <n v="0"/>
    <n v="0"/>
    <n v="0"/>
    <n v="0"/>
    <n v="0"/>
    <n v="0"/>
    <n v="1E-3"/>
    <n v="5.2083333333333333E-4"/>
    <n v="0"/>
    <n v="0"/>
    <n v="0"/>
    <n v="0"/>
    <n v="0"/>
    <n v="0"/>
    <n v="3167.9639734132202"/>
    <n v="0"/>
    <n v="442.2731864568027"/>
    <n v="0"/>
    <n v="0"/>
    <n v="0"/>
    <n v="0"/>
    <n v="0"/>
    <n v="0"/>
    <n v="0"/>
    <n v="0"/>
    <n v="30000"/>
    <n v="65625"/>
    <n v="0"/>
    <n v="0"/>
    <n v="0"/>
    <n v="0"/>
    <n v="0"/>
    <n v="0"/>
    <n v="3610.2371598700229"/>
    <n v="0"/>
    <n v="30000"/>
    <n v="65625"/>
    <n v="0"/>
    <n v="99235.237159870027"/>
    <n v="7.9388189727896019E-2"/>
    <s v="Field Asset"/>
    <n v="0.56603779275989863"/>
    <x v="1"/>
  </r>
  <r>
    <x v="2"/>
    <s v="Kiosk monitoring device (Retrofit)"/>
    <s v="Pilot"/>
    <s v="Recovery"/>
    <n v="5400000"/>
    <n v="120000"/>
    <s v="Visibility benefits supporting other line items (CVR, state estimation, etc - divided across key visibility line item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7.1759259259259259E-2"/>
    <s v="Field Asset"/>
    <n v="0.51164351851851853"/>
    <x v="1"/>
  </r>
  <r>
    <x v="0"/>
    <s v="Pilot customer energy resource integration into OT systems"/>
    <s v="Trial"/>
    <s v="none"/>
    <n v="950000"/>
    <n v="10000"/>
    <s v="Improves network utilisation"/>
    <n v="0"/>
    <n v="0"/>
    <n v="0"/>
    <n v="0"/>
    <n v="0"/>
    <n v="1E-3"/>
    <n v="0"/>
    <n v="0"/>
    <n v="0"/>
    <n v="0"/>
    <n v="0"/>
    <n v="0"/>
    <n v="0"/>
    <n v="0"/>
    <n v="0"/>
    <n v="0"/>
    <n v="0"/>
    <n v="0"/>
    <n v="0"/>
    <n v="0"/>
    <n v="0"/>
    <n v="0"/>
    <n v="0"/>
    <n v="0"/>
    <n v="47000"/>
    <n v="0"/>
    <n v="0"/>
    <n v="0"/>
    <n v="0"/>
    <n v="0"/>
    <n v="0"/>
    <n v="0"/>
    <n v="0"/>
    <n v="0"/>
    <n v="0"/>
    <n v="0"/>
    <n v="0"/>
    <n v="0"/>
    <n v="0"/>
    <n v="47000"/>
    <n v="0"/>
    <n v="0"/>
    <n v="0"/>
    <n v="47000"/>
    <n v="4.9473684210526316E-2"/>
    <s v="System"/>
    <n v="0.22461052631578948"/>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x v="0"/>
    <s v="Network Sectionalising and Optimisation Engine - provide various forms with outcomes like FLISR."/>
    <s v="Trial"/>
    <s v="Recovery"/>
    <n v="950000"/>
    <n v="10000"/>
    <s v="Allows faster response to outages - reducing unserved energy and field operational visits by preconfiguring and reconfiguring network. Also allows minor uplift in utilisation."/>
    <n v="0"/>
    <n v="0"/>
    <n v="0"/>
    <n v="0"/>
    <n v="0"/>
    <n v="5.0000000000000001E-3"/>
    <n v="0"/>
    <n v="0"/>
    <n v="0"/>
    <n v="0"/>
    <n v="0"/>
    <n v="5.0000000000000001E-3"/>
    <n v="0.02"/>
    <n v="0"/>
    <n v="0"/>
    <n v="0"/>
    <n v="0"/>
    <n v="0"/>
    <n v="0"/>
    <n v="0"/>
    <n v="0"/>
    <n v="0"/>
    <n v="0"/>
    <n v="0"/>
    <n v="235000"/>
    <n v="0"/>
    <n v="0"/>
    <n v="0"/>
    <n v="0"/>
    <n v="0"/>
    <n v="150000"/>
    <n v="2520000"/>
    <n v="0"/>
    <n v="0"/>
    <n v="0"/>
    <n v="0"/>
    <n v="0"/>
    <n v="0"/>
    <n v="0"/>
    <n v="235000"/>
    <n v="150000"/>
    <n v="2520000"/>
    <n v="0"/>
    <n v="2905000"/>
    <n v="3.0578947368421052"/>
    <s v="System"/>
    <n v="13.882842105263158"/>
    <s v="YES"/>
    <x v="0"/>
    <s v="YES"/>
  </r>
  <r>
    <x v="1"/>
    <s v="Digital substation trials"/>
    <s v="Trial"/>
    <s v="none"/>
    <n v="475000"/>
    <n v="5000"/>
    <s v="Lower asset costs and maintenance costs due to fewer assets and simpler maintenance and configuration management."/>
    <n v="0"/>
    <n v="0"/>
    <n v="0"/>
    <n v="0"/>
    <n v="0"/>
    <n v="0"/>
    <n v="0"/>
    <n v="0"/>
    <n v="1E-3"/>
    <n v="0"/>
    <n v="1E-3"/>
    <n v="0"/>
    <n v="1E-3"/>
    <n v="0"/>
    <n v="0"/>
    <n v="0"/>
    <n v="0"/>
    <n v="0"/>
    <n v="0"/>
    <n v="0"/>
    <n v="0"/>
    <n v="0"/>
    <n v="0"/>
    <n v="0"/>
    <n v="0"/>
    <n v="0"/>
    <n v="0"/>
    <n v="352000"/>
    <n v="0"/>
    <n v="131000"/>
    <n v="0"/>
    <n v="126000"/>
    <n v="0"/>
    <n v="0"/>
    <n v="0"/>
    <n v="0"/>
    <n v="0"/>
    <n v="0"/>
    <n v="0"/>
    <n v="352000"/>
    <n v="131000"/>
    <n v="126000"/>
    <n v="0"/>
    <n v="609000"/>
    <n v="1.2821052631578946"/>
    <s v="Field Asset"/>
    <n v="9.1414105263157879"/>
    <s v="YES"/>
    <x v="0"/>
    <s v="YES"/>
  </r>
  <r>
    <x v="0"/>
    <s v="Controlled load management system"/>
    <s v="Trial"/>
    <s v="none"/>
    <n v="425000"/>
    <n v="15000"/>
    <s v="Customer benefit for wholesale pricing  and curtailment improvement, as well as indirect emissions benefits by moving generation to day (solar) from night (coal)."/>
    <n v="0"/>
    <n v="0"/>
    <n v="0"/>
    <n v="0"/>
    <n v="0"/>
    <n v="0"/>
    <n v="0"/>
    <n v="0"/>
    <n v="0"/>
    <n v="0"/>
    <n v="0"/>
    <n v="0"/>
    <n v="0"/>
    <n v="0"/>
    <n v="0.01"/>
    <n v="0"/>
    <n v="2.0000000000000001E-4"/>
    <n v="1E-3"/>
    <n v="0"/>
    <n v="0"/>
    <n v="0"/>
    <n v="0"/>
    <n v="0"/>
    <n v="0"/>
    <n v="0"/>
    <n v="0"/>
    <n v="0"/>
    <n v="0"/>
    <n v="0"/>
    <n v="0"/>
    <n v="0"/>
    <n v="0"/>
    <n v="0"/>
    <n v="414000"/>
    <n v="0"/>
    <n v="300000"/>
    <n v="76500"/>
    <n v="0"/>
    <n v="0"/>
    <n v="0"/>
    <n v="0"/>
    <n v="0"/>
    <n v="790500"/>
    <n v="790500"/>
    <n v="1.86"/>
    <s v="System"/>
    <n v="8.4443999999999999"/>
    <s v="YES"/>
    <x v="0"/>
    <s v="YES"/>
  </r>
  <r>
    <x v="1"/>
    <s v="Phasor Measurement Units (PMU) trials"/>
    <s v="Trial"/>
    <s v="Prevention"/>
    <n v="450000"/>
    <n v="10000"/>
    <s v="Improve wholesale pricing (through frequency services) and detection of emerging faults reducing operational and breakdown costs."/>
    <n v="0"/>
    <n v="0"/>
    <n v="0"/>
    <n v="0"/>
    <n v="1E-3"/>
    <n v="1E-3"/>
    <n v="0"/>
    <n v="0"/>
    <n v="0"/>
    <n v="0"/>
    <n v="0"/>
    <n v="1E-3"/>
    <n v="1E-3"/>
    <n v="0"/>
    <n v="5.0000000000000001E-3"/>
    <n v="0"/>
    <n v="1.4800000000000002E-4"/>
    <n v="1E-3"/>
    <n v="0"/>
    <n v="0"/>
    <n v="0"/>
    <n v="0"/>
    <n v="0"/>
    <n v="27800"/>
    <n v="47000"/>
    <n v="0"/>
    <n v="0"/>
    <n v="0"/>
    <n v="0"/>
    <n v="0"/>
    <n v="30000"/>
    <n v="126000"/>
    <n v="0"/>
    <n v="207000"/>
    <n v="0"/>
    <n v="222000.00000000003"/>
    <n v="76500"/>
    <n v="0"/>
    <n v="0"/>
    <n v="74800"/>
    <n v="30000"/>
    <n v="126000"/>
    <n v="505500"/>
    <n v="736300"/>
    <n v="1.6362222222222222"/>
    <s v="Field Asset"/>
    <n v="11.666264444444444"/>
    <s v="YES"/>
    <x v="0"/>
    <s v="YES"/>
  </r>
  <r>
    <x v="0"/>
    <s v="Advanced Load Information System"/>
    <s v="Trial"/>
    <s v="none"/>
    <n v="950000"/>
    <n v="10000"/>
    <s v="More accurate network modelling leading to improvement in planning efficiency and utilisation, optimisation of energy losses and solar curtailment."/>
    <n v="0"/>
    <n v="0"/>
    <n v="0"/>
    <n v="0"/>
    <n v="0.01"/>
    <n v="0.01"/>
    <n v="0"/>
    <n v="0"/>
    <n v="0"/>
    <n v="0"/>
    <n v="0"/>
    <n v="0"/>
    <n v="1E-3"/>
    <n v="0"/>
    <n v="0"/>
    <n v="0"/>
    <n v="5.1333333333333332E-5"/>
    <n v="1E-3"/>
    <n v="0"/>
    <n v="0"/>
    <n v="0"/>
    <n v="0"/>
    <n v="0"/>
    <n v="278000"/>
    <n v="470000"/>
    <n v="0"/>
    <n v="0"/>
    <n v="0"/>
    <n v="0"/>
    <n v="0"/>
    <n v="0"/>
    <n v="126000"/>
    <n v="0"/>
    <n v="0"/>
    <n v="0"/>
    <n v="77000"/>
    <n v="76500"/>
    <n v="0"/>
    <n v="0"/>
    <n v="748000"/>
    <n v="0"/>
    <n v="126000"/>
    <n v="153500"/>
    <n v="1027500"/>
    <n v="1.081578947368421"/>
    <s v="System"/>
    <n v="4.910368421052631"/>
    <s v="YES"/>
    <x v="0"/>
    <s v="YES"/>
  </r>
  <r>
    <x v="2"/>
    <s v="Low loss transformer &amp; reactor trials"/>
    <s v="Trial"/>
    <s v="none"/>
    <n v="1500000"/>
    <n v="0"/>
    <s v="Leads to reduction in energy losses across fleet over time with progressive replacement of existing standard loss equipment"/>
    <n v="0"/>
    <n v="0"/>
    <n v="0"/>
    <n v="0"/>
    <n v="0"/>
    <n v="0"/>
    <n v="0"/>
    <n v="0"/>
    <n v="0"/>
    <n v="0"/>
    <n v="0"/>
    <n v="0"/>
    <n v="0"/>
    <n v="0"/>
    <n v="0"/>
    <n v="0"/>
    <n v="2.5666666666666665E-4"/>
    <n v="7.4999999999999997E-3"/>
    <n v="0"/>
    <n v="0"/>
    <n v="0"/>
    <n v="0"/>
    <n v="0"/>
    <n v="0"/>
    <n v="0"/>
    <n v="0"/>
    <n v="0"/>
    <n v="0"/>
    <n v="0"/>
    <n v="0"/>
    <n v="0"/>
    <n v="0"/>
    <n v="0"/>
    <n v="0"/>
    <n v="0"/>
    <n v="385000"/>
    <n v="573750"/>
    <n v="0"/>
    <n v="0"/>
    <n v="0"/>
    <n v="0"/>
    <n v="0"/>
    <n v="958750"/>
    <n v="958750"/>
    <n v="0.63916666666666666"/>
    <s v="Field Asset"/>
    <n v="4.5572583333333334"/>
    <s v="YES"/>
    <x v="0"/>
    <s v="YES"/>
  </r>
  <r>
    <x v="2"/>
    <s v="Low loss cable and line designs"/>
    <s v="Trial"/>
    <s v="none"/>
    <n v="1500000"/>
    <n v="0"/>
    <s v="Leads to reduction in energy losses across fleet over time with progressive replacement of existing standard loss equipment"/>
    <n v="0"/>
    <n v="0"/>
    <n v="0"/>
    <n v="0"/>
    <n v="0"/>
    <n v="0"/>
    <n v="0"/>
    <n v="0"/>
    <n v="0"/>
    <n v="0"/>
    <n v="0"/>
    <n v="0"/>
    <n v="0"/>
    <n v="0"/>
    <n v="0"/>
    <n v="0"/>
    <n v="2.5666666666666665E-4"/>
    <n v="7.4999999999999997E-3"/>
    <n v="0"/>
    <n v="0"/>
    <n v="0"/>
    <n v="0"/>
    <n v="0"/>
    <n v="0"/>
    <n v="0"/>
    <n v="0"/>
    <n v="0"/>
    <n v="0"/>
    <n v="0"/>
    <n v="0"/>
    <n v="0"/>
    <n v="0"/>
    <n v="0"/>
    <n v="0"/>
    <n v="0"/>
    <n v="385000"/>
    <n v="573750"/>
    <n v="0"/>
    <n v="0"/>
    <n v="0"/>
    <n v="0"/>
    <n v="0"/>
    <n v="958750"/>
    <n v="958750"/>
    <n v="0.63916666666666666"/>
    <s v="Field Asset"/>
    <n v="4.5572583333333334"/>
    <s v="YES"/>
    <x v="0"/>
    <s v="YES"/>
  </r>
  <r>
    <x v="2"/>
    <s v="Smart meter advanced functionality systems"/>
    <s v="Trial"/>
    <s v="none"/>
    <n v="850000"/>
    <n v="30000"/>
    <s v="Safety benefit largely from edge alarms of neutral integrity"/>
    <n v="1.6E-2"/>
    <n v="0"/>
    <n v="0"/>
    <n v="0"/>
    <n v="0"/>
    <n v="0"/>
    <n v="0"/>
    <n v="0"/>
    <n v="0"/>
    <n v="0"/>
    <n v="0"/>
    <n v="0"/>
    <n v="0"/>
    <n v="0"/>
    <n v="0"/>
    <n v="0"/>
    <n v="0"/>
    <n v="0"/>
    <n v="0"/>
    <n v="583919.11957952473"/>
    <n v="0"/>
    <n v="0"/>
    <n v="0"/>
    <n v="0"/>
    <n v="0"/>
    <n v="0"/>
    <n v="0"/>
    <n v="0"/>
    <n v="0"/>
    <n v="0"/>
    <n v="0"/>
    <n v="0"/>
    <n v="0"/>
    <n v="0"/>
    <n v="0"/>
    <n v="0"/>
    <n v="0"/>
    <n v="0"/>
    <n v="583919.11957952473"/>
    <n v="0"/>
    <n v="0"/>
    <n v="0"/>
    <n v="0"/>
    <n v="583919.11957952473"/>
    <n v="0.68696367009355852"/>
    <s v="Field Asset"/>
    <n v="4.8980509677670723"/>
    <s v="YES"/>
    <x v="0"/>
    <s v="YES"/>
  </r>
  <r>
    <x v="2"/>
    <s v="Low embodied carbon asset trial - SF6 alternatives"/>
    <s v="Trial"/>
    <s v="none"/>
    <n v="750000"/>
    <n v="0"/>
    <s v="Carbon emission benefits only - assume  AG SF6 emissions reduced by 10% long run"/>
    <n v="0"/>
    <n v="0"/>
    <n v="0"/>
    <n v="0"/>
    <n v="0"/>
    <n v="0"/>
    <n v="0"/>
    <n v="0"/>
    <n v="0"/>
    <n v="0"/>
    <n v="0"/>
    <n v="0"/>
    <n v="0"/>
    <n v="0"/>
    <n v="0"/>
    <n v="0"/>
    <n v="2.4074074074074072E-4"/>
    <n v="0"/>
    <n v="0"/>
    <n v="0"/>
    <n v="0"/>
    <n v="0"/>
    <n v="0"/>
    <n v="0"/>
    <n v="0"/>
    <n v="0"/>
    <n v="0"/>
    <n v="0"/>
    <n v="0"/>
    <n v="0"/>
    <n v="0"/>
    <n v="0"/>
    <n v="0"/>
    <n v="0"/>
    <n v="0"/>
    <n v="361111.11111111107"/>
    <n v="0"/>
    <n v="0"/>
    <n v="0"/>
    <n v="0"/>
    <n v="0"/>
    <n v="0"/>
    <n v="361111.11111111107"/>
    <n v="361111.11111111107"/>
    <n v="0.4814814814814814"/>
    <s v="Field Asset"/>
    <n v="3.4329629629629621"/>
    <s v="YES"/>
    <x v="0"/>
    <s v="YES"/>
  </r>
  <r>
    <x v="3"/>
    <s v="Substation Fire Detection Systems"/>
    <s v="Trial"/>
    <s v="Recovery"/>
    <n v="237500"/>
    <n v="2500"/>
    <s v="Avoid substation fires (reducing unserved energy, asset life, etc)"/>
    <n v="0"/>
    <n v="5.0000000000000001E-4"/>
    <n v="5.0000000000000001E-4"/>
    <n v="5.0000000000000001E-4"/>
    <n v="0"/>
    <n v="0"/>
    <n v="0"/>
    <n v="0"/>
    <n v="0"/>
    <n v="0"/>
    <n v="0"/>
    <n v="0"/>
    <n v="1E-3"/>
    <n v="0"/>
    <n v="0"/>
    <n v="0"/>
    <n v="0"/>
    <n v="0"/>
    <n v="0"/>
    <n v="0"/>
    <n v="13123.297974036526"/>
    <n v="2547.4935539911835"/>
    <n v="15724.576658768381"/>
    <n v="0"/>
    <n v="0"/>
    <n v="0"/>
    <n v="0"/>
    <n v="0"/>
    <n v="0"/>
    <n v="0"/>
    <n v="0"/>
    <n v="126000"/>
    <n v="0"/>
    <n v="0"/>
    <n v="0"/>
    <n v="0"/>
    <n v="0"/>
    <n v="0"/>
    <n v="31395.368186796091"/>
    <n v="0"/>
    <n v="0"/>
    <n v="126000"/>
    <n v="0"/>
    <n v="157395.36818679608"/>
    <n v="0.66271733973387825"/>
    <s v="Field Asset"/>
    <n v="4.7251746323025516"/>
    <s v="YES"/>
    <x v="0"/>
    <s v="YES"/>
  </r>
  <r>
    <x v="1"/>
    <s v="Network high accuracy neutral integrity monitors"/>
    <s v="Pilot"/>
    <s v="none"/>
    <n v="95000"/>
    <n v="1000"/>
    <s v="Risk reduction for asset failure / safety incidents by targeting to high risk failure locations"/>
    <n v="1E-3"/>
    <n v="1E-3"/>
    <n v="1E-3"/>
    <n v="0"/>
    <n v="0"/>
    <n v="0"/>
    <n v="0"/>
    <n v="0"/>
    <n v="0"/>
    <n v="1E-3"/>
    <n v="0"/>
    <n v="0"/>
    <n v="0"/>
    <n v="0"/>
    <n v="0"/>
    <n v="0"/>
    <n v="0"/>
    <n v="0"/>
    <n v="0"/>
    <n v="36494.944973720296"/>
    <n v="26246.595948073053"/>
    <n v="5094.987107982367"/>
    <n v="0"/>
    <n v="0"/>
    <n v="0"/>
    <n v="0"/>
    <n v="0"/>
    <n v="0"/>
    <n v="8500"/>
    <n v="0"/>
    <n v="0"/>
    <n v="0"/>
    <n v="0"/>
    <n v="0"/>
    <n v="0"/>
    <n v="0"/>
    <n v="0"/>
    <n v="0"/>
    <n v="67836.528029775713"/>
    <n v="8500"/>
    <n v="0"/>
    <n v="0"/>
    <n v="0"/>
    <n v="76336.528029775713"/>
    <n v="0.80354240031342861"/>
    <s v="Field Asset"/>
    <n v="5.7292573142347463"/>
    <s v="YES"/>
    <x v="0"/>
    <s v="YES"/>
  </r>
  <r>
    <x v="3"/>
    <s v="Local weather stations"/>
    <s v="Trial"/>
    <s v="Prevention"/>
    <n v="240000"/>
    <n v="12000"/>
    <s v="Reduce bushfire risk and unserved energy. Opex for comms or SaaS subscription assume 10 sites"/>
    <n v="1E-3"/>
    <n v="1E-3"/>
    <n v="1E-3"/>
    <n v="0"/>
    <n v="0"/>
    <n v="0"/>
    <n v="0"/>
    <n v="0"/>
    <n v="0"/>
    <n v="0"/>
    <n v="0"/>
    <n v="0"/>
    <n v="5.0000000000000001E-4"/>
    <n v="0"/>
    <n v="0"/>
    <n v="0"/>
    <n v="0"/>
    <n v="0"/>
    <n v="0"/>
    <n v="36494.944973720296"/>
    <n v="26246.595948073053"/>
    <n v="5094.987107982367"/>
    <n v="0"/>
    <n v="0"/>
    <n v="0"/>
    <n v="0"/>
    <n v="0"/>
    <n v="0"/>
    <n v="0"/>
    <n v="0"/>
    <n v="0"/>
    <n v="63000"/>
    <n v="0"/>
    <n v="0"/>
    <n v="0"/>
    <n v="0"/>
    <n v="0"/>
    <n v="0"/>
    <n v="67836.528029775713"/>
    <n v="0"/>
    <n v="0"/>
    <n v="63000"/>
    <n v="0"/>
    <n v="130836.52802977571"/>
    <n v="0.54515220012406551"/>
    <s v="Field Asset"/>
    <n v="3.8869351868845872"/>
    <s v="YES"/>
    <x v="0"/>
    <s v="YES"/>
  </r>
  <r>
    <x v="0"/>
    <s v="Network State Estimator"/>
    <s v="Trial"/>
    <s v="Recovery"/>
    <n v="1900000"/>
    <n v="20000"/>
    <s v="Improve utilisation &amp; unserved energy (minor), reduce curtailment (minor)"/>
    <n v="0"/>
    <n v="0"/>
    <n v="0"/>
    <n v="0"/>
    <n v="0"/>
    <n v="0.01"/>
    <n v="0"/>
    <n v="0"/>
    <n v="0"/>
    <n v="0"/>
    <n v="0"/>
    <n v="0"/>
    <n v="5.0000000000000001E-3"/>
    <n v="0"/>
    <n v="0"/>
    <n v="0"/>
    <n v="1.9999999999999999E-6"/>
    <n v="5.0000000000000001E-4"/>
    <n v="0"/>
    <n v="0"/>
    <n v="0"/>
    <n v="0"/>
    <n v="0"/>
    <n v="0"/>
    <n v="470000"/>
    <n v="0"/>
    <n v="0"/>
    <n v="0"/>
    <n v="0"/>
    <n v="0"/>
    <n v="0"/>
    <n v="630000"/>
    <n v="0"/>
    <n v="0"/>
    <n v="0"/>
    <n v="3000"/>
    <n v="38250"/>
    <n v="0"/>
    <n v="0"/>
    <n v="470000"/>
    <n v="0"/>
    <n v="630000"/>
    <n v="41250"/>
    <n v="1141250"/>
    <n v="0.60065789473684206"/>
    <s v="System"/>
    <n v="2.726986842105263"/>
    <s v="YES"/>
    <x v="0"/>
    <s v="YES"/>
  </r>
  <r>
    <x v="1"/>
    <s v="Trial ultra-sonic discharge detection devices"/>
    <s v="Trial"/>
    <s v="Prevention"/>
    <n v="425000"/>
    <n v="15000"/>
    <s v="Primarly asset prioritisation and breakdown expenditure avoidance, some safety risk reduction."/>
    <n v="5.0000000000000002E-5"/>
    <n v="1E-4"/>
    <n v="1E-4"/>
    <n v="1E-4"/>
    <n v="0"/>
    <n v="0"/>
    <n v="1E-3"/>
    <n v="0"/>
    <n v="0"/>
    <n v="1E-3"/>
    <n v="0"/>
    <n v="1E-4"/>
    <n v="1E-3"/>
    <n v="0"/>
    <n v="0"/>
    <n v="0"/>
    <n v="0"/>
    <n v="0"/>
    <n v="0"/>
    <n v="1824.7472486860149"/>
    <n v="2624.6595948073054"/>
    <n v="509.49871079823674"/>
    <n v="3144.9153317536761"/>
    <n v="0"/>
    <n v="0"/>
    <n v="10492"/>
    <n v="0"/>
    <n v="0"/>
    <n v="8500"/>
    <n v="0"/>
    <n v="3000"/>
    <n v="126000"/>
    <n v="0"/>
    <n v="0"/>
    <n v="0"/>
    <n v="0"/>
    <n v="0"/>
    <n v="0"/>
    <n v="8103.8208860452341"/>
    <n v="18992"/>
    <n v="3000"/>
    <n v="126000"/>
    <n v="0"/>
    <n v="156095.82088604523"/>
    <n v="0.36728428443775346"/>
    <s v="Field Asset"/>
    <n v="2.6187369480411822"/>
    <s v="YES"/>
    <x v="0"/>
    <s v="YES"/>
  </r>
  <r>
    <x v="0"/>
    <s v="Dynamic Ratings Calculation System"/>
    <s v="Trial"/>
    <s v="Prevention"/>
    <n v="950000"/>
    <n v="10000"/>
    <s v="Improve utilisation and asset life metrics by stretching capability of existing assets"/>
    <n v="0"/>
    <n v="0"/>
    <n v="0"/>
    <n v="0"/>
    <n v="0"/>
    <n v="5.0000000000000001E-3"/>
    <n v="0"/>
    <n v="1.5E-3"/>
    <n v="0"/>
    <n v="0"/>
    <n v="0"/>
    <n v="0"/>
    <n v="0"/>
    <n v="0"/>
    <n v="0"/>
    <n v="0"/>
    <n v="0"/>
    <n v="0"/>
    <n v="0"/>
    <n v="0"/>
    <n v="0"/>
    <n v="0"/>
    <n v="0"/>
    <n v="0"/>
    <n v="235000"/>
    <n v="0"/>
    <n v="457500"/>
    <n v="0"/>
    <n v="0"/>
    <n v="0"/>
    <n v="0"/>
    <n v="0"/>
    <n v="0"/>
    <n v="0"/>
    <n v="0"/>
    <n v="0"/>
    <n v="0"/>
    <n v="0"/>
    <n v="0"/>
    <n v="692500"/>
    <n v="0"/>
    <n v="0"/>
    <n v="0"/>
    <n v="692500"/>
    <n v="0.72894736842105268"/>
    <s v="System"/>
    <n v="3.309421052631579"/>
    <s v="YES"/>
    <x v="0"/>
    <s v="YES"/>
  </r>
  <r>
    <x v="0"/>
    <s v="Defect Identification trial - Photo analysis AI"/>
    <s v="Trial"/>
    <s v="Prevention"/>
    <n v="475000"/>
    <n v="5000"/>
    <s v="Identifies additional defects and facilitates proactive prioritisation"/>
    <n v="1E-4"/>
    <n v="5.0000000000000001E-4"/>
    <n v="5.0000000000000001E-4"/>
    <n v="5.0000000000000001E-4"/>
    <n v="0"/>
    <n v="0"/>
    <n v="5.0000000000000001E-3"/>
    <n v="0"/>
    <n v="0"/>
    <n v="5.0000000000000001E-3"/>
    <n v="1E-4"/>
    <n v="1E-4"/>
    <n v="1E-3"/>
    <n v="0"/>
    <n v="0"/>
    <n v="0"/>
    <n v="0"/>
    <n v="0"/>
    <n v="0"/>
    <n v="3649.4944973720299"/>
    <n v="13123.297974036526"/>
    <n v="2547.4935539911835"/>
    <n v="15724.576658768381"/>
    <n v="0"/>
    <n v="0"/>
    <n v="52460"/>
    <n v="0"/>
    <n v="0"/>
    <n v="42500"/>
    <n v="13100"/>
    <n v="3000"/>
    <n v="126000"/>
    <n v="0"/>
    <n v="0"/>
    <n v="0"/>
    <n v="0"/>
    <n v="0"/>
    <n v="0"/>
    <n v="35044.862684168118"/>
    <n v="94960"/>
    <n v="16100"/>
    <n v="126000"/>
    <n v="0"/>
    <n v="272104.86268416815"/>
    <n v="0.57285234249298556"/>
    <s v="System"/>
    <n v="2.6007496349181545"/>
    <s v="YES"/>
    <x v="0"/>
    <s v="YES"/>
  </r>
  <r>
    <x v="0"/>
    <s v="mobile contact voltage detection pilot"/>
    <s v="Pilot"/>
    <s v="none"/>
    <n v="2550000"/>
    <n v="90000"/>
    <s v="Based on SPEN business case considering safety risk, EUE and losses."/>
    <n v="5.0000000000000001E-3"/>
    <n v="0"/>
    <n v="0"/>
    <n v="0"/>
    <n v="0"/>
    <n v="0"/>
    <n v="0"/>
    <n v="0"/>
    <n v="0"/>
    <n v="5.9999999999999993E-3"/>
    <n v="0"/>
    <n v="0"/>
    <n v="5.0000000000000001E-3"/>
    <n v="0"/>
    <n v="1.4800000000000002E-4"/>
    <n v="0"/>
    <n v="1.4800000000000002E-4"/>
    <n v="4.0000000000000001E-3"/>
    <n v="0"/>
    <n v="182474.72486860148"/>
    <n v="0"/>
    <n v="0"/>
    <n v="0"/>
    <n v="0"/>
    <n v="0"/>
    <n v="0"/>
    <n v="0"/>
    <n v="0"/>
    <n v="50999.999999999993"/>
    <n v="0"/>
    <n v="0"/>
    <n v="630000"/>
    <n v="0"/>
    <n v="6127.2000000000007"/>
    <n v="0"/>
    <n v="222000.00000000003"/>
    <n v="306000"/>
    <n v="0"/>
    <n v="182474.72486860148"/>
    <n v="50999.999999999993"/>
    <n v="0"/>
    <n v="630000"/>
    <n v="534127.20000000007"/>
    <n v="1397601.9248686014"/>
    <n v="0.54807918622298091"/>
    <s v="System"/>
    <n v="2.4882795054523332"/>
    <s v="YES"/>
    <x v="0"/>
    <s v="YES"/>
  </r>
  <r>
    <x v="2"/>
    <s v="Feeder level load shedding capability"/>
    <s v="Pilot"/>
    <s v="none"/>
    <n v="1900000"/>
    <n v="20000"/>
    <s v="Safety, EUE and efficiency benefits"/>
    <n v="0"/>
    <n v="0"/>
    <n v="0"/>
    <n v="0"/>
    <n v="0"/>
    <n v="0"/>
    <n v="0"/>
    <n v="0"/>
    <n v="0"/>
    <n v="0"/>
    <n v="0"/>
    <n v="0"/>
    <n v="5.0000000000000001E-3"/>
    <n v="0"/>
    <n v="0"/>
    <n v="0"/>
    <n v="0"/>
    <n v="0"/>
    <n v="0"/>
    <n v="0"/>
    <n v="0"/>
    <n v="0"/>
    <n v="0"/>
    <n v="0"/>
    <n v="0"/>
    <n v="0"/>
    <n v="0"/>
    <n v="0"/>
    <n v="0"/>
    <n v="0"/>
    <n v="0"/>
    <n v="630000"/>
    <n v="0"/>
    <n v="0"/>
    <n v="0"/>
    <n v="0"/>
    <n v="0"/>
    <n v="0"/>
    <n v="0"/>
    <n v="0"/>
    <n v="0"/>
    <n v="630000"/>
    <n v="0"/>
    <n v="630000"/>
    <n v="0.33157894736842103"/>
    <s v="Field Asset"/>
    <n v="2.364157894736842"/>
    <s v="YES"/>
    <x v="0"/>
    <s v="YES"/>
  </r>
  <r>
    <x v="3"/>
    <s v="MV cable Partial Discharge monitoring"/>
    <s v="Trial"/>
    <s v="Prevention"/>
    <n v="950000"/>
    <n v="10000"/>
    <s v="Benefits include risk reduction, energy conservation, avoided outages and response. Opex for comms or SaaS subscription assume 3 sites."/>
    <n v="1E-3"/>
    <n v="0"/>
    <n v="1E-3"/>
    <n v="0"/>
    <n v="0"/>
    <n v="0"/>
    <n v="1E-3"/>
    <n v="0"/>
    <n v="0"/>
    <n v="1E-3"/>
    <n v="0"/>
    <n v="1E-3"/>
    <n v="1E-3"/>
    <n v="0"/>
    <n v="0"/>
    <n v="0"/>
    <n v="3.9999999999999998E-6"/>
    <n v="1E-3"/>
    <n v="0"/>
    <n v="36494.944973720296"/>
    <n v="0"/>
    <n v="5094.987107982367"/>
    <n v="0"/>
    <n v="0"/>
    <n v="0"/>
    <n v="10492"/>
    <n v="0"/>
    <n v="0"/>
    <n v="8500"/>
    <n v="0"/>
    <n v="30000"/>
    <n v="126000"/>
    <n v="0"/>
    <n v="0"/>
    <n v="0"/>
    <n v="6000"/>
    <n v="76500"/>
    <n v="0"/>
    <n v="41589.93208170266"/>
    <n v="18992"/>
    <n v="30000"/>
    <n v="126000"/>
    <n v="82500"/>
    <n v="299081.93208170263"/>
    <n v="0.31482308640179224"/>
    <s v="Field Asset"/>
    <n v="2.2446886060447788"/>
    <s v="YES"/>
    <x v="0"/>
    <s v="YES"/>
  </r>
  <r>
    <x v="0"/>
    <s v="Data driven Fault Prediction Intelligence System"/>
    <s v="Trial"/>
    <s v="Prevention"/>
    <n v="950000"/>
    <n v="10000"/>
    <s v="7000 unplanned outages &amp; 1200 DMAs p.a. Assume this can avoid 1% of DMA faults and (1200/7000) * 1% unserved energy, defects dealt proactive rather than reactive, plus risk reduction and operational field visits avoided. Shared with Detection sensors"/>
    <n v="1E-3"/>
    <n v="1E-3"/>
    <n v="1E-3"/>
    <n v="1E-3"/>
    <n v="0"/>
    <n v="0"/>
    <n v="1E-3"/>
    <n v="0"/>
    <n v="0"/>
    <n v="5.0000000000000001E-3"/>
    <n v="0"/>
    <n v="2.5000000000000001E-3"/>
    <n v="8.5714285714285721E-4"/>
    <n v="0"/>
    <n v="0"/>
    <n v="0"/>
    <n v="0"/>
    <n v="0"/>
    <n v="0"/>
    <n v="36494.944973720296"/>
    <n v="26246.595948073053"/>
    <n v="5094.987107982367"/>
    <n v="31449.153317536762"/>
    <n v="0"/>
    <n v="0"/>
    <n v="10492"/>
    <n v="0"/>
    <n v="0"/>
    <n v="42500"/>
    <n v="0"/>
    <n v="75000"/>
    <n v="108000.00000000001"/>
    <n v="0"/>
    <n v="0"/>
    <n v="0"/>
    <n v="0"/>
    <n v="0"/>
    <n v="0"/>
    <n v="99285.681347312478"/>
    <n v="52992"/>
    <n v="75000"/>
    <n v="108000.00000000001"/>
    <n v="0"/>
    <n v="335277.68134731246"/>
    <n v="0.35292387510243417"/>
    <s v="System"/>
    <n v="1.6022743929650511"/>
    <s v="YES"/>
    <x v="0"/>
    <s v="YES"/>
  </r>
  <r>
    <x v="1"/>
    <s v="Dynamic protection relay trials"/>
    <s v="Pilot"/>
    <s v="none"/>
    <n v="2375000"/>
    <n v="25000"/>
    <s v="Assuming improvement in maintenance requirements, and reliability (reduce unserved energy on zone/sts protection related faults), enabler for CVR and others"/>
    <n v="0"/>
    <n v="0"/>
    <n v="0"/>
    <n v="0"/>
    <n v="0"/>
    <n v="0"/>
    <n v="0"/>
    <n v="0"/>
    <n v="0"/>
    <n v="0"/>
    <n v="5.0000000000000001E-3"/>
    <n v="0"/>
    <n v="0"/>
    <n v="0"/>
    <n v="0"/>
    <n v="0"/>
    <n v="0"/>
    <n v="0"/>
    <n v="0"/>
    <n v="0"/>
    <n v="0"/>
    <n v="0"/>
    <n v="0"/>
    <n v="0"/>
    <n v="0"/>
    <n v="0"/>
    <n v="0"/>
    <n v="0"/>
    <n v="0"/>
    <n v="655000"/>
    <n v="0"/>
    <n v="0"/>
    <n v="0"/>
    <n v="0"/>
    <n v="0"/>
    <n v="0"/>
    <n v="0"/>
    <n v="0"/>
    <n v="0"/>
    <n v="0"/>
    <n v="655000"/>
    <n v="0"/>
    <n v="0"/>
    <n v="655000"/>
    <n v="0.27578947368421053"/>
    <s v="Field Asset"/>
    <n v="1.966378947368421"/>
    <s v="YES"/>
    <x v="0"/>
    <s v="YES"/>
  </r>
  <r>
    <x v="1"/>
    <s v="Kiosk SCADA-linked EFIs (Retrofit)"/>
    <s v="Pilot"/>
    <s v="Recovery"/>
    <n v="4750000"/>
    <n v="50000"/>
    <s v="Assume 500 kiosks with remote EFIs (out of 15000 kiosks) - 1/4 time saving for outages involving those kiosks (2% of kiosks) and commensurate reduction in opex costs for field response requirements (tie to remote ops on other subs). Opex for 500 sites"/>
    <n v="0"/>
    <n v="0"/>
    <n v="0"/>
    <n v="0"/>
    <n v="0"/>
    <n v="0"/>
    <n v="0"/>
    <n v="0"/>
    <n v="0"/>
    <n v="0"/>
    <n v="0"/>
    <n v="8.3333333333333332E-3"/>
    <n v="8.3333333333333332E-3"/>
    <n v="0"/>
    <n v="0"/>
    <n v="0"/>
    <n v="0"/>
    <n v="0"/>
    <n v="0"/>
    <n v="0"/>
    <n v="0"/>
    <n v="0"/>
    <n v="0"/>
    <n v="0"/>
    <n v="0"/>
    <n v="0"/>
    <n v="0"/>
    <n v="0"/>
    <n v="0"/>
    <n v="0"/>
    <n v="250000"/>
    <n v="1050000"/>
    <n v="0"/>
    <n v="0"/>
    <n v="0"/>
    <n v="0"/>
    <n v="0"/>
    <n v="0"/>
    <n v="0"/>
    <n v="0"/>
    <n v="250000"/>
    <n v="1050000"/>
    <n v="0"/>
    <n v="1300000"/>
    <n v="0.27368421052631581"/>
    <s v="Field Asset"/>
    <n v="1.9513684210526316"/>
    <s v="YES"/>
    <x v="0"/>
    <s v="YES"/>
  </r>
  <r>
    <x v="0"/>
    <s v="Closed Loop Voltage Regulation and Optimisation Control System"/>
    <s v="Trial"/>
    <s v="none"/>
    <n v="1900000"/>
    <n v="20000"/>
    <s v="Value in ~25% improvement in value of curtailment as per CSIRO / SAPN studies (shared with smart meter and voltage sensor line items) and a 1% benefit in reducing losses from using CVR method"/>
    <n v="0"/>
    <n v="0"/>
    <n v="0"/>
    <n v="0"/>
    <n v="0"/>
    <n v="0"/>
    <n v="0"/>
    <n v="0"/>
    <n v="0"/>
    <n v="0"/>
    <n v="0"/>
    <n v="0"/>
    <n v="0"/>
    <n v="0"/>
    <n v="0"/>
    <n v="0"/>
    <n v="3.7000000000000005E-4"/>
    <n v="0.01"/>
    <n v="0"/>
    <n v="0"/>
    <n v="0"/>
    <n v="0"/>
    <n v="0"/>
    <n v="0"/>
    <n v="0"/>
    <n v="0"/>
    <n v="0"/>
    <n v="0"/>
    <n v="0"/>
    <n v="0"/>
    <n v="0"/>
    <n v="0"/>
    <n v="0"/>
    <n v="0"/>
    <n v="0"/>
    <n v="555000.00000000012"/>
    <n v="765000"/>
    <n v="0"/>
    <n v="0"/>
    <n v="0"/>
    <n v="0"/>
    <n v="0"/>
    <n v="1320000"/>
    <n v="1320000"/>
    <n v="0.69473684210526321"/>
    <s v="System"/>
    <n v="3.154105263157895"/>
    <s v="YES"/>
    <x v="0"/>
    <s v="YES"/>
  </r>
  <r>
    <x v="2"/>
    <s v="Grid Batteries (Zone/STS scale)"/>
    <s v="Trial"/>
    <s v="none"/>
    <n v="3800000"/>
    <n v="40000"/>
    <s v="Reduced energy losses and EUE"/>
    <n v="0"/>
    <n v="0"/>
    <n v="0"/>
    <n v="0"/>
    <n v="0"/>
    <n v="1.6500000000000001E-2"/>
    <n v="0"/>
    <n v="0"/>
    <n v="0"/>
    <n v="0"/>
    <n v="0"/>
    <n v="0"/>
    <n v="0"/>
    <n v="0"/>
    <n v="0"/>
    <n v="0"/>
    <n v="3.9999999999999998E-6"/>
    <n v="1E-3"/>
    <n v="0"/>
    <n v="0"/>
    <n v="0"/>
    <n v="0"/>
    <n v="0"/>
    <n v="0"/>
    <n v="775500"/>
    <n v="0"/>
    <n v="0"/>
    <n v="0"/>
    <n v="0"/>
    <n v="0"/>
    <n v="0"/>
    <n v="0"/>
    <n v="0"/>
    <n v="0"/>
    <n v="0"/>
    <n v="6000"/>
    <n v="76500"/>
    <n v="0"/>
    <n v="0"/>
    <n v="775500"/>
    <n v="0"/>
    <n v="0"/>
    <n v="82500"/>
    <n v="858000"/>
    <n v="0.22578947368421054"/>
    <s v="Field Asset"/>
    <n v="1.6098789473684212"/>
    <s v="YES"/>
    <x v="0"/>
    <s v="YES"/>
  </r>
  <r>
    <x v="3"/>
    <s v="Mobile hydrogen units for emergency response"/>
    <s v="Trial"/>
    <s v="Support"/>
    <n v="2125000"/>
    <n v="75000"/>
    <s v="Based on prior portable SAPS analysis unserved energy + reduced field time opex"/>
    <n v="0"/>
    <n v="0"/>
    <n v="0"/>
    <n v="0"/>
    <n v="0"/>
    <n v="0"/>
    <n v="0"/>
    <n v="0"/>
    <n v="0"/>
    <n v="0"/>
    <n v="0"/>
    <n v="3.0000000000000001E-3"/>
    <n v="3.0000000000000001E-3"/>
    <n v="0"/>
    <n v="0"/>
    <n v="0"/>
    <n v="0"/>
    <n v="0"/>
    <n v="0"/>
    <n v="0"/>
    <n v="0"/>
    <n v="0"/>
    <n v="0"/>
    <n v="0"/>
    <n v="0"/>
    <n v="0"/>
    <n v="0"/>
    <n v="0"/>
    <n v="0"/>
    <n v="0"/>
    <n v="90000"/>
    <n v="378000"/>
    <n v="0"/>
    <n v="0"/>
    <n v="0"/>
    <n v="0"/>
    <n v="0"/>
    <n v="0"/>
    <n v="0"/>
    <n v="0"/>
    <n v="90000"/>
    <n v="378000"/>
    <n v="0"/>
    <n v="468000"/>
    <n v="0.22023529411764706"/>
    <s v="Field Asset"/>
    <n v="1.5702776470588236"/>
    <s v="YES"/>
    <x v="0"/>
    <s v="YES"/>
  </r>
  <r>
    <x v="2"/>
    <s v="Low embodied carbon asset trial - Polypropelene cables"/>
    <s v="Trial"/>
    <s v="none"/>
    <n v="750000"/>
    <n v="0"/>
    <s v="carbon emission &amp; energy loss benefits"/>
    <n v="0"/>
    <n v="0"/>
    <n v="0"/>
    <n v="0"/>
    <n v="0"/>
    <n v="0"/>
    <n v="0"/>
    <n v="0"/>
    <n v="0"/>
    <n v="0"/>
    <n v="0"/>
    <n v="0"/>
    <n v="0"/>
    <n v="0"/>
    <n v="0"/>
    <n v="0"/>
    <n v="1E-4"/>
    <n v="0"/>
    <n v="0"/>
    <n v="0"/>
    <n v="0"/>
    <n v="0"/>
    <n v="0"/>
    <n v="0"/>
    <n v="0"/>
    <n v="0"/>
    <n v="0"/>
    <n v="0"/>
    <n v="0"/>
    <n v="0"/>
    <n v="0"/>
    <n v="0"/>
    <n v="0"/>
    <n v="0"/>
    <n v="0"/>
    <n v="150000"/>
    <n v="0"/>
    <n v="0"/>
    <n v="0"/>
    <n v="0"/>
    <n v="0"/>
    <n v="0"/>
    <n v="150000"/>
    <n v="150000"/>
    <n v="0.2"/>
    <s v="Field Asset"/>
    <n v="1.4260000000000002"/>
    <s v="YES"/>
    <x v="0"/>
    <s v="YES"/>
  </r>
  <r>
    <x v="1"/>
    <s v="Wires down detection device trials"/>
    <s v="Trial"/>
    <s v="Recovery"/>
    <n v="5700000"/>
    <n v="60000"/>
    <s v="Bushfire risk, shock and property damage avoidance. Opex for 150 sites"/>
    <n v="0.01"/>
    <n v="0.02"/>
    <n v="0.01"/>
    <n v="0.01"/>
    <n v="0"/>
    <n v="0"/>
    <n v="0"/>
    <n v="0"/>
    <n v="0"/>
    <n v="0"/>
    <n v="0"/>
    <n v="0"/>
    <n v="0"/>
    <n v="0"/>
    <n v="0"/>
    <n v="0"/>
    <n v="0"/>
    <n v="0"/>
    <n v="0"/>
    <n v="364949.44973720296"/>
    <n v="524931.91896146105"/>
    <n v="50949.871079823672"/>
    <n v="314491.53317536763"/>
    <n v="0"/>
    <n v="0"/>
    <n v="0"/>
    <n v="0"/>
    <n v="0"/>
    <n v="0"/>
    <n v="0"/>
    <n v="0"/>
    <n v="0"/>
    <n v="0"/>
    <n v="0"/>
    <n v="0"/>
    <n v="0"/>
    <n v="0"/>
    <n v="0"/>
    <n v="1255322.7729538553"/>
    <n v="0"/>
    <n v="0"/>
    <n v="0"/>
    <n v="0"/>
    <n v="1255322.7729538553"/>
    <n v="0.22023206543050095"/>
    <s v="Field Asset"/>
    <n v="1.5702546265194717"/>
    <s v="YES"/>
    <x v="0"/>
    <s v="YES"/>
  </r>
  <r>
    <x v="1"/>
    <s v="Distribution and transmission line defect detection sensors"/>
    <s v="Trial"/>
    <s v="Prevention"/>
    <n v="3800000"/>
    <n v="40000"/>
    <s v="Assume same as Fault prediction engine - sharing benefits. Opex for comms or SaaS subscription assume 40 sites"/>
    <n v="2E-3"/>
    <n v="2E-3"/>
    <n v="2E-3"/>
    <n v="2E-3"/>
    <n v="0"/>
    <n v="0"/>
    <n v="0"/>
    <n v="0"/>
    <n v="0"/>
    <n v="0.01"/>
    <n v="0"/>
    <n v="5.0000000000000001E-3"/>
    <n v="1.7142857142857144E-3"/>
    <n v="0"/>
    <n v="0"/>
    <n v="0"/>
    <n v="0"/>
    <n v="0"/>
    <n v="0"/>
    <n v="72989.889947440592"/>
    <n v="52493.191896146105"/>
    <n v="10189.974215964734"/>
    <n v="62898.306635073524"/>
    <n v="0"/>
    <n v="0"/>
    <n v="0"/>
    <n v="0"/>
    <n v="0"/>
    <n v="85000"/>
    <n v="0"/>
    <n v="150000"/>
    <n v="216000.00000000003"/>
    <n v="0"/>
    <n v="0"/>
    <n v="0"/>
    <n v="0"/>
    <n v="0"/>
    <n v="0"/>
    <n v="198571.36269462496"/>
    <n v="85000"/>
    <n v="150000"/>
    <n v="216000.00000000003"/>
    <n v="0"/>
    <n v="649571.36269462493"/>
    <n v="0.1709398322880592"/>
    <s v="Field Asset"/>
    <n v="1.2188010042138622"/>
    <s v="YES"/>
    <x v="0"/>
    <s v="YES"/>
  </r>
  <r>
    <x v="0"/>
    <s v="Smart Meter Enquiry OT integration systems"/>
    <s v="Pilot"/>
    <s v="none"/>
    <n v="950000"/>
    <n v="10000"/>
    <s v="Meter enquiry roll-out integration e.g less truck rolls (Assuming 1% EMSO callouts = 700 tasks avoided @ 200 per visit) &amp; better planning (i.e complaint response)"/>
    <n v="0"/>
    <n v="0"/>
    <n v="0"/>
    <n v="0"/>
    <n v="2.5000000000000001E-3"/>
    <n v="0"/>
    <n v="0"/>
    <n v="0"/>
    <n v="0"/>
    <n v="0"/>
    <n v="0"/>
    <n v="4.7499999999999999E-3"/>
    <n v="0"/>
    <n v="0"/>
    <n v="0"/>
    <n v="0"/>
    <n v="0"/>
    <n v="0"/>
    <n v="4.2000000000000002E-4"/>
    <n v="0"/>
    <n v="0"/>
    <n v="0"/>
    <n v="0"/>
    <n v="69500"/>
    <n v="0"/>
    <n v="0"/>
    <n v="0"/>
    <n v="0"/>
    <n v="0"/>
    <n v="0"/>
    <n v="142500"/>
    <n v="0"/>
    <n v="0"/>
    <n v="0"/>
    <n v="0"/>
    <n v="0"/>
    <n v="0"/>
    <n v="16632"/>
    <n v="0"/>
    <n v="69500"/>
    <n v="142500"/>
    <n v="0"/>
    <n v="16632"/>
    <n v="228632"/>
    <n v="0.24066526315789474"/>
    <s v="System"/>
    <n v="1.0926202947368422"/>
    <s v="YES"/>
    <x v="1"/>
    <s v="YES"/>
  </r>
  <r>
    <x v="2"/>
    <s v="Local Autonomous Networks (smart islanding)"/>
    <s v="Trial"/>
    <s v="Recovery"/>
    <n v="3375000"/>
    <n v="75000"/>
    <s v="Reduced EUE and energy losses. Fire safety benefits when applied in bushfire prone areas"/>
    <n v="0"/>
    <n v="0"/>
    <n v="0"/>
    <n v="0"/>
    <n v="0"/>
    <n v="0"/>
    <n v="0"/>
    <n v="0"/>
    <n v="0"/>
    <n v="0"/>
    <n v="0"/>
    <n v="0"/>
    <n v="3.5000000000000001E-3"/>
    <n v="0"/>
    <n v="0"/>
    <n v="0"/>
    <n v="0"/>
    <n v="0"/>
    <n v="0"/>
    <n v="0"/>
    <n v="0"/>
    <n v="0"/>
    <n v="0"/>
    <n v="0"/>
    <n v="0"/>
    <n v="0"/>
    <n v="0"/>
    <n v="0"/>
    <n v="0"/>
    <n v="0"/>
    <n v="0"/>
    <n v="441000"/>
    <n v="0"/>
    <n v="0"/>
    <n v="0"/>
    <n v="0"/>
    <n v="0"/>
    <n v="0"/>
    <n v="0"/>
    <n v="0"/>
    <n v="0"/>
    <n v="441000"/>
    <n v="0"/>
    <n v="441000"/>
    <n v="0.13066666666666665"/>
    <s v="Field Asset"/>
    <n v="0.93165333333333322"/>
    <s v="NO"/>
    <x v="0"/>
    <s v="YES"/>
  </r>
  <r>
    <x v="3"/>
    <s v="Online thermal monitoring system"/>
    <s v="Trial"/>
    <s v="Prevention"/>
    <n v="1350000"/>
    <n v="30000"/>
    <s v="Reduce risk of fire or property damage. Potentially increase utilisation / reduce unserved enegy / maintain assets better"/>
    <n v="0"/>
    <n v="2.9999999999999997E-4"/>
    <n v="2.9999999999999997E-4"/>
    <n v="0"/>
    <n v="0"/>
    <n v="4.0000000000000002E-4"/>
    <n v="0"/>
    <n v="4.0000000000000002E-4"/>
    <n v="0"/>
    <n v="4.0000000000000002E-4"/>
    <n v="0"/>
    <n v="0"/>
    <n v="2.0000000000000001E-4"/>
    <n v="0"/>
    <n v="0"/>
    <n v="0"/>
    <n v="0"/>
    <n v="0"/>
    <n v="0"/>
    <n v="0"/>
    <n v="7873.9787844219145"/>
    <n v="1528.49613239471"/>
    <n v="0"/>
    <n v="0"/>
    <n v="18800"/>
    <n v="0"/>
    <n v="122000"/>
    <n v="0"/>
    <n v="3400"/>
    <n v="0"/>
    <n v="0"/>
    <n v="25200"/>
    <n v="0"/>
    <n v="0"/>
    <n v="0"/>
    <n v="0"/>
    <n v="0"/>
    <n v="0"/>
    <n v="9402.4749168166236"/>
    <n v="144200"/>
    <n v="0"/>
    <n v="25200"/>
    <n v="0"/>
    <n v="178802.47491681663"/>
    <n v="0.13244627771616047"/>
    <s v="Field Asset"/>
    <n v="0.94434196011622407"/>
    <s v="NO"/>
    <x v="0"/>
    <s v="YES"/>
  </r>
  <r>
    <x v="2"/>
    <s v="Retrofit of kiosk voltage sensors"/>
    <s v="Pilot"/>
    <s v="Recovery"/>
    <n v="2700000"/>
    <n v="60000"/>
    <s v="Visibility benefits supporting other line items (CVR, state estimation, etc - divided across key visibility line items). Opex for 50 site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0.14351851851851852"/>
    <s v="Field Asset"/>
    <n v="1.0232870370370371"/>
    <s v="NO"/>
    <x v="1"/>
    <s v="YES"/>
  </r>
  <r>
    <x v="3"/>
    <s v="High Voltage Microgrid"/>
    <s v="Pilot"/>
    <s v="Prevention"/>
    <n v="4750000"/>
    <n v="50000"/>
    <s v="Based on prior HV Microgrid CBA analysis"/>
    <n v="0"/>
    <n v="4.0000000000000001E-3"/>
    <n v="0"/>
    <n v="0"/>
    <n v="0"/>
    <n v="0"/>
    <n v="0"/>
    <n v="0"/>
    <n v="0"/>
    <n v="0"/>
    <n v="0"/>
    <n v="1.5E-3"/>
    <n v="2.5000000000000001E-3"/>
    <n v="0"/>
    <n v="0"/>
    <n v="0"/>
    <n v="0"/>
    <n v="1E-3"/>
    <n v="0"/>
    <n v="0"/>
    <n v="104986.38379229221"/>
    <n v="0"/>
    <n v="0"/>
    <n v="0"/>
    <n v="0"/>
    <n v="0"/>
    <n v="0"/>
    <n v="0"/>
    <n v="0"/>
    <n v="0"/>
    <n v="45000"/>
    <n v="315000"/>
    <n v="0"/>
    <n v="0"/>
    <n v="0"/>
    <n v="0"/>
    <n v="76500"/>
    <n v="0"/>
    <n v="104986.38379229221"/>
    <n v="0"/>
    <n v="45000"/>
    <n v="315000"/>
    <n v="76500"/>
    <n v="541486.38379229221"/>
    <n v="0.11399713342995625"/>
    <s v="Field Asset"/>
    <n v="0.81279956135558806"/>
    <s v="NO"/>
    <x v="1"/>
    <s v="YES"/>
  </r>
  <r>
    <x v="3"/>
    <s v="Hydrogen turbine microgrid"/>
    <s v="Trial"/>
    <s v="Prevention"/>
    <n v="4750000"/>
    <n v="50000"/>
    <s v="Based on prior HV Microgrid CBA analysis"/>
    <n v="0"/>
    <n v="4.0000000000000001E-3"/>
    <n v="0"/>
    <n v="0"/>
    <n v="0"/>
    <n v="0"/>
    <n v="0"/>
    <n v="0"/>
    <n v="0"/>
    <n v="0"/>
    <n v="0"/>
    <n v="1.5E-3"/>
    <n v="2.5000000000000001E-3"/>
    <n v="0"/>
    <n v="0"/>
    <n v="0"/>
    <n v="0"/>
    <n v="1E-3"/>
    <n v="0"/>
    <n v="0"/>
    <n v="104986.38379229221"/>
    <n v="0"/>
    <n v="0"/>
    <n v="0"/>
    <n v="0"/>
    <n v="0"/>
    <n v="0"/>
    <n v="0"/>
    <n v="0"/>
    <n v="0"/>
    <n v="45000"/>
    <n v="315000"/>
    <n v="0"/>
    <n v="0"/>
    <n v="0"/>
    <n v="0"/>
    <n v="76500"/>
    <n v="0"/>
    <n v="104986.38379229221"/>
    <n v="0"/>
    <n v="45000"/>
    <n v="315000"/>
    <n v="76500"/>
    <n v="541486.38379229221"/>
    <n v="0.11399713342995625"/>
    <s v="Field Asset"/>
    <n v="0.81279956135558806"/>
    <s v="NO"/>
    <x v="0"/>
    <s v="YES"/>
  </r>
  <r>
    <x v="3"/>
    <s v="Conductor movement sensor trials"/>
    <s v="Trial"/>
    <s v="Prevention"/>
    <n v="450000"/>
    <n v="10000"/>
    <s v="Safety risk reduction, improved ratings &amp; asset lifespan, reliability. Opex for comms or SaaS subscription assume 20 sites"/>
    <n v="0"/>
    <n v="1E-4"/>
    <n v="1E-4"/>
    <n v="0"/>
    <n v="0"/>
    <n v="1E-4"/>
    <n v="0"/>
    <n v="1E-4"/>
    <n v="0"/>
    <n v="1E-4"/>
    <n v="0"/>
    <n v="0"/>
    <n v="1E-4"/>
    <n v="0"/>
    <n v="0"/>
    <n v="0"/>
    <n v="0"/>
    <n v="0"/>
    <n v="0"/>
    <n v="0"/>
    <n v="2624.6595948073054"/>
    <n v="509.49871079823674"/>
    <n v="0"/>
    <n v="0"/>
    <n v="4700"/>
    <n v="0"/>
    <n v="30500"/>
    <n v="0"/>
    <n v="850"/>
    <n v="0"/>
    <n v="0"/>
    <n v="12600"/>
    <n v="0"/>
    <n v="0"/>
    <n v="0"/>
    <n v="0"/>
    <n v="0"/>
    <n v="0"/>
    <n v="3134.1583056055424"/>
    <n v="36050"/>
    <n v="0"/>
    <n v="12600"/>
    <n v="0"/>
    <n v="51784.158305605539"/>
    <n v="0.11507590734579008"/>
    <s v="Field Asset"/>
    <n v="0.8204912193754833"/>
    <s v="NO"/>
    <x v="0"/>
    <s v="YES"/>
  </r>
  <r>
    <x v="2"/>
    <s v="PT monitoring device (Retrofit)"/>
    <s v="Pilot"/>
    <s v="Recovery"/>
    <n v="3375000"/>
    <n v="75000"/>
    <s v="Visibility benefits supporting other line items (CVR, state estimation, etc - divided across key visibility line item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0.11481481481481481"/>
    <s v="Field Asset"/>
    <n v="0.8186296296296296"/>
    <s v="NO"/>
    <x v="1"/>
    <s v="YES"/>
  </r>
  <r>
    <x v="2"/>
    <s v="Kiosk with integrated battery"/>
    <s v="Trial"/>
    <s v="none"/>
    <n v="950000"/>
    <n v="10000"/>
    <s v="Provides network support, customer solar storage, FACS/market arbitrage, in line with community battery analysis"/>
    <n v="0"/>
    <n v="0"/>
    <n v="0"/>
    <n v="0"/>
    <n v="0"/>
    <n v="6.9999999999999999E-4"/>
    <n v="0"/>
    <n v="0"/>
    <n v="0"/>
    <n v="0"/>
    <n v="0"/>
    <n v="0"/>
    <n v="0"/>
    <n v="0"/>
    <n v="1.8E-3"/>
    <n v="0"/>
    <n v="0"/>
    <n v="0"/>
    <n v="0"/>
    <n v="0"/>
    <n v="0"/>
    <n v="0"/>
    <n v="0"/>
    <n v="0"/>
    <n v="32900"/>
    <n v="0"/>
    <n v="0"/>
    <n v="0"/>
    <n v="0"/>
    <n v="0"/>
    <n v="0"/>
    <n v="0"/>
    <n v="0"/>
    <n v="74520"/>
    <n v="0"/>
    <n v="0"/>
    <n v="0"/>
    <n v="0"/>
    <n v="0"/>
    <n v="32900"/>
    <n v="0"/>
    <n v="0"/>
    <n v="74520"/>
    <n v="107420"/>
    <n v="0.11307368421052631"/>
    <s v="Field Asset"/>
    <n v="0.80621536842105257"/>
    <s v="NO"/>
    <x v="1"/>
    <s v="YES"/>
  </r>
  <r>
    <x v="3"/>
    <s v="Conductor sag detection"/>
    <s v="Trial"/>
    <s v="Prevention"/>
    <n v="180000"/>
    <n v="9000"/>
    <s v="Similar to span movement monitors. Opex for comms or SaaS subscription assume 10 sites"/>
    <n v="0"/>
    <n v="0"/>
    <n v="0"/>
    <n v="0"/>
    <n v="0"/>
    <n v="0"/>
    <n v="0"/>
    <n v="0"/>
    <n v="0"/>
    <n v="0"/>
    <n v="0"/>
    <n v="4.1666666666666669E-4"/>
    <n v="4.1666666666666665E-5"/>
    <n v="0"/>
    <n v="0"/>
    <n v="0"/>
    <n v="0"/>
    <n v="0"/>
    <n v="0"/>
    <n v="0"/>
    <n v="0"/>
    <n v="0"/>
    <n v="0"/>
    <n v="0"/>
    <n v="0"/>
    <n v="0"/>
    <n v="0"/>
    <n v="0"/>
    <n v="0"/>
    <n v="0"/>
    <n v="12500"/>
    <n v="5250"/>
    <n v="0"/>
    <n v="0"/>
    <n v="0"/>
    <n v="0"/>
    <n v="0"/>
    <n v="0"/>
    <n v="0"/>
    <n v="0"/>
    <n v="12500"/>
    <n v="5250"/>
    <n v="0"/>
    <n v="17750"/>
    <n v="9.8611111111111108E-2"/>
    <s v="Field Asset"/>
    <n v="0.70309722222222215"/>
    <s v="NO"/>
    <x v="1"/>
    <s v="YES"/>
  </r>
  <r>
    <x v="1"/>
    <s v="Low voltage &quot;softbridge&quot; type automated switches"/>
    <s v="Trial"/>
    <s v="none"/>
    <n v="1250000"/>
    <n v="0"/>
    <s v="Trial 50 switches - allow reconfiguration of LV distributor to resolve safety, voltage constraints and unserved energy"/>
    <n v="8.6805555555555559E-5"/>
    <n v="0"/>
    <n v="8.6805555555555559E-5"/>
    <n v="0"/>
    <n v="0"/>
    <n v="0"/>
    <n v="0"/>
    <n v="0"/>
    <n v="0"/>
    <n v="0"/>
    <n v="0"/>
    <n v="1E-3"/>
    <n v="5.2083333333333333E-4"/>
    <n v="0"/>
    <n v="0"/>
    <n v="0"/>
    <n v="0"/>
    <n v="0"/>
    <n v="0"/>
    <n v="3167.9639734132202"/>
    <n v="0"/>
    <n v="442.2731864568027"/>
    <n v="0"/>
    <n v="0"/>
    <n v="0"/>
    <n v="0"/>
    <n v="0"/>
    <n v="0"/>
    <n v="0"/>
    <n v="0"/>
    <n v="30000"/>
    <n v="65625"/>
    <n v="0"/>
    <n v="0"/>
    <n v="0"/>
    <n v="0"/>
    <n v="0"/>
    <n v="0"/>
    <n v="3610.2371598700229"/>
    <n v="0"/>
    <n v="30000"/>
    <n v="65625"/>
    <n v="0"/>
    <n v="99235.237159870027"/>
    <n v="7.9388189727896019E-2"/>
    <s v="Field Asset"/>
    <n v="0.56603779275989863"/>
    <s v="NO"/>
    <x v="1"/>
    <s v="YES"/>
  </r>
  <r>
    <x v="2"/>
    <s v="Kiosk monitoring device (Retrofit)"/>
    <s v="Pilot"/>
    <s v="Recovery"/>
    <n v="5400000"/>
    <n v="120000"/>
    <s v="Visibility benefits supporting other line items (CVR, state estimation, etc - divided across key visibility line items)"/>
    <n v="0"/>
    <n v="0"/>
    <n v="0"/>
    <n v="0"/>
    <n v="2.5000000000000001E-3"/>
    <n v="0"/>
    <n v="0"/>
    <n v="0"/>
    <n v="0"/>
    <n v="0"/>
    <n v="0"/>
    <n v="2.5000000000000001E-3"/>
    <n v="2.5000000000000001E-4"/>
    <n v="0"/>
    <n v="2.5000000000000001E-4"/>
    <n v="0"/>
    <n v="0"/>
    <n v="2.5000000000000001E-3"/>
    <n v="2.5000000000000001E-4"/>
    <n v="0"/>
    <n v="0"/>
    <n v="0"/>
    <n v="0"/>
    <n v="69500"/>
    <n v="0"/>
    <n v="0"/>
    <n v="0"/>
    <n v="0"/>
    <n v="0"/>
    <n v="0"/>
    <n v="75000"/>
    <n v="31500"/>
    <n v="0"/>
    <n v="10350"/>
    <n v="0"/>
    <n v="0"/>
    <n v="191250"/>
    <n v="9900"/>
    <n v="0"/>
    <n v="69500"/>
    <n v="75000"/>
    <n v="31500"/>
    <n v="211500"/>
    <n v="387500"/>
    <n v="7.1759259259259259E-2"/>
    <s v="Field Asset"/>
    <n v="0.51164351851851853"/>
    <s v="NO"/>
    <x v="1"/>
    <s v="YES"/>
  </r>
  <r>
    <x v="0"/>
    <s v="Pilot customer energy resource integration into OT systems"/>
    <s v="Trial"/>
    <s v="none"/>
    <n v="950000"/>
    <n v="10000"/>
    <s v="Improves network utilisation"/>
    <n v="0"/>
    <n v="0"/>
    <n v="0"/>
    <n v="0"/>
    <n v="0"/>
    <n v="1E-3"/>
    <n v="0"/>
    <n v="0"/>
    <n v="0"/>
    <n v="0"/>
    <n v="0"/>
    <n v="0"/>
    <n v="0"/>
    <n v="0"/>
    <n v="0"/>
    <n v="0"/>
    <n v="0"/>
    <n v="0"/>
    <n v="0"/>
    <n v="0"/>
    <n v="0"/>
    <n v="0"/>
    <n v="0"/>
    <n v="0"/>
    <n v="47000"/>
    <n v="0"/>
    <n v="0"/>
    <n v="0"/>
    <n v="0"/>
    <n v="0"/>
    <n v="0"/>
    <n v="0"/>
    <n v="0"/>
    <n v="0"/>
    <n v="0"/>
    <n v="0"/>
    <n v="0"/>
    <n v="0"/>
    <n v="0"/>
    <n v="47000"/>
    <n v="0"/>
    <n v="0"/>
    <n v="0"/>
    <n v="47000"/>
    <n v="4.9473684210526316E-2"/>
    <s v="System"/>
    <n v="0.22461052631578948"/>
    <s v="NO"/>
    <x v="1"/>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D06D1D-7B7A-4611-95ED-BE6E5BDAE129}" name="PivotTable1" cacheId="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5:I10" firstHeaderRow="0" firstDataRow="1" firstDataCol="1"/>
  <pivotFields count="55">
    <pivotField axis="axisRow" showAll="0">
      <items count="11">
        <item m="1" x="5"/>
        <item m="1" x="7"/>
        <item m="1" x="4"/>
        <item m="1" x="8"/>
        <item m="1" x="6"/>
        <item x="0"/>
        <item x="1"/>
        <item m="1" x="9"/>
        <item x="3"/>
        <item x="2"/>
        <item t="default"/>
      </items>
    </pivotField>
    <pivotField showAll="0"/>
    <pivotField showAll="0"/>
    <pivotField showAll="0"/>
    <pivotField dataField="1" numFmtId="169" showAll="0"/>
    <pivotField dataField="1" numFmtId="16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numFmtId="10" showAll="0"/>
    <pivotField numFmtId="10"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dataField="1" numFmtId="169" showAll="0"/>
    <pivotField dataField="1" numFmtId="169" showAll="0"/>
    <pivotField dataField="1" numFmtId="169" showAll="0"/>
    <pivotField dataField="1" numFmtId="169" showAll="0"/>
    <pivotField dataField="1" numFmtId="169" showAll="0"/>
    <pivotField numFmtId="171" showAll="0"/>
    <pivotField numFmtId="2" showAll="0"/>
    <pivotField showAll="0"/>
    <pivotField numFmtId="2" showAll="0"/>
    <pivotField showAll="0"/>
  </pivotFields>
  <rowFields count="1">
    <field x="0"/>
  </rowFields>
  <rowItems count="5">
    <i>
      <x v="5"/>
    </i>
    <i>
      <x v="6"/>
    </i>
    <i>
      <x v="8"/>
    </i>
    <i>
      <x v="9"/>
    </i>
    <i t="grand">
      <x/>
    </i>
  </rowItems>
  <colFields count="1">
    <field x="-2"/>
  </colFields>
  <colItems count="7">
    <i>
      <x/>
    </i>
    <i i="1">
      <x v="1"/>
    </i>
    <i i="2">
      <x v="2"/>
    </i>
    <i i="3">
      <x v="3"/>
    </i>
    <i i="4">
      <x v="4"/>
    </i>
    <i i="5">
      <x v="5"/>
    </i>
    <i i="6">
      <x v="6"/>
    </i>
  </colItems>
  <dataFields count="7">
    <dataField name="Sum of Safety Benefit" fld="45" baseField="0" baseItem="0"/>
    <dataField name="Sum of Capex Benefit" fld="46" baseField="0" baseItem="0"/>
    <dataField name="Sum of Opex Benefit" fld="47" baseField="0" baseItem="0"/>
    <dataField name="Sum of EUE Benefit" fld="48" baseField="0" baseItem="0"/>
    <dataField name="Sum of Other Market Benefit" fld="49" baseField="0" baseItem="0"/>
    <dataField name="Sum of Total Refined Capex Cost" fld="4" baseField="0" baseItem="0"/>
    <dataField name="Sum of Annual Opex (end state)" fld="5" baseField="0" baseItem="0"/>
  </dataFields>
  <formats count="24">
    <format dxfId="45">
      <pivotArea outline="0" collapsedLevelsAreSubtotals="1" fieldPosition="0"/>
    </format>
    <format dxfId="44">
      <pivotArea field="0" type="button" dataOnly="0" labelOnly="1" outline="0" axis="axisRow" fieldPosition="0"/>
    </format>
    <format dxfId="43">
      <pivotArea dataOnly="0" labelOnly="1" fieldPosition="0">
        <references count="1">
          <reference field="0" count="0"/>
        </references>
      </pivotArea>
    </format>
    <format dxfId="42">
      <pivotArea dataOnly="0" labelOnly="1" grandRow="1" outline="0" fieldPosition="0"/>
    </format>
    <format dxfId="41">
      <pivotArea type="all" dataOnly="0" outline="0" fieldPosition="0"/>
    </format>
    <format dxfId="40">
      <pivotArea outline="0" collapsedLevelsAreSubtotals="1" fieldPosition="0"/>
    </format>
    <format dxfId="39">
      <pivotArea dataOnly="0" labelOnly="1" outline="0" fieldPosition="0">
        <references count="1">
          <reference field="4294967294" count="6">
            <x v="0"/>
            <x v="1"/>
            <x v="2"/>
            <x v="3"/>
            <x v="4"/>
            <x v="5"/>
          </reference>
        </references>
      </pivotArea>
    </format>
    <format dxfId="38">
      <pivotArea outline="0" collapsedLevelsAreSubtotals="1" fieldPosition="0">
        <references count="1">
          <reference field="4294967294" count="1" selected="0">
            <x v="0"/>
          </reference>
        </references>
      </pivotArea>
    </format>
    <format dxfId="37">
      <pivotArea dataOnly="0" labelOnly="1" outline="0" fieldPosition="0">
        <references count="1">
          <reference field="4294967294" count="1">
            <x v="0"/>
          </reference>
        </references>
      </pivotArea>
    </format>
    <format dxfId="36">
      <pivotArea field="0" type="button" dataOnly="0" labelOnly="1" outline="0" axis="axisRow" fieldPosition="0"/>
    </format>
    <format dxfId="35">
      <pivotArea dataOnly="0" labelOnly="1" fieldPosition="0">
        <references count="1">
          <reference field="0" count="0"/>
        </references>
      </pivotArea>
    </format>
    <format dxfId="34">
      <pivotArea dataOnly="0" labelOnly="1" grandRow="1" outline="0" fieldPosition="0"/>
    </format>
    <format dxfId="33">
      <pivotArea type="all" dataOnly="0" outline="0" fieldPosition="0"/>
    </format>
    <format dxfId="32">
      <pivotArea outline="0" collapsedLevelsAreSubtotals="1" fieldPosition="0"/>
    </format>
    <format dxfId="31">
      <pivotArea field="0" type="button" dataOnly="0" labelOnly="1" outline="0" axis="axisRow" fieldPosition="0"/>
    </format>
    <format dxfId="30">
      <pivotArea dataOnly="0" labelOnly="1" fieldPosition="0">
        <references count="1">
          <reference field="0" count="0"/>
        </references>
      </pivotArea>
    </format>
    <format dxfId="29">
      <pivotArea dataOnly="0" labelOnly="1" grandRow="1" outline="0" fieldPosition="0"/>
    </format>
    <format dxfId="28">
      <pivotArea dataOnly="0" labelOnly="1" outline="0" fieldPosition="0">
        <references count="1">
          <reference field="4294967294" count="6">
            <x v="0"/>
            <x v="1"/>
            <x v="2"/>
            <x v="3"/>
            <x v="4"/>
            <x v="5"/>
          </reference>
        </references>
      </pivotArea>
    </format>
    <format dxfId="27">
      <pivotArea type="all" dataOnly="0" outline="0" fieldPosition="0"/>
    </format>
    <format dxfId="26">
      <pivotArea outline="0" collapsedLevelsAreSubtotals="1" fieldPosition="0"/>
    </format>
    <format dxfId="25">
      <pivotArea field="0" type="button" dataOnly="0" labelOnly="1" outline="0" axis="axisRow" fieldPosition="0"/>
    </format>
    <format dxfId="24">
      <pivotArea dataOnly="0" labelOnly="1" fieldPosition="0">
        <references count="1">
          <reference field="0" count="0"/>
        </references>
      </pivotArea>
    </format>
    <format dxfId="23">
      <pivotArea dataOnly="0" labelOnly="1" grandRow="1" outline="0" fieldPosition="0"/>
    </format>
    <format dxfId="22">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B00546A-E264-44FE-876C-9AF20688D704}" name="PivotTable10"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28:I33" firstHeaderRow="0" firstDataRow="1" firstDataCol="1" rowPageCount="1" colPageCount="1"/>
  <pivotFields count="57">
    <pivotField axis="axisRow" showAll="0">
      <items count="6">
        <item x="0"/>
        <item x="1"/>
        <item m="1" x="4"/>
        <item x="3"/>
        <item x="2"/>
        <item t="default"/>
      </items>
    </pivotField>
    <pivotField showAll="0"/>
    <pivotField showAll="0"/>
    <pivotField showAll="0"/>
    <pivotField dataField="1" numFmtId="169" showAll="0"/>
    <pivotField dataField="1" numFmtId="16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numFmtId="10" showAll="0"/>
    <pivotField numFmtId="10"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dataField="1" numFmtId="169" showAll="0"/>
    <pivotField dataField="1" numFmtId="169" showAll="0"/>
    <pivotField dataField="1" numFmtId="169" showAll="0"/>
    <pivotField dataField="1" numFmtId="169" showAll="0"/>
    <pivotField dataField="1" numFmtId="169" showAll="0"/>
    <pivotField numFmtId="171" showAll="0"/>
    <pivotField numFmtId="2" showAll="0"/>
    <pivotField showAll="0"/>
    <pivotField numFmtId="2" showAll="0"/>
    <pivotField showAll="0"/>
    <pivotField axis="axisPage" showAll="0">
      <items count="3">
        <item x="1"/>
        <item x="0"/>
        <item t="default"/>
      </items>
    </pivotField>
    <pivotField showAll="0"/>
  </pivotFields>
  <rowFields count="1">
    <field x="0"/>
  </rowFields>
  <rowItems count="5">
    <i>
      <x/>
    </i>
    <i>
      <x v="1"/>
    </i>
    <i>
      <x v="3"/>
    </i>
    <i>
      <x v="4"/>
    </i>
    <i t="grand">
      <x/>
    </i>
  </rowItems>
  <colFields count="1">
    <field x="-2"/>
  </colFields>
  <colItems count="7">
    <i>
      <x/>
    </i>
    <i i="1">
      <x v="1"/>
    </i>
    <i i="2">
      <x v="2"/>
    </i>
    <i i="3">
      <x v="3"/>
    </i>
    <i i="4">
      <x v="4"/>
    </i>
    <i i="5">
      <x v="5"/>
    </i>
    <i i="6">
      <x v="6"/>
    </i>
  </colItems>
  <pageFields count="1">
    <pageField fld="55" item="1" hier="-1"/>
  </pageFields>
  <dataFields count="7">
    <dataField name="Sum of Safety Benefit" fld="45" baseField="0" baseItem="0"/>
    <dataField name="Sum of Capex Benefit" fld="46" baseField="0" baseItem="0"/>
    <dataField name="Sum of Opex Benefit" fld="47" baseField="0" baseItem="0"/>
    <dataField name="Sum of EUE Benefit" fld="48" baseField="0" baseItem="0"/>
    <dataField name="Sum of Other Market Benefit" fld="49" baseField="0" baseItem="0"/>
    <dataField name="Sum of Total Refined Capex Cost" fld="4" baseField="0" baseItem="0"/>
    <dataField name="Sum of Annual Opex (end state)" fld="5" baseField="0" baseItem="0"/>
  </dataFields>
  <formats count="24">
    <format dxfId="69">
      <pivotArea outline="0" collapsedLevelsAreSubtotals="1" fieldPosition="0"/>
    </format>
    <format dxfId="68">
      <pivotArea field="0" type="button" dataOnly="0" labelOnly="1" outline="0" axis="axisRow" fieldPosition="0"/>
    </format>
    <format dxfId="67">
      <pivotArea dataOnly="0" labelOnly="1" fieldPosition="0">
        <references count="1">
          <reference field="0" count="0"/>
        </references>
      </pivotArea>
    </format>
    <format dxfId="66">
      <pivotArea dataOnly="0" labelOnly="1" grandRow="1" outline="0" fieldPosition="0"/>
    </format>
    <format dxfId="65">
      <pivotArea type="all" dataOnly="0" outline="0" fieldPosition="0"/>
    </format>
    <format dxfId="64">
      <pivotArea outline="0" collapsedLevelsAreSubtotals="1" fieldPosition="0"/>
    </format>
    <format dxfId="63">
      <pivotArea dataOnly="0" labelOnly="1" outline="0" fieldPosition="0">
        <references count="1">
          <reference field="4294967294" count="6">
            <x v="0"/>
            <x v="1"/>
            <x v="2"/>
            <x v="3"/>
            <x v="4"/>
            <x v="5"/>
          </reference>
        </references>
      </pivotArea>
    </format>
    <format dxfId="62">
      <pivotArea outline="0" collapsedLevelsAreSubtotals="1" fieldPosition="0">
        <references count="1">
          <reference field="4294967294" count="1" selected="0">
            <x v="0"/>
          </reference>
        </references>
      </pivotArea>
    </format>
    <format dxfId="61">
      <pivotArea dataOnly="0" labelOnly="1" outline="0" fieldPosition="0">
        <references count="1">
          <reference field="4294967294" count="1">
            <x v="0"/>
          </reference>
        </references>
      </pivotArea>
    </format>
    <format dxfId="60">
      <pivotArea field="0" type="button" dataOnly="0" labelOnly="1" outline="0" axis="axisRow" fieldPosition="0"/>
    </format>
    <format dxfId="59">
      <pivotArea dataOnly="0" labelOnly="1" fieldPosition="0">
        <references count="1">
          <reference field="0" count="0"/>
        </references>
      </pivotArea>
    </format>
    <format dxfId="58">
      <pivotArea dataOnly="0" labelOnly="1" grandRow="1" outline="0" fieldPosition="0"/>
    </format>
    <format dxfId="57">
      <pivotArea type="all" dataOnly="0" outline="0" fieldPosition="0"/>
    </format>
    <format dxfId="56">
      <pivotArea outline="0" collapsedLevelsAreSubtotals="1" fieldPosition="0"/>
    </format>
    <format dxfId="55">
      <pivotArea field="0" type="button" dataOnly="0" labelOnly="1" outline="0" axis="axisRow" fieldPosition="0"/>
    </format>
    <format dxfId="54">
      <pivotArea dataOnly="0" labelOnly="1" fieldPosition="0">
        <references count="1">
          <reference field="0" count="0"/>
        </references>
      </pivotArea>
    </format>
    <format dxfId="53">
      <pivotArea dataOnly="0" labelOnly="1" grandRow="1" outline="0" fieldPosition="0"/>
    </format>
    <format dxfId="52">
      <pivotArea dataOnly="0" labelOnly="1" outline="0" fieldPosition="0">
        <references count="1">
          <reference field="4294967294" count="6">
            <x v="0"/>
            <x v="1"/>
            <x v="2"/>
            <x v="3"/>
            <x v="4"/>
            <x v="5"/>
          </reference>
        </references>
      </pivotArea>
    </format>
    <format dxfId="51">
      <pivotArea type="all" dataOnly="0" outline="0" fieldPosition="0"/>
    </format>
    <format dxfId="50">
      <pivotArea outline="0" collapsedLevelsAreSubtotals="1" fieldPosition="0"/>
    </format>
    <format dxfId="49">
      <pivotArea field="0" type="button" dataOnly="0" labelOnly="1" outline="0" axis="axisRow" fieldPosition="0"/>
    </format>
    <format dxfId="48">
      <pivotArea dataOnly="0" labelOnly="1" fieldPosition="0">
        <references count="1">
          <reference field="0" count="0"/>
        </references>
      </pivotArea>
    </format>
    <format dxfId="47">
      <pivotArea dataOnly="0" labelOnly="1" grandRow="1" outline="0" fieldPosition="0"/>
    </format>
    <format dxfId="46">
      <pivotArea dataOnly="0" labelOnly="1" outline="0" fieldPosition="0">
        <references count="1">
          <reference field="4294967294" count="7">
            <x v="0"/>
            <x v="1"/>
            <x v="2"/>
            <x v="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2D098D-87F1-4708-9893-977A5BACCEDF}" name="PivotTable8" cacheId="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16:I21" firstHeaderRow="0" firstDataRow="1" firstDataCol="1" rowPageCount="1" colPageCount="1"/>
  <pivotFields count="55">
    <pivotField axis="axisRow" showAll="0">
      <items count="11">
        <item m="1" x="5"/>
        <item m="1" x="7"/>
        <item m="1" x="4"/>
        <item m="1" x="8"/>
        <item m="1" x="6"/>
        <item x="0"/>
        <item x="1"/>
        <item m="1" x="9"/>
        <item x="3"/>
        <item x="2"/>
        <item t="default"/>
      </items>
    </pivotField>
    <pivotField showAll="0"/>
    <pivotField showAll="0"/>
    <pivotField showAll="0"/>
    <pivotField dataField="1" numFmtId="169" showAll="0"/>
    <pivotField dataField="1" numFmtId="16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0" showAll="0"/>
    <pivotField numFmtId="10" showAll="0"/>
    <pivotField numFmtId="10"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numFmtId="169" showAll="0"/>
    <pivotField dataField="1" numFmtId="169" showAll="0"/>
    <pivotField dataField="1" numFmtId="169" showAll="0"/>
    <pivotField dataField="1" numFmtId="169" showAll="0"/>
    <pivotField dataField="1" numFmtId="169" showAll="0"/>
    <pivotField dataField="1" numFmtId="169" showAll="0"/>
    <pivotField numFmtId="171" showAll="0"/>
    <pivotField numFmtId="2" showAll="0"/>
    <pivotField showAll="0"/>
    <pivotField numFmtId="2" showAll="0"/>
    <pivotField axis="axisPage" showAll="0">
      <items count="3">
        <item x="1"/>
        <item x="0"/>
        <item t="default"/>
      </items>
    </pivotField>
  </pivotFields>
  <rowFields count="1">
    <field x="0"/>
  </rowFields>
  <rowItems count="5">
    <i>
      <x v="5"/>
    </i>
    <i>
      <x v="6"/>
    </i>
    <i>
      <x v="8"/>
    </i>
    <i>
      <x v="9"/>
    </i>
    <i t="grand">
      <x/>
    </i>
  </rowItems>
  <colFields count="1">
    <field x="-2"/>
  </colFields>
  <colItems count="7">
    <i>
      <x/>
    </i>
    <i i="1">
      <x v="1"/>
    </i>
    <i i="2">
      <x v="2"/>
    </i>
    <i i="3">
      <x v="3"/>
    </i>
    <i i="4">
      <x v="4"/>
    </i>
    <i i="5">
      <x v="5"/>
    </i>
    <i i="6">
      <x v="6"/>
    </i>
  </colItems>
  <pageFields count="1">
    <pageField fld="54" item="1" hier="-1"/>
  </pageFields>
  <dataFields count="7">
    <dataField name="Sum of Safety Benefit" fld="45" baseField="0" baseItem="0"/>
    <dataField name="Sum of Capex Benefit" fld="46" baseField="0" baseItem="0"/>
    <dataField name="Sum of Opex Benefit" fld="47" baseField="0" baseItem="0"/>
    <dataField name="Sum of EUE Benefit" fld="48" baseField="0" baseItem="0"/>
    <dataField name="Sum of Other Market Benefit" fld="49" baseField="0" baseItem="0"/>
    <dataField name="Sum of Total Refined Capex Cost" fld="4" baseField="0" baseItem="0"/>
    <dataField name="Sum of Annual Opex (end state)" fld="5" baseField="0" baseItem="0"/>
  </dataFields>
  <formats count="24">
    <format dxfId="93">
      <pivotArea outline="0" collapsedLevelsAreSubtotals="1" fieldPosition="0"/>
    </format>
    <format dxfId="92">
      <pivotArea field="0" type="button" dataOnly="0" labelOnly="1" outline="0" axis="axisRow" fieldPosition="0"/>
    </format>
    <format dxfId="91">
      <pivotArea dataOnly="0" labelOnly="1" fieldPosition="0">
        <references count="1">
          <reference field="0" count="0"/>
        </references>
      </pivotArea>
    </format>
    <format dxfId="90">
      <pivotArea dataOnly="0" labelOnly="1" grandRow="1" outline="0" fieldPosition="0"/>
    </format>
    <format dxfId="89">
      <pivotArea type="all" dataOnly="0" outline="0" fieldPosition="0"/>
    </format>
    <format dxfId="88">
      <pivotArea outline="0" collapsedLevelsAreSubtotals="1" fieldPosition="0"/>
    </format>
    <format dxfId="87">
      <pivotArea dataOnly="0" labelOnly="1" outline="0" fieldPosition="0">
        <references count="1">
          <reference field="4294967294" count="6">
            <x v="0"/>
            <x v="1"/>
            <x v="2"/>
            <x v="3"/>
            <x v="4"/>
            <x v="5"/>
          </reference>
        </references>
      </pivotArea>
    </format>
    <format dxfId="86">
      <pivotArea outline="0" collapsedLevelsAreSubtotals="1" fieldPosition="0">
        <references count="1">
          <reference field="4294967294" count="1" selected="0">
            <x v="0"/>
          </reference>
        </references>
      </pivotArea>
    </format>
    <format dxfId="85">
      <pivotArea dataOnly="0" labelOnly="1" outline="0" fieldPosition="0">
        <references count="1">
          <reference field="4294967294" count="1">
            <x v="0"/>
          </reference>
        </references>
      </pivotArea>
    </format>
    <format dxfId="84">
      <pivotArea field="0" type="button" dataOnly="0" labelOnly="1" outline="0" axis="axisRow" fieldPosition="0"/>
    </format>
    <format dxfId="83">
      <pivotArea dataOnly="0" labelOnly="1" fieldPosition="0">
        <references count="1">
          <reference field="0" count="0"/>
        </references>
      </pivotArea>
    </format>
    <format dxfId="82">
      <pivotArea dataOnly="0" labelOnly="1" grandRow="1" outline="0" fieldPosition="0"/>
    </format>
    <format dxfId="81">
      <pivotArea type="all" dataOnly="0" outline="0" fieldPosition="0"/>
    </format>
    <format dxfId="80">
      <pivotArea outline="0" collapsedLevelsAreSubtotals="1" fieldPosition="0"/>
    </format>
    <format dxfId="79">
      <pivotArea field="0" type="button" dataOnly="0" labelOnly="1" outline="0" axis="axisRow" fieldPosition="0"/>
    </format>
    <format dxfId="78">
      <pivotArea dataOnly="0" labelOnly="1" fieldPosition="0">
        <references count="1">
          <reference field="0" count="0"/>
        </references>
      </pivotArea>
    </format>
    <format dxfId="77">
      <pivotArea dataOnly="0" labelOnly="1" grandRow="1" outline="0" fieldPosition="0"/>
    </format>
    <format dxfId="76">
      <pivotArea dataOnly="0" labelOnly="1" outline="0" fieldPosition="0">
        <references count="1">
          <reference field="4294967294" count="6">
            <x v="0"/>
            <x v="1"/>
            <x v="2"/>
            <x v="3"/>
            <x v="4"/>
            <x v="5"/>
          </reference>
        </references>
      </pivotArea>
    </format>
    <format dxfId="75">
      <pivotArea type="all" dataOnly="0" outline="0" fieldPosition="0"/>
    </format>
    <format dxfId="74">
      <pivotArea outline="0" collapsedLevelsAreSubtotals="1" fieldPosition="0"/>
    </format>
    <format dxfId="73">
      <pivotArea field="0" type="button" dataOnly="0" labelOnly="1" outline="0" axis="axisRow" fieldPosition="0"/>
    </format>
    <format dxfId="72">
      <pivotArea dataOnly="0" labelOnly="1" fieldPosition="0">
        <references count="1">
          <reference field="0" count="0"/>
        </references>
      </pivotArea>
    </format>
    <format dxfId="71">
      <pivotArea dataOnly="0" labelOnly="1" grandRow="1" outline="0" fieldPosition="0"/>
    </format>
    <format dxfId="70">
      <pivotArea dataOnly="0" labelOnly="1" outline="0" fieldPosition="0">
        <references count="1">
          <reference field="4294967294" count="7">
            <x v="0"/>
            <x v="1"/>
            <x v="2"/>
            <x v="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86DB91-992C-48B0-8464-4455AE4A2765}" name="Table2" displayName="Table2" ref="B36:I40" totalsRowShown="0" headerRowDxfId="21" dataDxfId="20">
  <autoFilter ref="B36:I40" xr:uid="{0E86DB91-992C-48B0-8464-4455AE4A2765}"/>
  <tableColumns count="8">
    <tableColumn id="1" xr3:uid="{6E4DE941-28BF-4AC2-973E-6B1508B59424}" name="Phasing" dataDxfId="19" dataCellStyle="Normal 2"/>
    <tableColumn id="2" xr3:uid="{85C509D1-18C8-457E-9E58-F8092841FB38}" name="Assumptions" dataDxfId="18"/>
    <tableColumn id="3" xr3:uid="{374F1ECC-EDB3-480D-92E6-FE7EA5B9E535}" name="2025" dataDxfId="17"/>
    <tableColumn id="4" xr3:uid="{D7921894-14B3-460A-8D87-3264D00E3F50}" name="2026" dataDxfId="16"/>
    <tableColumn id="5" xr3:uid="{86F14A78-9B26-452C-A307-7A07AAC9F2AB}" name="2027" dataDxfId="15"/>
    <tableColumn id="6" xr3:uid="{8B645386-D0E3-4178-AFBC-050A603A0812}" name="2028" dataDxfId="14"/>
    <tableColumn id="7" xr3:uid="{39D1EDD9-F568-4ADD-A814-A01256AD2AC1}" name="2029" dataDxfId="13"/>
    <tableColumn id="8" xr3:uid="{A65854BE-A415-4BD3-BA47-4D42927D6572}" name="sum" dataDxfId="12">
      <calculatedColumnFormula>SUM(D37:H37)</calculatedColumn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83F9C8-E3C5-47F4-8A33-18726B3528AF}" name="Table3" displayName="Table3" ref="B43:I48" totalsRowShown="0" headerRowDxfId="11" dataDxfId="10" tableBorderDxfId="9" headerRowCellStyle="Normal 2" dataCellStyle="Normal 2">
  <autoFilter ref="B43:I48" xr:uid="{3A83F9C8-E3C5-47F4-8A33-18726B3528AF}"/>
  <tableColumns count="8">
    <tableColumn id="1" xr3:uid="{82F3E679-F175-4B0D-91D2-EEB58B8B862C}" name="FY22 - 24 Real Cost Escalation" dataDxfId="8" dataCellStyle="Normal 2"/>
    <tableColumn id="2" xr3:uid="{99E4D84F-59FE-42F3-9D35-BC95EC865C75}" name="Source" dataDxfId="7"/>
    <tableColumn id="3" xr3:uid="{C21BD0C0-3723-4A3F-AFF6-F86BFD91908C}" name="2025" dataDxfId="6" dataCellStyle="Normal 2"/>
    <tableColumn id="4" xr3:uid="{83D2B2F9-3BD1-4E50-9FC3-242DB0D992F3}" name="2026" dataDxfId="5" dataCellStyle="Normal 2"/>
    <tableColumn id="5" xr3:uid="{70E4E7AB-F09C-49C4-AA3F-C86B246928DC}" name="2027" dataDxfId="4" dataCellStyle="Normal 2"/>
    <tableColumn id="6" xr3:uid="{EA8300B3-7FB7-4569-9BF5-7871C2F9F4B4}" name="2028" dataDxfId="3" dataCellStyle="Normal 2"/>
    <tableColumn id="7" xr3:uid="{832DE1FA-506D-426E-B4C0-F69C6B00B0E6}" name="2029" dataDxfId="2" dataCellStyle="Normal 2"/>
    <tableColumn id="8" xr3:uid="{50EDB69F-D4E3-49BF-A906-86DB563FDE9E}" name="Total" dataDxfId="1" dataCellStyle="Normal 2"/>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20.bin"/><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1.bin"/><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2.bin"/><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3.bin"/><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4.bin"/><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5.bin"/><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6.bin"/><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7.bin"/><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8.bin"/><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9.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30.bin"/><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31.bin"/><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32.bin"/><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3.bin"/><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4.bin"/><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5.bin"/><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6.bin"/><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37.bin"/><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38.bin"/><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39.bin"/><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40.bin"/><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41.bin"/><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61E28-94C0-483B-BBBB-B9450023CF4B}">
  <sheetPr>
    <tabColor rgb="FF00B050"/>
  </sheetPr>
  <dimension ref="A25:H33"/>
  <sheetViews>
    <sheetView showGridLines="0" tabSelected="1" zoomScaleNormal="100" workbookViewId="0"/>
  </sheetViews>
  <sheetFormatPr defaultRowHeight="14.5" x14ac:dyDescent="0.35"/>
  <cols>
    <col min="1" max="1" width="4" customWidth="1"/>
  </cols>
  <sheetData>
    <row r="25" spans="1:8" x14ac:dyDescent="0.35">
      <c r="A25" s="97"/>
      <c r="B25" s="551">
        <v>45260</v>
      </c>
      <c r="C25" s="551"/>
      <c r="D25" s="97"/>
      <c r="E25" s="97"/>
      <c r="F25" s="97"/>
      <c r="G25" s="97"/>
      <c r="H25" s="97"/>
    </row>
    <row r="26" spans="1:8" x14ac:dyDescent="0.35">
      <c r="A26" s="97"/>
      <c r="B26" s="97"/>
      <c r="C26" s="97"/>
      <c r="D26" s="97"/>
      <c r="E26" s="97"/>
      <c r="F26" s="97"/>
      <c r="G26" s="97"/>
      <c r="H26" s="97"/>
    </row>
    <row r="27" spans="1:8" ht="17.5" x14ac:dyDescent="0.35">
      <c r="A27" s="97"/>
      <c r="B27" s="98" t="s">
        <v>81</v>
      </c>
      <c r="C27" s="97"/>
      <c r="D27" s="97"/>
      <c r="E27" s="97"/>
      <c r="F27" s="97"/>
      <c r="G27" s="97"/>
      <c r="H27" s="97"/>
    </row>
    <row r="28" spans="1:8" ht="13.5" customHeight="1" x14ac:dyDescent="0.35">
      <c r="A28" s="97"/>
      <c r="B28" s="98"/>
      <c r="C28" s="97"/>
      <c r="D28" s="97"/>
      <c r="E28" s="97"/>
      <c r="F28" s="97"/>
      <c r="G28" s="97"/>
      <c r="H28" s="97"/>
    </row>
    <row r="29" spans="1:8" x14ac:dyDescent="0.35">
      <c r="A29" s="97"/>
      <c r="B29" s="552" t="s">
        <v>82</v>
      </c>
      <c r="C29" s="552"/>
      <c r="D29" s="552"/>
      <c r="E29" s="552"/>
      <c r="F29" s="552"/>
      <c r="G29" s="552"/>
      <c r="H29" s="552"/>
    </row>
    <row r="30" spans="1:8" x14ac:dyDescent="0.35">
      <c r="A30" s="97"/>
      <c r="B30" s="552"/>
      <c r="C30" s="552"/>
      <c r="D30" s="552"/>
      <c r="E30" s="552"/>
      <c r="F30" s="552"/>
      <c r="G30" s="552"/>
      <c r="H30" s="552"/>
    </row>
    <row r="31" spans="1:8" x14ac:dyDescent="0.35">
      <c r="A31" s="97"/>
      <c r="B31" s="552"/>
      <c r="C31" s="552"/>
      <c r="D31" s="552"/>
      <c r="E31" s="552"/>
      <c r="F31" s="552"/>
      <c r="G31" s="552"/>
      <c r="H31" s="552"/>
    </row>
    <row r="32" spans="1:8" x14ac:dyDescent="0.35">
      <c r="A32" s="97"/>
      <c r="B32" s="552"/>
      <c r="C32" s="552"/>
      <c r="D32" s="552"/>
      <c r="E32" s="552"/>
      <c r="F32" s="552"/>
      <c r="G32" s="552"/>
      <c r="H32" s="552"/>
    </row>
    <row r="33" spans="1:1" x14ac:dyDescent="0.35">
      <c r="A33" s="97"/>
    </row>
  </sheetData>
  <mergeCells count="2">
    <mergeCell ref="B25:C25"/>
    <mergeCell ref="B29:H32"/>
  </mergeCells>
  <pageMargins left="0.7" right="0.7" top="0.75" bottom="0.75" header="0.3" footer="0.3"/>
  <customProperties>
    <customPr name="EpmWorksheetKeyString_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B5ACC-208F-4976-ADAF-C4B90E1D3778}">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8" width="11.453125" style="109" customWidth="1"/>
    <col min="9" max="9" width="11.54296875" style="109" customWidth="1"/>
    <col min="10" max="11" width="11.453125" style="109" customWidth="1"/>
    <col min="12" max="12" width="11.7265625" style="109" customWidth="1"/>
    <col min="13"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245</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171</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246</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247</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ht="23.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-1402425.5508922876</v>
      </c>
      <c r="J18" s="222"/>
      <c r="K18" s="220" t="s">
        <v>220</v>
      </c>
      <c r="L18" s="223">
        <f>SUM(F34:J34)</f>
        <v>1500000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10155262.248807123</v>
      </c>
      <c r="J19" s="127"/>
      <c r="K19" s="125" t="s">
        <v>223</v>
      </c>
      <c r="L19" s="225">
        <f>SUM(F36:J36)</f>
        <v>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8.241213084249555</v>
      </c>
      <c r="J20" s="127"/>
      <c r="K20" s="125" t="s">
        <v>225</v>
      </c>
      <c r="L20" s="225">
        <f>NPV($D$33,F39:T39)</f>
        <v>11557687.799699409</v>
      </c>
      <c r="N20" s="316" t="s">
        <v>226</v>
      </c>
      <c r="O20" s="316"/>
      <c r="P20" s="316"/>
      <c r="Q20" s="316"/>
      <c r="R20" s="317"/>
      <c r="S20" s="318"/>
      <c r="T20" s="319" t="s">
        <v>222</v>
      </c>
    </row>
    <row r="21" spans="2:20" ht="13.5" customHeight="1" thickBot="1" x14ac:dyDescent="0.35">
      <c r="B21" s="160" t="s">
        <v>23</v>
      </c>
      <c r="C21" s="182">
        <v>1</v>
      </c>
      <c r="D21" s="161">
        <v>0.18</v>
      </c>
      <c r="E21" s="162">
        <f>D21*C21</f>
        <v>0.18</v>
      </c>
      <c r="G21" s="194"/>
      <c r="H21" s="257" t="s">
        <v>166</v>
      </c>
      <c r="I21" s="258">
        <f>IFERROR(NPV($D$33,F39:T39)/NPV($D$33,F38:T38),"N/A")</f>
        <v>5.4941420561663694</v>
      </c>
      <c r="J21" s="226"/>
      <c r="K21" s="436" t="s">
        <v>228</v>
      </c>
      <c r="L21" s="439">
        <f>NPV($D$33,F39:J39)</f>
        <v>3885036.2395220008</v>
      </c>
      <c r="N21" s="570" t="s">
        <v>229</v>
      </c>
      <c r="O21" s="570"/>
      <c r="P21" s="570"/>
      <c r="Q21" s="570"/>
      <c r="R21" s="570"/>
      <c r="S21" s="164"/>
      <c r="T21" s="165"/>
    </row>
    <row r="22" spans="2:20" ht="13.5" customHeight="1" x14ac:dyDescent="0.3">
      <c r="B22" s="160" t="s">
        <v>230</v>
      </c>
      <c r="C22" s="182">
        <v>1</v>
      </c>
      <c r="D22" s="161">
        <v>0.17</v>
      </c>
      <c r="E22" s="162">
        <f>D22*C22</f>
        <v>0.17</v>
      </c>
      <c r="L22" s="218"/>
    </row>
    <row r="23" spans="2:20" ht="13.5" customHeight="1" x14ac:dyDescent="0.3">
      <c r="B23" s="117" t="s">
        <v>229</v>
      </c>
      <c r="C23" s="117"/>
      <c r="D23" s="164">
        <f>SUM(D18:D22)</f>
        <v>0.99999999999999989</v>
      </c>
      <c r="E23" s="165">
        <f>SUM(E18:E22)</f>
        <v>2.23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3</v>
      </c>
      <c r="E27" s="112"/>
      <c r="F27" s="227">
        <v>1</v>
      </c>
      <c r="G27" s="227">
        <v>1</v>
      </c>
      <c r="H27" s="227">
        <v>1</v>
      </c>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IF($E$100="Per Unit",F102,F107)</f>
        <v>500000</v>
      </c>
      <c r="G34" s="140">
        <f t="shared" ref="G34:T34" si="0">IF($E$100="Per Unit",G102,G107)</f>
        <v>500000</v>
      </c>
      <c r="H34" s="140">
        <f t="shared" si="0"/>
        <v>500000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750000</v>
      </c>
      <c r="G35" s="140">
        <f>G34*(1+'Inputs and assumptions'!$C$7)</f>
        <v>750000</v>
      </c>
      <c r="H35" s="140">
        <f>H34*(1+'Inputs and assumptions'!$C$7)</f>
        <v>750000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-1402425.5508922876</v>
      </c>
      <c r="E37" s="248"/>
      <c r="F37" s="144">
        <f t="shared" ref="F37:T37" si="2">-F34-F36</f>
        <v>-500000</v>
      </c>
      <c r="G37" s="144">
        <f t="shared" si="2"/>
        <v>-500000</v>
      </c>
      <c r="H37" s="144">
        <f t="shared" si="2"/>
        <v>-500000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750000</v>
      </c>
      <c r="G38" s="142">
        <f t="shared" ref="G38:T38" si="3">G35+G36</f>
        <v>750000</v>
      </c>
      <c r="H38" s="142">
        <f t="shared" si="3"/>
        <v>750000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363083.33333333331</v>
      </c>
      <c r="G39" s="140">
        <f t="shared" si="4"/>
        <v>726166.66666666663</v>
      </c>
      <c r="H39" s="140">
        <f t="shared" si="4"/>
        <v>1089250</v>
      </c>
      <c r="I39" s="140">
        <f t="shared" si="4"/>
        <v>1089250</v>
      </c>
      <c r="J39" s="140">
        <f t="shared" si="4"/>
        <v>1089250</v>
      </c>
      <c r="K39" s="140">
        <f t="shared" si="4"/>
        <v>1089250</v>
      </c>
      <c r="L39" s="140">
        <f t="shared" si="4"/>
        <v>1089250</v>
      </c>
      <c r="M39" s="140">
        <f t="shared" si="4"/>
        <v>1089250</v>
      </c>
      <c r="N39" s="140">
        <f t="shared" si="4"/>
        <v>1089250</v>
      </c>
      <c r="O39" s="140">
        <f t="shared" si="4"/>
        <v>1089250</v>
      </c>
      <c r="P39" s="140">
        <f t="shared" si="4"/>
        <v>1089250</v>
      </c>
      <c r="Q39" s="140">
        <f t="shared" si="4"/>
        <v>1089250</v>
      </c>
      <c r="R39" s="140">
        <f t="shared" si="4"/>
        <v>1089250</v>
      </c>
      <c r="S39" s="140">
        <f t="shared" si="4"/>
        <v>1089250</v>
      </c>
      <c r="T39" s="141">
        <f t="shared" si="4"/>
        <v>1089250</v>
      </c>
    </row>
    <row r="40" spans="2:20" x14ac:dyDescent="0.3">
      <c r="B40" s="123" t="s">
        <v>46</v>
      </c>
      <c r="C40" s="112"/>
      <c r="D40" s="134">
        <f>NPV($D$33,F40:T40)</f>
        <v>10155262.248807123</v>
      </c>
      <c r="E40" s="112"/>
      <c r="F40" s="140">
        <f t="shared" ref="F40:T40" si="5">F39+F37</f>
        <v>-136916.66666666669</v>
      </c>
      <c r="G40" s="140">
        <f t="shared" si="5"/>
        <v>226166.66666666663</v>
      </c>
      <c r="H40" s="140">
        <f t="shared" si="5"/>
        <v>589250</v>
      </c>
      <c r="I40" s="140">
        <f t="shared" si="5"/>
        <v>1089250</v>
      </c>
      <c r="J40" s="140">
        <f t="shared" si="5"/>
        <v>1089250</v>
      </c>
      <c r="K40" s="140">
        <f t="shared" si="5"/>
        <v>1089250</v>
      </c>
      <c r="L40" s="140">
        <f t="shared" si="5"/>
        <v>1089250</v>
      </c>
      <c r="M40" s="140">
        <f t="shared" si="5"/>
        <v>1089250</v>
      </c>
      <c r="N40" s="140">
        <f t="shared" si="5"/>
        <v>1089250</v>
      </c>
      <c r="O40" s="140">
        <f t="shared" si="5"/>
        <v>1089250</v>
      </c>
      <c r="P40" s="140">
        <f t="shared" si="5"/>
        <v>1089250</v>
      </c>
      <c r="Q40" s="140">
        <f t="shared" si="5"/>
        <v>1089250</v>
      </c>
      <c r="R40" s="140">
        <f t="shared" si="5"/>
        <v>1089250</v>
      </c>
      <c r="S40" s="140">
        <f t="shared" si="5"/>
        <v>1089250</v>
      </c>
      <c r="T40" s="141">
        <f t="shared" si="5"/>
        <v>1089250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363083.33333333331</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71"/>
      <c r="E45" s="112"/>
      <c r="F45" s="199"/>
      <c r="G45" s="199"/>
      <c r="H45" s="199"/>
      <c r="I45" s="199"/>
      <c r="J45" s="199"/>
      <c r="K45" s="199"/>
      <c r="L45" s="199"/>
      <c r="M45" s="199"/>
      <c r="N45" s="199"/>
      <c r="O45" s="199"/>
      <c r="P45" s="199"/>
      <c r="Q45" s="199"/>
      <c r="R45" s="199"/>
      <c r="S45" s="199"/>
      <c r="T45" s="200"/>
    </row>
    <row r="46" spans="2:20" x14ac:dyDescent="0.3">
      <c r="B46" s="184" t="s">
        <v>51</v>
      </c>
      <c r="C46" s="253"/>
      <c r="D46" s="267">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7">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7">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7">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272"/>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71"/>
      <c r="E51" s="112"/>
      <c r="F51" s="199"/>
      <c r="G51" s="199"/>
      <c r="H51" s="199"/>
      <c r="I51" s="199"/>
      <c r="J51" s="199"/>
      <c r="K51" s="199"/>
      <c r="L51" s="199"/>
      <c r="M51" s="199"/>
      <c r="N51" s="199"/>
      <c r="O51" s="199"/>
      <c r="P51" s="199"/>
      <c r="Q51" s="199"/>
      <c r="R51" s="199"/>
      <c r="S51" s="199"/>
      <c r="T51" s="200"/>
    </row>
    <row r="52" spans="2:20" x14ac:dyDescent="0.3">
      <c r="B52" s="184" t="s">
        <v>56</v>
      </c>
      <c r="C52" s="240"/>
      <c r="D52" s="267">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7">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7">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7">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7">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7">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272"/>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71"/>
      <c r="E59" s="112"/>
      <c r="F59" s="199"/>
      <c r="G59" s="199"/>
      <c r="H59" s="199"/>
      <c r="I59" s="199"/>
      <c r="J59" s="199"/>
      <c r="K59" s="199"/>
      <c r="L59" s="199"/>
      <c r="M59" s="199"/>
      <c r="N59" s="199"/>
      <c r="O59" s="199"/>
      <c r="P59" s="199"/>
      <c r="Q59" s="199"/>
      <c r="R59" s="199"/>
      <c r="S59" s="199"/>
      <c r="T59" s="200"/>
    </row>
    <row r="60" spans="2:20" x14ac:dyDescent="0.3">
      <c r="B60" s="184" t="s">
        <v>63</v>
      </c>
      <c r="C60" s="240">
        <v>5.0000000000000001E-4</v>
      </c>
      <c r="D60" s="267">
        <f>IFERROR(C60*'Inputs and assumptions'!D31/$D$27,0)</f>
        <v>21833.333333333332</v>
      </c>
      <c r="E60" s="112"/>
      <c r="F60" s="140">
        <f>$D60*SUM($E$27:F$27)</f>
        <v>21833.333333333332</v>
      </c>
      <c r="G60" s="140">
        <f>$D60*SUM($E$27:G$27)</f>
        <v>43666.666666666664</v>
      </c>
      <c r="H60" s="140">
        <f>$D60*SUM($E$27:H$27)</f>
        <v>65500</v>
      </c>
      <c r="I60" s="140">
        <f>$D60*SUM($E$27:I$27)</f>
        <v>65500</v>
      </c>
      <c r="J60" s="140">
        <f>$D60*SUM($E$27:J$27)</f>
        <v>65500</v>
      </c>
      <c r="K60" s="140">
        <f>$D60*SUM($E$27:K$27)</f>
        <v>65500</v>
      </c>
      <c r="L60" s="140">
        <f>$D60*SUM($E$27:L$27)</f>
        <v>65500</v>
      </c>
      <c r="M60" s="140">
        <f>$D60*SUM($E$27:M$27)</f>
        <v>65500</v>
      </c>
      <c r="N60" s="140">
        <f>$D60*SUM($E$27:N$27)</f>
        <v>65500</v>
      </c>
      <c r="O60" s="140">
        <f>$D60*SUM($E$27:O$27)</f>
        <v>65500</v>
      </c>
      <c r="P60" s="140">
        <f>$D60*SUM($E$27:P$27)</f>
        <v>65500</v>
      </c>
      <c r="Q60" s="140">
        <f>$D60*SUM($E$27:Q$27)</f>
        <v>65500</v>
      </c>
      <c r="R60" s="140">
        <f>$D60*SUM($E$27:R$27)</f>
        <v>65500</v>
      </c>
      <c r="S60" s="140">
        <f>$D60*SUM($E$27:S$27)</f>
        <v>65500</v>
      </c>
      <c r="T60" s="141">
        <f>$D60*SUM($E$27:T$27)</f>
        <v>65500</v>
      </c>
    </row>
    <row r="61" spans="2:20" x14ac:dyDescent="0.3">
      <c r="B61" s="184" t="s">
        <v>64</v>
      </c>
      <c r="C61" s="240"/>
      <c r="D61" s="267">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272"/>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71"/>
      <c r="E63" s="112"/>
      <c r="F63" s="199"/>
      <c r="G63" s="199"/>
      <c r="H63" s="199"/>
      <c r="I63" s="199"/>
      <c r="J63" s="199"/>
      <c r="K63" s="199"/>
      <c r="L63" s="199"/>
      <c r="M63" s="199"/>
      <c r="N63" s="199"/>
      <c r="O63" s="199"/>
      <c r="P63" s="199"/>
      <c r="Q63" s="199"/>
      <c r="R63" s="199"/>
      <c r="S63" s="199"/>
      <c r="T63" s="200"/>
    </row>
    <row r="64" spans="2:20" x14ac:dyDescent="0.3">
      <c r="B64" s="184" t="s">
        <v>66</v>
      </c>
      <c r="C64" s="240"/>
      <c r="D64" s="267">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7">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7">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7">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v>2.9999999999999997E-4</v>
      </c>
      <c r="D68" s="267">
        <f>IFERROR(C68*'Inputs and assumptions'!D39/$D$27,0)</f>
        <v>149999.99999999997</v>
      </c>
      <c r="E68" s="112"/>
      <c r="F68" s="140">
        <f>$D68*SUM($E$27:F$27)</f>
        <v>149999.99999999997</v>
      </c>
      <c r="G68" s="140">
        <f>$D68*SUM($E$27:G$27)</f>
        <v>299999.99999999994</v>
      </c>
      <c r="H68" s="140">
        <f>$D68*SUM($E$27:H$27)</f>
        <v>449999.99999999988</v>
      </c>
      <c r="I68" s="140">
        <f>$D68*SUM($E$27:I$27)</f>
        <v>449999.99999999988</v>
      </c>
      <c r="J68" s="140">
        <f>$D68*SUM($E$27:J$27)</f>
        <v>449999.99999999988</v>
      </c>
      <c r="K68" s="140">
        <f>$D68*SUM($E$27:K$27)</f>
        <v>449999.99999999988</v>
      </c>
      <c r="L68" s="140">
        <f>$D68*SUM($E$27:L$27)</f>
        <v>449999.99999999988</v>
      </c>
      <c r="M68" s="140">
        <f>$D68*SUM($E$27:M$27)</f>
        <v>449999.99999999988</v>
      </c>
      <c r="N68" s="140">
        <f>$D68*SUM($E$27:N$27)</f>
        <v>449999.99999999988</v>
      </c>
      <c r="O68" s="140">
        <f>$D68*SUM($E$27:O$27)</f>
        <v>449999.99999999988</v>
      </c>
      <c r="P68" s="140">
        <f>$D68*SUM($E$27:P$27)</f>
        <v>449999.99999999988</v>
      </c>
      <c r="Q68" s="140">
        <f>$D68*SUM($E$27:Q$27)</f>
        <v>449999.99999999988</v>
      </c>
      <c r="R68" s="140">
        <f>$D68*SUM($E$27:R$27)</f>
        <v>449999.99999999988</v>
      </c>
      <c r="S68" s="140">
        <f>$D68*SUM($E$27:S$27)</f>
        <v>449999.99999999988</v>
      </c>
      <c r="T68" s="141">
        <f>$D68*SUM($E$27:T$27)</f>
        <v>449999.99999999988</v>
      </c>
    </row>
    <row r="69" spans="2:20" x14ac:dyDescent="0.3">
      <c r="B69" s="184" t="s">
        <v>71</v>
      </c>
      <c r="C69" s="240">
        <v>7.4999999999999997E-3</v>
      </c>
      <c r="D69" s="267">
        <f>IFERROR(C69*'Inputs and assumptions'!D40/$D$27,0)</f>
        <v>191250</v>
      </c>
      <c r="E69" s="112"/>
      <c r="F69" s="140">
        <f>$D69*SUM($E$27:F$27)</f>
        <v>191250</v>
      </c>
      <c r="G69" s="140">
        <f>$D69*SUM($E$27:G$27)</f>
        <v>382500</v>
      </c>
      <c r="H69" s="140">
        <f>$D69*SUM($E$27:H$27)</f>
        <v>573750</v>
      </c>
      <c r="I69" s="140">
        <f>$D69*SUM($E$27:I$27)</f>
        <v>573750</v>
      </c>
      <c r="J69" s="140">
        <f>$D69*SUM($E$27:J$27)</f>
        <v>573750</v>
      </c>
      <c r="K69" s="140">
        <f>$D69*SUM($E$27:K$27)</f>
        <v>573750</v>
      </c>
      <c r="L69" s="140">
        <f>$D69*SUM($E$27:L$27)</f>
        <v>573750</v>
      </c>
      <c r="M69" s="140">
        <f>$D69*SUM($E$27:M$27)</f>
        <v>573750</v>
      </c>
      <c r="N69" s="140">
        <f>$D69*SUM($E$27:N$27)</f>
        <v>573750</v>
      </c>
      <c r="O69" s="140">
        <f>$D69*SUM($E$27:O$27)</f>
        <v>573750</v>
      </c>
      <c r="P69" s="140">
        <f>$D69*SUM($E$27:P$27)</f>
        <v>573750</v>
      </c>
      <c r="Q69" s="140">
        <f>$D69*SUM($E$27:Q$27)</f>
        <v>573750</v>
      </c>
      <c r="R69" s="140">
        <f>$D69*SUM($E$27:R$27)</f>
        <v>573750</v>
      </c>
      <c r="S69" s="140">
        <f>$D69*SUM($E$27:S$27)</f>
        <v>573750</v>
      </c>
      <c r="T69" s="141">
        <f>$D69*SUM($E$27:T$27)</f>
        <v>573750</v>
      </c>
    </row>
    <row r="70" spans="2:20" x14ac:dyDescent="0.3">
      <c r="B70" s="184" t="s">
        <v>72</v>
      </c>
      <c r="C70" s="240"/>
      <c r="D70" s="267">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500000</v>
      </c>
      <c r="E102" s="112"/>
      <c r="F102" s="140">
        <f t="shared" ref="F102:T102" si="6">$D$102*F27</f>
        <v>500000</v>
      </c>
      <c r="G102" s="140">
        <f t="shared" si="6"/>
        <v>500000</v>
      </c>
      <c r="H102" s="140">
        <f t="shared" si="6"/>
        <v>500000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500000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248</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T70 F103:G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FD12F09E-AA09-450A-B967-7A127D45A6FD}">
          <x14:formula1>
            <xm:f>'Inputs and assumptions'!$J$17:$J$18</xm:f>
          </x14:formula1>
          <xm:sqref>E43</xm:sqref>
        </x14:dataValidation>
        <x14:dataValidation type="list" allowBlank="1" showInputMessage="1" showErrorMessage="1" xr:uid="{B236542C-C4EE-4ECF-A4E6-6ABFDDEAB6CA}">
          <x14:formula1>
            <xm:f>'Inputs and assumptions'!$H$27:$H$29</xm:f>
          </x14:formula1>
          <xm:sqref>E11</xm:sqref>
        </x14:dataValidation>
        <x14:dataValidation type="list" allowBlank="1" showInputMessage="1" showErrorMessage="1" xr:uid="{32828989-E8E6-460A-A3FD-8FF306870185}">
          <x14:formula1>
            <xm:f>'Inputs and assumptions'!$H$23:$H$24</xm:f>
          </x14:formula1>
          <xm:sqref>E10</xm:sqref>
        </x14:dataValidation>
        <x14:dataValidation type="list" allowBlank="1" showInputMessage="1" showErrorMessage="1" xr:uid="{A05EC70A-2ED7-44B9-92CC-DB4F3B4E7D34}">
          <x14:formula1>
            <xm:f>'Inputs and assumptions'!$G$16:$G$20</xm:f>
          </x14:formula1>
          <xm:sqref>E7</xm:sqref>
        </x14:dataValidation>
        <x14:dataValidation type="list" allowBlank="1" showInputMessage="1" showErrorMessage="1" xr:uid="{72D5FF54-965A-4F8F-BB7F-DE7E6C12E870}">
          <x14:formula1>
            <xm:f>'Inputs and assumptions'!$H$16:$H$20</xm:f>
          </x14:formula1>
          <xm:sqref>E8</xm:sqref>
        </x14:dataValidation>
        <x14:dataValidation type="list" allowBlank="1" showInputMessage="1" showErrorMessage="1" xr:uid="{1D3ABE43-B8E8-469E-9025-AB140988317E}">
          <x14:formula1>
            <xm:f>'Inputs and assumptions'!$H$31:$H$34</xm:f>
          </x14:formula1>
          <xm:sqref>E12</xm:sqref>
        </x14:dataValidation>
        <x14:dataValidation type="list" allowBlank="1" showInputMessage="1" showErrorMessage="1" xr:uid="{2C378796-57FF-4DB9-82A3-577469B9C90E}">
          <x14:formula1>
            <xm:f>'Inputs and assumptions'!$H$36:$H$40</xm:f>
          </x14:formula1>
          <xm:sqref>E13</xm:sqref>
        </x14:dataValidation>
        <x14:dataValidation type="list" allowBlank="1" showInputMessage="1" showErrorMessage="1" xr:uid="{53E2550B-B8D2-4C3F-B150-3F250FB3BDD9}">
          <x14:formula1>
            <xm:f>'Inputs and assumptions'!$J$21:$J$24</xm:f>
          </x14:formula1>
          <xm:sqref>E14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77D1-0061-48D3-BC23-F7B64AAE2A5D}">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8" width="11.453125" style="109" customWidth="1"/>
    <col min="9" max="9" width="11.54296875" style="109" customWidth="1"/>
    <col min="10" max="11" width="11.453125" style="109" customWidth="1"/>
    <col min="12" max="12" width="11.7265625" style="109" customWidth="1"/>
    <col min="13"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249</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172</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250</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251</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-1434040.992936563</v>
      </c>
      <c r="J18" s="222"/>
      <c r="K18" s="220" t="s">
        <v>220</v>
      </c>
      <c r="L18" s="223">
        <f>SUM(F34:J34)</f>
        <v>1500000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10077478.575135078</v>
      </c>
      <c r="J19" s="127"/>
      <c r="K19" s="125" t="s">
        <v>223</v>
      </c>
      <c r="L19" s="225">
        <f>SUM(F36:J36)</f>
        <v>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8.0273295008805032</v>
      </c>
      <c r="J20" s="127"/>
      <c r="K20" s="125" t="s">
        <v>225</v>
      </c>
      <c r="L20" s="225">
        <f>NPV($D$33,F39:T39)</f>
        <v>11511519.568071643</v>
      </c>
      <c r="N20" s="316" t="s">
        <v>226</v>
      </c>
      <c r="O20" s="316"/>
      <c r="P20" s="316"/>
      <c r="Q20" s="316"/>
      <c r="R20" s="317"/>
      <c r="S20" s="318"/>
      <c r="T20" s="319" t="s">
        <v>222</v>
      </c>
    </row>
    <row r="21" spans="2:20" ht="13.5" customHeight="1" thickBot="1" x14ac:dyDescent="0.35">
      <c r="B21" s="160" t="s">
        <v>23</v>
      </c>
      <c r="C21" s="182">
        <v>1</v>
      </c>
      <c r="D21" s="161">
        <v>0.18</v>
      </c>
      <c r="E21" s="162">
        <f>D21*C21</f>
        <v>0.18</v>
      </c>
      <c r="G21" s="194"/>
      <c r="H21" s="257" t="s">
        <v>166</v>
      </c>
      <c r="I21" s="258">
        <f>IFERROR(NPV($D$33,F39:T39)/NPV($D$33,F38:T38),"N/A")</f>
        <v>5.3515530005870025</v>
      </c>
      <c r="J21" s="226"/>
      <c r="K21" s="436" t="s">
        <v>228</v>
      </c>
      <c r="L21" s="439">
        <f>NPV($D$33,F39:J39)</f>
        <v>4300248.4781183498</v>
      </c>
      <c r="N21" s="570" t="s">
        <v>229</v>
      </c>
      <c r="O21" s="570"/>
      <c r="P21" s="570"/>
      <c r="Q21" s="570"/>
      <c r="R21" s="570"/>
      <c r="S21" s="164"/>
      <c r="T21" s="165"/>
    </row>
    <row r="22" spans="2:20" ht="13.5" customHeight="1" x14ac:dyDescent="0.3">
      <c r="B22" s="160" t="s">
        <v>230</v>
      </c>
      <c r="C22" s="182">
        <v>1</v>
      </c>
      <c r="D22" s="161">
        <v>0.17</v>
      </c>
      <c r="E22" s="162">
        <f>D22*C22</f>
        <v>0.17</v>
      </c>
      <c r="L22" s="218"/>
    </row>
    <row r="23" spans="2:20" ht="13.5" customHeight="1" x14ac:dyDescent="0.3">
      <c r="B23" s="117" t="s">
        <v>229</v>
      </c>
      <c r="C23" s="117"/>
      <c r="D23" s="164">
        <f>SUM(D18:D22)</f>
        <v>0.99999999999999989</v>
      </c>
      <c r="E23" s="165">
        <f>SUM(E18:E22)</f>
        <v>2.23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3</v>
      </c>
      <c r="E27" s="112"/>
      <c r="F27" s="227">
        <v>2</v>
      </c>
      <c r="G27" s="227">
        <v>1</v>
      </c>
      <c r="H27" s="227"/>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1000000</v>
      </c>
      <c r="G34" s="140">
        <f t="shared" si="0"/>
        <v>500000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1500000</v>
      </c>
      <c r="G35" s="140">
        <f>G34*(1+'Inputs and assumptions'!$C$7)</f>
        <v>750000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-1434040.992936563</v>
      </c>
      <c r="E37" s="248"/>
      <c r="F37" s="144">
        <f t="shared" ref="F37:T37" si="2">-F34-F36</f>
        <v>-1000000</v>
      </c>
      <c r="G37" s="144">
        <f t="shared" si="2"/>
        <v>-500000</v>
      </c>
      <c r="H37" s="144">
        <f t="shared" si="2"/>
        <v>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1500000</v>
      </c>
      <c r="G38" s="142">
        <f t="shared" ref="G38:T38" si="3">G35+G36</f>
        <v>750000</v>
      </c>
      <c r="H38" s="142">
        <f t="shared" si="3"/>
        <v>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682500</v>
      </c>
      <c r="G39" s="140">
        <f t="shared" si="4"/>
        <v>1023749.9999999999</v>
      </c>
      <c r="H39" s="140">
        <f t="shared" si="4"/>
        <v>1023749.9999999999</v>
      </c>
      <c r="I39" s="140">
        <f t="shared" si="4"/>
        <v>1023749.9999999999</v>
      </c>
      <c r="J39" s="140">
        <f t="shared" si="4"/>
        <v>1023749.9999999999</v>
      </c>
      <c r="K39" s="140">
        <f t="shared" si="4"/>
        <v>1023749.9999999999</v>
      </c>
      <c r="L39" s="140">
        <f t="shared" si="4"/>
        <v>1023749.9999999999</v>
      </c>
      <c r="M39" s="140">
        <f t="shared" si="4"/>
        <v>1023749.9999999999</v>
      </c>
      <c r="N39" s="140">
        <f t="shared" si="4"/>
        <v>1023749.9999999999</v>
      </c>
      <c r="O39" s="140">
        <f t="shared" si="4"/>
        <v>1023749.9999999999</v>
      </c>
      <c r="P39" s="140">
        <f t="shared" si="4"/>
        <v>1023749.9999999999</v>
      </c>
      <c r="Q39" s="140">
        <f t="shared" si="4"/>
        <v>1023749.9999999999</v>
      </c>
      <c r="R39" s="140">
        <f t="shared" si="4"/>
        <v>1023749.9999999999</v>
      </c>
      <c r="S39" s="140">
        <f t="shared" si="4"/>
        <v>1023749.9999999999</v>
      </c>
      <c r="T39" s="141">
        <f t="shared" si="4"/>
        <v>1023749.9999999999</v>
      </c>
    </row>
    <row r="40" spans="2:20" x14ac:dyDescent="0.3">
      <c r="B40" s="123" t="s">
        <v>46</v>
      </c>
      <c r="C40" s="112"/>
      <c r="D40" s="134">
        <f>NPV($D$33,F40:T40)</f>
        <v>10077478.575135078</v>
      </c>
      <c r="E40" s="112"/>
      <c r="F40" s="140">
        <f t="shared" ref="F40:T40" si="5">F39+F37</f>
        <v>-317500</v>
      </c>
      <c r="G40" s="140">
        <f t="shared" si="5"/>
        <v>523749.99999999988</v>
      </c>
      <c r="H40" s="140">
        <f t="shared" si="5"/>
        <v>1023749.9999999999</v>
      </c>
      <c r="I40" s="140">
        <f t="shared" si="5"/>
        <v>1023749.9999999999</v>
      </c>
      <c r="J40" s="140">
        <f t="shared" si="5"/>
        <v>1023749.9999999999</v>
      </c>
      <c r="K40" s="140">
        <f t="shared" si="5"/>
        <v>1023749.9999999999</v>
      </c>
      <c r="L40" s="140">
        <f t="shared" si="5"/>
        <v>1023749.9999999999</v>
      </c>
      <c r="M40" s="140">
        <f t="shared" si="5"/>
        <v>1023749.9999999999</v>
      </c>
      <c r="N40" s="140">
        <f t="shared" si="5"/>
        <v>1023749.9999999999</v>
      </c>
      <c r="O40" s="140">
        <f t="shared" si="5"/>
        <v>1023749.9999999999</v>
      </c>
      <c r="P40" s="140">
        <f t="shared" si="5"/>
        <v>1023749.9999999999</v>
      </c>
      <c r="Q40" s="140">
        <f t="shared" si="5"/>
        <v>1023749.9999999999</v>
      </c>
      <c r="R40" s="140">
        <f t="shared" si="5"/>
        <v>1023749.9999999999</v>
      </c>
      <c r="S40" s="140">
        <f t="shared" si="5"/>
        <v>1023749.9999999999</v>
      </c>
      <c r="T40" s="141">
        <f t="shared" si="5"/>
        <v>1023749.9999999999</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341250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71"/>
      <c r="E45" s="112"/>
      <c r="F45" s="199"/>
      <c r="G45" s="199"/>
      <c r="H45" s="199"/>
      <c r="I45" s="199"/>
      <c r="J45" s="199"/>
      <c r="K45" s="199"/>
      <c r="L45" s="199"/>
      <c r="M45" s="199"/>
      <c r="N45" s="199"/>
      <c r="O45" s="199"/>
      <c r="P45" s="199"/>
      <c r="Q45" s="199"/>
      <c r="R45" s="199"/>
      <c r="S45" s="199"/>
      <c r="T45" s="200"/>
    </row>
    <row r="46" spans="2:20" x14ac:dyDescent="0.3">
      <c r="B46" s="184" t="s">
        <v>51</v>
      </c>
      <c r="C46" s="253"/>
      <c r="D46" s="267">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7">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7">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7">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272"/>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71"/>
      <c r="E51" s="112"/>
      <c r="F51" s="199"/>
      <c r="G51" s="199"/>
      <c r="H51" s="199"/>
      <c r="I51" s="199"/>
      <c r="J51" s="199"/>
      <c r="K51" s="199"/>
      <c r="L51" s="199"/>
      <c r="M51" s="199"/>
      <c r="N51" s="199"/>
      <c r="O51" s="199"/>
      <c r="P51" s="199"/>
      <c r="Q51" s="199"/>
      <c r="R51" s="199"/>
      <c r="S51" s="199"/>
      <c r="T51" s="200"/>
    </row>
    <row r="52" spans="2:20" x14ac:dyDescent="0.3">
      <c r="B52" s="184" t="s">
        <v>56</v>
      </c>
      <c r="C52" s="240"/>
      <c r="D52" s="267">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7">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7">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7">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7">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7">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272"/>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71"/>
      <c r="E59" s="112"/>
      <c r="F59" s="199"/>
      <c r="G59" s="199"/>
      <c r="H59" s="199"/>
      <c r="I59" s="199"/>
      <c r="J59" s="199"/>
      <c r="K59" s="199"/>
      <c r="L59" s="199"/>
      <c r="M59" s="199"/>
      <c r="N59" s="199"/>
      <c r="O59" s="199"/>
      <c r="P59" s="199"/>
      <c r="Q59" s="199"/>
      <c r="R59" s="199"/>
      <c r="S59" s="199"/>
      <c r="T59" s="200"/>
    </row>
    <row r="60" spans="2:20" x14ac:dyDescent="0.3">
      <c r="B60" s="184" t="s">
        <v>63</v>
      </c>
      <c r="C60" s="240"/>
      <c r="D60" s="267">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7">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272"/>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71"/>
      <c r="E63" s="112"/>
      <c r="F63" s="199"/>
      <c r="G63" s="199"/>
      <c r="H63" s="199"/>
      <c r="I63" s="199"/>
      <c r="J63" s="199"/>
      <c r="K63" s="199"/>
      <c r="L63" s="199"/>
      <c r="M63" s="199"/>
      <c r="N63" s="199"/>
      <c r="O63" s="199"/>
      <c r="P63" s="199"/>
      <c r="Q63" s="199"/>
      <c r="R63" s="199"/>
      <c r="S63" s="199"/>
      <c r="T63" s="200"/>
    </row>
    <row r="64" spans="2:20" x14ac:dyDescent="0.3">
      <c r="B64" s="184" t="s">
        <v>66</v>
      </c>
      <c r="C64" s="240"/>
      <c r="D64" s="267">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7">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7">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7">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v>2.9999999999999997E-4</v>
      </c>
      <c r="D68" s="267">
        <f>IFERROR(C68*'Inputs and assumptions'!D39/$D$27,0)</f>
        <v>149999.99999999997</v>
      </c>
      <c r="E68" s="112"/>
      <c r="F68" s="140">
        <f>$D68*SUM($E$27:F$27)</f>
        <v>299999.99999999994</v>
      </c>
      <c r="G68" s="140">
        <f>$D68*SUM($E$27:G$27)</f>
        <v>449999.99999999988</v>
      </c>
      <c r="H68" s="140">
        <f>$D68*SUM($E$27:H$27)</f>
        <v>449999.99999999988</v>
      </c>
      <c r="I68" s="140">
        <f>$D68*SUM($E$27:I$27)</f>
        <v>449999.99999999988</v>
      </c>
      <c r="J68" s="140">
        <f>$D68*SUM($E$27:J$27)</f>
        <v>449999.99999999988</v>
      </c>
      <c r="K68" s="140">
        <f>$D68*SUM($E$27:K$27)</f>
        <v>449999.99999999988</v>
      </c>
      <c r="L68" s="140">
        <f>$D68*SUM($E$27:L$27)</f>
        <v>449999.99999999988</v>
      </c>
      <c r="M68" s="140">
        <f>$D68*SUM($E$27:M$27)</f>
        <v>449999.99999999988</v>
      </c>
      <c r="N68" s="140">
        <f>$D68*SUM($E$27:N$27)</f>
        <v>449999.99999999988</v>
      </c>
      <c r="O68" s="140">
        <f>$D68*SUM($E$27:O$27)</f>
        <v>449999.99999999988</v>
      </c>
      <c r="P68" s="140">
        <f>$D68*SUM($E$27:P$27)</f>
        <v>449999.99999999988</v>
      </c>
      <c r="Q68" s="140">
        <f>$D68*SUM($E$27:Q$27)</f>
        <v>449999.99999999988</v>
      </c>
      <c r="R68" s="140">
        <f>$D68*SUM($E$27:R$27)</f>
        <v>449999.99999999988</v>
      </c>
      <c r="S68" s="140">
        <f>$D68*SUM($E$27:S$27)</f>
        <v>449999.99999999988</v>
      </c>
      <c r="T68" s="141">
        <f>$D68*SUM($E$27:T$27)</f>
        <v>449999.99999999988</v>
      </c>
    </row>
    <row r="69" spans="2:20" x14ac:dyDescent="0.3">
      <c r="B69" s="184" t="s">
        <v>71</v>
      </c>
      <c r="C69" s="240">
        <v>7.4999999999999997E-3</v>
      </c>
      <c r="D69" s="267">
        <f>IFERROR(C69*'Inputs and assumptions'!D40/$D$27,0)</f>
        <v>191250</v>
      </c>
      <c r="E69" s="112"/>
      <c r="F69" s="140">
        <f>$D69*SUM($E$27:F$27)</f>
        <v>382500</v>
      </c>
      <c r="G69" s="140">
        <f>$D69*SUM($E$27:G$27)</f>
        <v>573750</v>
      </c>
      <c r="H69" s="140">
        <f>$D69*SUM($E$27:H$27)</f>
        <v>573750</v>
      </c>
      <c r="I69" s="140">
        <f>$D69*SUM($E$27:I$27)</f>
        <v>573750</v>
      </c>
      <c r="J69" s="140">
        <f>$D69*SUM($E$27:J$27)</f>
        <v>573750</v>
      </c>
      <c r="K69" s="140">
        <f>$D69*SUM($E$27:K$27)</f>
        <v>573750</v>
      </c>
      <c r="L69" s="140">
        <f>$D69*SUM($E$27:L$27)</f>
        <v>573750</v>
      </c>
      <c r="M69" s="140">
        <f>$D69*SUM($E$27:M$27)</f>
        <v>573750</v>
      </c>
      <c r="N69" s="140">
        <f>$D69*SUM($E$27:N$27)</f>
        <v>573750</v>
      </c>
      <c r="O69" s="140">
        <f>$D69*SUM($E$27:O$27)</f>
        <v>573750</v>
      </c>
      <c r="P69" s="140">
        <f>$D69*SUM($E$27:P$27)</f>
        <v>573750</v>
      </c>
      <c r="Q69" s="140">
        <f>$D69*SUM($E$27:Q$27)</f>
        <v>573750</v>
      </c>
      <c r="R69" s="140">
        <f>$D69*SUM($E$27:R$27)</f>
        <v>573750</v>
      </c>
      <c r="S69" s="140">
        <f>$D69*SUM($E$27:S$27)</f>
        <v>573750</v>
      </c>
      <c r="T69" s="141">
        <f>$D69*SUM($E$27:T$27)</f>
        <v>573750</v>
      </c>
    </row>
    <row r="70" spans="2:20" x14ac:dyDescent="0.3">
      <c r="B70" s="184" t="s">
        <v>72</v>
      </c>
      <c r="C70" s="240"/>
      <c r="D70" s="267">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500000</v>
      </c>
      <c r="E102" s="112"/>
      <c r="F102" s="306">
        <f t="shared" ref="F102:T102" si="6">$D$102*F27</f>
        <v>1000000</v>
      </c>
      <c r="G102" s="140">
        <f t="shared" si="6"/>
        <v>500000</v>
      </c>
      <c r="H102" s="140">
        <f t="shared" si="6"/>
        <v>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0</v>
      </c>
      <c r="E103" s="112"/>
      <c r="F103" s="306">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500000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252</v>
      </c>
      <c r="C113" s="573"/>
      <c r="D113" s="573"/>
      <c r="E113" s="574"/>
      <c r="F113" s="343"/>
      <c r="G113" s="343"/>
      <c r="H113" s="343"/>
      <c r="I113" s="343"/>
      <c r="J113" s="343"/>
      <c r="K113" s="343"/>
      <c r="L113" s="181"/>
      <c r="M113" s="181"/>
      <c r="N113" s="181"/>
      <c r="O113" s="181"/>
      <c r="P113" s="181"/>
      <c r="Q113" s="181"/>
      <c r="R113" s="181"/>
      <c r="S113" s="181"/>
      <c r="T113" s="181"/>
    </row>
    <row r="114" spans="2:20" ht="15" customHeight="1" x14ac:dyDescent="0.3">
      <c r="B114" s="575"/>
      <c r="C114" s="576"/>
      <c r="D114" s="576"/>
      <c r="E114" s="577"/>
      <c r="F114" s="343"/>
      <c r="G114" s="343"/>
      <c r="H114" s="343"/>
      <c r="I114" s="343"/>
      <c r="J114" s="343"/>
      <c r="K114" s="343"/>
      <c r="L114" s="181"/>
      <c r="M114" s="181"/>
      <c r="N114" s="181"/>
      <c r="O114" s="181"/>
      <c r="P114" s="181"/>
      <c r="Q114" s="181"/>
      <c r="R114" s="181"/>
      <c r="S114" s="181"/>
      <c r="T114" s="181"/>
    </row>
    <row r="115" spans="2:20" ht="15" customHeight="1" x14ac:dyDescent="0.3">
      <c r="B115" s="575"/>
      <c r="C115" s="576"/>
      <c r="D115" s="576"/>
      <c r="E115" s="577"/>
      <c r="F115" s="343"/>
      <c r="G115" s="343"/>
      <c r="H115" s="343"/>
      <c r="I115" s="343"/>
      <c r="J115" s="343"/>
      <c r="K115" s="343"/>
      <c r="L115" s="181"/>
      <c r="M115" s="181"/>
      <c r="N115" s="181"/>
      <c r="O115" s="181"/>
      <c r="P115" s="181"/>
      <c r="Q115" s="181"/>
      <c r="R115" s="181"/>
      <c r="S115" s="181"/>
      <c r="T115" s="181"/>
    </row>
    <row r="116" spans="2:20" ht="15" customHeight="1" x14ac:dyDescent="0.3">
      <c r="B116" s="575"/>
      <c r="C116" s="576"/>
      <c r="D116" s="576"/>
      <c r="E116" s="577"/>
      <c r="F116" s="343"/>
      <c r="G116" s="343"/>
      <c r="H116" s="343"/>
      <c r="I116" s="343"/>
      <c r="J116" s="343"/>
      <c r="K116" s="343"/>
      <c r="L116" s="181"/>
      <c r="M116" s="181"/>
      <c r="N116" s="181"/>
      <c r="O116" s="181"/>
      <c r="P116" s="181"/>
      <c r="Q116" s="181"/>
      <c r="R116" s="181"/>
      <c r="S116" s="181"/>
      <c r="T116" s="181"/>
    </row>
    <row r="117" spans="2:20" ht="15" customHeight="1" x14ac:dyDescent="0.3">
      <c r="B117" s="575"/>
      <c r="C117" s="576"/>
      <c r="D117" s="576"/>
      <c r="E117" s="577"/>
      <c r="F117" s="343"/>
      <c r="G117" s="343"/>
      <c r="H117" s="343"/>
      <c r="I117" s="343"/>
      <c r="J117" s="343"/>
      <c r="K117" s="343"/>
      <c r="L117" s="181"/>
      <c r="M117" s="181"/>
      <c r="N117" s="181"/>
      <c r="O117" s="181"/>
      <c r="P117" s="181"/>
      <c r="Q117" s="181"/>
      <c r="R117" s="181"/>
      <c r="S117" s="181"/>
      <c r="T117" s="181"/>
    </row>
    <row r="118" spans="2:20" ht="15" customHeight="1" x14ac:dyDescent="0.3">
      <c r="B118" s="575"/>
      <c r="C118" s="576"/>
      <c r="D118" s="576"/>
      <c r="E118" s="577"/>
      <c r="F118" s="343"/>
      <c r="G118" s="343"/>
      <c r="H118" s="343"/>
      <c r="I118" s="343"/>
      <c r="J118" s="343"/>
      <c r="K118" s="343"/>
      <c r="L118" s="181"/>
      <c r="M118" s="181"/>
      <c r="N118" s="181"/>
      <c r="O118" s="181"/>
      <c r="P118" s="181"/>
      <c r="Q118" s="181"/>
      <c r="R118" s="181"/>
      <c r="S118" s="181"/>
      <c r="T118" s="181"/>
    </row>
    <row r="119" spans="2:20" ht="15" customHeight="1" x14ac:dyDescent="0.3">
      <c r="B119" s="575"/>
      <c r="C119" s="576"/>
      <c r="D119" s="576"/>
      <c r="E119" s="577"/>
      <c r="F119" s="343"/>
      <c r="G119" s="343"/>
      <c r="H119" s="343"/>
      <c r="I119" s="343"/>
      <c r="J119" s="343"/>
      <c r="K119" s="343"/>
      <c r="L119" s="181"/>
      <c r="M119" s="181"/>
      <c r="N119" s="181"/>
      <c r="O119" s="181"/>
      <c r="P119" s="181"/>
      <c r="Q119" s="181"/>
      <c r="R119" s="181"/>
      <c r="S119" s="181"/>
      <c r="T119" s="181"/>
    </row>
    <row r="120" spans="2:20" ht="15" customHeight="1" x14ac:dyDescent="0.3">
      <c r="B120" s="575"/>
      <c r="C120" s="576"/>
      <c r="D120" s="576"/>
      <c r="E120" s="577"/>
      <c r="F120" s="343"/>
      <c r="G120" s="343"/>
      <c r="H120" s="343"/>
      <c r="I120" s="343"/>
      <c r="J120" s="343"/>
      <c r="K120" s="343"/>
      <c r="L120" s="181"/>
      <c r="M120" s="181"/>
      <c r="N120" s="181"/>
      <c r="O120" s="181"/>
      <c r="P120" s="181"/>
      <c r="Q120" s="181"/>
      <c r="R120" s="181"/>
      <c r="S120" s="181"/>
      <c r="T120" s="181"/>
    </row>
    <row r="121" spans="2:20" ht="15" customHeight="1" x14ac:dyDescent="0.3">
      <c r="B121" s="575"/>
      <c r="C121" s="576"/>
      <c r="D121" s="576"/>
      <c r="E121" s="577"/>
      <c r="F121" s="343"/>
      <c r="G121" s="343"/>
      <c r="H121" s="343"/>
      <c r="I121" s="343"/>
      <c r="J121" s="343"/>
      <c r="K121" s="343"/>
      <c r="L121" s="181"/>
      <c r="M121" s="181"/>
      <c r="N121" s="181"/>
      <c r="O121" s="181"/>
      <c r="P121" s="181"/>
      <c r="Q121" s="181"/>
      <c r="R121" s="181"/>
      <c r="S121" s="181"/>
      <c r="T121" s="181"/>
    </row>
    <row r="122" spans="2:20" ht="15.75" customHeight="1" thickBot="1" x14ac:dyDescent="0.35">
      <c r="B122" s="578"/>
      <c r="C122" s="579"/>
      <c r="D122" s="579"/>
      <c r="E122" s="580"/>
      <c r="F122" s="343"/>
      <c r="G122" s="343"/>
      <c r="H122" s="343"/>
      <c r="I122" s="343"/>
      <c r="J122" s="343"/>
      <c r="K122" s="343"/>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F70 F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600501BA-99FC-47CE-A3CA-B517C0719973}">
          <x14:formula1>
            <xm:f>'Inputs and assumptions'!$H$16:$H$20</xm:f>
          </x14:formula1>
          <xm:sqref>E8</xm:sqref>
        </x14:dataValidation>
        <x14:dataValidation type="list" allowBlank="1" showInputMessage="1" showErrorMessage="1" xr:uid="{01958224-7812-4BC2-ABD9-5B9930A5D9D0}">
          <x14:formula1>
            <xm:f>'Inputs and assumptions'!$G$16:$G$20</xm:f>
          </x14:formula1>
          <xm:sqref>E7</xm:sqref>
        </x14:dataValidation>
        <x14:dataValidation type="list" allowBlank="1" showInputMessage="1" showErrorMessage="1" xr:uid="{E3D01EF3-CA4B-4CA0-A858-7154208720FF}">
          <x14:formula1>
            <xm:f>'Inputs and assumptions'!$H$23:$H$24</xm:f>
          </x14:formula1>
          <xm:sqref>E10</xm:sqref>
        </x14:dataValidation>
        <x14:dataValidation type="list" allowBlank="1" showInputMessage="1" showErrorMessage="1" xr:uid="{8EE6680D-B069-402E-937C-92790068DC1E}">
          <x14:formula1>
            <xm:f>'Inputs and assumptions'!$H$27:$H$29</xm:f>
          </x14:formula1>
          <xm:sqref>E11</xm:sqref>
        </x14:dataValidation>
        <x14:dataValidation type="list" allowBlank="1" showInputMessage="1" showErrorMessage="1" xr:uid="{758E4D85-0758-43D0-A32D-BEA30C29F0D5}">
          <x14:formula1>
            <xm:f>'Inputs and assumptions'!$J$17:$J$18</xm:f>
          </x14:formula1>
          <xm:sqref>E43</xm:sqref>
        </x14:dataValidation>
        <x14:dataValidation type="list" allowBlank="1" showInputMessage="1" showErrorMessage="1" xr:uid="{81CA37EC-E70C-4073-B72B-28444000A4AC}">
          <x14:formula1>
            <xm:f>'Inputs and assumptions'!$H$31:$H$34</xm:f>
          </x14:formula1>
          <xm:sqref>E12</xm:sqref>
        </x14:dataValidation>
        <x14:dataValidation type="list" allowBlank="1" showInputMessage="1" showErrorMessage="1" xr:uid="{A9CDF988-8E83-4D6F-BD57-DA4E50185457}">
          <x14:formula1>
            <xm:f>'Inputs and assumptions'!$H$36:$H$40</xm:f>
          </x14:formula1>
          <xm:sqref>E13</xm:sqref>
        </x14:dataValidation>
        <x14:dataValidation type="list" allowBlank="1" showInputMessage="1" showErrorMessage="1" xr:uid="{F4F512DE-462F-4C71-BBC3-FAD44BAE3BA3}">
          <x14:formula1>
            <xm:f>'Inputs and assumptions'!$J$21:$J$24</xm:f>
          </x14:formula1>
          <xm:sqref>E14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A2A4B-8AB5-4E00-958C-4878F692F0AC}">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253</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173</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254</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-1949194.254343912</v>
      </c>
      <c r="J18" s="222"/>
      <c r="K18" s="220" t="s">
        <v>220</v>
      </c>
      <c r="L18" s="223">
        <f>SUM(F34:J34)</f>
        <v>1900000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6137690.1511941981</v>
      </c>
      <c r="J19" s="127"/>
      <c r="K19" s="125" t="s">
        <v>223</v>
      </c>
      <c r="L19" s="225">
        <f>SUM(F36:J36)</f>
        <v>80000</v>
      </c>
      <c r="N19" s="585" t="s">
        <v>224</v>
      </c>
      <c r="O19" s="585"/>
      <c r="P19" s="585"/>
      <c r="Q19" s="585"/>
      <c r="R19" s="314"/>
      <c r="S19" s="161"/>
      <c r="T19" s="315" t="s">
        <v>227</v>
      </c>
    </row>
    <row r="20" spans="2:20" ht="13.5" customHeight="1" x14ac:dyDescent="0.3">
      <c r="B20" s="160" t="s">
        <v>21</v>
      </c>
      <c r="C20" s="182">
        <v>3</v>
      </c>
      <c r="D20" s="161">
        <v>0.18</v>
      </c>
      <c r="E20" s="162">
        <f>D20*C20</f>
        <v>0.54</v>
      </c>
      <c r="G20" s="224"/>
      <c r="H20" s="125" t="s">
        <v>22</v>
      </c>
      <c r="I20" s="217">
        <f>IFERROR(ABS((I19-I18)/I18),"N/A")</f>
        <v>4.1488345184252102</v>
      </c>
      <c r="J20" s="127"/>
      <c r="K20" s="125" t="s">
        <v>225</v>
      </c>
      <c r="L20" s="225">
        <f>NPV($D$33,F39:T39)</f>
        <v>8086884.4055381101</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2.823093826027931</v>
      </c>
      <c r="J21" s="226"/>
      <c r="K21" s="436" t="s">
        <v>228</v>
      </c>
      <c r="L21" s="439">
        <f>NPV($D$33,F39:J39)</f>
        <v>4853927.5918608168</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3.1100000000000003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1710000</v>
      </c>
      <c r="G34" s="140">
        <f t="shared" si="0"/>
        <v>190000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2565000</v>
      </c>
      <c r="G35" s="140">
        <f>G34*(1+'Inputs and assumptions'!$C$7)</f>
        <v>285000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20000</v>
      </c>
      <c r="H36" s="142">
        <f t="shared" si="1"/>
        <v>20000</v>
      </c>
      <c r="I36" s="142">
        <f t="shared" si="1"/>
        <v>20000</v>
      </c>
      <c r="J36" s="142">
        <f t="shared" si="1"/>
        <v>20000</v>
      </c>
      <c r="K36" s="142">
        <f t="shared" si="1"/>
        <v>20000</v>
      </c>
      <c r="L36" s="142">
        <f t="shared" si="1"/>
        <v>20000</v>
      </c>
      <c r="M36" s="142">
        <f t="shared" si="1"/>
        <v>20000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-1949194.254343912</v>
      </c>
      <c r="E37" s="248"/>
      <c r="F37" s="144">
        <f t="shared" ref="F37:T37" si="2">-F34-F36</f>
        <v>-1710000</v>
      </c>
      <c r="G37" s="144">
        <f t="shared" si="2"/>
        <v>-210000</v>
      </c>
      <c r="H37" s="144">
        <f t="shared" si="2"/>
        <v>-20000</v>
      </c>
      <c r="I37" s="144">
        <f t="shared" si="2"/>
        <v>-20000</v>
      </c>
      <c r="J37" s="144">
        <f t="shared" si="2"/>
        <v>-20000</v>
      </c>
      <c r="K37" s="144">
        <f t="shared" si="2"/>
        <v>-20000</v>
      </c>
      <c r="L37" s="144">
        <f t="shared" si="2"/>
        <v>-20000</v>
      </c>
      <c r="M37" s="144">
        <f t="shared" si="2"/>
        <v>-20000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2565000</v>
      </c>
      <c r="G38" s="142">
        <f t="shared" ref="G38:T38" si="3">G35+G36</f>
        <v>305000</v>
      </c>
      <c r="H38" s="142">
        <f t="shared" si="3"/>
        <v>20000</v>
      </c>
      <c r="I38" s="142">
        <f t="shared" si="3"/>
        <v>20000</v>
      </c>
      <c r="J38" s="142">
        <f t="shared" si="3"/>
        <v>20000</v>
      </c>
      <c r="K38" s="142">
        <f t="shared" si="3"/>
        <v>20000</v>
      </c>
      <c r="L38" s="142">
        <f t="shared" si="3"/>
        <v>20000</v>
      </c>
      <c r="M38" s="142">
        <f t="shared" si="3"/>
        <v>20000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1365000</v>
      </c>
      <c r="H39" s="140">
        <f t="shared" si="4"/>
        <v>1365000</v>
      </c>
      <c r="I39" s="140">
        <f t="shared" si="4"/>
        <v>1365000</v>
      </c>
      <c r="J39" s="140">
        <f t="shared" si="4"/>
        <v>1365000</v>
      </c>
      <c r="K39" s="140">
        <f t="shared" si="4"/>
        <v>1365000</v>
      </c>
      <c r="L39" s="140">
        <f t="shared" si="4"/>
        <v>1365000</v>
      </c>
      <c r="M39" s="140">
        <f t="shared" si="4"/>
        <v>1365000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6137690.1511941981</v>
      </c>
      <c r="E40" s="112"/>
      <c r="F40" s="140">
        <f t="shared" ref="F40:T40" si="5">F39+F37</f>
        <v>-1710000</v>
      </c>
      <c r="G40" s="140">
        <f t="shared" si="5"/>
        <v>1155000</v>
      </c>
      <c r="H40" s="140">
        <f t="shared" si="5"/>
        <v>1345000</v>
      </c>
      <c r="I40" s="140">
        <f t="shared" si="5"/>
        <v>1345000</v>
      </c>
      <c r="J40" s="140">
        <f t="shared" si="5"/>
        <v>1345000</v>
      </c>
      <c r="K40" s="140">
        <f t="shared" si="5"/>
        <v>1345000</v>
      </c>
      <c r="L40" s="140">
        <f t="shared" si="5"/>
        <v>1345000</v>
      </c>
      <c r="M40" s="140">
        <f t="shared" si="5"/>
        <v>1345000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73"/>
      <c r="D74" s="267">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73"/>
      <c r="D75" s="267">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73"/>
      <c r="D76" s="267">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73"/>
      <c r="D77" s="267">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268"/>
      <c r="F78" s="215"/>
      <c r="G78" s="215"/>
      <c r="H78" s="215"/>
      <c r="I78" s="215"/>
      <c r="J78" s="215"/>
      <c r="K78" s="215"/>
      <c r="L78" s="215"/>
      <c r="M78" s="215"/>
      <c r="N78" s="215"/>
      <c r="O78" s="215"/>
      <c r="P78" s="215"/>
      <c r="Q78" s="215"/>
      <c r="R78" s="215"/>
      <c r="S78" s="215"/>
      <c r="T78" s="216"/>
    </row>
    <row r="79" spans="2:20" x14ac:dyDescent="0.3">
      <c r="B79" s="191" t="s">
        <v>55</v>
      </c>
      <c r="C79" s="239" t="s">
        <v>236</v>
      </c>
      <c r="D79" s="269"/>
      <c r="F79" s="215"/>
      <c r="G79" s="215"/>
      <c r="H79" s="215"/>
      <c r="I79" s="215"/>
      <c r="J79" s="215"/>
      <c r="K79" s="215"/>
      <c r="L79" s="215"/>
      <c r="M79" s="215"/>
      <c r="N79" s="215"/>
      <c r="O79" s="215"/>
      <c r="P79" s="215"/>
      <c r="Q79" s="215"/>
      <c r="R79" s="215"/>
      <c r="S79" s="215"/>
      <c r="T79" s="216"/>
    </row>
    <row r="80" spans="2:20" x14ac:dyDescent="0.3">
      <c r="B80" s="193" t="s">
        <v>56</v>
      </c>
      <c r="C80" s="273"/>
      <c r="D80" s="267">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73"/>
      <c r="D81" s="267">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73"/>
      <c r="D82" s="267">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73"/>
      <c r="D83" s="267">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73"/>
      <c r="D84" s="267">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73"/>
      <c r="D85" s="267">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268"/>
      <c r="F86" s="215"/>
      <c r="G86" s="215"/>
      <c r="H86" s="215"/>
      <c r="I86" s="215"/>
      <c r="J86" s="215"/>
      <c r="K86" s="215"/>
      <c r="L86" s="215"/>
      <c r="M86" s="215"/>
      <c r="N86" s="215"/>
      <c r="O86" s="215"/>
      <c r="P86" s="215"/>
      <c r="Q86" s="215"/>
      <c r="R86" s="215"/>
      <c r="S86" s="215"/>
      <c r="T86" s="216"/>
    </row>
    <row r="87" spans="2:20" x14ac:dyDescent="0.3">
      <c r="B87" s="191" t="s">
        <v>62</v>
      </c>
      <c r="C87" s="239" t="s">
        <v>236</v>
      </c>
      <c r="D87" s="269"/>
      <c r="F87" s="215"/>
      <c r="G87" s="215"/>
      <c r="H87" s="215"/>
      <c r="I87" s="215"/>
      <c r="J87" s="215"/>
      <c r="K87" s="215"/>
      <c r="L87" s="215"/>
      <c r="M87" s="215"/>
      <c r="N87" s="215"/>
      <c r="O87" s="215"/>
      <c r="P87" s="215"/>
      <c r="Q87" s="215"/>
      <c r="R87" s="215"/>
      <c r="S87" s="215"/>
      <c r="T87" s="216"/>
    </row>
    <row r="88" spans="2:20" x14ac:dyDescent="0.3">
      <c r="B88" s="193" t="s">
        <v>63</v>
      </c>
      <c r="C88" s="273"/>
      <c r="D88" s="267">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73"/>
      <c r="D89" s="267">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268"/>
      <c r="F90" s="215"/>
      <c r="G90" s="215"/>
      <c r="H90" s="215"/>
      <c r="I90" s="215"/>
      <c r="J90" s="215"/>
      <c r="K90" s="215"/>
      <c r="L90" s="215"/>
      <c r="M90" s="215"/>
      <c r="N90" s="215"/>
      <c r="O90" s="215"/>
      <c r="P90" s="215"/>
      <c r="Q90" s="215"/>
      <c r="R90" s="215"/>
      <c r="S90" s="215"/>
      <c r="T90" s="216"/>
    </row>
    <row r="91" spans="2:20" x14ac:dyDescent="0.3">
      <c r="B91" s="191" t="s">
        <v>65</v>
      </c>
      <c r="C91" s="239" t="s">
        <v>236</v>
      </c>
      <c r="D91" s="269"/>
      <c r="F91" s="215"/>
      <c r="G91" s="215"/>
      <c r="H91" s="215"/>
      <c r="I91" s="215"/>
      <c r="J91" s="215"/>
      <c r="K91" s="215"/>
      <c r="L91" s="215"/>
      <c r="M91" s="215"/>
      <c r="N91" s="215"/>
      <c r="O91" s="215"/>
      <c r="P91" s="215"/>
      <c r="Q91" s="215"/>
      <c r="R91" s="215"/>
      <c r="S91" s="215"/>
      <c r="T91" s="216"/>
    </row>
    <row r="92" spans="2:20" x14ac:dyDescent="0.3">
      <c r="B92" s="193" t="s">
        <v>66</v>
      </c>
      <c r="C92" s="273"/>
      <c r="D92" s="267">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73"/>
      <c r="D93" s="267">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73"/>
      <c r="D94" s="267">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73"/>
      <c r="D95" s="267">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52">
        <v>4.0000000000000002E-4</v>
      </c>
      <c r="D96" s="267">
        <f>C96*'Inputs and assumptions'!D39</f>
        <v>600000</v>
      </c>
      <c r="F96" s="294">
        <f>$D96*F$28</f>
        <v>0</v>
      </c>
      <c r="G96" s="294">
        <f t="shared" ref="G96:T97" si="6">$D96*G$28</f>
        <v>600000</v>
      </c>
      <c r="H96" s="294">
        <f t="shared" si="6"/>
        <v>600000</v>
      </c>
      <c r="I96" s="294">
        <f t="shared" si="6"/>
        <v>600000</v>
      </c>
      <c r="J96" s="294">
        <f t="shared" si="6"/>
        <v>600000</v>
      </c>
      <c r="K96" s="294">
        <f t="shared" si="6"/>
        <v>600000</v>
      </c>
      <c r="L96" s="294">
        <f t="shared" si="6"/>
        <v>600000</v>
      </c>
      <c r="M96" s="294">
        <f t="shared" si="6"/>
        <v>600000</v>
      </c>
      <c r="N96" s="294">
        <f t="shared" si="6"/>
        <v>0</v>
      </c>
      <c r="O96" s="294">
        <f t="shared" si="6"/>
        <v>0</v>
      </c>
      <c r="P96" s="294">
        <f t="shared" si="6"/>
        <v>0</v>
      </c>
      <c r="Q96" s="294">
        <f t="shared" si="6"/>
        <v>0</v>
      </c>
      <c r="R96" s="294">
        <f t="shared" si="6"/>
        <v>0</v>
      </c>
      <c r="S96" s="294">
        <f t="shared" si="6"/>
        <v>0</v>
      </c>
      <c r="T96" s="295">
        <f t="shared" si="6"/>
        <v>0</v>
      </c>
    </row>
    <row r="97" spans="2:20" x14ac:dyDescent="0.3">
      <c r="B97" s="193" t="s">
        <v>71</v>
      </c>
      <c r="C97" s="252">
        <v>0.01</v>
      </c>
      <c r="D97" s="267">
        <f>C97*'Inputs and assumptions'!D40</f>
        <v>765000</v>
      </c>
      <c r="F97" s="294">
        <f>$D97*F$28</f>
        <v>0</v>
      </c>
      <c r="G97" s="294">
        <f t="shared" si="6"/>
        <v>765000</v>
      </c>
      <c r="H97" s="294">
        <f t="shared" si="6"/>
        <v>765000</v>
      </c>
      <c r="I97" s="294">
        <f t="shared" si="6"/>
        <v>765000</v>
      </c>
      <c r="J97" s="294">
        <f t="shared" si="6"/>
        <v>765000</v>
      </c>
      <c r="K97" s="294">
        <f t="shared" si="6"/>
        <v>765000</v>
      </c>
      <c r="L97" s="294">
        <f t="shared" si="6"/>
        <v>765000</v>
      </c>
      <c r="M97" s="294">
        <f t="shared" si="6"/>
        <v>765000</v>
      </c>
      <c r="N97" s="294">
        <f t="shared" si="6"/>
        <v>0</v>
      </c>
      <c r="O97" s="294">
        <f t="shared" si="6"/>
        <v>0</v>
      </c>
      <c r="P97" s="294">
        <f t="shared" si="6"/>
        <v>0</v>
      </c>
      <c r="Q97" s="294">
        <f t="shared" si="6"/>
        <v>0</v>
      </c>
      <c r="R97" s="294">
        <f t="shared" si="6"/>
        <v>0</v>
      </c>
      <c r="S97" s="294">
        <f t="shared" si="6"/>
        <v>0</v>
      </c>
      <c r="T97" s="295">
        <f t="shared" si="6"/>
        <v>0</v>
      </c>
    </row>
    <row r="98" spans="2:20" ht="13.5" thickBot="1" x14ac:dyDescent="0.35">
      <c r="B98" s="194" t="s">
        <v>72</v>
      </c>
      <c r="C98" s="274"/>
      <c r="D98" s="270">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7">$D$102*F27</f>
        <v>0</v>
      </c>
      <c r="G102" s="140">
        <f t="shared" si="7"/>
        <v>0</v>
      </c>
      <c r="H102" s="140">
        <f t="shared" si="7"/>
        <v>0</v>
      </c>
      <c r="I102" s="140">
        <f t="shared" si="7"/>
        <v>0</v>
      </c>
      <c r="J102" s="140">
        <f t="shared" si="7"/>
        <v>0</v>
      </c>
      <c r="K102" s="140">
        <f t="shared" si="7"/>
        <v>0</v>
      </c>
      <c r="L102" s="140">
        <f t="shared" si="7"/>
        <v>0</v>
      </c>
      <c r="M102" s="140">
        <f t="shared" si="7"/>
        <v>0</v>
      </c>
      <c r="N102" s="140">
        <f t="shared" si="7"/>
        <v>0</v>
      </c>
      <c r="O102" s="140">
        <f t="shared" si="7"/>
        <v>0</v>
      </c>
      <c r="P102" s="140">
        <f t="shared" si="7"/>
        <v>0</v>
      </c>
      <c r="Q102" s="140">
        <f t="shared" si="7"/>
        <v>0</v>
      </c>
      <c r="R102" s="140">
        <f t="shared" si="7"/>
        <v>0</v>
      </c>
      <c r="S102" s="140">
        <f t="shared" si="7"/>
        <v>0</v>
      </c>
      <c r="T102" s="141">
        <f t="shared" si="7"/>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1710000</v>
      </c>
      <c r="G107" s="294">
        <f>$E$111*G$29</f>
        <v>190000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20000</v>
      </c>
      <c r="H108" s="175">
        <v>20000</v>
      </c>
      <c r="I108" s="175">
        <v>20000</v>
      </c>
      <c r="J108" s="175">
        <v>20000</v>
      </c>
      <c r="K108" s="175">
        <v>20000</v>
      </c>
      <c r="L108" s="175">
        <v>20000</v>
      </c>
      <c r="M108" s="175">
        <v>20000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1900000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255</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G7:T15"/>
    <mergeCell ref="N18:Q18"/>
    <mergeCell ref="N19:Q19"/>
    <mergeCell ref="B113:E122"/>
    <mergeCell ref="N17:R17"/>
    <mergeCell ref="N21:R21"/>
    <mergeCell ref="B43:D43"/>
    <mergeCell ref="B100:D100"/>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2E51C28B-8AA7-4E3C-B5C3-F4E7AAE9F868}">
          <x14:formula1>
            <xm:f>'Inputs and assumptions'!$H$16:$H$20</xm:f>
          </x14:formula1>
          <xm:sqref>E8</xm:sqref>
        </x14:dataValidation>
        <x14:dataValidation type="list" allowBlank="1" showInputMessage="1" showErrorMessage="1" xr:uid="{5AE88FC1-C876-4E98-A17A-24F1BDF06924}">
          <x14:formula1>
            <xm:f>'Inputs and assumptions'!$G$16:$G$20</xm:f>
          </x14:formula1>
          <xm:sqref>E7</xm:sqref>
        </x14:dataValidation>
        <x14:dataValidation type="list" allowBlank="1" showInputMessage="1" showErrorMessage="1" xr:uid="{D9B8AAC8-1120-4778-9FBA-2714CCD8C4F4}">
          <x14:formula1>
            <xm:f>'Inputs and assumptions'!$H$23:$H$24</xm:f>
          </x14:formula1>
          <xm:sqref>E10</xm:sqref>
        </x14:dataValidation>
        <x14:dataValidation type="list" allowBlank="1" showInputMessage="1" showErrorMessage="1" xr:uid="{3DD2B8A6-F5D5-476B-9160-626565A58AAE}">
          <x14:formula1>
            <xm:f>'Inputs and assumptions'!$H$27:$H$29</xm:f>
          </x14:formula1>
          <xm:sqref>E11</xm:sqref>
        </x14:dataValidation>
        <x14:dataValidation type="list" allowBlank="1" showInputMessage="1" showErrorMessage="1" xr:uid="{7E6B0C10-6E46-4AD2-87CB-747A7538D42D}">
          <x14:formula1>
            <xm:f>'Inputs and assumptions'!$J$17:$J$18</xm:f>
          </x14:formula1>
          <xm:sqref>E43</xm:sqref>
        </x14:dataValidation>
        <x14:dataValidation type="list" allowBlank="1" showInputMessage="1" showErrorMessage="1" xr:uid="{31443C81-7645-4447-A58E-C1628AA2EB55}">
          <x14:formula1>
            <xm:f>'Inputs and assumptions'!$H$31:$H$34</xm:f>
          </x14:formula1>
          <xm:sqref>E12</xm:sqref>
        </x14:dataValidation>
        <x14:dataValidation type="list" allowBlank="1" showInputMessage="1" showErrorMessage="1" xr:uid="{1AFAFCE5-52E0-46C5-9A98-9168EF6A268D}">
          <x14:formula1>
            <xm:f>'Inputs and assumptions'!$H$36:$H$40</xm:f>
          </x14:formula1>
          <xm:sqref>E13</xm:sqref>
        </x14:dataValidation>
        <x14:dataValidation type="list" allowBlank="1" showInputMessage="1" showErrorMessage="1" xr:uid="{91F8590C-BBF3-4D3C-BF6F-DA1F3F823645}">
          <x14:formula1>
            <xm:f>'Inputs and assumptions'!$J$21:$J$24</xm:f>
          </x14:formula1>
          <xm:sqref>E14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C3A5-7BEC-4B92-A592-DA6CD5CD1CB2}">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256</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174</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257</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258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ht="23.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-725058.00464037119</v>
      </c>
      <c r="J18" s="222"/>
      <c r="K18" s="220" t="s">
        <v>220</v>
      </c>
      <c r="L18" s="223">
        <f>SUM(F34:J34)</f>
        <v>750000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2744955.4635451254</v>
      </c>
      <c r="J19" s="127"/>
      <c r="K19" s="125" t="s">
        <v>223</v>
      </c>
      <c r="L19" s="225">
        <f>SUM(F36:J36)</f>
        <v>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4.7858425753214373</v>
      </c>
      <c r="J20" s="127"/>
      <c r="K20" s="125" t="s">
        <v>225</v>
      </c>
      <c r="L20" s="225">
        <f>NPV($D$33,F39:T39)</f>
        <v>3470013.468185497</v>
      </c>
      <c r="N20" s="316" t="s">
        <v>226</v>
      </c>
      <c r="O20" s="316"/>
      <c r="P20" s="316"/>
      <c r="Q20" s="316"/>
      <c r="R20" s="317"/>
      <c r="S20" s="318"/>
      <c r="T20" s="319" t="s">
        <v>222</v>
      </c>
    </row>
    <row r="21" spans="2:20" ht="13.5" customHeight="1" thickBot="1" x14ac:dyDescent="0.35">
      <c r="B21" s="160" t="s">
        <v>23</v>
      </c>
      <c r="C21" s="182">
        <v>1</v>
      </c>
      <c r="D21" s="161">
        <v>0.18</v>
      </c>
      <c r="E21" s="162">
        <f>D21*C21</f>
        <v>0.18</v>
      </c>
      <c r="G21" s="194"/>
      <c r="H21" s="257" t="s">
        <v>166</v>
      </c>
      <c r="I21" s="258">
        <f>IFERROR(NPV($D$33,F39:T39)/NPV($D$33,F38:T38),"N/A")</f>
        <v>3.1905617168809584</v>
      </c>
      <c r="J21" s="226"/>
      <c r="K21" s="436" t="s">
        <v>228</v>
      </c>
      <c r="L21" s="439">
        <f>NPV($D$33,F39:J39)</f>
        <v>1356820.4747925915</v>
      </c>
      <c r="N21" s="570" t="s">
        <v>229</v>
      </c>
      <c r="O21" s="570"/>
      <c r="P21" s="570"/>
      <c r="Q21" s="570"/>
      <c r="R21" s="570"/>
      <c r="S21" s="164"/>
      <c r="T21" s="165"/>
    </row>
    <row r="22" spans="2:20" ht="13.5" customHeight="1" x14ac:dyDescent="0.3">
      <c r="B22" s="160" t="s">
        <v>230</v>
      </c>
      <c r="C22" s="182">
        <v>1</v>
      </c>
      <c r="D22" s="161">
        <v>0.17</v>
      </c>
      <c r="E22" s="162">
        <f>D22*C22</f>
        <v>0.17</v>
      </c>
      <c r="L22" s="218"/>
    </row>
    <row r="23" spans="2:20" ht="13.5" customHeight="1" x14ac:dyDescent="0.3">
      <c r="B23" s="117" t="s">
        <v>229</v>
      </c>
      <c r="C23" s="117"/>
      <c r="D23" s="164">
        <f>SUM(D18:D22)</f>
        <v>0.99999999999999989</v>
      </c>
      <c r="E23" s="165">
        <f>SUM(E18:E22)</f>
        <v>2.23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v>2</v>
      </c>
      <c r="E27" s="112"/>
      <c r="F27" s="227">
        <v>2</v>
      </c>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c r="H28" s="265"/>
      <c r="I28" s="265"/>
      <c r="J28" s="265"/>
      <c r="K28" s="265"/>
      <c r="L28" s="265"/>
      <c r="M28" s="265"/>
      <c r="N28" s="265"/>
      <c r="O28" s="265"/>
      <c r="P28" s="265"/>
      <c r="Q28" s="265"/>
      <c r="R28" s="265"/>
      <c r="S28" s="265"/>
      <c r="T28" s="265"/>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750000</v>
      </c>
      <c r="G34" s="140">
        <f t="shared" si="0"/>
        <v>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1125000</v>
      </c>
      <c r="G35" s="140">
        <f>G34*(1+'Inputs and assumptions'!$C$7)</f>
        <v>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-725058.00464037119</v>
      </c>
      <c r="E37" s="248"/>
      <c r="F37" s="144">
        <f t="shared" ref="F37:T37" si="2">-F34-F36</f>
        <v>-750000</v>
      </c>
      <c r="G37" s="144">
        <f t="shared" si="2"/>
        <v>0</v>
      </c>
      <c r="H37" s="144">
        <f t="shared" si="2"/>
        <v>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1125000</v>
      </c>
      <c r="G38" s="142">
        <f t="shared" ref="G38:T38" si="3">G35+G36</f>
        <v>0</v>
      </c>
      <c r="H38" s="142">
        <f t="shared" si="3"/>
        <v>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IF($E$43="Per Unit",SUM(F45:F71),SUM(F73:F98))</f>
        <v>300000</v>
      </c>
      <c r="G39" s="140">
        <f t="shared" ref="G39:T39" si="4">IF($E$43="Per Unit",SUM(G45:G71),SUM(G73:G98))</f>
        <v>300000</v>
      </c>
      <c r="H39" s="140">
        <f t="shared" si="4"/>
        <v>300000</v>
      </c>
      <c r="I39" s="140">
        <f t="shared" si="4"/>
        <v>300000</v>
      </c>
      <c r="J39" s="140">
        <f t="shared" si="4"/>
        <v>300000</v>
      </c>
      <c r="K39" s="140">
        <f t="shared" si="4"/>
        <v>300000</v>
      </c>
      <c r="L39" s="140">
        <f t="shared" si="4"/>
        <v>300000</v>
      </c>
      <c r="M39" s="140">
        <f t="shared" si="4"/>
        <v>300000</v>
      </c>
      <c r="N39" s="140">
        <f t="shared" si="4"/>
        <v>300000</v>
      </c>
      <c r="O39" s="140">
        <f t="shared" si="4"/>
        <v>300000</v>
      </c>
      <c r="P39" s="140">
        <f t="shared" si="4"/>
        <v>300000</v>
      </c>
      <c r="Q39" s="140">
        <f t="shared" si="4"/>
        <v>300000</v>
      </c>
      <c r="R39" s="140">
        <f t="shared" si="4"/>
        <v>300000</v>
      </c>
      <c r="S39" s="140">
        <f t="shared" si="4"/>
        <v>300000</v>
      </c>
      <c r="T39" s="141">
        <f t="shared" si="4"/>
        <v>300000</v>
      </c>
    </row>
    <row r="40" spans="2:20" x14ac:dyDescent="0.3">
      <c r="B40" s="123" t="s">
        <v>46</v>
      </c>
      <c r="C40" s="112"/>
      <c r="D40" s="134">
        <f>NPV($D$33,F40:T40)</f>
        <v>2744955.4635451254</v>
      </c>
      <c r="E40" s="112"/>
      <c r="F40" s="140">
        <f>F39+F37</f>
        <v>-450000</v>
      </c>
      <c r="G40" s="140">
        <f t="shared" ref="G40:T40" si="5">G39+G37</f>
        <v>300000</v>
      </c>
      <c r="H40" s="140">
        <f t="shared" si="5"/>
        <v>300000</v>
      </c>
      <c r="I40" s="140">
        <f t="shared" si="5"/>
        <v>300000</v>
      </c>
      <c r="J40" s="140">
        <f t="shared" si="5"/>
        <v>300000</v>
      </c>
      <c r="K40" s="140">
        <f t="shared" si="5"/>
        <v>300000</v>
      </c>
      <c r="L40" s="140">
        <f t="shared" si="5"/>
        <v>300000</v>
      </c>
      <c r="M40" s="140">
        <f t="shared" si="5"/>
        <v>300000</v>
      </c>
      <c r="N40" s="140">
        <f t="shared" si="5"/>
        <v>300000</v>
      </c>
      <c r="O40" s="140">
        <f t="shared" si="5"/>
        <v>300000</v>
      </c>
      <c r="P40" s="140">
        <f t="shared" si="5"/>
        <v>300000</v>
      </c>
      <c r="Q40" s="140">
        <f t="shared" si="5"/>
        <v>300000</v>
      </c>
      <c r="R40" s="140">
        <f t="shared" si="5"/>
        <v>300000</v>
      </c>
      <c r="S40" s="140">
        <f t="shared" si="5"/>
        <v>300000</v>
      </c>
      <c r="T40" s="141">
        <f t="shared" si="5"/>
        <v>300000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150000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v>2.0000000000000001E-4</v>
      </c>
      <c r="D68" s="267">
        <f>IFERROR(C68*'Inputs and assumptions'!D39/$D$27,0)</f>
        <v>150000</v>
      </c>
      <c r="E68" s="112"/>
      <c r="F68" s="140">
        <f>$D68*SUM($E$27:F$27)</f>
        <v>300000</v>
      </c>
      <c r="G68" s="140">
        <f>$D68*SUM($E$27:G$27)</f>
        <v>300000</v>
      </c>
      <c r="H68" s="140">
        <f>$D68*SUM($E$27:H$27)</f>
        <v>300000</v>
      </c>
      <c r="I68" s="140">
        <f>$D68*SUM($E$27:I$27)</f>
        <v>300000</v>
      </c>
      <c r="J68" s="140">
        <f>$D68*SUM($E$27:J$27)</f>
        <v>300000</v>
      </c>
      <c r="K68" s="140">
        <f>$D68*SUM($E$27:K$27)</f>
        <v>300000</v>
      </c>
      <c r="L68" s="140">
        <f>$D68*SUM($E$27:L$27)</f>
        <v>300000</v>
      </c>
      <c r="M68" s="140">
        <f>$D68*SUM($E$27:M$27)</f>
        <v>300000</v>
      </c>
      <c r="N68" s="140">
        <f>$D68*SUM($E$27:N$27)</f>
        <v>300000</v>
      </c>
      <c r="O68" s="140">
        <f>$D68*SUM($E$27:O$27)</f>
        <v>300000</v>
      </c>
      <c r="P68" s="140">
        <f>$D68*SUM($E$27:P$27)</f>
        <v>300000</v>
      </c>
      <c r="Q68" s="140">
        <f>$D68*SUM($E$27:Q$27)</f>
        <v>300000</v>
      </c>
      <c r="R68" s="140">
        <f>$D68*SUM($E$27:R$27)</f>
        <v>300000</v>
      </c>
      <c r="S68" s="140">
        <f>$D68*SUM($E$27:S$27)</f>
        <v>300000</v>
      </c>
      <c r="T68" s="141">
        <f>$D68*SUM($E$27:T$27)</f>
        <v>300000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7">
        <f>C96*'Inputs and assumptions'!D39</f>
        <v>0</v>
      </c>
      <c r="F96" s="294">
        <f>$D96*F$28</f>
        <v>0</v>
      </c>
      <c r="G96" s="294">
        <f t="shared" ref="G96:T96" si="6">$D96*G$28</f>
        <v>0</v>
      </c>
      <c r="H96" s="294">
        <f t="shared" si="6"/>
        <v>0</v>
      </c>
      <c r="I96" s="294">
        <f t="shared" si="6"/>
        <v>0</v>
      </c>
      <c r="J96" s="294">
        <f t="shared" si="6"/>
        <v>0</v>
      </c>
      <c r="K96" s="294">
        <f t="shared" si="6"/>
        <v>0</v>
      </c>
      <c r="L96" s="294">
        <f t="shared" si="6"/>
        <v>0</v>
      </c>
      <c r="M96" s="294">
        <f t="shared" si="6"/>
        <v>0</v>
      </c>
      <c r="N96" s="294">
        <f t="shared" si="6"/>
        <v>0</v>
      </c>
      <c r="O96" s="294">
        <f t="shared" si="6"/>
        <v>0</v>
      </c>
      <c r="P96" s="294">
        <f t="shared" si="6"/>
        <v>0</v>
      </c>
      <c r="Q96" s="294">
        <f t="shared" si="6"/>
        <v>0</v>
      </c>
      <c r="R96" s="294">
        <f t="shared" si="6"/>
        <v>0</v>
      </c>
      <c r="S96" s="294">
        <f t="shared" si="6"/>
        <v>0</v>
      </c>
      <c r="T96" s="295">
        <f t="shared" si="6"/>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375000</v>
      </c>
      <c r="E102" s="112"/>
      <c r="F102" s="140">
        <f t="shared" ref="F102:T102" si="7">$D$102*F27</f>
        <v>750000</v>
      </c>
      <c r="G102" s="140">
        <f t="shared" si="7"/>
        <v>0</v>
      </c>
      <c r="H102" s="140">
        <f t="shared" si="7"/>
        <v>0</v>
      </c>
      <c r="I102" s="140">
        <f t="shared" si="7"/>
        <v>0</v>
      </c>
      <c r="J102" s="140">
        <f t="shared" si="7"/>
        <v>0</v>
      </c>
      <c r="K102" s="140">
        <f t="shared" si="7"/>
        <v>0</v>
      </c>
      <c r="L102" s="140">
        <f t="shared" si="7"/>
        <v>0</v>
      </c>
      <c r="M102" s="140">
        <f t="shared" si="7"/>
        <v>0</v>
      </c>
      <c r="N102" s="140">
        <f t="shared" si="7"/>
        <v>0</v>
      </c>
      <c r="O102" s="140">
        <f t="shared" si="7"/>
        <v>0</v>
      </c>
      <c r="P102" s="140">
        <f t="shared" si="7"/>
        <v>0</v>
      </c>
      <c r="Q102" s="140">
        <f t="shared" si="7"/>
        <v>0</v>
      </c>
      <c r="R102" s="140">
        <f t="shared" si="7"/>
        <v>0</v>
      </c>
      <c r="S102" s="140">
        <f t="shared" si="7"/>
        <v>0</v>
      </c>
      <c r="T102" s="141">
        <f t="shared" si="7"/>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750000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375000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259</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C41D3059-3294-4950-9A99-2D741EA0C63F}">
          <x14:formula1>
            <xm:f>'Inputs and assumptions'!$H$16:$H$20</xm:f>
          </x14:formula1>
          <xm:sqref>E8</xm:sqref>
        </x14:dataValidation>
        <x14:dataValidation type="list" allowBlank="1" showInputMessage="1" showErrorMessage="1" xr:uid="{42794EF8-61AE-432A-AD15-02389FF8CB42}">
          <x14:formula1>
            <xm:f>'Inputs and assumptions'!$G$16:$G$20</xm:f>
          </x14:formula1>
          <xm:sqref>E7</xm:sqref>
        </x14:dataValidation>
        <x14:dataValidation type="list" allowBlank="1" showInputMessage="1" showErrorMessage="1" xr:uid="{E67C9F64-3F76-4149-8E58-E48D01C13CE7}">
          <x14:formula1>
            <xm:f>'Inputs and assumptions'!$H$23:$H$24</xm:f>
          </x14:formula1>
          <xm:sqref>E10</xm:sqref>
        </x14:dataValidation>
        <x14:dataValidation type="list" allowBlank="1" showInputMessage="1" showErrorMessage="1" xr:uid="{E7EC1248-58FA-47EE-92F6-35A1EC8970DD}">
          <x14:formula1>
            <xm:f>'Inputs and assumptions'!$H$27:$H$29</xm:f>
          </x14:formula1>
          <xm:sqref>E11</xm:sqref>
        </x14:dataValidation>
        <x14:dataValidation type="list" allowBlank="1" showInputMessage="1" showErrorMessage="1" xr:uid="{6CCB6B4A-B0DF-47F2-A61D-E5A194636B2C}">
          <x14:formula1>
            <xm:f>'Inputs and assumptions'!$J$17:$J$18</xm:f>
          </x14:formula1>
          <xm:sqref>E43</xm:sqref>
        </x14:dataValidation>
        <x14:dataValidation type="list" allowBlank="1" showInputMessage="1" showErrorMessage="1" xr:uid="{24217179-3F4C-4082-8A4C-DCBC89409161}">
          <x14:formula1>
            <xm:f>'Inputs and assumptions'!$H$31:$H$34</xm:f>
          </x14:formula1>
          <xm:sqref>E12</xm:sqref>
        </x14:dataValidation>
        <x14:dataValidation type="list" allowBlank="1" showInputMessage="1" showErrorMessage="1" xr:uid="{79DF8A23-F272-435A-A0A2-48BE5FBB5476}">
          <x14:formula1>
            <xm:f>'Inputs and assumptions'!$H$36:$H$40</xm:f>
          </x14:formula1>
          <xm:sqref>E13</xm:sqref>
        </x14:dataValidation>
        <x14:dataValidation type="list" allowBlank="1" showInputMessage="1" showErrorMessage="1" xr:uid="{4187A3D6-888D-4DAA-AC93-5FB33E7C8471}">
          <x14:formula1>
            <xm:f>'Inputs and assumptions'!$J$21:$J$24</xm:f>
          </x14:formula1>
          <xm:sqref>E14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0B66-CF63-4CF4-9C7F-5A62D34AC039}">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260</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175</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261</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262</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ht="58.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-725058.00464037119</v>
      </c>
      <c r="J18" s="222"/>
      <c r="K18" s="220" t="s">
        <v>220</v>
      </c>
      <c r="L18" s="223">
        <f>SUM(F34:J34)</f>
        <v>750000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937442.92898834031</v>
      </c>
      <c r="J19" s="127"/>
      <c r="K19" s="125" t="s">
        <v>223</v>
      </c>
      <c r="L19" s="225">
        <f>SUM(F36:J36)</f>
        <v>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2.292921287660719</v>
      </c>
      <c r="J20" s="127"/>
      <c r="K20" s="125" t="s">
        <v>225</v>
      </c>
      <c r="L20" s="225">
        <f>NPV($D$33,F39:T39)</f>
        <v>1662500.9336287114</v>
      </c>
      <c r="N20" s="316" t="s">
        <v>226</v>
      </c>
      <c r="O20" s="316"/>
      <c r="P20" s="316"/>
      <c r="Q20" s="316"/>
      <c r="R20" s="317"/>
      <c r="S20" s="318"/>
      <c r="T20" s="319" t="s">
        <v>222</v>
      </c>
    </row>
    <row r="21" spans="2:20" ht="13.5" customHeight="1" thickBot="1" x14ac:dyDescent="0.35">
      <c r="B21" s="160" t="s">
        <v>23</v>
      </c>
      <c r="C21" s="182">
        <v>1</v>
      </c>
      <c r="D21" s="161">
        <v>0.18</v>
      </c>
      <c r="E21" s="162">
        <f>D21*C21</f>
        <v>0.18</v>
      </c>
      <c r="G21" s="194"/>
      <c r="H21" s="257" t="s">
        <v>166</v>
      </c>
      <c r="I21" s="258">
        <f>IFERROR(NPV($D$33,F39:T39)/NPV($D$33,F38:T38),"N/A")</f>
        <v>1.5286141917738125</v>
      </c>
      <c r="J21" s="226"/>
      <c r="K21" s="436" t="s">
        <v>228</v>
      </c>
      <c r="L21" s="439">
        <f>NPV($D$33,F39:J39)</f>
        <v>605904.43693225866</v>
      </c>
      <c r="N21" s="570" t="s">
        <v>229</v>
      </c>
      <c r="O21" s="570"/>
      <c r="P21" s="570"/>
      <c r="Q21" s="570"/>
      <c r="R21" s="570"/>
      <c r="S21" s="164"/>
      <c r="T21" s="165"/>
    </row>
    <row r="22" spans="2:20" ht="13.5" customHeight="1" x14ac:dyDescent="0.3">
      <c r="B22" s="160" t="s">
        <v>230</v>
      </c>
      <c r="C22" s="182">
        <v>1</v>
      </c>
      <c r="D22" s="161">
        <v>0.17</v>
      </c>
      <c r="E22" s="162">
        <f>D22*C22</f>
        <v>0.17</v>
      </c>
      <c r="L22" s="218"/>
    </row>
    <row r="23" spans="2:20" ht="13.5" customHeight="1" x14ac:dyDescent="0.3">
      <c r="B23" s="117" t="s">
        <v>229</v>
      </c>
      <c r="C23" s="117"/>
      <c r="D23" s="164">
        <f>SUM(D18:D22)</f>
        <v>0.99999999999999989</v>
      </c>
      <c r="E23" s="165">
        <f>SUM(E18:E22)</f>
        <v>2.23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0.5</v>
      </c>
      <c r="G28" s="265">
        <v>1</v>
      </c>
      <c r="H28" s="265">
        <v>1</v>
      </c>
      <c r="I28" s="265">
        <v>1</v>
      </c>
      <c r="J28" s="265">
        <v>1</v>
      </c>
      <c r="K28" s="265">
        <v>1</v>
      </c>
      <c r="L28" s="265">
        <v>1</v>
      </c>
      <c r="M28" s="265">
        <v>1</v>
      </c>
      <c r="N28" s="265">
        <v>1</v>
      </c>
      <c r="O28" s="265">
        <v>1</v>
      </c>
      <c r="P28" s="265">
        <v>1</v>
      </c>
      <c r="Q28" s="265">
        <v>1</v>
      </c>
      <c r="R28" s="265">
        <v>1</v>
      </c>
      <c r="S28" s="265">
        <v>1</v>
      </c>
      <c r="T28" s="266">
        <v>1</v>
      </c>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750000</v>
      </c>
      <c r="G34" s="140">
        <f t="shared" si="0"/>
        <v>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1125000</v>
      </c>
      <c r="G35" s="140">
        <f>G34*(1+'Inputs and assumptions'!$C$7)</f>
        <v>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-725058.00464037119</v>
      </c>
      <c r="E37" s="248"/>
      <c r="F37" s="144">
        <f t="shared" ref="F37:T37" si="2">-F34-F36</f>
        <v>-750000</v>
      </c>
      <c r="G37" s="144">
        <f t="shared" si="2"/>
        <v>0</v>
      </c>
      <c r="H37" s="144">
        <f t="shared" si="2"/>
        <v>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1125000</v>
      </c>
      <c r="G38" s="142">
        <f t="shared" ref="G38:T38" si="3">G35+G36</f>
        <v>0</v>
      </c>
      <c r="H38" s="142">
        <f t="shared" si="3"/>
        <v>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75000</v>
      </c>
      <c r="G39" s="140">
        <f t="shared" si="4"/>
        <v>150000</v>
      </c>
      <c r="H39" s="140">
        <f t="shared" si="4"/>
        <v>150000</v>
      </c>
      <c r="I39" s="140">
        <f t="shared" si="4"/>
        <v>150000</v>
      </c>
      <c r="J39" s="140">
        <f t="shared" si="4"/>
        <v>150000</v>
      </c>
      <c r="K39" s="140">
        <f t="shared" si="4"/>
        <v>150000</v>
      </c>
      <c r="L39" s="140">
        <f t="shared" si="4"/>
        <v>150000</v>
      </c>
      <c r="M39" s="140">
        <f t="shared" si="4"/>
        <v>150000</v>
      </c>
      <c r="N39" s="140">
        <f t="shared" si="4"/>
        <v>150000</v>
      </c>
      <c r="O39" s="140">
        <f t="shared" si="4"/>
        <v>150000</v>
      </c>
      <c r="P39" s="140">
        <f t="shared" si="4"/>
        <v>150000</v>
      </c>
      <c r="Q39" s="140">
        <f t="shared" si="4"/>
        <v>150000</v>
      </c>
      <c r="R39" s="140">
        <f t="shared" si="4"/>
        <v>150000</v>
      </c>
      <c r="S39" s="140">
        <f t="shared" si="4"/>
        <v>150000</v>
      </c>
      <c r="T39" s="141">
        <f t="shared" si="4"/>
        <v>150000</v>
      </c>
    </row>
    <row r="40" spans="2:20" x14ac:dyDescent="0.3">
      <c r="B40" s="123" t="s">
        <v>46</v>
      </c>
      <c r="C40" s="112"/>
      <c r="D40" s="134">
        <f>NPV($D$33,F40:T40)</f>
        <v>937442.92898834031</v>
      </c>
      <c r="E40" s="112"/>
      <c r="F40" s="140">
        <f t="shared" ref="F40:T40" si="5">F39+F37</f>
        <v>-675000</v>
      </c>
      <c r="G40" s="140">
        <f t="shared" si="5"/>
        <v>150000</v>
      </c>
      <c r="H40" s="140">
        <f t="shared" si="5"/>
        <v>150000</v>
      </c>
      <c r="I40" s="140">
        <f t="shared" si="5"/>
        <v>150000</v>
      </c>
      <c r="J40" s="140">
        <f t="shared" si="5"/>
        <v>150000</v>
      </c>
      <c r="K40" s="140">
        <f t="shared" si="5"/>
        <v>150000</v>
      </c>
      <c r="L40" s="140">
        <f t="shared" si="5"/>
        <v>150000</v>
      </c>
      <c r="M40" s="140">
        <f t="shared" si="5"/>
        <v>150000</v>
      </c>
      <c r="N40" s="140">
        <f t="shared" si="5"/>
        <v>150000</v>
      </c>
      <c r="O40" s="140">
        <f t="shared" si="5"/>
        <v>150000</v>
      </c>
      <c r="P40" s="140">
        <f t="shared" si="5"/>
        <v>150000</v>
      </c>
      <c r="Q40" s="140">
        <f t="shared" si="5"/>
        <v>150000</v>
      </c>
      <c r="R40" s="140">
        <f t="shared" si="5"/>
        <v>150000</v>
      </c>
      <c r="S40" s="140">
        <f t="shared" si="5"/>
        <v>150000</v>
      </c>
      <c r="T40" s="141">
        <f t="shared" si="5"/>
        <v>150000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7">
        <f>C74*'Inputs and assumptions'!D17</f>
        <v>0</v>
      </c>
      <c r="E74" s="393"/>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193" t="s">
        <v>52</v>
      </c>
      <c r="C75" s="240"/>
      <c r="D75" s="387">
        <f>C75*'Inputs and assumptions'!D18</f>
        <v>0</v>
      </c>
      <c r="E75" s="393"/>
      <c r="F75" s="294">
        <f t="shared" ref="F75:T76" si="6">$D75*F$28</f>
        <v>0</v>
      </c>
      <c r="G75" s="294">
        <f t="shared" si="6"/>
        <v>0</v>
      </c>
      <c r="H75" s="294">
        <f t="shared" si="6"/>
        <v>0</v>
      </c>
      <c r="I75" s="294">
        <f t="shared" si="6"/>
        <v>0</v>
      </c>
      <c r="J75" s="294">
        <f t="shared" si="6"/>
        <v>0</v>
      </c>
      <c r="K75" s="294">
        <f t="shared" si="6"/>
        <v>0</v>
      </c>
      <c r="L75" s="294">
        <f t="shared" si="6"/>
        <v>0</v>
      </c>
      <c r="M75" s="294">
        <f t="shared" si="6"/>
        <v>0</v>
      </c>
      <c r="N75" s="294">
        <f t="shared" si="6"/>
        <v>0</v>
      </c>
      <c r="O75" s="294">
        <f t="shared" si="6"/>
        <v>0</v>
      </c>
      <c r="P75" s="294">
        <f t="shared" si="6"/>
        <v>0</v>
      </c>
      <c r="Q75" s="294">
        <f t="shared" si="6"/>
        <v>0</v>
      </c>
      <c r="R75" s="294">
        <f t="shared" si="6"/>
        <v>0</v>
      </c>
      <c r="S75" s="294">
        <f t="shared" si="6"/>
        <v>0</v>
      </c>
      <c r="T75" s="399">
        <f t="shared" si="6"/>
        <v>0</v>
      </c>
    </row>
    <row r="76" spans="2:20" x14ac:dyDescent="0.3">
      <c r="B76" s="193" t="s">
        <v>53</v>
      </c>
      <c r="C76" s="240"/>
      <c r="D76" s="387">
        <f>C76*'Inputs and assumptions'!D19</f>
        <v>0</v>
      </c>
      <c r="E76" s="393"/>
      <c r="F76" s="294">
        <f t="shared" si="6"/>
        <v>0</v>
      </c>
      <c r="G76" s="294">
        <f t="shared" si="6"/>
        <v>0</v>
      </c>
      <c r="H76" s="294">
        <f t="shared" si="6"/>
        <v>0</v>
      </c>
      <c r="I76" s="294">
        <f t="shared" si="6"/>
        <v>0</v>
      </c>
      <c r="J76" s="294">
        <f t="shared" si="6"/>
        <v>0</v>
      </c>
      <c r="K76" s="294">
        <f t="shared" si="6"/>
        <v>0</v>
      </c>
      <c r="L76" s="294">
        <f t="shared" si="6"/>
        <v>0</v>
      </c>
      <c r="M76" s="294">
        <f t="shared" si="6"/>
        <v>0</v>
      </c>
      <c r="N76" s="294">
        <f t="shared" si="6"/>
        <v>0</v>
      </c>
      <c r="O76" s="294">
        <f t="shared" si="6"/>
        <v>0</v>
      </c>
      <c r="P76" s="294">
        <f t="shared" si="6"/>
        <v>0</v>
      </c>
      <c r="Q76" s="294">
        <f t="shared" si="6"/>
        <v>0</v>
      </c>
      <c r="R76" s="294">
        <f t="shared" si="6"/>
        <v>0</v>
      </c>
      <c r="S76" s="294">
        <f t="shared" si="6"/>
        <v>0</v>
      </c>
      <c r="T76" s="399">
        <f t="shared" si="6"/>
        <v>0</v>
      </c>
    </row>
    <row r="77" spans="2:20" x14ac:dyDescent="0.3">
      <c r="B77" s="193" t="s">
        <v>54</v>
      </c>
      <c r="C77" s="240"/>
      <c r="D77" s="387">
        <f>C77*'Inputs and assumptions'!D20</f>
        <v>0</v>
      </c>
      <c r="E77" s="393"/>
      <c r="F77" s="294">
        <v>0</v>
      </c>
      <c r="G77" s="294">
        <v>0</v>
      </c>
      <c r="H77" s="294">
        <v>0</v>
      </c>
      <c r="I77" s="294">
        <v>0</v>
      </c>
      <c r="J77" s="294">
        <v>0</v>
      </c>
      <c r="K77" s="294">
        <v>0</v>
      </c>
      <c r="L77" s="294">
        <v>0</v>
      </c>
      <c r="M77" s="294">
        <v>0</v>
      </c>
      <c r="N77" s="294">
        <v>0</v>
      </c>
      <c r="O77" s="294">
        <v>0</v>
      </c>
      <c r="P77" s="294">
        <v>0</v>
      </c>
      <c r="Q77" s="294">
        <v>0</v>
      </c>
      <c r="R77" s="294">
        <v>0</v>
      </c>
      <c r="S77" s="294">
        <v>0</v>
      </c>
      <c r="T77" s="399">
        <v>0</v>
      </c>
    </row>
    <row r="78" spans="2:20" x14ac:dyDescent="0.3">
      <c r="B78" s="193"/>
      <c r="D78" s="478"/>
      <c r="E78" s="393"/>
      <c r="F78" s="296"/>
      <c r="G78" s="296"/>
      <c r="H78" s="296"/>
      <c r="I78" s="296"/>
      <c r="J78" s="296"/>
      <c r="K78" s="296"/>
      <c r="L78" s="296"/>
      <c r="M78" s="296"/>
      <c r="N78" s="296"/>
      <c r="O78" s="296"/>
      <c r="P78" s="296"/>
      <c r="Q78" s="296"/>
      <c r="R78" s="296"/>
      <c r="S78" s="296"/>
      <c r="T78" s="400"/>
    </row>
    <row r="79" spans="2:20" x14ac:dyDescent="0.3">
      <c r="B79" s="191" t="s">
        <v>55</v>
      </c>
      <c r="C79" s="239" t="s">
        <v>236</v>
      </c>
      <c r="D79" s="479"/>
      <c r="E79" s="393"/>
      <c r="F79" s="296"/>
      <c r="G79" s="296"/>
      <c r="H79" s="296"/>
      <c r="I79" s="296"/>
      <c r="J79" s="296"/>
      <c r="K79" s="296"/>
      <c r="L79" s="296"/>
      <c r="M79" s="296"/>
      <c r="N79" s="296"/>
      <c r="O79" s="296"/>
      <c r="P79" s="296"/>
      <c r="Q79" s="296"/>
      <c r="R79" s="296"/>
      <c r="S79" s="296"/>
      <c r="T79" s="400"/>
    </row>
    <row r="80" spans="2:20" x14ac:dyDescent="0.3">
      <c r="B80" s="193" t="s">
        <v>56</v>
      </c>
      <c r="C80" s="240"/>
      <c r="D80" s="387">
        <f>C80*'Inputs and assumptions'!D23</f>
        <v>0</v>
      </c>
      <c r="E80" s="393"/>
      <c r="F80" s="294">
        <f t="shared" ref="F80:T80" si="7">$D80*F$28</f>
        <v>0</v>
      </c>
      <c r="G80" s="294">
        <f t="shared" si="7"/>
        <v>0</v>
      </c>
      <c r="H80" s="294">
        <f t="shared" si="7"/>
        <v>0</v>
      </c>
      <c r="I80" s="294">
        <f t="shared" si="7"/>
        <v>0</v>
      </c>
      <c r="J80" s="294">
        <f t="shared" si="7"/>
        <v>0</v>
      </c>
      <c r="K80" s="294">
        <f t="shared" si="7"/>
        <v>0</v>
      </c>
      <c r="L80" s="294">
        <f t="shared" si="7"/>
        <v>0</v>
      </c>
      <c r="M80" s="294">
        <f t="shared" si="7"/>
        <v>0</v>
      </c>
      <c r="N80" s="294">
        <f t="shared" si="7"/>
        <v>0</v>
      </c>
      <c r="O80" s="294">
        <f t="shared" si="7"/>
        <v>0</v>
      </c>
      <c r="P80" s="294">
        <f t="shared" si="7"/>
        <v>0</v>
      </c>
      <c r="Q80" s="294">
        <f t="shared" si="7"/>
        <v>0</v>
      </c>
      <c r="R80" s="294">
        <f t="shared" si="7"/>
        <v>0</v>
      </c>
      <c r="S80" s="294">
        <f t="shared" si="7"/>
        <v>0</v>
      </c>
      <c r="T80" s="399">
        <f t="shared" si="7"/>
        <v>0</v>
      </c>
    </row>
    <row r="81" spans="2:20" x14ac:dyDescent="0.3">
      <c r="B81" s="193" t="s">
        <v>57</v>
      </c>
      <c r="C81" s="240"/>
      <c r="D81" s="387">
        <f>C81*'Inputs and assumptions'!D24</f>
        <v>0</v>
      </c>
      <c r="E81" s="393"/>
      <c r="F81" s="294">
        <v>0</v>
      </c>
      <c r="G81" s="294">
        <v>0</v>
      </c>
      <c r="H81" s="294">
        <v>0</v>
      </c>
      <c r="I81" s="294">
        <v>0</v>
      </c>
      <c r="J81" s="294">
        <v>0</v>
      </c>
      <c r="K81" s="294">
        <v>0</v>
      </c>
      <c r="L81" s="294">
        <v>0</v>
      </c>
      <c r="M81" s="294">
        <v>0</v>
      </c>
      <c r="N81" s="294">
        <v>0</v>
      </c>
      <c r="O81" s="294">
        <v>0</v>
      </c>
      <c r="P81" s="294">
        <v>0</v>
      </c>
      <c r="Q81" s="294">
        <v>0</v>
      </c>
      <c r="R81" s="294">
        <v>0</v>
      </c>
      <c r="S81" s="294">
        <v>0</v>
      </c>
      <c r="T81" s="399">
        <v>0</v>
      </c>
    </row>
    <row r="82" spans="2:20" x14ac:dyDescent="0.3">
      <c r="B82" s="193" t="s">
        <v>58</v>
      </c>
      <c r="C82" s="240"/>
      <c r="D82" s="387">
        <f>C82*'Inputs and assumptions'!D25</f>
        <v>0</v>
      </c>
      <c r="E82" s="393"/>
      <c r="F82" s="294">
        <v>0</v>
      </c>
      <c r="G82" s="294">
        <v>0</v>
      </c>
      <c r="H82" s="294">
        <v>0</v>
      </c>
      <c r="I82" s="294">
        <v>0</v>
      </c>
      <c r="J82" s="294">
        <v>0</v>
      </c>
      <c r="K82" s="294">
        <v>0</v>
      </c>
      <c r="L82" s="294">
        <v>0</v>
      </c>
      <c r="M82" s="294">
        <v>0</v>
      </c>
      <c r="N82" s="294">
        <v>0</v>
      </c>
      <c r="O82" s="294">
        <v>0</v>
      </c>
      <c r="P82" s="294">
        <v>0</v>
      </c>
      <c r="Q82" s="294">
        <v>0</v>
      </c>
      <c r="R82" s="294">
        <v>0</v>
      </c>
      <c r="S82" s="294">
        <v>0</v>
      </c>
      <c r="T82" s="399">
        <v>0</v>
      </c>
    </row>
    <row r="83" spans="2:20" x14ac:dyDescent="0.3">
      <c r="B83" s="193" t="s">
        <v>59</v>
      </c>
      <c r="C83" s="240"/>
      <c r="D83" s="387">
        <f>C83*'Inputs and assumptions'!D26</f>
        <v>0</v>
      </c>
      <c r="E83" s="393"/>
      <c r="F83" s="294">
        <v>0</v>
      </c>
      <c r="G83" s="294">
        <v>0</v>
      </c>
      <c r="H83" s="294">
        <v>0</v>
      </c>
      <c r="I83" s="294">
        <v>0</v>
      </c>
      <c r="J83" s="294">
        <v>0</v>
      </c>
      <c r="K83" s="294">
        <v>0</v>
      </c>
      <c r="L83" s="294">
        <v>0</v>
      </c>
      <c r="M83" s="294">
        <v>0</v>
      </c>
      <c r="N83" s="294">
        <v>0</v>
      </c>
      <c r="O83" s="294">
        <v>0</v>
      </c>
      <c r="P83" s="294">
        <v>0</v>
      </c>
      <c r="Q83" s="294">
        <v>0</v>
      </c>
      <c r="R83" s="294">
        <v>0</v>
      </c>
      <c r="S83" s="294">
        <v>0</v>
      </c>
      <c r="T83" s="399">
        <v>0</v>
      </c>
    </row>
    <row r="84" spans="2:20" x14ac:dyDescent="0.3">
      <c r="B84" s="193" t="s">
        <v>60</v>
      </c>
      <c r="C84" s="240"/>
      <c r="D84" s="387">
        <f>C84*'Inputs and assumptions'!D27</f>
        <v>0</v>
      </c>
      <c r="E84" s="393"/>
      <c r="F84" s="294">
        <f t="shared" ref="F84:T84" si="8">$D84*F$28</f>
        <v>0</v>
      </c>
      <c r="G84" s="294">
        <f t="shared" si="8"/>
        <v>0</v>
      </c>
      <c r="H84" s="294">
        <f t="shared" si="8"/>
        <v>0</v>
      </c>
      <c r="I84" s="294">
        <f t="shared" si="8"/>
        <v>0</v>
      </c>
      <c r="J84" s="294">
        <f t="shared" si="8"/>
        <v>0</v>
      </c>
      <c r="K84" s="294">
        <f t="shared" si="8"/>
        <v>0</v>
      </c>
      <c r="L84" s="294">
        <f t="shared" si="8"/>
        <v>0</v>
      </c>
      <c r="M84" s="294">
        <f t="shared" si="8"/>
        <v>0</v>
      </c>
      <c r="N84" s="294">
        <f t="shared" si="8"/>
        <v>0</v>
      </c>
      <c r="O84" s="294">
        <f t="shared" si="8"/>
        <v>0</v>
      </c>
      <c r="P84" s="294">
        <f t="shared" si="8"/>
        <v>0</v>
      </c>
      <c r="Q84" s="294">
        <f t="shared" si="8"/>
        <v>0</v>
      </c>
      <c r="R84" s="294">
        <f t="shared" si="8"/>
        <v>0</v>
      </c>
      <c r="S84" s="294">
        <f t="shared" si="8"/>
        <v>0</v>
      </c>
      <c r="T84" s="399">
        <f t="shared" si="8"/>
        <v>0</v>
      </c>
    </row>
    <row r="85" spans="2:20" x14ac:dyDescent="0.3">
      <c r="B85" s="193" t="s">
        <v>61</v>
      </c>
      <c r="C85" s="240"/>
      <c r="D85" s="387">
        <f>C85*'Inputs and assumptions'!D28</f>
        <v>0</v>
      </c>
      <c r="E85" s="393"/>
      <c r="F85" s="294">
        <v>0</v>
      </c>
      <c r="G85" s="294">
        <v>0</v>
      </c>
      <c r="H85" s="294">
        <v>0</v>
      </c>
      <c r="I85" s="294">
        <v>0</v>
      </c>
      <c r="J85" s="294">
        <v>0</v>
      </c>
      <c r="K85" s="294">
        <v>0</v>
      </c>
      <c r="L85" s="294">
        <v>0</v>
      </c>
      <c r="M85" s="294">
        <v>0</v>
      </c>
      <c r="N85" s="294">
        <v>0</v>
      </c>
      <c r="O85" s="294">
        <v>0</v>
      </c>
      <c r="P85" s="294">
        <v>0</v>
      </c>
      <c r="Q85" s="294">
        <v>0</v>
      </c>
      <c r="R85" s="294">
        <v>0</v>
      </c>
      <c r="S85" s="294">
        <v>0</v>
      </c>
      <c r="T85" s="399">
        <v>0</v>
      </c>
    </row>
    <row r="86" spans="2:20" x14ac:dyDescent="0.3">
      <c r="B86" s="193"/>
      <c r="D86" s="478"/>
      <c r="E86" s="393"/>
      <c r="F86" s="296"/>
      <c r="G86" s="296"/>
      <c r="H86" s="296"/>
      <c r="I86" s="296"/>
      <c r="J86" s="296"/>
      <c r="K86" s="296"/>
      <c r="L86" s="296"/>
      <c r="M86" s="296"/>
      <c r="N86" s="296"/>
      <c r="O86" s="296"/>
      <c r="P86" s="296"/>
      <c r="Q86" s="296"/>
      <c r="R86" s="296"/>
      <c r="S86" s="296"/>
      <c r="T86" s="400"/>
    </row>
    <row r="87" spans="2:20" x14ac:dyDescent="0.3">
      <c r="B87" s="191" t="s">
        <v>62</v>
      </c>
      <c r="C87" s="239" t="s">
        <v>236</v>
      </c>
      <c r="D87" s="479"/>
      <c r="E87" s="393"/>
      <c r="F87" s="296"/>
      <c r="G87" s="296"/>
      <c r="H87" s="296"/>
      <c r="I87" s="296"/>
      <c r="J87" s="296"/>
      <c r="K87" s="296"/>
      <c r="L87" s="296"/>
      <c r="M87" s="296"/>
      <c r="N87" s="296"/>
      <c r="O87" s="296"/>
      <c r="P87" s="296"/>
      <c r="Q87" s="296"/>
      <c r="R87" s="296"/>
      <c r="S87" s="296"/>
      <c r="T87" s="400"/>
    </row>
    <row r="88" spans="2:20" x14ac:dyDescent="0.3">
      <c r="B88" s="193" t="s">
        <v>63</v>
      </c>
      <c r="C88" s="240"/>
      <c r="D88" s="387">
        <f>C88*'Inputs and assumptions'!D31</f>
        <v>0</v>
      </c>
      <c r="E88" s="393"/>
      <c r="F88" s="294">
        <f t="shared" ref="F88:T88" si="9">$D88*F$28</f>
        <v>0</v>
      </c>
      <c r="G88" s="294">
        <f t="shared" si="9"/>
        <v>0</v>
      </c>
      <c r="H88" s="294">
        <f t="shared" si="9"/>
        <v>0</v>
      </c>
      <c r="I88" s="294">
        <f t="shared" si="9"/>
        <v>0</v>
      </c>
      <c r="J88" s="294">
        <f t="shared" si="9"/>
        <v>0</v>
      </c>
      <c r="K88" s="294">
        <f t="shared" si="9"/>
        <v>0</v>
      </c>
      <c r="L88" s="294">
        <f t="shared" si="9"/>
        <v>0</v>
      </c>
      <c r="M88" s="294">
        <f t="shared" si="9"/>
        <v>0</v>
      </c>
      <c r="N88" s="294">
        <f t="shared" si="9"/>
        <v>0</v>
      </c>
      <c r="O88" s="294">
        <f t="shared" si="9"/>
        <v>0</v>
      </c>
      <c r="P88" s="294">
        <f t="shared" si="9"/>
        <v>0</v>
      </c>
      <c r="Q88" s="294">
        <f t="shared" si="9"/>
        <v>0</v>
      </c>
      <c r="R88" s="294">
        <f t="shared" si="9"/>
        <v>0</v>
      </c>
      <c r="S88" s="294">
        <f t="shared" si="9"/>
        <v>0</v>
      </c>
      <c r="T88" s="399">
        <f t="shared" si="9"/>
        <v>0</v>
      </c>
    </row>
    <row r="89" spans="2:20" x14ac:dyDescent="0.3">
      <c r="B89" s="193" t="s">
        <v>64</v>
      </c>
      <c r="C89" s="240"/>
      <c r="D89" s="387">
        <f>C89*'Inputs and assumptions'!D32</f>
        <v>0</v>
      </c>
      <c r="E89" s="393"/>
      <c r="F89" s="294">
        <v>0</v>
      </c>
      <c r="G89" s="294">
        <v>0</v>
      </c>
      <c r="H89" s="294">
        <v>0</v>
      </c>
      <c r="I89" s="294">
        <v>0</v>
      </c>
      <c r="J89" s="294">
        <v>0</v>
      </c>
      <c r="K89" s="294">
        <v>0</v>
      </c>
      <c r="L89" s="294">
        <v>0</v>
      </c>
      <c r="M89" s="294">
        <v>0</v>
      </c>
      <c r="N89" s="294">
        <v>0</v>
      </c>
      <c r="O89" s="294">
        <v>0</v>
      </c>
      <c r="P89" s="294">
        <v>0</v>
      </c>
      <c r="Q89" s="294">
        <v>0</v>
      </c>
      <c r="R89" s="294">
        <v>0</v>
      </c>
      <c r="S89" s="294">
        <v>0</v>
      </c>
      <c r="T89" s="399">
        <v>0</v>
      </c>
    </row>
    <row r="90" spans="2:20" x14ac:dyDescent="0.3">
      <c r="B90" s="193"/>
      <c r="D90" s="478"/>
      <c r="E90" s="393"/>
      <c r="F90" s="296"/>
      <c r="G90" s="296"/>
      <c r="H90" s="296"/>
      <c r="I90" s="296"/>
      <c r="J90" s="296"/>
      <c r="K90" s="296"/>
      <c r="L90" s="296"/>
      <c r="M90" s="296"/>
      <c r="N90" s="296"/>
      <c r="O90" s="296"/>
      <c r="P90" s="296"/>
      <c r="Q90" s="296"/>
      <c r="R90" s="296"/>
      <c r="S90" s="296"/>
      <c r="T90" s="400"/>
    </row>
    <row r="91" spans="2:20" x14ac:dyDescent="0.3">
      <c r="B91" s="191" t="s">
        <v>65</v>
      </c>
      <c r="C91" s="239" t="s">
        <v>236</v>
      </c>
      <c r="D91" s="479"/>
      <c r="E91" s="393"/>
      <c r="F91" s="296"/>
      <c r="G91" s="296"/>
      <c r="H91" s="296"/>
      <c r="I91" s="296"/>
      <c r="J91" s="296"/>
      <c r="K91" s="296"/>
      <c r="L91" s="296"/>
      <c r="M91" s="296"/>
      <c r="N91" s="296"/>
      <c r="O91" s="296"/>
      <c r="P91" s="296"/>
      <c r="Q91" s="296"/>
      <c r="R91" s="296"/>
      <c r="S91" s="296"/>
      <c r="T91" s="400"/>
    </row>
    <row r="92" spans="2:20" x14ac:dyDescent="0.3">
      <c r="B92" s="193" t="s">
        <v>66</v>
      </c>
      <c r="C92" s="240"/>
      <c r="D92" s="387">
        <f>C92*'Inputs and assumptions'!D35</f>
        <v>0</v>
      </c>
      <c r="E92" s="393"/>
      <c r="F92" s="294">
        <v>0</v>
      </c>
      <c r="G92" s="294">
        <v>0</v>
      </c>
      <c r="H92" s="294">
        <v>0</v>
      </c>
      <c r="I92" s="294">
        <v>0</v>
      </c>
      <c r="J92" s="294">
        <v>0</v>
      </c>
      <c r="K92" s="294">
        <v>0</v>
      </c>
      <c r="L92" s="294">
        <v>0</v>
      </c>
      <c r="M92" s="294">
        <v>0</v>
      </c>
      <c r="N92" s="294">
        <v>0</v>
      </c>
      <c r="O92" s="294">
        <v>0</v>
      </c>
      <c r="P92" s="294">
        <v>0</v>
      </c>
      <c r="Q92" s="294">
        <v>0</v>
      </c>
      <c r="R92" s="294">
        <v>0</v>
      </c>
      <c r="S92" s="294">
        <v>0</v>
      </c>
      <c r="T92" s="399">
        <v>0</v>
      </c>
    </row>
    <row r="93" spans="2:20" x14ac:dyDescent="0.3">
      <c r="B93" s="193" t="s">
        <v>67</v>
      </c>
      <c r="C93" s="240"/>
      <c r="D93" s="387">
        <f>C93*'Inputs and assumptions'!D36</f>
        <v>0</v>
      </c>
      <c r="E93" s="393"/>
      <c r="F93" s="294">
        <v>0</v>
      </c>
      <c r="G93" s="294">
        <v>0</v>
      </c>
      <c r="H93" s="294">
        <v>0</v>
      </c>
      <c r="I93" s="294">
        <v>0</v>
      </c>
      <c r="J93" s="294">
        <v>0</v>
      </c>
      <c r="K93" s="294">
        <v>0</v>
      </c>
      <c r="L93" s="294">
        <v>0</v>
      </c>
      <c r="M93" s="294">
        <v>0</v>
      </c>
      <c r="N93" s="294">
        <v>0</v>
      </c>
      <c r="O93" s="294">
        <v>0</v>
      </c>
      <c r="P93" s="294">
        <v>0</v>
      </c>
      <c r="Q93" s="294">
        <v>0</v>
      </c>
      <c r="R93" s="294">
        <v>0</v>
      </c>
      <c r="S93" s="294">
        <v>0</v>
      </c>
      <c r="T93" s="399">
        <v>0</v>
      </c>
    </row>
    <row r="94" spans="2:20" x14ac:dyDescent="0.3">
      <c r="B94" s="193" t="s">
        <v>68</v>
      </c>
      <c r="C94" s="240"/>
      <c r="D94" s="387">
        <f>C94*'Inputs and assumptions'!D37</f>
        <v>0</v>
      </c>
      <c r="E94" s="393"/>
      <c r="F94" s="294">
        <v>0</v>
      </c>
      <c r="G94" s="294">
        <v>0</v>
      </c>
      <c r="H94" s="294">
        <v>0</v>
      </c>
      <c r="I94" s="294">
        <v>0</v>
      </c>
      <c r="J94" s="294">
        <v>0</v>
      </c>
      <c r="K94" s="294">
        <v>0</v>
      </c>
      <c r="L94" s="294">
        <v>0</v>
      </c>
      <c r="M94" s="294">
        <v>0</v>
      </c>
      <c r="N94" s="294">
        <v>0</v>
      </c>
      <c r="O94" s="294">
        <v>0</v>
      </c>
      <c r="P94" s="294">
        <v>0</v>
      </c>
      <c r="Q94" s="294">
        <v>0</v>
      </c>
      <c r="R94" s="294">
        <v>0</v>
      </c>
      <c r="S94" s="294">
        <v>0</v>
      </c>
      <c r="T94" s="399">
        <v>0</v>
      </c>
    </row>
    <row r="95" spans="2:20" x14ac:dyDescent="0.3">
      <c r="B95" s="193" t="s">
        <v>69</v>
      </c>
      <c r="C95" s="240"/>
      <c r="D95" s="387">
        <f>C95*'Inputs and assumptions'!D38</f>
        <v>0</v>
      </c>
      <c r="E95" s="393"/>
      <c r="F95" s="294">
        <v>0</v>
      </c>
      <c r="G95" s="294">
        <v>0</v>
      </c>
      <c r="H95" s="294">
        <v>0</v>
      </c>
      <c r="I95" s="294">
        <v>0</v>
      </c>
      <c r="J95" s="294">
        <v>0</v>
      </c>
      <c r="K95" s="294">
        <v>0</v>
      </c>
      <c r="L95" s="294">
        <v>0</v>
      </c>
      <c r="M95" s="294">
        <v>0</v>
      </c>
      <c r="N95" s="294">
        <v>0</v>
      </c>
      <c r="O95" s="294">
        <v>0</v>
      </c>
      <c r="P95" s="294">
        <v>0</v>
      </c>
      <c r="Q95" s="294">
        <v>0</v>
      </c>
      <c r="R95" s="294">
        <v>0</v>
      </c>
      <c r="S95" s="294">
        <v>0</v>
      </c>
      <c r="T95" s="399">
        <v>0</v>
      </c>
    </row>
    <row r="96" spans="2:20" x14ac:dyDescent="0.3">
      <c r="B96" s="193" t="s">
        <v>70</v>
      </c>
      <c r="C96" s="240">
        <v>1E-4</v>
      </c>
      <c r="D96" s="387">
        <f>C96*'Inputs and assumptions'!D39</f>
        <v>150000</v>
      </c>
      <c r="E96" s="393"/>
      <c r="F96" s="294">
        <f>$D96*F$28</f>
        <v>75000</v>
      </c>
      <c r="G96" s="294">
        <f t="shared" ref="G96:T96" si="10">$D96*G$28</f>
        <v>150000</v>
      </c>
      <c r="H96" s="294">
        <f t="shared" si="10"/>
        <v>150000</v>
      </c>
      <c r="I96" s="294">
        <f t="shared" si="10"/>
        <v>150000</v>
      </c>
      <c r="J96" s="294">
        <f t="shared" si="10"/>
        <v>150000</v>
      </c>
      <c r="K96" s="294">
        <f t="shared" si="10"/>
        <v>150000</v>
      </c>
      <c r="L96" s="294">
        <f t="shared" si="10"/>
        <v>150000</v>
      </c>
      <c r="M96" s="294">
        <f t="shared" si="10"/>
        <v>150000</v>
      </c>
      <c r="N96" s="294">
        <f t="shared" si="10"/>
        <v>150000</v>
      </c>
      <c r="O96" s="294">
        <f t="shared" si="10"/>
        <v>150000</v>
      </c>
      <c r="P96" s="294">
        <f t="shared" si="10"/>
        <v>150000</v>
      </c>
      <c r="Q96" s="294">
        <f t="shared" si="10"/>
        <v>150000</v>
      </c>
      <c r="R96" s="294">
        <f t="shared" si="10"/>
        <v>150000</v>
      </c>
      <c r="S96" s="294">
        <f t="shared" si="10"/>
        <v>150000</v>
      </c>
      <c r="T96" s="399">
        <f t="shared" si="10"/>
        <v>150000</v>
      </c>
    </row>
    <row r="97" spans="2:20" x14ac:dyDescent="0.3">
      <c r="B97" s="193" t="s">
        <v>71</v>
      </c>
      <c r="C97" s="240"/>
      <c r="D97" s="387">
        <f>C97*'Inputs and assumptions'!D40</f>
        <v>0</v>
      </c>
      <c r="E97" s="393"/>
      <c r="F97" s="175">
        <v>0</v>
      </c>
      <c r="G97" s="175">
        <v>0</v>
      </c>
      <c r="H97" s="175">
        <v>0</v>
      </c>
      <c r="I97" s="175">
        <v>0</v>
      </c>
      <c r="J97" s="175">
        <v>0</v>
      </c>
      <c r="K97" s="175">
        <v>0</v>
      </c>
      <c r="L97" s="175">
        <v>0</v>
      </c>
      <c r="M97" s="175">
        <v>0</v>
      </c>
      <c r="N97" s="175">
        <v>0</v>
      </c>
      <c r="O97" s="175">
        <v>0</v>
      </c>
      <c r="P97" s="175">
        <v>0</v>
      </c>
      <c r="Q97" s="175">
        <v>0</v>
      </c>
      <c r="R97" s="175">
        <v>0</v>
      </c>
      <c r="S97" s="175">
        <v>0</v>
      </c>
      <c r="T97" s="395">
        <v>0</v>
      </c>
    </row>
    <row r="98" spans="2:20" ht="13.5" thickBot="1" x14ac:dyDescent="0.35">
      <c r="B98" s="194" t="s">
        <v>72</v>
      </c>
      <c r="C98" s="254"/>
      <c r="D98" s="480">
        <f>C98*'Inputs and assumptions'!D41</f>
        <v>0</v>
      </c>
      <c r="E98" s="362"/>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11">$D$102*F27</f>
        <v>0</v>
      </c>
      <c r="G102" s="140">
        <f t="shared" si="11"/>
        <v>0</v>
      </c>
      <c r="H102" s="140">
        <f t="shared" si="11"/>
        <v>0</v>
      </c>
      <c r="I102" s="140">
        <f t="shared" si="11"/>
        <v>0</v>
      </c>
      <c r="J102" s="140">
        <f t="shared" si="11"/>
        <v>0</v>
      </c>
      <c r="K102" s="140">
        <f t="shared" si="11"/>
        <v>0</v>
      </c>
      <c r="L102" s="140">
        <f t="shared" si="11"/>
        <v>0</v>
      </c>
      <c r="M102" s="140">
        <f t="shared" si="11"/>
        <v>0</v>
      </c>
      <c r="N102" s="140">
        <f t="shared" si="11"/>
        <v>0</v>
      </c>
      <c r="O102" s="140">
        <f t="shared" si="11"/>
        <v>0</v>
      </c>
      <c r="P102" s="140">
        <f t="shared" si="11"/>
        <v>0</v>
      </c>
      <c r="Q102" s="140">
        <f t="shared" si="11"/>
        <v>0</v>
      </c>
      <c r="R102" s="140">
        <f t="shared" si="11"/>
        <v>0</v>
      </c>
      <c r="S102" s="140">
        <f t="shared" si="11"/>
        <v>0</v>
      </c>
      <c r="T102" s="141">
        <f t="shared" si="11"/>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
        <v>750000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750000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263</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E6476DE5-771A-48B2-B0F3-492A6962651A}">
          <x14:formula1>
            <xm:f>'Inputs and assumptions'!$J$17:$J$18</xm:f>
          </x14:formula1>
          <xm:sqref>E43</xm:sqref>
        </x14:dataValidation>
        <x14:dataValidation type="list" allowBlank="1" showInputMessage="1" showErrorMessage="1" xr:uid="{9376539F-722F-4BAB-B0FA-9FECBD98B608}">
          <x14:formula1>
            <xm:f>'Inputs and assumptions'!$H$27:$H$29</xm:f>
          </x14:formula1>
          <xm:sqref>E11</xm:sqref>
        </x14:dataValidation>
        <x14:dataValidation type="list" allowBlank="1" showInputMessage="1" showErrorMessage="1" xr:uid="{931E58AF-51C7-4924-9B2B-9BA16B79A0FF}">
          <x14:formula1>
            <xm:f>'Inputs and assumptions'!$H$23:$H$24</xm:f>
          </x14:formula1>
          <xm:sqref>E10</xm:sqref>
        </x14:dataValidation>
        <x14:dataValidation type="list" allowBlank="1" showInputMessage="1" showErrorMessage="1" xr:uid="{4F5798FF-AF9E-49E0-956E-114479201A82}">
          <x14:formula1>
            <xm:f>'Inputs and assumptions'!$G$16:$G$20</xm:f>
          </x14:formula1>
          <xm:sqref>E7</xm:sqref>
        </x14:dataValidation>
        <x14:dataValidation type="list" allowBlank="1" showInputMessage="1" showErrorMessage="1" xr:uid="{76EA7929-3AFB-4D4E-A7B2-E12D1E19C7C4}">
          <x14:formula1>
            <xm:f>'Inputs and assumptions'!$H$16:$H$20</xm:f>
          </x14:formula1>
          <xm:sqref>E8</xm:sqref>
        </x14:dataValidation>
        <x14:dataValidation type="list" allowBlank="1" showInputMessage="1" showErrorMessage="1" xr:uid="{C13D3722-A7D2-46A2-B6B6-246A0EB49188}">
          <x14:formula1>
            <xm:f>'Inputs and assumptions'!$H$31:$H$34</xm:f>
          </x14:formula1>
          <xm:sqref>E12</xm:sqref>
        </x14:dataValidation>
        <x14:dataValidation type="list" allowBlank="1" showInputMessage="1" showErrorMessage="1" xr:uid="{66109E6E-2C2D-4F2E-84F2-86B46B88545D}">
          <x14:formula1>
            <xm:f>'Inputs and assumptions'!$H$36:$H$40</xm:f>
          </x14:formula1>
          <xm:sqref>E13</xm:sqref>
        </x14:dataValidation>
        <x14:dataValidation type="list" allowBlank="1" showInputMessage="1" showErrorMessage="1" xr:uid="{06B9CC69-04CB-46C4-A820-124782B91F1A}">
          <x14:formula1>
            <xm:f>'Inputs and assumptions'!$J$21:$J$24</xm:f>
          </x14:formula1>
          <xm:sqref>E14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7117-4A2C-47EB-B202-0233C4EF961B}">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264</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176</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265</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266</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21.7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-974597.127171956</v>
      </c>
      <c r="J18" s="222"/>
      <c r="K18" s="220" t="s">
        <v>220</v>
      </c>
      <c r="L18" s="223">
        <f>SUM(F34:J34)</f>
        <v>950000</v>
      </c>
      <c r="N18" s="584" t="s">
        <v>221</v>
      </c>
      <c r="O18" s="584"/>
      <c r="P18" s="584"/>
      <c r="Q18" s="584"/>
      <c r="R18" s="314"/>
      <c r="S18" s="161"/>
      <c r="T18" s="315" t="s">
        <v>227</v>
      </c>
    </row>
    <row r="19" spans="2:20" ht="13.5" customHeight="1" x14ac:dyDescent="0.3">
      <c r="B19" s="160" t="s">
        <v>19</v>
      </c>
      <c r="C19" s="182">
        <v>3</v>
      </c>
      <c r="D19" s="161">
        <v>0.18</v>
      </c>
      <c r="E19" s="162">
        <f>D19*C19</f>
        <v>0.54</v>
      </c>
      <c r="G19" s="224"/>
      <c r="H19" s="125" t="s">
        <v>20</v>
      </c>
      <c r="I19" s="126">
        <f>D40</f>
        <v>-696147.62749408698</v>
      </c>
      <c r="J19" s="127"/>
      <c r="K19" s="125" t="s">
        <v>223</v>
      </c>
      <c r="L19" s="225">
        <f>SUM(F36:J36)</f>
        <v>40000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0.28570728551792657</v>
      </c>
      <c r="J20" s="127"/>
      <c r="K20" s="125" t="s">
        <v>225</v>
      </c>
      <c r="L20" s="225">
        <f>NPV($D$33,F39:T39)</f>
        <v>278449.49967786903</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0.19441085688397475</v>
      </c>
      <c r="J21" s="226"/>
      <c r="K21" s="436" t="s">
        <v>228</v>
      </c>
      <c r="L21" s="439">
        <f>NPV($D$33,F39:J39)</f>
        <v>167131.57276004279</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3.17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3">
        <v>0.9</v>
      </c>
      <c r="G29" s="293">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855000</v>
      </c>
      <c r="G34" s="140">
        <f t="shared" si="0"/>
        <v>95000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1282500</v>
      </c>
      <c r="G35" s="140">
        <f>G34*(1+'Inputs and assumptions'!$C$7)</f>
        <v>142500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-974597.127171956</v>
      </c>
      <c r="E37" s="248"/>
      <c r="F37" s="144">
        <f t="shared" ref="F37:T37" si="2">-F34-F36</f>
        <v>-855000</v>
      </c>
      <c r="G37" s="144">
        <f t="shared" si="2"/>
        <v>-105000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1282500</v>
      </c>
      <c r="G38" s="142">
        <f t="shared" ref="G38:T38" si="3">G35+G36</f>
        <v>152500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47000</v>
      </c>
      <c r="H39" s="140">
        <f t="shared" si="4"/>
        <v>47000</v>
      </c>
      <c r="I39" s="140">
        <f t="shared" si="4"/>
        <v>47000</v>
      </c>
      <c r="J39" s="140">
        <f t="shared" si="4"/>
        <v>47000</v>
      </c>
      <c r="K39" s="140">
        <f t="shared" si="4"/>
        <v>47000</v>
      </c>
      <c r="L39" s="140">
        <f t="shared" si="4"/>
        <v>47000</v>
      </c>
      <c r="M39" s="140">
        <f t="shared" si="4"/>
        <v>47000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-696147.62749408698</v>
      </c>
      <c r="E40" s="112"/>
      <c r="F40" s="140">
        <f t="shared" ref="F40:T40" si="5">F39+F37</f>
        <v>-855000</v>
      </c>
      <c r="G40" s="140">
        <f t="shared" si="5"/>
        <v>-58000</v>
      </c>
      <c r="H40" s="140">
        <f t="shared" si="5"/>
        <v>37000</v>
      </c>
      <c r="I40" s="140">
        <f t="shared" si="5"/>
        <v>37000</v>
      </c>
      <c r="J40" s="140">
        <f t="shared" si="5"/>
        <v>37000</v>
      </c>
      <c r="K40" s="140">
        <f t="shared" si="5"/>
        <v>37000</v>
      </c>
      <c r="L40" s="140">
        <f t="shared" si="5"/>
        <v>37000</v>
      </c>
      <c r="M40" s="140">
        <f t="shared" si="5"/>
        <v>37000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8">
        <f>C74*'Inputs and assumptions'!D17</f>
        <v>0</v>
      </c>
      <c r="E74" s="393"/>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193" t="s">
        <v>52</v>
      </c>
      <c r="C75" s="240"/>
      <c r="D75" s="388">
        <f>C75*'Inputs and assumptions'!D18</f>
        <v>0</v>
      </c>
      <c r="E75" s="393"/>
      <c r="F75" s="175">
        <v>0</v>
      </c>
      <c r="G75" s="175">
        <v>0</v>
      </c>
      <c r="H75" s="175">
        <v>0</v>
      </c>
      <c r="I75" s="175">
        <v>0</v>
      </c>
      <c r="J75" s="175">
        <v>0</v>
      </c>
      <c r="K75" s="175">
        <v>0</v>
      </c>
      <c r="L75" s="175">
        <v>0</v>
      </c>
      <c r="M75" s="175">
        <v>0</v>
      </c>
      <c r="N75" s="175">
        <v>0</v>
      </c>
      <c r="O75" s="175">
        <v>0</v>
      </c>
      <c r="P75" s="175">
        <v>0</v>
      </c>
      <c r="Q75" s="175">
        <v>0</v>
      </c>
      <c r="R75" s="175">
        <v>0</v>
      </c>
      <c r="S75" s="175">
        <v>0</v>
      </c>
      <c r="T75" s="395">
        <v>0</v>
      </c>
    </row>
    <row r="76" spans="2:20" x14ac:dyDescent="0.3">
      <c r="B76" s="193" t="s">
        <v>53</v>
      </c>
      <c r="C76" s="240"/>
      <c r="D76" s="388">
        <f>C76*'Inputs and assumptions'!D19</f>
        <v>0</v>
      </c>
      <c r="E76" s="393"/>
      <c r="F76" s="175">
        <v>0</v>
      </c>
      <c r="G76" s="175">
        <v>0</v>
      </c>
      <c r="H76" s="175">
        <v>0</v>
      </c>
      <c r="I76" s="175">
        <v>0</v>
      </c>
      <c r="J76" s="175">
        <v>0</v>
      </c>
      <c r="K76" s="175">
        <v>0</v>
      </c>
      <c r="L76" s="175">
        <v>0</v>
      </c>
      <c r="M76" s="175">
        <v>0</v>
      </c>
      <c r="N76" s="175">
        <v>0</v>
      </c>
      <c r="O76" s="175">
        <v>0</v>
      </c>
      <c r="P76" s="175">
        <v>0</v>
      </c>
      <c r="Q76" s="175">
        <v>0</v>
      </c>
      <c r="R76" s="175">
        <v>0</v>
      </c>
      <c r="S76" s="175">
        <v>0</v>
      </c>
      <c r="T76" s="395">
        <v>0</v>
      </c>
    </row>
    <row r="77" spans="2:20" x14ac:dyDescent="0.3">
      <c r="B77" s="193" t="s">
        <v>54</v>
      </c>
      <c r="C77" s="240"/>
      <c r="D77" s="388">
        <f>C77*'Inputs and assumptions'!D20</f>
        <v>0</v>
      </c>
      <c r="E77" s="393"/>
      <c r="F77" s="175">
        <v>0</v>
      </c>
      <c r="G77" s="175">
        <v>0</v>
      </c>
      <c r="H77" s="175">
        <v>0</v>
      </c>
      <c r="I77" s="175">
        <v>0</v>
      </c>
      <c r="J77" s="175">
        <v>0</v>
      </c>
      <c r="K77" s="175">
        <v>0</v>
      </c>
      <c r="L77" s="175">
        <v>0</v>
      </c>
      <c r="M77" s="175">
        <v>0</v>
      </c>
      <c r="N77" s="175">
        <v>0</v>
      </c>
      <c r="O77" s="175">
        <v>0</v>
      </c>
      <c r="P77" s="175">
        <v>0</v>
      </c>
      <c r="Q77" s="175">
        <v>0</v>
      </c>
      <c r="R77" s="175">
        <v>0</v>
      </c>
      <c r="S77" s="175">
        <v>0</v>
      </c>
      <c r="T77" s="395">
        <v>0</v>
      </c>
    </row>
    <row r="78" spans="2:20" x14ac:dyDescent="0.3">
      <c r="B78" s="193"/>
      <c r="E78" s="393"/>
      <c r="F78" s="215"/>
      <c r="G78" s="215"/>
      <c r="H78" s="215"/>
      <c r="I78" s="215"/>
      <c r="J78" s="215"/>
      <c r="K78" s="215"/>
      <c r="L78" s="215"/>
      <c r="M78" s="215"/>
      <c r="N78" s="215"/>
      <c r="O78" s="215"/>
      <c r="P78" s="215"/>
      <c r="Q78" s="215"/>
      <c r="R78" s="215"/>
      <c r="S78" s="215"/>
      <c r="T78" s="394"/>
    </row>
    <row r="79" spans="2:20" x14ac:dyDescent="0.3">
      <c r="B79" s="191" t="s">
        <v>55</v>
      </c>
      <c r="C79" s="239" t="s">
        <v>236</v>
      </c>
      <c r="D79" s="386"/>
      <c r="E79" s="393"/>
      <c r="F79" s="215"/>
      <c r="G79" s="215"/>
      <c r="H79" s="215"/>
      <c r="I79" s="215"/>
      <c r="J79" s="215"/>
      <c r="K79" s="215"/>
      <c r="L79" s="215"/>
      <c r="M79" s="215"/>
      <c r="N79" s="215"/>
      <c r="O79" s="215"/>
      <c r="P79" s="215"/>
      <c r="Q79" s="215"/>
      <c r="R79" s="215"/>
      <c r="S79" s="215"/>
      <c r="T79" s="394"/>
    </row>
    <row r="80" spans="2:20" x14ac:dyDescent="0.3">
      <c r="B80" s="193" t="s">
        <v>56</v>
      </c>
      <c r="C80" s="240"/>
      <c r="D80" s="388">
        <f>C80*'Inputs and assumptions'!D23</f>
        <v>0</v>
      </c>
      <c r="E80" s="393"/>
      <c r="F80" s="175">
        <v>0</v>
      </c>
      <c r="G80" s="175">
        <v>0</v>
      </c>
      <c r="H80" s="175">
        <v>0</v>
      </c>
      <c r="I80" s="175">
        <v>0</v>
      </c>
      <c r="J80" s="175">
        <v>0</v>
      </c>
      <c r="K80" s="175">
        <v>0</v>
      </c>
      <c r="L80" s="175">
        <v>0</v>
      </c>
      <c r="M80" s="175">
        <v>0</v>
      </c>
      <c r="N80" s="175">
        <v>0</v>
      </c>
      <c r="O80" s="175">
        <v>0</v>
      </c>
      <c r="P80" s="175">
        <v>0</v>
      </c>
      <c r="Q80" s="175">
        <v>0</v>
      </c>
      <c r="R80" s="175">
        <v>0</v>
      </c>
      <c r="S80" s="175">
        <v>0</v>
      </c>
      <c r="T80" s="395">
        <v>0</v>
      </c>
    </row>
    <row r="81" spans="2:20" x14ac:dyDescent="0.3">
      <c r="B81" s="193" t="s">
        <v>57</v>
      </c>
      <c r="C81" s="240">
        <v>1E-3</v>
      </c>
      <c r="D81" s="388">
        <f>C81*'Inputs and assumptions'!D24</f>
        <v>47000</v>
      </c>
      <c r="E81" s="393"/>
      <c r="F81" s="294">
        <f>$D81*F$28</f>
        <v>0</v>
      </c>
      <c r="G81" s="294">
        <f t="shared" ref="G81:T81" si="6">$D81*G$28</f>
        <v>47000</v>
      </c>
      <c r="H81" s="294">
        <f t="shared" si="6"/>
        <v>47000</v>
      </c>
      <c r="I81" s="294">
        <f t="shared" si="6"/>
        <v>47000</v>
      </c>
      <c r="J81" s="294">
        <f t="shared" si="6"/>
        <v>47000</v>
      </c>
      <c r="K81" s="294">
        <f t="shared" si="6"/>
        <v>47000</v>
      </c>
      <c r="L81" s="294">
        <f t="shared" si="6"/>
        <v>47000</v>
      </c>
      <c r="M81" s="294">
        <f t="shared" si="6"/>
        <v>47000</v>
      </c>
      <c r="N81" s="294">
        <f t="shared" si="6"/>
        <v>0</v>
      </c>
      <c r="O81" s="294">
        <f t="shared" si="6"/>
        <v>0</v>
      </c>
      <c r="P81" s="294">
        <f t="shared" si="6"/>
        <v>0</v>
      </c>
      <c r="Q81" s="294">
        <f t="shared" si="6"/>
        <v>0</v>
      </c>
      <c r="R81" s="294">
        <f t="shared" si="6"/>
        <v>0</v>
      </c>
      <c r="S81" s="294">
        <f t="shared" si="6"/>
        <v>0</v>
      </c>
      <c r="T81" s="399">
        <f t="shared" si="6"/>
        <v>0</v>
      </c>
    </row>
    <row r="82" spans="2:20" x14ac:dyDescent="0.3">
      <c r="B82" s="193" t="s">
        <v>58</v>
      </c>
      <c r="C82" s="240"/>
      <c r="D82" s="388">
        <f>C82*'Inputs and assumptions'!D25</f>
        <v>0</v>
      </c>
      <c r="E82" s="393"/>
      <c r="F82" s="175">
        <v>0</v>
      </c>
      <c r="G82" s="175">
        <v>0</v>
      </c>
      <c r="H82" s="175">
        <v>0</v>
      </c>
      <c r="I82" s="175">
        <v>0</v>
      </c>
      <c r="J82" s="175">
        <v>0</v>
      </c>
      <c r="K82" s="175">
        <v>0</v>
      </c>
      <c r="L82" s="175">
        <v>0</v>
      </c>
      <c r="M82" s="175">
        <v>0</v>
      </c>
      <c r="N82" s="175">
        <v>0</v>
      </c>
      <c r="O82" s="175">
        <v>0</v>
      </c>
      <c r="P82" s="175">
        <v>0</v>
      </c>
      <c r="Q82" s="175">
        <v>0</v>
      </c>
      <c r="R82" s="175">
        <v>0</v>
      </c>
      <c r="S82" s="175">
        <v>0</v>
      </c>
      <c r="T82" s="395">
        <v>0</v>
      </c>
    </row>
    <row r="83" spans="2:20" x14ac:dyDescent="0.3">
      <c r="B83" s="193" t="s">
        <v>59</v>
      </c>
      <c r="C83" s="240"/>
      <c r="D83" s="388">
        <f>C83*'Inputs and assumptions'!D26</f>
        <v>0</v>
      </c>
      <c r="E83" s="393"/>
      <c r="F83" s="175">
        <v>0</v>
      </c>
      <c r="G83" s="175">
        <v>0</v>
      </c>
      <c r="H83" s="175">
        <v>0</v>
      </c>
      <c r="I83" s="175">
        <v>0</v>
      </c>
      <c r="J83" s="175">
        <v>0</v>
      </c>
      <c r="K83" s="175">
        <v>0</v>
      </c>
      <c r="L83" s="175">
        <v>0</v>
      </c>
      <c r="M83" s="175">
        <v>0</v>
      </c>
      <c r="N83" s="175">
        <v>0</v>
      </c>
      <c r="O83" s="175">
        <v>0</v>
      </c>
      <c r="P83" s="175">
        <v>0</v>
      </c>
      <c r="Q83" s="175">
        <v>0</v>
      </c>
      <c r="R83" s="175">
        <v>0</v>
      </c>
      <c r="S83" s="175">
        <v>0</v>
      </c>
      <c r="T83" s="395">
        <v>0</v>
      </c>
    </row>
    <row r="84" spans="2:20" x14ac:dyDescent="0.3">
      <c r="B84" s="193" t="s">
        <v>60</v>
      </c>
      <c r="C84" s="240"/>
      <c r="D84" s="388">
        <f>C84*'Inputs and assumptions'!D27</f>
        <v>0</v>
      </c>
      <c r="E84" s="393"/>
      <c r="F84" s="175">
        <v>0</v>
      </c>
      <c r="G84" s="175">
        <v>0</v>
      </c>
      <c r="H84" s="175">
        <v>0</v>
      </c>
      <c r="I84" s="175">
        <v>0</v>
      </c>
      <c r="J84" s="175">
        <v>0</v>
      </c>
      <c r="K84" s="175">
        <v>0</v>
      </c>
      <c r="L84" s="175">
        <v>0</v>
      </c>
      <c r="M84" s="175">
        <v>0</v>
      </c>
      <c r="N84" s="175">
        <v>0</v>
      </c>
      <c r="O84" s="175">
        <v>0</v>
      </c>
      <c r="P84" s="175">
        <v>0</v>
      </c>
      <c r="Q84" s="175">
        <v>0</v>
      </c>
      <c r="R84" s="175">
        <v>0</v>
      </c>
      <c r="S84" s="175">
        <v>0</v>
      </c>
      <c r="T84" s="395">
        <v>0</v>
      </c>
    </row>
    <row r="85" spans="2:20" x14ac:dyDescent="0.3">
      <c r="B85" s="193" t="s">
        <v>61</v>
      </c>
      <c r="C85" s="240"/>
      <c r="D85" s="388">
        <f>C85*'Inputs and assumptions'!D28</f>
        <v>0</v>
      </c>
      <c r="E85" s="393"/>
      <c r="F85" s="175">
        <v>0</v>
      </c>
      <c r="G85" s="175">
        <v>0</v>
      </c>
      <c r="H85" s="175">
        <v>0</v>
      </c>
      <c r="I85" s="175">
        <v>0</v>
      </c>
      <c r="J85" s="175">
        <v>0</v>
      </c>
      <c r="K85" s="175">
        <v>0</v>
      </c>
      <c r="L85" s="175">
        <v>0</v>
      </c>
      <c r="M85" s="175">
        <v>0</v>
      </c>
      <c r="N85" s="175">
        <v>0</v>
      </c>
      <c r="O85" s="175">
        <v>0</v>
      </c>
      <c r="P85" s="175">
        <v>0</v>
      </c>
      <c r="Q85" s="175">
        <v>0</v>
      </c>
      <c r="R85" s="175">
        <v>0</v>
      </c>
      <c r="S85" s="175">
        <v>0</v>
      </c>
      <c r="T85" s="395">
        <v>0</v>
      </c>
    </row>
    <row r="86" spans="2:20" x14ac:dyDescent="0.3">
      <c r="B86" s="193"/>
      <c r="E86" s="393"/>
      <c r="F86" s="215"/>
      <c r="G86" s="215"/>
      <c r="H86" s="215"/>
      <c r="I86" s="215"/>
      <c r="J86" s="215"/>
      <c r="K86" s="215"/>
      <c r="L86" s="215"/>
      <c r="M86" s="215"/>
      <c r="N86" s="215"/>
      <c r="O86" s="215"/>
      <c r="P86" s="215"/>
      <c r="Q86" s="215"/>
      <c r="R86" s="215"/>
      <c r="S86" s="215"/>
      <c r="T86" s="394"/>
    </row>
    <row r="87" spans="2:20" x14ac:dyDescent="0.3">
      <c r="B87" s="191" t="s">
        <v>62</v>
      </c>
      <c r="C87" s="239" t="s">
        <v>236</v>
      </c>
      <c r="D87" s="386"/>
      <c r="E87" s="393"/>
      <c r="F87" s="215"/>
      <c r="G87" s="215"/>
      <c r="H87" s="215"/>
      <c r="I87" s="215"/>
      <c r="J87" s="215"/>
      <c r="K87" s="215"/>
      <c r="L87" s="215"/>
      <c r="M87" s="215"/>
      <c r="N87" s="215"/>
      <c r="O87" s="215"/>
      <c r="P87" s="215"/>
      <c r="Q87" s="215"/>
      <c r="R87" s="215"/>
      <c r="S87" s="215"/>
      <c r="T87" s="394"/>
    </row>
    <row r="88" spans="2:20" x14ac:dyDescent="0.3">
      <c r="B88" s="193" t="s">
        <v>63</v>
      </c>
      <c r="C88" s="240"/>
      <c r="D88" s="388">
        <f>C88*'Inputs and assumptions'!D31</f>
        <v>0</v>
      </c>
      <c r="E88" s="393"/>
      <c r="F88" s="175">
        <v>0</v>
      </c>
      <c r="G88" s="175">
        <v>0</v>
      </c>
      <c r="H88" s="175">
        <v>0</v>
      </c>
      <c r="I88" s="175">
        <v>0</v>
      </c>
      <c r="J88" s="175">
        <v>0</v>
      </c>
      <c r="K88" s="175">
        <v>0</v>
      </c>
      <c r="L88" s="175">
        <v>0</v>
      </c>
      <c r="M88" s="175">
        <v>0</v>
      </c>
      <c r="N88" s="175">
        <v>0</v>
      </c>
      <c r="O88" s="175">
        <v>0</v>
      </c>
      <c r="P88" s="175">
        <v>0</v>
      </c>
      <c r="Q88" s="175">
        <v>0</v>
      </c>
      <c r="R88" s="175">
        <v>0</v>
      </c>
      <c r="S88" s="175">
        <v>0</v>
      </c>
      <c r="T88" s="395">
        <v>0</v>
      </c>
    </row>
    <row r="89" spans="2:20" x14ac:dyDescent="0.3">
      <c r="B89" s="193" t="s">
        <v>64</v>
      </c>
      <c r="C89" s="240"/>
      <c r="D89" s="388">
        <f>C89*'Inputs and assumptions'!D32</f>
        <v>0</v>
      </c>
      <c r="E89" s="393"/>
      <c r="F89" s="175">
        <v>0</v>
      </c>
      <c r="G89" s="175">
        <v>0</v>
      </c>
      <c r="H89" s="175">
        <v>0</v>
      </c>
      <c r="I89" s="175">
        <v>0</v>
      </c>
      <c r="J89" s="175">
        <v>0</v>
      </c>
      <c r="K89" s="175">
        <v>0</v>
      </c>
      <c r="L89" s="175">
        <v>0</v>
      </c>
      <c r="M89" s="175">
        <v>0</v>
      </c>
      <c r="N89" s="175">
        <v>0</v>
      </c>
      <c r="O89" s="175">
        <v>0</v>
      </c>
      <c r="P89" s="175">
        <v>0</v>
      </c>
      <c r="Q89" s="175">
        <v>0</v>
      </c>
      <c r="R89" s="175">
        <v>0</v>
      </c>
      <c r="S89" s="175">
        <v>0</v>
      </c>
      <c r="T89" s="395">
        <v>0</v>
      </c>
    </row>
    <row r="90" spans="2:20" x14ac:dyDescent="0.3">
      <c r="B90" s="193"/>
      <c r="E90" s="393"/>
      <c r="F90" s="215"/>
      <c r="G90" s="215"/>
      <c r="H90" s="215"/>
      <c r="I90" s="215"/>
      <c r="J90" s="215"/>
      <c r="K90" s="215"/>
      <c r="L90" s="215"/>
      <c r="M90" s="215"/>
      <c r="N90" s="215"/>
      <c r="O90" s="215"/>
      <c r="P90" s="215"/>
      <c r="Q90" s="215"/>
      <c r="R90" s="215"/>
      <c r="S90" s="215"/>
      <c r="T90" s="394"/>
    </row>
    <row r="91" spans="2:20" x14ac:dyDescent="0.3">
      <c r="B91" s="191" t="s">
        <v>65</v>
      </c>
      <c r="C91" s="239" t="s">
        <v>236</v>
      </c>
      <c r="D91" s="386"/>
      <c r="E91" s="393"/>
      <c r="F91" s="215"/>
      <c r="G91" s="215"/>
      <c r="H91" s="215"/>
      <c r="I91" s="215"/>
      <c r="J91" s="215"/>
      <c r="K91" s="215"/>
      <c r="L91" s="215"/>
      <c r="M91" s="215"/>
      <c r="N91" s="215"/>
      <c r="O91" s="215"/>
      <c r="P91" s="215"/>
      <c r="Q91" s="215"/>
      <c r="R91" s="215"/>
      <c r="S91" s="215"/>
      <c r="T91" s="394"/>
    </row>
    <row r="92" spans="2:20" x14ac:dyDescent="0.3">
      <c r="B92" s="193" t="s">
        <v>66</v>
      </c>
      <c r="C92" s="240"/>
      <c r="D92" s="388">
        <f>C92*'Inputs and assumptions'!D35</f>
        <v>0</v>
      </c>
      <c r="E92" s="393"/>
      <c r="F92" s="175">
        <v>0</v>
      </c>
      <c r="G92" s="175">
        <v>0</v>
      </c>
      <c r="H92" s="175">
        <v>0</v>
      </c>
      <c r="I92" s="175">
        <v>0</v>
      </c>
      <c r="J92" s="175">
        <v>0</v>
      </c>
      <c r="K92" s="175">
        <v>0</v>
      </c>
      <c r="L92" s="175">
        <v>0</v>
      </c>
      <c r="M92" s="175">
        <v>0</v>
      </c>
      <c r="N92" s="175">
        <v>0</v>
      </c>
      <c r="O92" s="175">
        <v>0</v>
      </c>
      <c r="P92" s="175">
        <v>0</v>
      </c>
      <c r="Q92" s="175">
        <v>0</v>
      </c>
      <c r="R92" s="175">
        <v>0</v>
      </c>
      <c r="S92" s="175">
        <v>0</v>
      </c>
      <c r="T92" s="395">
        <v>0</v>
      </c>
    </row>
    <row r="93" spans="2:20" x14ac:dyDescent="0.3">
      <c r="B93" s="193" t="s">
        <v>67</v>
      </c>
      <c r="C93" s="240"/>
      <c r="D93" s="388">
        <f>C93*'Inputs and assumptions'!D36</f>
        <v>0</v>
      </c>
      <c r="E93" s="393"/>
      <c r="F93" s="175">
        <v>0</v>
      </c>
      <c r="G93" s="175">
        <v>0</v>
      </c>
      <c r="H93" s="175">
        <v>0</v>
      </c>
      <c r="I93" s="175">
        <v>0</v>
      </c>
      <c r="J93" s="175">
        <v>0</v>
      </c>
      <c r="K93" s="175">
        <v>0</v>
      </c>
      <c r="L93" s="175">
        <v>0</v>
      </c>
      <c r="M93" s="175">
        <v>0</v>
      </c>
      <c r="N93" s="175">
        <v>0</v>
      </c>
      <c r="O93" s="175">
        <v>0</v>
      </c>
      <c r="P93" s="175">
        <v>0</v>
      </c>
      <c r="Q93" s="175">
        <v>0</v>
      </c>
      <c r="R93" s="175">
        <v>0</v>
      </c>
      <c r="S93" s="175">
        <v>0</v>
      </c>
      <c r="T93" s="395">
        <v>0</v>
      </c>
    </row>
    <row r="94" spans="2:20" x14ac:dyDescent="0.3">
      <c r="B94" s="193" t="s">
        <v>68</v>
      </c>
      <c r="C94" s="240"/>
      <c r="D94" s="388">
        <f>C94*'Inputs and assumptions'!D37</f>
        <v>0</v>
      </c>
      <c r="E94" s="393"/>
      <c r="F94" s="175">
        <v>0</v>
      </c>
      <c r="G94" s="175">
        <v>0</v>
      </c>
      <c r="H94" s="175">
        <v>0</v>
      </c>
      <c r="I94" s="175">
        <v>0</v>
      </c>
      <c r="J94" s="175">
        <v>0</v>
      </c>
      <c r="K94" s="175">
        <v>0</v>
      </c>
      <c r="L94" s="175">
        <v>0</v>
      </c>
      <c r="M94" s="175">
        <v>0</v>
      </c>
      <c r="N94" s="175">
        <v>0</v>
      </c>
      <c r="O94" s="175">
        <v>0</v>
      </c>
      <c r="P94" s="175">
        <v>0</v>
      </c>
      <c r="Q94" s="175">
        <v>0</v>
      </c>
      <c r="R94" s="175">
        <v>0</v>
      </c>
      <c r="S94" s="175">
        <v>0</v>
      </c>
      <c r="T94" s="395">
        <v>0</v>
      </c>
    </row>
    <row r="95" spans="2:20" x14ac:dyDescent="0.3">
      <c r="B95" s="193" t="s">
        <v>69</v>
      </c>
      <c r="C95" s="240"/>
      <c r="D95" s="388">
        <f>C95*'Inputs and assumptions'!D38</f>
        <v>0</v>
      </c>
      <c r="E95" s="393"/>
      <c r="F95" s="175">
        <v>0</v>
      </c>
      <c r="G95" s="175">
        <v>0</v>
      </c>
      <c r="H95" s="175">
        <v>0</v>
      </c>
      <c r="I95" s="175">
        <v>0</v>
      </c>
      <c r="J95" s="175">
        <v>0</v>
      </c>
      <c r="K95" s="175">
        <v>0</v>
      </c>
      <c r="L95" s="175">
        <v>0</v>
      </c>
      <c r="M95" s="175">
        <v>0</v>
      </c>
      <c r="N95" s="175">
        <v>0</v>
      </c>
      <c r="O95" s="175">
        <v>0</v>
      </c>
      <c r="P95" s="175">
        <v>0</v>
      </c>
      <c r="Q95" s="175">
        <v>0</v>
      </c>
      <c r="R95" s="175">
        <v>0</v>
      </c>
      <c r="S95" s="175">
        <v>0</v>
      </c>
      <c r="T95" s="395">
        <v>0</v>
      </c>
    </row>
    <row r="96" spans="2:20" x14ac:dyDescent="0.3">
      <c r="B96" s="193" t="s">
        <v>70</v>
      </c>
      <c r="C96" s="240"/>
      <c r="D96" s="388">
        <f>C96*'Inputs and assumptions'!D39</f>
        <v>0</v>
      </c>
      <c r="E96" s="393"/>
      <c r="F96" s="175">
        <v>0</v>
      </c>
      <c r="G96" s="175">
        <v>0</v>
      </c>
      <c r="H96" s="175">
        <v>0</v>
      </c>
      <c r="I96" s="175">
        <v>0</v>
      </c>
      <c r="J96" s="175">
        <v>0</v>
      </c>
      <c r="K96" s="175">
        <v>0</v>
      </c>
      <c r="L96" s="175">
        <v>0</v>
      </c>
      <c r="M96" s="175">
        <v>0</v>
      </c>
      <c r="N96" s="175">
        <v>0</v>
      </c>
      <c r="O96" s="175">
        <v>0</v>
      </c>
      <c r="P96" s="175">
        <v>0</v>
      </c>
      <c r="Q96" s="175">
        <v>0</v>
      </c>
      <c r="R96" s="175">
        <v>0</v>
      </c>
      <c r="S96" s="175">
        <v>0</v>
      </c>
      <c r="T96" s="395">
        <v>0</v>
      </c>
    </row>
    <row r="97" spans="2:20" x14ac:dyDescent="0.3">
      <c r="B97" s="193" t="s">
        <v>71</v>
      </c>
      <c r="C97" s="240"/>
      <c r="D97" s="388">
        <f>C97*'Inputs and assumptions'!D40</f>
        <v>0</v>
      </c>
      <c r="E97" s="393"/>
      <c r="F97" s="175">
        <v>0</v>
      </c>
      <c r="G97" s="175">
        <v>0</v>
      </c>
      <c r="H97" s="175">
        <v>0</v>
      </c>
      <c r="I97" s="175">
        <v>0</v>
      </c>
      <c r="J97" s="175">
        <v>0</v>
      </c>
      <c r="K97" s="175">
        <v>0</v>
      </c>
      <c r="L97" s="175">
        <v>0</v>
      </c>
      <c r="M97" s="175">
        <v>0</v>
      </c>
      <c r="N97" s="175">
        <v>0</v>
      </c>
      <c r="O97" s="175">
        <v>0</v>
      </c>
      <c r="P97" s="175">
        <v>0</v>
      </c>
      <c r="Q97" s="175">
        <v>0</v>
      </c>
      <c r="R97" s="175">
        <v>0</v>
      </c>
      <c r="S97" s="175">
        <v>0</v>
      </c>
      <c r="T97" s="395">
        <v>0</v>
      </c>
    </row>
    <row r="98" spans="2:20" ht="13.5" thickBot="1" x14ac:dyDescent="0.35">
      <c r="B98" s="194" t="s">
        <v>72</v>
      </c>
      <c r="C98" s="254"/>
      <c r="D98" s="389">
        <f>C98*'Inputs and assumptions'!D41</f>
        <v>0</v>
      </c>
      <c r="E98" s="362"/>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7">$D$102*F27</f>
        <v>0</v>
      </c>
      <c r="G102" s="140">
        <f t="shared" si="7"/>
        <v>0</v>
      </c>
      <c r="H102" s="140">
        <f t="shared" si="7"/>
        <v>0</v>
      </c>
      <c r="I102" s="140">
        <f t="shared" si="7"/>
        <v>0</v>
      </c>
      <c r="J102" s="140">
        <f t="shared" si="7"/>
        <v>0</v>
      </c>
      <c r="K102" s="140">
        <f t="shared" si="7"/>
        <v>0</v>
      </c>
      <c r="L102" s="140">
        <f t="shared" si="7"/>
        <v>0</v>
      </c>
      <c r="M102" s="140">
        <f t="shared" si="7"/>
        <v>0</v>
      </c>
      <c r="N102" s="140">
        <f t="shared" si="7"/>
        <v>0</v>
      </c>
      <c r="O102" s="140">
        <f t="shared" si="7"/>
        <v>0</v>
      </c>
      <c r="P102" s="140">
        <f t="shared" si="7"/>
        <v>0</v>
      </c>
      <c r="Q102" s="140">
        <f t="shared" si="7"/>
        <v>0</v>
      </c>
      <c r="R102" s="140">
        <f t="shared" si="7"/>
        <v>0</v>
      </c>
      <c r="S102" s="140">
        <f t="shared" si="7"/>
        <v>0</v>
      </c>
      <c r="T102" s="141">
        <f t="shared" si="7"/>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855000</v>
      </c>
      <c r="G107" s="294">
        <f>$E$111*G$29</f>
        <v>95000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267</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8CD7AEE1-9D57-4134-BEF5-E27ADDF38DD6}">
          <x14:formula1>
            <xm:f>'Inputs and assumptions'!$H$16:$H$20</xm:f>
          </x14:formula1>
          <xm:sqref>E8</xm:sqref>
        </x14:dataValidation>
        <x14:dataValidation type="list" allowBlank="1" showInputMessage="1" showErrorMessage="1" xr:uid="{10517C3E-4BC1-47DE-8205-17DF93B8985A}">
          <x14:formula1>
            <xm:f>'Inputs and assumptions'!$G$16:$G$20</xm:f>
          </x14:formula1>
          <xm:sqref>E7</xm:sqref>
        </x14:dataValidation>
        <x14:dataValidation type="list" allowBlank="1" showInputMessage="1" showErrorMessage="1" xr:uid="{E62B5ADF-2603-4E6F-A829-A2C4064166DA}">
          <x14:formula1>
            <xm:f>'Inputs and assumptions'!$H$23:$H$24</xm:f>
          </x14:formula1>
          <xm:sqref>E10</xm:sqref>
        </x14:dataValidation>
        <x14:dataValidation type="list" allowBlank="1" showInputMessage="1" showErrorMessage="1" xr:uid="{5FBF8299-054E-40FB-9ADB-418036463C0A}">
          <x14:formula1>
            <xm:f>'Inputs and assumptions'!$H$27:$H$29</xm:f>
          </x14:formula1>
          <xm:sqref>E11</xm:sqref>
        </x14:dataValidation>
        <x14:dataValidation type="list" allowBlank="1" showInputMessage="1" showErrorMessage="1" xr:uid="{CA01540A-0EA5-4428-97C1-1C79715B5BCE}">
          <x14:formula1>
            <xm:f>'Inputs and assumptions'!$J$17:$J$18</xm:f>
          </x14:formula1>
          <xm:sqref>E43</xm:sqref>
        </x14:dataValidation>
        <x14:dataValidation type="list" allowBlank="1" showInputMessage="1" showErrorMessage="1" xr:uid="{F344BB6E-8DED-4E88-929A-BA824EB5B07C}">
          <x14:formula1>
            <xm:f>'Inputs and assumptions'!$H$31:$H$34</xm:f>
          </x14:formula1>
          <xm:sqref>E12</xm:sqref>
        </x14:dataValidation>
        <x14:dataValidation type="list" allowBlank="1" showInputMessage="1" showErrorMessage="1" xr:uid="{0A6CBE58-398A-4D23-B49E-FD7A018D0694}">
          <x14:formula1>
            <xm:f>'Inputs and assumptions'!$H$36:$H$40</xm:f>
          </x14:formula1>
          <xm:sqref>E13</xm:sqref>
        </x14:dataValidation>
        <x14:dataValidation type="list" allowBlank="1" showInputMessage="1" showErrorMessage="1" xr:uid="{E9A1FFB2-C107-41BE-BC6C-6C66DF11B619}">
          <x14:formula1>
            <xm:f>'Inputs and assumptions'!$J$21:$J$24</xm:f>
          </x14:formula1>
          <xm:sqref>E14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BDAA-B23B-4681-B520-43F4AEBEBAA4}">
  <sheetPr>
    <tabColor rgb="FF002060"/>
    <pageSetUpPr fitToPage="1"/>
  </sheetPr>
  <dimension ref="A1:W122"/>
  <sheetViews>
    <sheetView showGridLines="0" zoomScaleNormal="100"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268</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177</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269</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156</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32.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-974597.127171956</v>
      </c>
      <c r="J18" s="222"/>
      <c r="K18" s="220" t="s">
        <v>220</v>
      </c>
      <c r="L18" s="223">
        <f>SUM(F34:J34)</f>
        <v>950000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4660154.3439689204</v>
      </c>
      <c r="J19" s="127"/>
      <c r="K19" s="125" t="s">
        <v>223</v>
      </c>
      <c r="L19" s="225">
        <f>SUM(F36:J36)</f>
        <v>40000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5.781621260768083</v>
      </c>
      <c r="J20" s="127"/>
      <c r="K20" s="125" t="s">
        <v>225</v>
      </c>
      <c r="L20" s="225">
        <f>NPV($D$33,F39:T39)</f>
        <v>5634751.4711408764</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3.9341311911137948</v>
      </c>
      <c r="J21" s="226"/>
      <c r="K21" s="436" t="s">
        <v>228</v>
      </c>
      <c r="L21" s="439">
        <f>NPV($D$33,F39:J39)</f>
        <v>3382102.9542995035</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2.8200000000000003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3">
        <v>0.9</v>
      </c>
      <c r="G29" s="293">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855000</v>
      </c>
      <c r="G34" s="140">
        <f t="shared" si="0"/>
        <v>95000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1282500</v>
      </c>
      <c r="G35" s="140">
        <f>G34*(1+'Inputs and assumptions'!$C$7)</f>
        <v>142500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-974597.127171956</v>
      </c>
      <c r="E37" s="248"/>
      <c r="F37" s="144">
        <f t="shared" ref="F37:T37" si="2">-F34-F36</f>
        <v>-855000</v>
      </c>
      <c r="G37" s="144">
        <f t="shared" si="2"/>
        <v>-105000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1282500</v>
      </c>
      <c r="G38" s="142">
        <f t="shared" ref="G38:T38" si="3">G35+G36</f>
        <v>152500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951100</v>
      </c>
      <c r="H39" s="140">
        <f t="shared" si="4"/>
        <v>951100</v>
      </c>
      <c r="I39" s="140">
        <f t="shared" si="4"/>
        <v>951100</v>
      </c>
      <c r="J39" s="140">
        <f t="shared" si="4"/>
        <v>951100</v>
      </c>
      <c r="K39" s="140">
        <f t="shared" si="4"/>
        <v>951100</v>
      </c>
      <c r="L39" s="140">
        <f t="shared" si="4"/>
        <v>951100</v>
      </c>
      <c r="M39" s="140">
        <f t="shared" si="4"/>
        <v>951100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4660154.3439689204</v>
      </c>
      <c r="E40" s="112"/>
      <c r="F40" s="140">
        <f t="shared" ref="F40:T40" si="5">F39+F37</f>
        <v>-855000</v>
      </c>
      <c r="G40" s="140">
        <f t="shared" si="5"/>
        <v>846100</v>
      </c>
      <c r="H40" s="140">
        <f t="shared" si="5"/>
        <v>941100</v>
      </c>
      <c r="I40" s="140">
        <f t="shared" si="5"/>
        <v>941100</v>
      </c>
      <c r="J40" s="140">
        <f t="shared" si="5"/>
        <v>941100</v>
      </c>
      <c r="K40" s="140">
        <f t="shared" si="5"/>
        <v>941100</v>
      </c>
      <c r="L40" s="140">
        <f t="shared" si="5"/>
        <v>941100</v>
      </c>
      <c r="M40" s="140">
        <f t="shared" si="5"/>
        <v>941100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v>0.01</v>
      </c>
      <c r="D80" s="267">
        <f>C80*'Inputs and assumptions'!D23</f>
        <v>278000</v>
      </c>
      <c r="F80" s="294">
        <f>$D80*F$28</f>
        <v>0</v>
      </c>
      <c r="G80" s="294">
        <f t="shared" ref="G80:S81" si="6">$D80*G$28</f>
        <v>278000</v>
      </c>
      <c r="H80" s="294">
        <f t="shared" si="6"/>
        <v>278000</v>
      </c>
      <c r="I80" s="294">
        <f t="shared" si="6"/>
        <v>278000</v>
      </c>
      <c r="J80" s="294">
        <f t="shared" si="6"/>
        <v>278000</v>
      </c>
      <c r="K80" s="294">
        <f t="shared" si="6"/>
        <v>278000</v>
      </c>
      <c r="L80" s="294">
        <f t="shared" si="6"/>
        <v>278000</v>
      </c>
      <c r="M80" s="294">
        <f t="shared" si="6"/>
        <v>278000</v>
      </c>
      <c r="N80" s="294">
        <f t="shared" si="6"/>
        <v>0</v>
      </c>
      <c r="O80" s="294">
        <f t="shared" si="6"/>
        <v>0</v>
      </c>
      <c r="P80" s="294">
        <f t="shared" si="6"/>
        <v>0</v>
      </c>
      <c r="Q80" s="294">
        <f t="shared" si="6"/>
        <v>0</v>
      </c>
      <c r="R80" s="294">
        <f t="shared" si="6"/>
        <v>0</v>
      </c>
      <c r="S80" s="294">
        <f t="shared" si="6"/>
        <v>0</v>
      </c>
      <c r="T80" s="295">
        <f>$D80*T$28</f>
        <v>0</v>
      </c>
    </row>
    <row r="81" spans="2:20" x14ac:dyDescent="0.3">
      <c r="B81" s="193" t="s">
        <v>57</v>
      </c>
      <c r="C81" s="240">
        <v>0.01</v>
      </c>
      <c r="D81" s="267">
        <f>C81*'Inputs and assumptions'!D24</f>
        <v>470000</v>
      </c>
      <c r="F81" s="294">
        <f>$D81*F$28</f>
        <v>0</v>
      </c>
      <c r="G81" s="294">
        <f t="shared" si="6"/>
        <v>470000</v>
      </c>
      <c r="H81" s="294">
        <f t="shared" si="6"/>
        <v>470000</v>
      </c>
      <c r="I81" s="294">
        <f t="shared" si="6"/>
        <v>470000</v>
      </c>
      <c r="J81" s="294">
        <f t="shared" si="6"/>
        <v>470000</v>
      </c>
      <c r="K81" s="294">
        <f t="shared" si="6"/>
        <v>470000</v>
      </c>
      <c r="L81" s="294">
        <f t="shared" si="6"/>
        <v>470000</v>
      </c>
      <c r="M81" s="294">
        <f t="shared" si="6"/>
        <v>470000</v>
      </c>
      <c r="N81" s="294">
        <f t="shared" si="6"/>
        <v>0</v>
      </c>
      <c r="O81" s="294">
        <f t="shared" si="6"/>
        <v>0</v>
      </c>
      <c r="P81" s="294">
        <f t="shared" si="6"/>
        <v>0</v>
      </c>
      <c r="Q81" s="294">
        <f t="shared" si="6"/>
        <v>0</v>
      </c>
      <c r="R81" s="294">
        <f t="shared" si="6"/>
        <v>0</v>
      </c>
      <c r="S81" s="294">
        <f t="shared" si="6"/>
        <v>0</v>
      </c>
      <c r="T81" s="295">
        <f>$D81*T$28</f>
        <v>0</v>
      </c>
    </row>
    <row r="82" spans="2:20" x14ac:dyDescent="0.3">
      <c r="B82" s="193" t="s">
        <v>58</v>
      </c>
      <c r="C82" s="240"/>
      <c r="D82" s="267">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7">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7">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7">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268"/>
      <c r="F86" s="215"/>
      <c r="G86" s="215"/>
      <c r="H86" s="215"/>
      <c r="I86" s="215"/>
      <c r="J86" s="215"/>
      <c r="K86" s="215"/>
      <c r="L86" s="215"/>
      <c r="M86" s="215"/>
      <c r="N86" s="215"/>
      <c r="O86" s="215"/>
      <c r="P86" s="215"/>
      <c r="Q86" s="215"/>
      <c r="R86" s="215"/>
      <c r="S86" s="215"/>
      <c r="T86" s="216"/>
    </row>
    <row r="87" spans="2:20" x14ac:dyDescent="0.3">
      <c r="B87" s="191" t="s">
        <v>62</v>
      </c>
      <c r="C87" s="239" t="s">
        <v>236</v>
      </c>
      <c r="D87" s="269"/>
      <c r="F87" s="215"/>
      <c r="G87" s="215"/>
      <c r="H87" s="215"/>
      <c r="I87" s="215"/>
      <c r="J87" s="215"/>
      <c r="K87" s="215"/>
      <c r="L87" s="215"/>
      <c r="M87" s="215"/>
      <c r="N87" s="215"/>
      <c r="O87" s="215"/>
      <c r="P87" s="215"/>
      <c r="Q87" s="215"/>
      <c r="R87" s="215"/>
      <c r="S87" s="215"/>
      <c r="T87" s="216"/>
    </row>
    <row r="88" spans="2:20" x14ac:dyDescent="0.3">
      <c r="B88" s="193" t="s">
        <v>63</v>
      </c>
      <c r="C88" s="240"/>
      <c r="D88" s="267">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7">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268"/>
      <c r="F90" s="215"/>
      <c r="G90" s="215"/>
      <c r="H90" s="215"/>
      <c r="I90" s="215"/>
      <c r="J90" s="215"/>
      <c r="K90" s="215"/>
      <c r="L90" s="215"/>
      <c r="M90" s="215"/>
      <c r="N90" s="215"/>
      <c r="O90" s="215"/>
      <c r="P90" s="215"/>
      <c r="Q90" s="215"/>
      <c r="R90" s="215"/>
      <c r="S90" s="215"/>
      <c r="T90" s="216"/>
    </row>
    <row r="91" spans="2:20" x14ac:dyDescent="0.3">
      <c r="B91" s="191" t="s">
        <v>65</v>
      </c>
      <c r="C91" s="239" t="s">
        <v>236</v>
      </c>
      <c r="D91" s="269"/>
      <c r="F91" s="215"/>
      <c r="G91" s="215"/>
      <c r="H91" s="215"/>
      <c r="I91" s="215"/>
      <c r="J91" s="215"/>
      <c r="K91" s="215"/>
      <c r="L91" s="215"/>
      <c r="M91" s="215"/>
      <c r="N91" s="215"/>
      <c r="O91" s="215"/>
      <c r="P91" s="215"/>
      <c r="Q91" s="215"/>
      <c r="R91" s="215"/>
      <c r="S91" s="215"/>
      <c r="T91" s="216"/>
    </row>
    <row r="92" spans="2:20" x14ac:dyDescent="0.3">
      <c r="B92" s="193" t="s">
        <v>66</v>
      </c>
      <c r="C92" s="240">
        <v>1E-3</v>
      </c>
      <c r="D92" s="267">
        <f>C92*'Inputs and assumptions'!D35</f>
        <v>126000</v>
      </c>
      <c r="F92" s="294">
        <f>$D92*F$28</f>
        <v>0</v>
      </c>
      <c r="G92" s="294">
        <f t="shared" ref="G92:T92" si="7">$D92*G$28</f>
        <v>126000</v>
      </c>
      <c r="H92" s="294">
        <f t="shared" si="7"/>
        <v>126000</v>
      </c>
      <c r="I92" s="294">
        <f t="shared" si="7"/>
        <v>126000</v>
      </c>
      <c r="J92" s="294">
        <f t="shared" si="7"/>
        <v>126000</v>
      </c>
      <c r="K92" s="294">
        <f t="shared" si="7"/>
        <v>126000</v>
      </c>
      <c r="L92" s="294">
        <f t="shared" si="7"/>
        <v>126000</v>
      </c>
      <c r="M92" s="294">
        <f t="shared" si="7"/>
        <v>126000</v>
      </c>
      <c r="N92" s="294">
        <f t="shared" si="7"/>
        <v>0</v>
      </c>
      <c r="O92" s="294">
        <f t="shared" si="7"/>
        <v>0</v>
      </c>
      <c r="P92" s="294">
        <f t="shared" si="7"/>
        <v>0</v>
      </c>
      <c r="Q92" s="294">
        <f t="shared" si="7"/>
        <v>0</v>
      </c>
      <c r="R92" s="294">
        <f t="shared" si="7"/>
        <v>0</v>
      </c>
      <c r="S92" s="294">
        <f t="shared" si="7"/>
        <v>0</v>
      </c>
      <c r="T92" s="295">
        <f t="shared" si="7"/>
        <v>0</v>
      </c>
    </row>
    <row r="93" spans="2:20" x14ac:dyDescent="0.3">
      <c r="B93" s="193" t="s">
        <v>67</v>
      </c>
      <c r="C93" s="240"/>
      <c r="D93" s="267">
        <f>C93*'Inputs and assumptions'!D36</f>
        <v>0</v>
      </c>
      <c r="F93" s="294">
        <f t="shared" ref="F93:T98" si="8">$D93*F$28</f>
        <v>0</v>
      </c>
      <c r="G93" s="294">
        <f t="shared" si="8"/>
        <v>0</v>
      </c>
      <c r="H93" s="294">
        <f t="shared" si="8"/>
        <v>0</v>
      </c>
      <c r="I93" s="294">
        <f t="shared" si="8"/>
        <v>0</v>
      </c>
      <c r="J93" s="294">
        <f t="shared" si="8"/>
        <v>0</v>
      </c>
      <c r="K93" s="294">
        <f t="shared" si="8"/>
        <v>0</v>
      </c>
      <c r="L93" s="294">
        <f t="shared" si="8"/>
        <v>0</v>
      </c>
      <c r="M93" s="294">
        <f t="shared" si="8"/>
        <v>0</v>
      </c>
      <c r="N93" s="294">
        <f t="shared" si="8"/>
        <v>0</v>
      </c>
      <c r="O93" s="294">
        <f t="shared" si="8"/>
        <v>0</v>
      </c>
      <c r="P93" s="294">
        <f t="shared" si="8"/>
        <v>0</v>
      </c>
      <c r="Q93" s="294">
        <f t="shared" si="8"/>
        <v>0</v>
      </c>
      <c r="R93" s="294">
        <f t="shared" si="8"/>
        <v>0</v>
      </c>
      <c r="S93" s="294">
        <f t="shared" si="8"/>
        <v>0</v>
      </c>
      <c r="T93" s="295">
        <f t="shared" si="8"/>
        <v>0</v>
      </c>
    </row>
    <row r="94" spans="2:20" x14ac:dyDescent="0.3">
      <c r="B94" s="193" t="s">
        <v>68</v>
      </c>
      <c r="C94" s="240"/>
      <c r="D94" s="267">
        <f>C94*'Inputs and assumptions'!D37</f>
        <v>0</v>
      </c>
      <c r="F94" s="294">
        <f t="shared" si="8"/>
        <v>0</v>
      </c>
      <c r="G94" s="294">
        <f t="shared" si="8"/>
        <v>0</v>
      </c>
      <c r="H94" s="294">
        <f t="shared" si="8"/>
        <v>0</v>
      </c>
      <c r="I94" s="294">
        <f t="shared" si="8"/>
        <v>0</v>
      </c>
      <c r="J94" s="294">
        <f t="shared" si="8"/>
        <v>0</v>
      </c>
      <c r="K94" s="294">
        <f t="shared" si="8"/>
        <v>0</v>
      </c>
      <c r="L94" s="294">
        <f t="shared" si="8"/>
        <v>0</v>
      </c>
      <c r="M94" s="294">
        <f t="shared" si="8"/>
        <v>0</v>
      </c>
      <c r="N94" s="294">
        <f t="shared" si="8"/>
        <v>0</v>
      </c>
      <c r="O94" s="294">
        <f t="shared" si="8"/>
        <v>0</v>
      </c>
      <c r="P94" s="294">
        <f t="shared" si="8"/>
        <v>0</v>
      </c>
      <c r="Q94" s="294">
        <f t="shared" si="8"/>
        <v>0</v>
      </c>
      <c r="R94" s="294">
        <f t="shared" si="8"/>
        <v>0</v>
      </c>
      <c r="S94" s="294">
        <f t="shared" si="8"/>
        <v>0</v>
      </c>
      <c r="T94" s="295">
        <f t="shared" si="8"/>
        <v>0</v>
      </c>
    </row>
    <row r="95" spans="2:20" x14ac:dyDescent="0.3">
      <c r="B95" s="193" t="s">
        <v>69</v>
      </c>
      <c r="C95" s="240"/>
      <c r="D95" s="267">
        <f>C95*'Inputs and assumptions'!D38</f>
        <v>0</v>
      </c>
      <c r="F95" s="294">
        <f t="shared" si="8"/>
        <v>0</v>
      </c>
      <c r="G95" s="294">
        <f t="shared" si="8"/>
        <v>0</v>
      </c>
      <c r="H95" s="294">
        <f t="shared" si="8"/>
        <v>0</v>
      </c>
      <c r="I95" s="294">
        <f t="shared" si="8"/>
        <v>0</v>
      </c>
      <c r="J95" s="294">
        <f t="shared" si="8"/>
        <v>0</v>
      </c>
      <c r="K95" s="294">
        <f t="shared" si="8"/>
        <v>0</v>
      </c>
      <c r="L95" s="294">
        <f t="shared" si="8"/>
        <v>0</v>
      </c>
      <c r="M95" s="294">
        <f t="shared" si="8"/>
        <v>0</v>
      </c>
      <c r="N95" s="294">
        <f t="shared" si="8"/>
        <v>0</v>
      </c>
      <c r="O95" s="294">
        <f t="shared" si="8"/>
        <v>0</v>
      </c>
      <c r="P95" s="294">
        <f t="shared" si="8"/>
        <v>0</v>
      </c>
      <c r="Q95" s="294">
        <f t="shared" si="8"/>
        <v>0</v>
      </c>
      <c r="R95" s="294">
        <f t="shared" si="8"/>
        <v>0</v>
      </c>
      <c r="S95" s="294">
        <f t="shared" si="8"/>
        <v>0</v>
      </c>
      <c r="T95" s="295">
        <f t="shared" si="8"/>
        <v>0</v>
      </c>
    </row>
    <row r="96" spans="2:20" x14ac:dyDescent="0.3">
      <c r="B96" s="193" t="s">
        <v>70</v>
      </c>
      <c r="C96" s="240">
        <v>3.9999999999999998E-7</v>
      </c>
      <c r="D96" s="267">
        <f>C96*'Inputs and assumptions'!D39</f>
        <v>600</v>
      </c>
      <c r="F96" s="294">
        <f t="shared" si="8"/>
        <v>0</v>
      </c>
      <c r="G96" s="294">
        <f t="shared" si="8"/>
        <v>600</v>
      </c>
      <c r="H96" s="294">
        <f t="shared" si="8"/>
        <v>600</v>
      </c>
      <c r="I96" s="294">
        <f t="shared" si="8"/>
        <v>600</v>
      </c>
      <c r="J96" s="294">
        <f t="shared" si="8"/>
        <v>600</v>
      </c>
      <c r="K96" s="294">
        <f t="shared" si="8"/>
        <v>600</v>
      </c>
      <c r="L96" s="294">
        <f t="shared" si="8"/>
        <v>600</v>
      </c>
      <c r="M96" s="294">
        <f t="shared" si="8"/>
        <v>600</v>
      </c>
      <c r="N96" s="294">
        <f t="shared" si="8"/>
        <v>0</v>
      </c>
      <c r="O96" s="294">
        <f t="shared" si="8"/>
        <v>0</v>
      </c>
      <c r="P96" s="294">
        <f t="shared" si="8"/>
        <v>0</v>
      </c>
      <c r="Q96" s="294">
        <f t="shared" si="8"/>
        <v>0</v>
      </c>
      <c r="R96" s="294">
        <f t="shared" si="8"/>
        <v>0</v>
      </c>
      <c r="S96" s="294">
        <f t="shared" si="8"/>
        <v>0</v>
      </c>
      <c r="T96" s="295">
        <f t="shared" si="8"/>
        <v>0</v>
      </c>
    </row>
    <row r="97" spans="2:20" x14ac:dyDescent="0.3">
      <c r="B97" s="193" t="s">
        <v>71</v>
      </c>
      <c r="C97" s="240">
        <v>1E-3</v>
      </c>
      <c r="D97" s="267">
        <f>C97*'Inputs and assumptions'!D40</f>
        <v>76500</v>
      </c>
      <c r="F97" s="294">
        <f t="shared" si="8"/>
        <v>0</v>
      </c>
      <c r="G97" s="294">
        <f t="shared" si="8"/>
        <v>76500</v>
      </c>
      <c r="H97" s="294">
        <f t="shared" si="8"/>
        <v>76500</v>
      </c>
      <c r="I97" s="294">
        <f t="shared" si="8"/>
        <v>76500</v>
      </c>
      <c r="J97" s="294">
        <f t="shared" si="8"/>
        <v>76500</v>
      </c>
      <c r="K97" s="294">
        <f t="shared" si="8"/>
        <v>76500</v>
      </c>
      <c r="L97" s="294">
        <f t="shared" si="8"/>
        <v>76500</v>
      </c>
      <c r="M97" s="294">
        <f t="shared" si="8"/>
        <v>76500</v>
      </c>
      <c r="N97" s="294">
        <f t="shared" si="8"/>
        <v>0</v>
      </c>
      <c r="O97" s="294">
        <f t="shared" si="8"/>
        <v>0</v>
      </c>
      <c r="P97" s="294">
        <f t="shared" si="8"/>
        <v>0</v>
      </c>
      <c r="Q97" s="294">
        <f t="shared" si="8"/>
        <v>0</v>
      </c>
      <c r="R97" s="294">
        <f t="shared" si="8"/>
        <v>0</v>
      </c>
      <c r="S97" s="294">
        <f t="shared" si="8"/>
        <v>0</v>
      </c>
      <c r="T97" s="295">
        <f t="shared" si="8"/>
        <v>0</v>
      </c>
    </row>
    <row r="98" spans="2:20" ht="13.5" thickBot="1" x14ac:dyDescent="0.35">
      <c r="B98" s="194" t="s">
        <v>72</v>
      </c>
      <c r="C98" s="254"/>
      <c r="D98" s="270">
        <f>C98*'Inputs and assumptions'!D41</f>
        <v>0</v>
      </c>
      <c r="E98" s="195"/>
      <c r="F98" s="300">
        <f t="shared" si="8"/>
        <v>0</v>
      </c>
      <c r="G98" s="300">
        <f t="shared" si="8"/>
        <v>0</v>
      </c>
      <c r="H98" s="300">
        <f t="shared" si="8"/>
        <v>0</v>
      </c>
      <c r="I98" s="300">
        <f t="shared" si="8"/>
        <v>0</v>
      </c>
      <c r="J98" s="300">
        <f t="shared" si="8"/>
        <v>0</v>
      </c>
      <c r="K98" s="300">
        <f t="shared" si="8"/>
        <v>0</v>
      </c>
      <c r="L98" s="300">
        <f t="shared" si="8"/>
        <v>0</v>
      </c>
      <c r="M98" s="300">
        <f t="shared" si="8"/>
        <v>0</v>
      </c>
      <c r="N98" s="300">
        <f t="shared" si="8"/>
        <v>0</v>
      </c>
      <c r="O98" s="300">
        <f t="shared" si="8"/>
        <v>0</v>
      </c>
      <c r="P98" s="300">
        <f t="shared" si="8"/>
        <v>0</v>
      </c>
      <c r="Q98" s="300">
        <f t="shared" si="8"/>
        <v>0</v>
      </c>
      <c r="R98" s="300">
        <f t="shared" si="8"/>
        <v>0</v>
      </c>
      <c r="S98" s="300">
        <f t="shared" si="8"/>
        <v>0</v>
      </c>
      <c r="T98" s="301">
        <f t="shared" si="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9">$D$102*F27</f>
        <v>0</v>
      </c>
      <c r="G102" s="140">
        <f t="shared" si="9"/>
        <v>0</v>
      </c>
      <c r="H102" s="140">
        <f t="shared" si="9"/>
        <v>0</v>
      </c>
      <c r="I102" s="140">
        <f t="shared" si="9"/>
        <v>0</v>
      </c>
      <c r="J102" s="140">
        <f t="shared" si="9"/>
        <v>0</v>
      </c>
      <c r="K102" s="140">
        <f t="shared" si="9"/>
        <v>0</v>
      </c>
      <c r="L102" s="140">
        <f t="shared" si="9"/>
        <v>0</v>
      </c>
      <c r="M102" s="140">
        <f t="shared" si="9"/>
        <v>0</v>
      </c>
      <c r="N102" s="140">
        <f t="shared" si="9"/>
        <v>0</v>
      </c>
      <c r="O102" s="140">
        <f t="shared" si="9"/>
        <v>0</v>
      </c>
      <c r="P102" s="140">
        <f t="shared" si="9"/>
        <v>0</v>
      </c>
      <c r="Q102" s="140">
        <f t="shared" si="9"/>
        <v>0</v>
      </c>
      <c r="R102" s="140">
        <f t="shared" si="9"/>
        <v>0</v>
      </c>
      <c r="S102" s="140">
        <f t="shared" si="9"/>
        <v>0</v>
      </c>
      <c r="T102" s="141">
        <f t="shared" si="9"/>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855000</v>
      </c>
      <c r="G107" s="294">
        <f>$E$111*G$29</f>
        <v>95000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270</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181"/>
      <c r="J114" s="181"/>
      <c r="K114" s="181"/>
      <c r="L114" s="181"/>
      <c r="M114" s="181"/>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181"/>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181"/>
      <c r="J119" s="181"/>
      <c r="K119" s="181"/>
      <c r="L119" s="181"/>
      <c r="M119" s="181"/>
      <c r="N119" s="181"/>
      <c r="O119" s="181"/>
      <c r="P119" s="181"/>
      <c r="Q119" s="181"/>
      <c r="R119" s="181"/>
      <c r="S119" s="181"/>
      <c r="T119" s="181"/>
    </row>
    <row r="120" spans="2:20" ht="15" customHeight="1" x14ac:dyDescent="0.3">
      <c r="B120" s="590"/>
      <c r="C120" s="586"/>
      <c r="D120" s="586"/>
      <c r="E120" s="591"/>
      <c r="F120" s="181"/>
      <c r="G120" s="181"/>
      <c r="H120" s="181"/>
      <c r="I120" s="181"/>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1FCF9702-21E1-4177-87FF-F53B6CA3ABE9}">
          <x14:formula1>
            <xm:f>'Inputs and assumptions'!$H$16:$H$20</xm:f>
          </x14:formula1>
          <xm:sqref>E8</xm:sqref>
        </x14:dataValidation>
        <x14:dataValidation type="list" allowBlank="1" showInputMessage="1" showErrorMessage="1" xr:uid="{B6B208D5-55E1-46C1-B664-AFE837BA852C}">
          <x14:formula1>
            <xm:f>'Inputs and assumptions'!$G$16:$G$20</xm:f>
          </x14:formula1>
          <xm:sqref>E7</xm:sqref>
        </x14:dataValidation>
        <x14:dataValidation type="list" allowBlank="1" showInputMessage="1" showErrorMessage="1" xr:uid="{4462B556-1BB1-4F0F-B17F-36BA98EFA247}">
          <x14:formula1>
            <xm:f>'Inputs and assumptions'!$H$23:$H$24</xm:f>
          </x14:formula1>
          <xm:sqref>E10</xm:sqref>
        </x14:dataValidation>
        <x14:dataValidation type="list" allowBlank="1" showInputMessage="1" showErrorMessage="1" xr:uid="{292C6C81-4456-46B9-912D-10E8E24F26D5}">
          <x14:formula1>
            <xm:f>'Inputs and assumptions'!$H$27:$H$29</xm:f>
          </x14:formula1>
          <xm:sqref>E11</xm:sqref>
        </x14:dataValidation>
        <x14:dataValidation type="list" allowBlank="1" showInputMessage="1" showErrorMessage="1" xr:uid="{530EA323-F41C-4B66-BD90-C5706B8F7C56}">
          <x14:formula1>
            <xm:f>'Inputs and assumptions'!$J$17:$J$18</xm:f>
          </x14:formula1>
          <xm:sqref>E43</xm:sqref>
        </x14:dataValidation>
        <x14:dataValidation type="list" allowBlank="1" showInputMessage="1" showErrorMessage="1" xr:uid="{544AB155-6F92-4455-B7E1-C01E29F81273}">
          <x14:formula1>
            <xm:f>'Inputs and assumptions'!$H$31:$H$34</xm:f>
          </x14:formula1>
          <xm:sqref>E12</xm:sqref>
        </x14:dataValidation>
        <x14:dataValidation type="list" allowBlank="1" showInputMessage="1" showErrorMessage="1" xr:uid="{66F59161-C847-4CC1-9B63-45207B2047D2}">
          <x14:formula1>
            <xm:f>'Inputs and assumptions'!$H$36:$H$40</xm:f>
          </x14:formula1>
          <xm:sqref>E13</xm:sqref>
        </x14:dataValidation>
        <x14:dataValidation type="list" allowBlank="1" showInputMessage="1" showErrorMessage="1" xr:uid="{944C001D-B06E-4C66-B1B2-0CA06830DFE1}">
          <x14:formula1>
            <xm:f>'Inputs and assumptions'!$J$21:$J$24</xm:f>
          </x14:formula1>
          <xm:sqref>E14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739C-210F-4606-8F5F-72147E5CE819}">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271</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272</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2</v>
      </c>
      <c r="G7" s="595" t="s">
        <v>273</v>
      </c>
      <c r="H7" s="595"/>
      <c r="I7" s="595"/>
      <c r="J7" s="595"/>
      <c r="K7" s="595"/>
      <c r="L7" s="595"/>
      <c r="M7" s="595"/>
      <c r="N7" s="595"/>
      <c r="O7" s="595"/>
      <c r="P7" s="595"/>
      <c r="Q7" s="595"/>
      <c r="R7" s="595"/>
      <c r="S7" s="595"/>
      <c r="T7" s="595"/>
    </row>
    <row r="8" spans="1:23" s="170" customFormat="1" ht="15.75" customHeight="1" x14ac:dyDescent="0.35">
      <c r="B8" s="328" t="s">
        <v>3</v>
      </c>
      <c r="C8" s="230"/>
      <c r="E8" s="329" t="s">
        <v>3</v>
      </c>
      <c r="G8" s="595"/>
      <c r="H8" s="595"/>
      <c r="I8" s="595"/>
      <c r="J8" s="595"/>
      <c r="K8" s="595"/>
      <c r="L8" s="595"/>
      <c r="M8" s="595"/>
      <c r="N8" s="595"/>
      <c r="O8" s="595"/>
      <c r="P8" s="595"/>
      <c r="Q8" s="595"/>
      <c r="R8" s="595"/>
      <c r="S8" s="595"/>
      <c r="T8" s="595"/>
    </row>
    <row r="9" spans="1:23" s="170" customFormat="1" ht="15.75" customHeight="1" x14ac:dyDescent="0.35">
      <c r="B9" s="328" t="s">
        <v>4</v>
      </c>
      <c r="C9" s="230"/>
      <c r="E9" s="330" t="s">
        <v>5</v>
      </c>
      <c r="G9" s="595"/>
      <c r="H9" s="595"/>
      <c r="I9" s="595"/>
      <c r="J9" s="595"/>
      <c r="K9" s="595"/>
      <c r="L9" s="595"/>
      <c r="M9" s="595"/>
      <c r="N9" s="595"/>
      <c r="O9" s="595"/>
      <c r="P9" s="595"/>
      <c r="Q9" s="595"/>
      <c r="R9" s="595"/>
      <c r="S9" s="595"/>
      <c r="T9" s="595"/>
    </row>
    <row r="10" spans="1:23" s="170" customFormat="1" ht="15.75" customHeight="1" x14ac:dyDescent="0.35">
      <c r="B10" s="328" t="s">
        <v>6</v>
      </c>
      <c r="C10" s="230"/>
      <c r="E10" s="330" t="s">
        <v>131</v>
      </c>
      <c r="G10" s="595"/>
      <c r="H10" s="595"/>
      <c r="I10" s="595"/>
      <c r="J10" s="595"/>
      <c r="K10" s="595"/>
      <c r="L10" s="595"/>
      <c r="M10" s="595"/>
      <c r="N10" s="595"/>
      <c r="O10" s="595"/>
      <c r="P10" s="595"/>
      <c r="Q10" s="595"/>
      <c r="R10" s="595"/>
      <c r="S10" s="595"/>
      <c r="T10" s="595"/>
    </row>
    <row r="11" spans="1:23" s="170" customFormat="1" ht="15.75" customHeight="1" x14ac:dyDescent="0.35">
      <c r="B11" s="328" t="s">
        <v>7</v>
      </c>
      <c r="C11" s="230"/>
      <c r="E11" s="330" t="s">
        <v>141</v>
      </c>
      <c r="G11" s="595"/>
      <c r="H11" s="595"/>
      <c r="I11" s="595"/>
      <c r="J11" s="595"/>
      <c r="K11" s="595"/>
      <c r="L11" s="595"/>
      <c r="M11" s="595"/>
      <c r="N11" s="595"/>
      <c r="O11" s="595"/>
      <c r="P11" s="595"/>
      <c r="Q11" s="595"/>
      <c r="R11" s="595"/>
      <c r="S11" s="595"/>
      <c r="T11" s="595"/>
    </row>
    <row r="12" spans="1:23" x14ac:dyDescent="0.3">
      <c r="B12" s="331" t="s">
        <v>9</v>
      </c>
      <c r="C12" s="231"/>
      <c r="D12" s="114"/>
      <c r="E12" s="330" t="s">
        <v>147</v>
      </c>
      <c r="G12" s="595"/>
      <c r="H12" s="595"/>
      <c r="I12" s="595"/>
      <c r="J12" s="595"/>
      <c r="K12" s="595"/>
      <c r="L12" s="595"/>
      <c r="M12" s="595"/>
      <c r="N12" s="595"/>
      <c r="O12" s="595"/>
      <c r="P12" s="595"/>
      <c r="Q12" s="595"/>
      <c r="R12" s="595"/>
      <c r="S12" s="595"/>
      <c r="T12" s="595"/>
    </row>
    <row r="13" spans="1:23" x14ac:dyDescent="0.3">
      <c r="B13" s="331" t="s">
        <v>10</v>
      </c>
      <c r="C13" s="231"/>
      <c r="D13" s="114"/>
      <c r="E13" s="330" t="s">
        <v>10</v>
      </c>
      <c r="G13" s="595"/>
      <c r="H13" s="595"/>
      <c r="I13" s="595"/>
      <c r="J13" s="595"/>
      <c r="K13" s="595"/>
      <c r="L13" s="595"/>
      <c r="M13" s="595"/>
      <c r="N13" s="595"/>
      <c r="O13" s="595"/>
      <c r="P13" s="595"/>
      <c r="Q13" s="595"/>
      <c r="R13" s="595"/>
      <c r="S13" s="595"/>
      <c r="T13" s="595"/>
    </row>
    <row r="14" spans="1:23" ht="13.5" thickBot="1" x14ac:dyDescent="0.35">
      <c r="B14" s="332" t="s">
        <v>11</v>
      </c>
      <c r="C14" s="333"/>
      <c r="D14" s="334"/>
      <c r="E14" s="335" t="s">
        <v>130</v>
      </c>
      <c r="G14" s="595"/>
      <c r="H14" s="595"/>
      <c r="I14" s="595"/>
      <c r="J14" s="595"/>
      <c r="K14" s="595"/>
      <c r="L14" s="595"/>
      <c r="M14" s="595"/>
      <c r="N14" s="595"/>
      <c r="O14" s="595"/>
      <c r="P14" s="595"/>
      <c r="Q14" s="595"/>
      <c r="R14" s="595"/>
      <c r="S14" s="595"/>
      <c r="T14" s="595"/>
    </row>
    <row r="15" spans="1:23" x14ac:dyDescent="0.3">
      <c r="B15" s="438"/>
      <c r="C15" s="231"/>
      <c r="D15" s="114"/>
      <c r="E15" s="158"/>
      <c r="G15" s="595"/>
      <c r="H15" s="595"/>
      <c r="I15" s="595"/>
      <c r="J15" s="595"/>
      <c r="K15" s="595"/>
      <c r="L15" s="595"/>
      <c r="M15" s="595"/>
      <c r="N15" s="595"/>
      <c r="O15" s="595"/>
      <c r="P15" s="595"/>
      <c r="Q15" s="595"/>
      <c r="R15" s="595"/>
      <c r="S15" s="595"/>
      <c r="T15" s="595"/>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c r="D18" s="161">
        <v>0.28999999999999998</v>
      </c>
      <c r="E18" s="162">
        <f>D18*C18</f>
        <v>0</v>
      </c>
      <c r="G18" s="219"/>
      <c r="H18" s="220" t="s">
        <v>18</v>
      </c>
      <c r="I18" s="221">
        <f>D37</f>
        <v>-1949194.254343912</v>
      </c>
      <c r="J18" s="222"/>
      <c r="K18" s="220" t="s">
        <v>220</v>
      </c>
      <c r="L18" s="223">
        <f>SUM(F34:J34)</f>
        <v>1900000</v>
      </c>
      <c r="N18" s="584" t="s">
        <v>221</v>
      </c>
      <c r="O18" s="584"/>
      <c r="P18" s="584"/>
      <c r="Q18" s="584"/>
      <c r="R18" s="314"/>
      <c r="S18" s="161"/>
      <c r="T18" s="315" t="s">
        <v>222</v>
      </c>
    </row>
    <row r="19" spans="2:20" ht="13.5" customHeight="1" x14ac:dyDescent="0.3">
      <c r="B19" s="160" t="s">
        <v>19</v>
      </c>
      <c r="C19" s="182"/>
      <c r="D19" s="161">
        <v>0.18</v>
      </c>
      <c r="E19" s="162">
        <f>D19*C19</f>
        <v>0</v>
      </c>
      <c r="G19" s="224"/>
      <c r="H19" s="125" t="s">
        <v>20</v>
      </c>
      <c r="I19" s="126">
        <f>D40</f>
        <v>3964006.7164748339</v>
      </c>
      <c r="J19" s="127"/>
      <c r="K19" s="125" t="s">
        <v>223</v>
      </c>
      <c r="L19" s="225">
        <f>SUM(F36:J36)</f>
        <v>80000</v>
      </c>
      <c r="N19" s="585" t="s">
        <v>224</v>
      </c>
      <c r="O19" s="585"/>
      <c r="P19" s="585"/>
      <c r="Q19" s="585"/>
      <c r="R19" s="314"/>
      <c r="S19" s="161"/>
      <c r="T19" s="315" t="s">
        <v>222</v>
      </c>
    </row>
    <row r="20" spans="2:20" ht="13.5" customHeight="1" x14ac:dyDescent="0.3">
      <c r="B20" s="160" t="s">
        <v>21</v>
      </c>
      <c r="C20" s="182"/>
      <c r="D20" s="161">
        <v>0.18</v>
      </c>
      <c r="E20" s="162">
        <f>D20*C20</f>
        <v>0</v>
      </c>
      <c r="G20" s="224"/>
      <c r="H20" s="125" t="s">
        <v>22</v>
      </c>
      <c r="I20" s="217">
        <f>IFERROR(ABS((I19-I18)/I18),"N/A")</f>
        <v>3.0336642731430055</v>
      </c>
      <c r="J20" s="127"/>
      <c r="K20" s="125" t="s">
        <v>225</v>
      </c>
      <c r="L20" s="225">
        <f>NPV($D$33,F39:T39)</f>
        <v>5913200.9708187459</v>
      </c>
      <c r="N20" s="316" t="s">
        <v>226</v>
      </c>
      <c r="O20" s="316"/>
      <c r="P20" s="316"/>
      <c r="Q20" s="316"/>
      <c r="R20" s="317"/>
      <c r="S20" s="318"/>
      <c r="T20" s="315" t="s">
        <v>222</v>
      </c>
    </row>
    <row r="21" spans="2:20" ht="13.5" customHeight="1" thickBot="1" x14ac:dyDescent="0.35">
      <c r="B21" s="160" t="s">
        <v>23</v>
      </c>
      <c r="C21" s="182"/>
      <c r="D21" s="161">
        <v>0.18</v>
      </c>
      <c r="E21" s="162">
        <f>D21*C21</f>
        <v>0</v>
      </c>
      <c r="G21" s="194"/>
      <c r="H21" s="257" t="s">
        <v>166</v>
      </c>
      <c r="I21" s="258">
        <f>IFERROR(NPV($D$33,F39:T39)/NPV($D$33,F38:T38),"N/A")</f>
        <v>2.0642710239988848</v>
      </c>
      <c r="J21" s="226"/>
      <c r="K21" s="436" t="s">
        <v>228</v>
      </c>
      <c r="L21" s="439">
        <f>NPV($D$33,F39:J39)</f>
        <v>3549234.5270595467</v>
      </c>
      <c r="N21" s="570" t="s">
        <v>229</v>
      </c>
      <c r="O21" s="570"/>
      <c r="P21" s="570"/>
      <c r="Q21" s="570"/>
      <c r="R21" s="570"/>
      <c r="S21" s="164"/>
      <c r="T21" s="165"/>
    </row>
    <row r="22" spans="2:20" ht="13.5" customHeight="1" x14ac:dyDescent="0.3">
      <c r="B22" s="160" t="s">
        <v>230</v>
      </c>
      <c r="C22" s="182"/>
      <c r="D22" s="161">
        <v>0.17</v>
      </c>
      <c r="E22" s="162">
        <f>D22*C22</f>
        <v>0</v>
      </c>
      <c r="L22" s="218"/>
    </row>
    <row r="23" spans="2:20" ht="13.5" customHeight="1" x14ac:dyDescent="0.3">
      <c r="B23" s="117" t="s">
        <v>229</v>
      </c>
      <c r="C23" s="117"/>
      <c r="D23" s="164">
        <f>SUM(D18:D22)</f>
        <v>0.99999999999999989</v>
      </c>
      <c r="E23" s="165">
        <f>SUM(E18:E22)</f>
        <v>0</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c r="H28" s="265"/>
      <c r="I28" s="265"/>
      <c r="J28" s="265"/>
      <c r="K28" s="265"/>
      <c r="L28" s="265"/>
      <c r="M28" s="265"/>
      <c r="N28" s="228"/>
      <c r="O28" s="228"/>
      <c r="P28" s="228"/>
      <c r="Q28" s="228"/>
      <c r="R28" s="228"/>
      <c r="S28" s="228"/>
      <c r="T28" s="229"/>
    </row>
    <row r="29" spans="2:20" ht="13.5" thickBot="1" x14ac:dyDescent="0.35">
      <c r="B29" s="120"/>
      <c r="C29" s="232"/>
      <c r="D29" s="121"/>
      <c r="E29" s="121"/>
      <c r="F29" s="293"/>
      <c r="G29" s="293"/>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354" t="s">
        <v>41</v>
      </c>
      <c r="C33" s="355"/>
      <c r="D33" s="356">
        <f>'Inputs and assumptions'!C5</f>
        <v>3.44E-2</v>
      </c>
      <c r="E33" s="357"/>
      <c r="F33" s="358" t="str">
        <f>F26</f>
        <v>Year 1</v>
      </c>
      <c r="G33" s="358" t="s">
        <v>232</v>
      </c>
      <c r="H33" s="358" t="s">
        <v>26</v>
      </c>
      <c r="I33" s="358" t="s">
        <v>27</v>
      </c>
      <c r="J33" s="358" t="s">
        <v>28</v>
      </c>
      <c r="K33" s="358" t="s">
        <v>29</v>
      </c>
      <c r="L33" s="358" t="s">
        <v>30</v>
      </c>
      <c r="M33" s="358" t="s">
        <v>31</v>
      </c>
      <c r="N33" s="358" t="s">
        <v>32</v>
      </c>
      <c r="O33" s="358" t="s">
        <v>33</v>
      </c>
      <c r="P33" s="358" t="s">
        <v>34</v>
      </c>
      <c r="Q33" s="358" t="s">
        <v>35</v>
      </c>
      <c r="R33" s="358" t="s">
        <v>36</v>
      </c>
      <c r="S33" s="358" t="s">
        <v>37</v>
      </c>
      <c r="T33" s="359" t="s">
        <v>38</v>
      </c>
    </row>
    <row r="34" spans="2:20" x14ac:dyDescent="0.3">
      <c r="B34" s="360" t="s">
        <v>42</v>
      </c>
      <c r="C34" s="112"/>
      <c r="D34" s="112"/>
      <c r="E34" s="112"/>
      <c r="F34" s="140">
        <f>'PR023'!F34+'PR026'!F34</f>
        <v>1710000</v>
      </c>
      <c r="G34" s="140">
        <f>'PR023'!G34+'PR026'!G34</f>
        <v>190000</v>
      </c>
      <c r="H34" s="140">
        <f>'PR023'!H34+'PR026'!H34</f>
        <v>0</v>
      </c>
      <c r="I34" s="140">
        <f>'PR023'!I34+'PR026'!I34</f>
        <v>0</v>
      </c>
      <c r="J34" s="140">
        <f>'PR023'!J34+'PR026'!J34</f>
        <v>0</v>
      </c>
      <c r="K34" s="140">
        <f>'PR023'!K34+'PR026'!K34</f>
        <v>0</v>
      </c>
      <c r="L34" s="140">
        <f>'PR023'!L34+'PR026'!L34</f>
        <v>0</v>
      </c>
      <c r="M34" s="140">
        <f>'PR023'!M34+'PR026'!M34</f>
        <v>0</v>
      </c>
      <c r="N34" s="140">
        <f>'PR023'!N34+'PR026'!N34</f>
        <v>0</v>
      </c>
      <c r="O34" s="140">
        <f>'PR023'!O34+'PR026'!O34</f>
        <v>0</v>
      </c>
      <c r="P34" s="140">
        <f>'PR023'!P34+'PR026'!P34</f>
        <v>0</v>
      </c>
      <c r="Q34" s="140">
        <f>'PR023'!Q34+'PR026'!Q34</f>
        <v>0</v>
      </c>
      <c r="R34" s="140">
        <f>'PR023'!R34+'PR026'!R34</f>
        <v>0</v>
      </c>
      <c r="S34" s="140">
        <f>'PR023'!S34+'PR026'!S34</f>
        <v>0</v>
      </c>
      <c r="T34" s="361">
        <f>'PR023'!T34+'PR026'!T34</f>
        <v>0</v>
      </c>
    </row>
    <row r="35" spans="2:20" x14ac:dyDescent="0.3">
      <c r="B35" s="360" t="s">
        <v>234</v>
      </c>
      <c r="C35" s="112"/>
      <c r="D35" s="112"/>
      <c r="E35" s="112"/>
      <c r="F35" s="140">
        <f>F34*(1+'Inputs and assumptions'!$C$7)</f>
        <v>2565000</v>
      </c>
      <c r="G35" s="140">
        <f>G34*(1+'Inputs and assumptions'!$C$7)</f>
        <v>285000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361">
        <f>T34*(1+'Inputs and assumptions'!$C$7)</f>
        <v>0</v>
      </c>
    </row>
    <row r="36" spans="2:20" ht="13.5" thickBot="1" x14ac:dyDescent="0.35">
      <c r="B36" s="362" t="s">
        <v>43</v>
      </c>
      <c r="C36" s="363"/>
      <c r="D36" s="363"/>
      <c r="E36" s="363"/>
      <c r="F36" s="364">
        <f>'PR023'!F36+'PR026'!F36</f>
        <v>0</v>
      </c>
      <c r="G36" s="364">
        <f>'PR023'!G36+'PR026'!G36</f>
        <v>20000</v>
      </c>
      <c r="H36" s="364">
        <f>'PR023'!H36+'PR026'!H36</f>
        <v>20000</v>
      </c>
      <c r="I36" s="364">
        <f>'PR023'!I36+'PR026'!I36</f>
        <v>20000</v>
      </c>
      <c r="J36" s="364">
        <f>'PR023'!J36+'PR026'!J36</f>
        <v>20000</v>
      </c>
      <c r="K36" s="364">
        <f>'PR023'!K36+'PR026'!K36</f>
        <v>20000</v>
      </c>
      <c r="L36" s="364">
        <f>'PR023'!L36+'PR026'!L36</f>
        <v>20000</v>
      </c>
      <c r="M36" s="364">
        <f>'PR023'!M36+'PR026'!M36</f>
        <v>20000</v>
      </c>
      <c r="N36" s="364">
        <f>'PR023'!N36+'PR026'!N36</f>
        <v>0</v>
      </c>
      <c r="O36" s="364">
        <f>'PR023'!O36+'PR026'!O36</f>
        <v>0</v>
      </c>
      <c r="P36" s="364">
        <f>'PR023'!P36+'PR026'!P36</f>
        <v>0</v>
      </c>
      <c r="Q36" s="364">
        <f>'PR023'!Q36+'PR026'!Q36</f>
        <v>0</v>
      </c>
      <c r="R36" s="364">
        <f>'PR023'!R36+'PR026'!R36</f>
        <v>0</v>
      </c>
      <c r="S36" s="364">
        <f>'PR023'!S36+'PR026'!S36</f>
        <v>0</v>
      </c>
      <c r="T36" s="365">
        <f>'PR023'!T36+'PR026'!T36</f>
        <v>0</v>
      </c>
    </row>
    <row r="37" spans="2:20" x14ac:dyDescent="0.3">
      <c r="B37" s="360" t="s">
        <v>44</v>
      </c>
      <c r="C37" s="112"/>
      <c r="D37" s="353">
        <f>NPV($D$33,F37:T37)</f>
        <v>-1949194.254343912</v>
      </c>
      <c r="F37" s="140">
        <f>'PR023'!F37+'PR026'!F37</f>
        <v>-1710000</v>
      </c>
      <c r="G37" s="140">
        <f>'PR023'!G37+'PR026'!G37</f>
        <v>-210000</v>
      </c>
      <c r="H37" s="140">
        <f>'PR023'!H37+'PR026'!H37</f>
        <v>-20000</v>
      </c>
      <c r="I37" s="140">
        <f>'PR023'!I37+'PR026'!I37</f>
        <v>-20000</v>
      </c>
      <c r="J37" s="140">
        <f>'PR023'!J37+'PR026'!J37</f>
        <v>-20000</v>
      </c>
      <c r="K37" s="140">
        <f>'PR023'!K37+'PR026'!K37</f>
        <v>-20000</v>
      </c>
      <c r="L37" s="140">
        <f>'PR023'!L37+'PR026'!L37</f>
        <v>-20000</v>
      </c>
      <c r="M37" s="140">
        <f>'PR023'!M37+'PR026'!M37</f>
        <v>-20000</v>
      </c>
      <c r="N37" s="140">
        <f>'PR023'!N37+'PR026'!N37</f>
        <v>0</v>
      </c>
      <c r="O37" s="140">
        <f>'PR023'!O37+'PR026'!O37</f>
        <v>0</v>
      </c>
      <c r="P37" s="140">
        <f>'PR023'!P37+'PR026'!P37</f>
        <v>0</v>
      </c>
      <c r="Q37" s="140">
        <f>'PR023'!Q37+'PR026'!Q37</f>
        <v>0</v>
      </c>
      <c r="R37" s="140">
        <f>'PR023'!R37+'PR026'!R37</f>
        <v>0</v>
      </c>
      <c r="S37" s="140">
        <f>'PR023'!S37+'PR026'!S37</f>
        <v>0</v>
      </c>
      <c r="T37" s="361">
        <f>'PR023'!T37+'PR026'!T37</f>
        <v>0</v>
      </c>
    </row>
    <row r="38" spans="2:20" ht="13.5" thickBot="1" x14ac:dyDescent="0.35">
      <c r="B38" s="362" t="s">
        <v>235</v>
      </c>
      <c r="C38" s="363"/>
      <c r="D38" s="366"/>
      <c r="E38" s="367"/>
      <c r="F38" s="364">
        <f>'PR023'!F38+'PR026'!F38</f>
        <v>2565000</v>
      </c>
      <c r="G38" s="364">
        <f>'PR023'!G38+'PR026'!G38</f>
        <v>305000</v>
      </c>
      <c r="H38" s="364">
        <f>'PR023'!H38+'PR026'!H38</f>
        <v>20000</v>
      </c>
      <c r="I38" s="364">
        <f>'PR023'!I38+'PR026'!I38</f>
        <v>20000</v>
      </c>
      <c r="J38" s="364">
        <f>'PR023'!J38+'PR026'!J38</f>
        <v>20000</v>
      </c>
      <c r="K38" s="364">
        <f>'PR023'!K38+'PR026'!K38</f>
        <v>20000</v>
      </c>
      <c r="L38" s="364">
        <f>'PR023'!L38+'PR026'!L38</f>
        <v>20000</v>
      </c>
      <c r="M38" s="364">
        <f>'PR023'!M38+'PR026'!M38</f>
        <v>20000</v>
      </c>
      <c r="N38" s="364">
        <f>'PR023'!N38+'PR026'!N38</f>
        <v>0</v>
      </c>
      <c r="O38" s="364">
        <f>'PR023'!O38+'PR026'!O38</f>
        <v>0</v>
      </c>
      <c r="P38" s="364">
        <f>'PR023'!P38+'PR026'!P38</f>
        <v>0</v>
      </c>
      <c r="Q38" s="364">
        <f>'PR023'!Q38+'PR026'!Q38</f>
        <v>0</v>
      </c>
      <c r="R38" s="364">
        <f>'PR023'!R38+'PR026'!R38</f>
        <v>0</v>
      </c>
      <c r="S38" s="364">
        <f>'PR023'!S38+'PR026'!S38</f>
        <v>0</v>
      </c>
      <c r="T38" s="365">
        <f>'PR023'!T38+'PR026'!T38</f>
        <v>0</v>
      </c>
    </row>
    <row r="39" spans="2:20" x14ac:dyDescent="0.3">
      <c r="B39" s="360" t="s">
        <v>45</v>
      </c>
      <c r="C39" s="112"/>
      <c r="D39" s="134"/>
      <c r="E39" s="112"/>
      <c r="F39" s="140">
        <f>'PR023'!F39+'PR026'!F39</f>
        <v>0</v>
      </c>
      <c r="G39" s="140">
        <f>'PR023'!G39+'PR026'!G39</f>
        <v>998100</v>
      </c>
      <c r="H39" s="140">
        <f>'PR023'!H39+'PR026'!H39</f>
        <v>998100</v>
      </c>
      <c r="I39" s="140">
        <f>'PR023'!I39+'PR026'!I39</f>
        <v>998100</v>
      </c>
      <c r="J39" s="140">
        <f>'PR023'!J39+'PR026'!J39</f>
        <v>998100</v>
      </c>
      <c r="K39" s="140">
        <f>'PR023'!K39+'PR026'!K39</f>
        <v>998100</v>
      </c>
      <c r="L39" s="140">
        <f>'PR023'!L39+'PR026'!L39</f>
        <v>998100</v>
      </c>
      <c r="M39" s="140">
        <f>'PR023'!M39+'PR026'!M39</f>
        <v>998100</v>
      </c>
      <c r="N39" s="140">
        <f>'PR023'!N39+'PR026'!N39</f>
        <v>0</v>
      </c>
      <c r="O39" s="140">
        <f>'PR023'!O39+'PR026'!O39</f>
        <v>0</v>
      </c>
      <c r="P39" s="140">
        <f>'PR023'!P39+'PR026'!P39</f>
        <v>0</v>
      </c>
      <c r="Q39" s="140">
        <f>'PR023'!Q39+'PR026'!Q39</f>
        <v>0</v>
      </c>
      <c r="R39" s="140">
        <f>'PR023'!R39+'PR026'!R39</f>
        <v>0</v>
      </c>
      <c r="S39" s="140">
        <f>'PR023'!S39+'PR026'!S39</f>
        <v>0</v>
      </c>
      <c r="T39" s="361">
        <f>'PR023'!T39+'PR026'!T39</f>
        <v>0</v>
      </c>
    </row>
    <row r="40" spans="2:20" x14ac:dyDescent="0.3">
      <c r="B40" s="360" t="s">
        <v>46</v>
      </c>
      <c r="C40" s="112"/>
      <c r="D40" s="134">
        <f>NPV($D$33,F40:T40)</f>
        <v>3964006.7164748339</v>
      </c>
      <c r="E40" s="112"/>
      <c r="F40" s="140">
        <f>'PR023'!F40+'PR026'!F40</f>
        <v>-1710000</v>
      </c>
      <c r="G40" s="140">
        <f>'PR023'!G40+'PR026'!G40</f>
        <v>788100</v>
      </c>
      <c r="H40" s="140">
        <f>'PR023'!H40+'PR026'!H40</f>
        <v>978100</v>
      </c>
      <c r="I40" s="140">
        <f>'PR023'!I40+'PR026'!I40</f>
        <v>978100</v>
      </c>
      <c r="J40" s="140">
        <f>'PR023'!J40+'PR026'!J40</f>
        <v>978100</v>
      </c>
      <c r="K40" s="140">
        <f>'PR023'!K40+'PR026'!K40</f>
        <v>978100</v>
      </c>
      <c r="L40" s="140">
        <f>'PR023'!L40+'PR026'!L40</f>
        <v>978100</v>
      </c>
      <c r="M40" s="140">
        <f>'PR023'!M40+'PR026'!M40</f>
        <v>978100</v>
      </c>
      <c r="N40" s="140">
        <f>'PR023'!N40+'PR026'!N40</f>
        <v>0</v>
      </c>
      <c r="O40" s="140">
        <f>'PR023'!O40+'PR026'!O40</f>
        <v>0</v>
      </c>
      <c r="P40" s="140">
        <f>'PR023'!P40+'PR026'!P40</f>
        <v>0</v>
      </c>
      <c r="Q40" s="140">
        <f>'PR023'!Q40+'PR026'!Q40</f>
        <v>0</v>
      </c>
      <c r="R40" s="140">
        <f>'PR023'!R40+'PR026'!R40</f>
        <v>0</v>
      </c>
      <c r="S40" s="140">
        <f>'PR023'!S40+'PR026'!S40</f>
        <v>0</v>
      </c>
      <c r="T40" s="361">
        <f>'PR023'!T40+'PR026'!T40</f>
        <v>0</v>
      </c>
    </row>
    <row r="41" spans="2:20" ht="13.5" thickBot="1" x14ac:dyDescent="0.35">
      <c r="B41" s="362"/>
      <c r="C41" s="363"/>
      <c r="D41" s="363"/>
      <c r="E41" s="368"/>
      <c r="F41" s="369"/>
      <c r="G41" s="370"/>
      <c r="H41" s="370"/>
      <c r="I41" s="370"/>
      <c r="J41" s="370"/>
      <c r="K41" s="370"/>
      <c r="L41" s="370"/>
      <c r="M41" s="370"/>
      <c r="N41" s="370"/>
      <c r="O41" s="370"/>
      <c r="P41" s="370"/>
      <c r="Q41" s="370"/>
      <c r="R41" s="370"/>
      <c r="S41" s="370"/>
      <c r="T41" s="371"/>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7">
        <f>C80*'Inputs and assumptions'!D23</f>
        <v>0</v>
      </c>
      <c r="F80" s="294">
        <f>$D80*F$28</f>
        <v>0</v>
      </c>
      <c r="G80" s="294">
        <f t="shared" ref="G80:S81" si="0">$D80*G$28</f>
        <v>0</v>
      </c>
      <c r="H80" s="294">
        <f t="shared" si="0"/>
        <v>0</v>
      </c>
      <c r="I80" s="294">
        <f t="shared" si="0"/>
        <v>0</v>
      </c>
      <c r="J80" s="294">
        <f t="shared" si="0"/>
        <v>0</v>
      </c>
      <c r="K80" s="294">
        <f t="shared" si="0"/>
        <v>0</v>
      </c>
      <c r="L80" s="294">
        <f t="shared" si="0"/>
        <v>0</v>
      </c>
      <c r="M80" s="294">
        <f t="shared" si="0"/>
        <v>0</v>
      </c>
      <c r="N80" s="294">
        <f t="shared" si="0"/>
        <v>0</v>
      </c>
      <c r="O80" s="294">
        <f t="shared" si="0"/>
        <v>0</v>
      </c>
      <c r="P80" s="294">
        <f t="shared" si="0"/>
        <v>0</v>
      </c>
      <c r="Q80" s="294">
        <f t="shared" si="0"/>
        <v>0</v>
      </c>
      <c r="R80" s="294">
        <f t="shared" si="0"/>
        <v>0</v>
      </c>
      <c r="S80" s="294">
        <f t="shared" si="0"/>
        <v>0</v>
      </c>
      <c r="T80" s="295">
        <f>$D80*T$28</f>
        <v>0</v>
      </c>
    </row>
    <row r="81" spans="2:20" x14ac:dyDescent="0.3">
      <c r="B81" s="193" t="s">
        <v>57</v>
      </c>
      <c r="C81" s="240"/>
      <c r="D81" s="267">
        <f>C81*'Inputs and assumptions'!D24</f>
        <v>0</v>
      </c>
      <c r="F81" s="294">
        <f>$D81*F$28</f>
        <v>0</v>
      </c>
      <c r="G81" s="294">
        <f t="shared" si="0"/>
        <v>0</v>
      </c>
      <c r="H81" s="294">
        <f t="shared" si="0"/>
        <v>0</v>
      </c>
      <c r="I81" s="294">
        <f t="shared" si="0"/>
        <v>0</v>
      </c>
      <c r="J81" s="294">
        <f t="shared" si="0"/>
        <v>0</v>
      </c>
      <c r="K81" s="294">
        <f t="shared" si="0"/>
        <v>0</v>
      </c>
      <c r="L81" s="294">
        <f t="shared" si="0"/>
        <v>0</v>
      </c>
      <c r="M81" s="294">
        <f t="shared" si="0"/>
        <v>0</v>
      </c>
      <c r="N81" s="294">
        <f t="shared" si="0"/>
        <v>0</v>
      </c>
      <c r="O81" s="294">
        <f t="shared" si="0"/>
        <v>0</v>
      </c>
      <c r="P81" s="294">
        <f t="shared" si="0"/>
        <v>0</v>
      </c>
      <c r="Q81" s="294">
        <f t="shared" si="0"/>
        <v>0</v>
      </c>
      <c r="R81" s="294">
        <f t="shared" si="0"/>
        <v>0</v>
      </c>
      <c r="S81" s="294">
        <f t="shared" si="0"/>
        <v>0</v>
      </c>
      <c r="T81" s="295">
        <f>$D81*T$28</f>
        <v>0</v>
      </c>
    </row>
    <row r="82" spans="2:20" x14ac:dyDescent="0.3">
      <c r="B82" s="193" t="s">
        <v>58</v>
      </c>
      <c r="C82" s="240"/>
      <c r="D82" s="267">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7">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7">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7">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268"/>
      <c r="F86" s="215"/>
      <c r="G86" s="215"/>
      <c r="H86" s="215"/>
      <c r="I86" s="215"/>
      <c r="J86" s="215"/>
      <c r="K86" s="215"/>
      <c r="L86" s="215"/>
      <c r="M86" s="215"/>
      <c r="N86" s="215"/>
      <c r="O86" s="215"/>
      <c r="P86" s="215"/>
      <c r="Q86" s="215"/>
      <c r="R86" s="215"/>
      <c r="S86" s="215"/>
      <c r="T86" s="216"/>
    </row>
    <row r="87" spans="2:20" x14ac:dyDescent="0.3">
      <c r="B87" s="191" t="s">
        <v>62</v>
      </c>
      <c r="C87" s="239" t="s">
        <v>236</v>
      </c>
      <c r="D87" s="269"/>
      <c r="F87" s="215"/>
      <c r="G87" s="215"/>
      <c r="H87" s="215"/>
      <c r="I87" s="215"/>
      <c r="J87" s="215"/>
      <c r="K87" s="215"/>
      <c r="L87" s="215"/>
      <c r="M87" s="215"/>
      <c r="N87" s="215"/>
      <c r="O87" s="215"/>
      <c r="P87" s="215"/>
      <c r="Q87" s="215"/>
      <c r="R87" s="215"/>
      <c r="S87" s="215"/>
      <c r="T87" s="216"/>
    </row>
    <row r="88" spans="2:20" x14ac:dyDescent="0.3">
      <c r="B88" s="193" t="s">
        <v>63</v>
      </c>
      <c r="C88" s="240"/>
      <c r="D88" s="267">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7">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268"/>
      <c r="F90" s="215"/>
      <c r="G90" s="215"/>
      <c r="H90" s="215"/>
      <c r="I90" s="215"/>
      <c r="J90" s="215"/>
      <c r="K90" s="215"/>
      <c r="L90" s="215"/>
      <c r="M90" s="215"/>
      <c r="N90" s="215"/>
      <c r="O90" s="215"/>
      <c r="P90" s="215"/>
      <c r="Q90" s="215"/>
      <c r="R90" s="215"/>
      <c r="S90" s="215"/>
      <c r="T90" s="216"/>
    </row>
    <row r="91" spans="2:20" x14ac:dyDescent="0.3">
      <c r="B91" s="191" t="s">
        <v>65</v>
      </c>
      <c r="C91" s="239" t="s">
        <v>236</v>
      </c>
      <c r="D91" s="269"/>
      <c r="F91" s="215"/>
      <c r="G91" s="215"/>
      <c r="H91" s="215"/>
      <c r="I91" s="215"/>
      <c r="J91" s="215"/>
      <c r="K91" s="215"/>
      <c r="L91" s="215"/>
      <c r="M91" s="215"/>
      <c r="N91" s="215"/>
      <c r="O91" s="215"/>
      <c r="P91" s="215"/>
      <c r="Q91" s="215"/>
      <c r="R91" s="215"/>
      <c r="S91" s="215"/>
      <c r="T91" s="216"/>
    </row>
    <row r="92" spans="2:20" x14ac:dyDescent="0.3">
      <c r="B92" s="193" t="s">
        <v>66</v>
      </c>
      <c r="C92" s="240"/>
      <c r="D92" s="267">
        <f>C92*'Inputs and assumptions'!D35</f>
        <v>0</v>
      </c>
      <c r="F92" s="294">
        <f>$D92*F$28</f>
        <v>0</v>
      </c>
      <c r="G92" s="294">
        <f t="shared" ref="G92:T92" si="1">$D92*G$28</f>
        <v>0</v>
      </c>
      <c r="H92" s="294">
        <f t="shared" si="1"/>
        <v>0</v>
      </c>
      <c r="I92" s="294">
        <f t="shared" si="1"/>
        <v>0</v>
      </c>
      <c r="J92" s="294">
        <f t="shared" si="1"/>
        <v>0</v>
      </c>
      <c r="K92" s="294">
        <f t="shared" si="1"/>
        <v>0</v>
      </c>
      <c r="L92" s="294">
        <f t="shared" si="1"/>
        <v>0</v>
      </c>
      <c r="M92" s="294">
        <f t="shared" si="1"/>
        <v>0</v>
      </c>
      <c r="N92" s="294">
        <f t="shared" si="1"/>
        <v>0</v>
      </c>
      <c r="O92" s="294">
        <f t="shared" si="1"/>
        <v>0</v>
      </c>
      <c r="P92" s="294">
        <f t="shared" si="1"/>
        <v>0</v>
      </c>
      <c r="Q92" s="294">
        <f t="shared" si="1"/>
        <v>0</v>
      </c>
      <c r="R92" s="294">
        <f t="shared" si="1"/>
        <v>0</v>
      </c>
      <c r="S92" s="294">
        <f t="shared" si="1"/>
        <v>0</v>
      </c>
      <c r="T92" s="295">
        <f t="shared" si="1"/>
        <v>0</v>
      </c>
    </row>
    <row r="93" spans="2:20" x14ac:dyDescent="0.3">
      <c r="B93" s="193" t="s">
        <v>67</v>
      </c>
      <c r="C93" s="240"/>
      <c r="D93" s="267">
        <f>C93*'Inputs and assumptions'!D36</f>
        <v>0</v>
      </c>
      <c r="F93" s="294">
        <f t="shared" ref="F93:T98" si="2">$D93*F$28</f>
        <v>0</v>
      </c>
      <c r="G93" s="294">
        <f t="shared" si="2"/>
        <v>0</v>
      </c>
      <c r="H93" s="294">
        <f t="shared" si="2"/>
        <v>0</v>
      </c>
      <c r="I93" s="294">
        <f t="shared" si="2"/>
        <v>0</v>
      </c>
      <c r="J93" s="294">
        <f t="shared" si="2"/>
        <v>0</v>
      </c>
      <c r="K93" s="294">
        <f t="shared" si="2"/>
        <v>0</v>
      </c>
      <c r="L93" s="294">
        <f t="shared" si="2"/>
        <v>0</v>
      </c>
      <c r="M93" s="294">
        <f t="shared" si="2"/>
        <v>0</v>
      </c>
      <c r="N93" s="294">
        <f t="shared" si="2"/>
        <v>0</v>
      </c>
      <c r="O93" s="294">
        <f t="shared" si="2"/>
        <v>0</v>
      </c>
      <c r="P93" s="294">
        <f t="shared" si="2"/>
        <v>0</v>
      </c>
      <c r="Q93" s="294">
        <f t="shared" si="2"/>
        <v>0</v>
      </c>
      <c r="R93" s="294">
        <f t="shared" si="2"/>
        <v>0</v>
      </c>
      <c r="S93" s="294">
        <f t="shared" si="2"/>
        <v>0</v>
      </c>
      <c r="T93" s="295">
        <f t="shared" si="2"/>
        <v>0</v>
      </c>
    </row>
    <row r="94" spans="2:20" x14ac:dyDescent="0.3">
      <c r="B94" s="193" t="s">
        <v>68</v>
      </c>
      <c r="C94" s="240"/>
      <c r="D94" s="267">
        <f>C94*'Inputs and assumptions'!D37</f>
        <v>0</v>
      </c>
      <c r="F94" s="294">
        <f t="shared" si="2"/>
        <v>0</v>
      </c>
      <c r="G94" s="294">
        <f t="shared" si="2"/>
        <v>0</v>
      </c>
      <c r="H94" s="294">
        <f t="shared" si="2"/>
        <v>0</v>
      </c>
      <c r="I94" s="294">
        <f t="shared" si="2"/>
        <v>0</v>
      </c>
      <c r="J94" s="294">
        <f t="shared" si="2"/>
        <v>0</v>
      </c>
      <c r="K94" s="294">
        <f t="shared" si="2"/>
        <v>0</v>
      </c>
      <c r="L94" s="294">
        <f t="shared" si="2"/>
        <v>0</v>
      </c>
      <c r="M94" s="294">
        <f t="shared" si="2"/>
        <v>0</v>
      </c>
      <c r="N94" s="294">
        <f t="shared" si="2"/>
        <v>0</v>
      </c>
      <c r="O94" s="294">
        <f t="shared" si="2"/>
        <v>0</v>
      </c>
      <c r="P94" s="294">
        <f t="shared" si="2"/>
        <v>0</v>
      </c>
      <c r="Q94" s="294">
        <f t="shared" si="2"/>
        <v>0</v>
      </c>
      <c r="R94" s="294">
        <f t="shared" si="2"/>
        <v>0</v>
      </c>
      <c r="S94" s="294">
        <f t="shared" si="2"/>
        <v>0</v>
      </c>
      <c r="T94" s="295">
        <f t="shared" si="2"/>
        <v>0</v>
      </c>
    </row>
    <row r="95" spans="2:20" x14ac:dyDescent="0.3">
      <c r="B95" s="193" t="s">
        <v>69</v>
      </c>
      <c r="C95" s="240"/>
      <c r="D95" s="267">
        <f>C95*'Inputs and assumptions'!D38</f>
        <v>0</v>
      </c>
      <c r="F95" s="294">
        <f t="shared" si="2"/>
        <v>0</v>
      </c>
      <c r="G95" s="294">
        <f t="shared" si="2"/>
        <v>0</v>
      </c>
      <c r="H95" s="294">
        <f t="shared" si="2"/>
        <v>0</v>
      </c>
      <c r="I95" s="294">
        <f t="shared" si="2"/>
        <v>0</v>
      </c>
      <c r="J95" s="294">
        <f t="shared" si="2"/>
        <v>0</v>
      </c>
      <c r="K95" s="294">
        <f t="shared" si="2"/>
        <v>0</v>
      </c>
      <c r="L95" s="294">
        <f t="shared" si="2"/>
        <v>0</v>
      </c>
      <c r="M95" s="294">
        <f t="shared" si="2"/>
        <v>0</v>
      </c>
      <c r="N95" s="294">
        <f t="shared" si="2"/>
        <v>0</v>
      </c>
      <c r="O95" s="294">
        <f t="shared" si="2"/>
        <v>0</v>
      </c>
      <c r="P95" s="294">
        <f t="shared" si="2"/>
        <v>0</v>
      </c>
      <c r="Q95" s="294">
        <f t="shared" si="2"/>
        <v>0</v>
      </c>
      <c r="R95" s="294">
        <f t="shared" si="2"/>
        <v>0</v>
      </c>
      <c r="S95" s="294">
        <f t="shared" si="2"/>
        <v>0</v>
      </c>
      <c r="T95" s="295">
        <f t="shared" si="2"/>
        <v>0</v>
      </c>
    </row>
    <row r="96" spans="2:20" x14ac:dyDescent="0.3">
      <c r="B96" s="193" t="s">
        <v>70</v>
      </c>
      <c r="C96" s="240"/>
      <c r="D96" s="267">
        <f>C96*'Inputs and assumptions'!D39</f>
        <v>0</v>
      </c>
      <c r="F96" s="294">
        <f t="shared" si="2"/>
        <v>0</v>
      </c>
      <c r="G96" s="294">
        <f t="shared" si="2"/>
        <v>0</v>
      </c>
      <c r="H96" s="294">
        <f t="shared" si="2"/>
        <v>0</v>
      </c>
      <c r="I96" s="294">
        <f t="shared" si="2"/>
        <v>0</v>
      </c>
      <c r="J96" s="294">
        <f t="shared" si="2"/>
        <v>0</v>
      </c>
      <c r="K96" s="294">
        <f t="shared" si="2"/>
        <v>0</v>
      </c>
      <c r="L96" s="294">
        <f t="shared" si="2"/>
        <v>0</v>
      </c>
      <c r="M96" s="294">
        <f t="shared" si="2"/>
        <v>0</v>
      </c>
      <c r="N96" s="294">
        <f t="shared" si="2"/>
        <v>0</v>
      </c>
      <c r="O96" s="294">
        <f t="shared" si="2"/>
        <v>0</v>
      </c>
      <c r="P96" s="294">
        <f t="shared" si="2"/>
        <v>0</v>
      </c>
      <c r="Q96" s="294">
        <f t="shared" si="2"/>
        <v>0</v>
      </c>
      <c r="R96" s="294">
        <f t="shared" si="2"/>
        <v>0</v>
      </c>
      <c r="S96" s="294">
        <f t="shared" si="2"/>
        <v>0</v>
      </c>
      <c r="T96" s="295">
        <f t="shared" si="2"/>
        <v>0</v>
      </c>
    </row>
    <row r="97" spans="2:20" x14ac:dyDescent="0.3">
      <c r="B97" s="193" t="s">
        <v>71</v>
      </c>
      <c r="C97" s="240"/>
      <c r="D97" s="267">
        <f>C97*'Inputs and assumptions'!D40</f>
        <v>0</v>
      </c>
      <c r="F97" s="294">
        <f t="shared" si="2"/>
        <v>0</v>
      </c>
      <c r="G97" s="294">
        <f t="shared" si="2"/>
        <v>0</v>
      </c>
      <c r="H97" s="294">
        <f t="shared" si="2"/>
        <v>0</v>
      </c>
      <c r="I97" s="294">
        <f t="shared" si="2"/>
        <v>0</v>
      </c>
      <c r="J97" s="294">
        <f t="shared" si="2"/>
        <v>0</v>
      </c>
      <c r="K97" s="294">
        <f t="shared" si="2"/>
        <v>0</v>
      </c>
      <c r="L97" s="294">
        <f t="shared" si="2"/>
        <v>0</v>
      </c>
      <c r="M97" s="294">
        <f t="shared" si="2"/>
        <v>0</v>
      </c>
      <c r="N97" s="294">
        <f t="shared" si="2"/>
        <v>0</v>
      </c>
      <c r="O97" s="294">
        <f t="shared" si="2"/>
        <v>0</v>
      </c>
      <c r="P97" s="294">
        <f t="shared" si="2"/>
        <v>0</v>
      </c>
      <c r="Q97" s="294">
        <f t="shared" si="2"/>
        <v>0</v>
      </c>
      <c r="R97" s="294">
        <f t="shared" si="2"/>
        <v>0</v>
      </c>
      <c r="S97" s="294">
        <f t="shared" si="2"/>
        <v>0</v>
      </c>
      <c r="T97" s="295">
        <f t="shared" si="2"/>
        <v>0</v>
      </c>
    </row>
    <row r="98" spans="2:20" ht="13.5" thickBot="1" x14ac:dyDescent="0.35">
      <c r="B98" s="194" t="s">
        <v>72</v>
      </c>
      <c r="C98" s="254"/>
      <c r="D98" s="270">
        <f>C98*'Inputs and assumptions'!D41</f>
        <v>0</v>
      </c>
      <c r="E98" s="195"/>
      <c r="F98" s="300">
        <f t="shared" si="2"/>
        <v>0</v>
      </c>
      <c r="G98" s="300">
        <f t="shared" si="2"/>
        <v>0</v>
      </c>
      <c r="H98" s="300">
        <f t="shared" si="2"/>
        <v>0</v>
      </c>
      <c r="I98" s="300">
        <f t="shared" si="2"/>
        <v>0</v>
      </c>
      <c r="J98" s="300">
        <f t="shared" si="2"/>
        <v>0</v>
      </c>
      <c r="K98" s="300">
        <f t="shared" si="2"/>
        <v>0</v>
      </c>
      <c r="L98" s="300">
        <f t="shared" si="2"/>
        <v>0</v>
      </c>
      <c r="M98" s="300">
        <f t="shared" si="2"/>
        <v>0</v>
      </c>
      <c r="N98" s="300">
        <f t="shared" si="2"/>
        <v>0</v>
      </c>
      <c r="O98" s="300">
        <f t="shared" si="2"/>
        <v>0</v>
      </c>
      <c r="P98" s="300">
        <f t="shared" si="2"/>
        <v>0</v>
      </c>
      <c r="Q98" s="300">
        <f t="shared" si="2"/>
        <v>0</v>
      </c>
      <c r="R98" s="300">
        <f t="shared" si="2"/>
        <v>0</v>
      </c>
      <c r="S98" s="300">
        <f t="shared" si="2"/>
        <v>0</v>
      </c>
      <c r="T98" s="301">
        <f t="shared" si="2"/>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3">$D$102*F27</f>
        <v>0</v>
      </c>
      <c r="G102" s="140">
        <f t="shared" si="3"/>
        <v>0</v>
      </c>
      <c r="H102" s="140">
        <f t="shared" si="3"/>
        <v>0</v>
      </c>
      <c r="I102" s="140">
        <f t="shared" si="3"/>
        <v>0</v>
      </c>
      <c r="J102" s="140">
        <f t="shared" si="3"/>
        <v>0</v>
      </c>
      <c r="K102" s="140">
        <f t="shared" si="3"/>
        <v>0</v>
      </c>
      <c r="L102" s="140">
        <f t="shared" si="3"/>
        <v>0</v>
      </c>
      <c r="M102" s="140">
        <f t="shared" si="3"/>
        <v>0</v>
      </c>
      <c r="N102" s="140">
        <f t="shared" si="3"/>
        <v>0</v>
      </c>
      <c r="O102" s="140">
        <f t="shared" si="3"/>
        <v>0</v>
      </c>
      <c r="P102" s="140">
        <f t="shared" si="3"/>
        <v>0</v>
      </c>
      <c r="Q102" s="140">
        <f t="shared" si="3"/>
        <v>0</v>
      </c>
      <c r="R102" s="140">
        <f t="shared" si="3"/>
        <v>0</v>
      </c>
      <c r="S102" s="140">
        <f t="shared" si="3"/>
        <v>0</v>
      </c>
      <c r="T102" s="141">
        <f t="shared" si="3"/>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c r="G107" s="294"/>
      <c r="H107" s="175"/>
      <c r="I107" s="175"/>
      <c r="J107" s="175"/>
      <c r="K107" s="175"/>
      <c r="L107" s="175"/>
      <c r="M107" s="175"/>
      <c r="N107" s="175"/>
      <c r="O107" s="175"/>
      <c r="P107" s="175"/>
      <c r="Q107" s="175"/>
      <c r="R107" s="175"/>
      <c r="S107" s="175"/>
      <c r="T107" s="176"/>
    </row>
    <row r="108" spans="2:20" x14ac:dyDescent="0.3">
      <c r="B108" s="123" t="s">
        <v>79</v>
      </c>
      <c r="C108" s="112"/>
      <c r="F108" s="175"/>
      <c r="G108" s="175"/>
      <c r="H108" s="175"/>
      <c r="I108" s="175"/>
      <c r="J108" s="175"/>
      <c r="K108" s="175"/>
      <c r="L108" s="175"/>
      <c r="M108" s="175"/>
      <c r="N108" s="175"/>
      <c r="O108" s="175"/>
      <c r="P108" s="175"/>
      <c r="Q108" s="175"/>
      <c r="R108" s="175"/>
      <c r="S108" s="175"/>
      <c r="T108" s="176"/>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96"/>
      <c r="C113" s="597"/>
      <c r="D113" s="597"/>
      <c r="E113" s="598"/>
      <c r="F113" s="181"/>
      <c r="G113" s="181"/>
      <c r="H113" s="181"/>
      <c r="I113" s="181"/>
      <c r="J113" s="181"/>
      <c r="K113" s="181"/>
      <c r="L113" s="181"/>
      <c r="M113" s="181"/>
      <c r="N113" s="181"/>
      <c r="O113" s="181"/>
      <c r="P113" s="181"/>
      <c r="Q113" s="181"/>
      <c r="R113" s="181"/>
      <c r="S113" s="181"/>
      <c r="T113" s="181"/>
    </row>
    <row r="114" spans="2:20" ht="15" customHeight="1" x14ac:dyDescent="0.3">
      <c r="B114" s="599"/>
      <c r="C114" s="600"/>
      <c r="D114" s="600"/>
      <c r="E114" s="601"/>
      <c r="F114" s="181"/>
      <c r="G114" s="181"/>
      <c r="H114" s="181"/>
      <c r="I114" s="181"/>
      <c r="J114" s="181"/>
      <c r="K114" s="181"/>
      <c r="L114" s="181"/>
      <c r="M114" s="181"/>
      <c r="N114" s="181"/>
      <c r="O114" s="181"/>
      <c r="P114" s="181"/>
      <c r="Q114" s="181"/>
      <c r="R114" s="181"/>
      <c r="S114" s="181"/>
      <c r="T114" s="181"/>
    </row>
    <row r="115" spans="2:20" ht="15" customHeight="1" x14ac:dyDescent="0.3">
      <c r="B115" s="599"/>
      <c r="C115" s="600"/>
      <c r="D115" s="600"/>
      <c r="E115" s="601"/>
      <c r="F115" s="181"/>
      <c r="G115" s="181"/>
      <c r="H115" s="181"/>
      <c r="I115" s="181"/>
      <c r="J115" s="181"/>
      <c r="K115" s="181"/>
      <c r="L115" s="181"/>
      <c r="M115" s="181"/>
      <c r="N115" s="181"/>
      <c r="O115" s="181"/>
      <c r="P115" s="181"/>
      <c r="Q115" s="181"/>
      <c r="R115" s="181"/>
      <c r="S115" s="181"/>
      <c r="T115" s="181"/>
    </row>
    <row r="116" spans="2:20" ht="15" customHeight="1" x14ac:dyDescent="0.3">
      <c r="B116" s="599"/>
      <c r="C116" s="600"/>
      <c r="D116" s="600"/>
      <c r="E116" s="601"/>
      <c r="F116" s="181"/>
      <c r="G116" s="181"/>
      <c r="H116" s="181"/>
      <c r="I116" s="181"/>
      <c r="J116" s="181"/>
      <c r="K116" s="181"/>
      <c r="L116" s="181"/>
      <c r="M116" s="181"/>
      <c r="N116" s="181"/>
      <c r="O116" s="181"/>
      <c r="P116" s="181"/>
      <c r="Q116" s="181"/>
      <c r="R116" s="181"/>
      <c r="S116" s="181"/>
      <c r="T116" s="181"/>
    </row>
    <row r="117" spans="2:20" ht="15" customHeight="1" x14ac:dyDescent="0.3">
      <c r="B117" s="599"/>
      <c r="C117" s="600"/>
      <c r="D117" s="600"/>
      <c r="E117" s="601"/>
      <c r="F117" s="181"/>
      <c r="G117" s="181"/>
      <c r="H117" s="181"/>
      <c r="I117" s="181"/>
      <c r="J117" s="181"/>
      <c r="K117" s="181"/>
      <c r="L117" s="181"/>
      <c r="M117" s="181"/>
      <c r="N117" s="181"/>
      <c r="O117" s="181"/>
      <c r="P117" s="181"/>
      <c r="Q117" s="181"/>
      <c r="R117" s="181"/>
      <c r="S117" s="181"/>
      <c r="T117" s="181"/>
    </row>
    <row r="118" spans="2:20" ht="15" customHeight="1" x14ac:dyDescent="0.3">
      <c r="B118" s="599"/>
      <c r="C118" s="600"/>
      <c r="D118" s="600"/>
      <c r="E118" s="601"/>
      <c r="F118" s="181"/>
      <c r="G118" s="181"/>
      <c r="H118" s="181"/>
      <c r="I118" s="181"/>
      <c r="J118" s="181"/>
      <c r="K118" s="181"/>
      <c r="L118" s="181"/>
      <c r="M118" s="181"/>
      <c r="N118" s="181"/>
      <c r="O118" s="181"/>
      <c r="P118" s="181"/>
      <c r="Q118" s="181"/>
      <c r="R118" s="181"/>
      <c r="S118" s="181"/>
      <c r="T118" s="181"/>
    </row>
    <row r="119" spans="2:20" ht="15" customHeight="1" x14ac:dyDescent="0.3">
      <c r="B119" s="599"/>
      <c r="C119" s="600"/>
      <c r="D119" s="600"/>
      <c r="E119" s="601"/>
      <c r="F119" s="181"/>
      <c r="G119" s="181"/>
      <c r="H119" s="181"/>
      <c r="I119" s="181"/>
      <c r="J119" s="181"/>
      <c r="K119" s="181"/>
      <c r="L119" s="181"/>
      <c r="M119" s="181"/>
      <c r="N119" s="181"/>
      <c r="O119" s="181"/>
      <c r="P119" s="181"/>
      <c r="Q119" s="181"/>
      <c r="R119" s="181"/>
      <c r="S119" s="181"/>
      <c r="T119" s="181"/>
    </row>
    <row r="120" spans="2:20" ht="15" customHeight="1" x14ac:dyDescent="0.3">
      <c r="B120" s="599"/>
      <c r="C120" s="600"/>
      <c r="D120" s="600"/>
      <c r="E120" s="601"/>
      <c r="F120" s="181"/>
      <c r="G120" s="181"/>
      <c r="H120" s="181"/>
      <c r="I120" s="181"/>
      <c r="J120" s="181"/>
      <c r="K120" s="181"/>
      <c r="L120" s="181"/>
      <c r="M120" s="181"/>
      <c r="N120" s="181"/>
      <c r="O120" s="181"/>
      <c r="P120" s="181"/>
      <c r="Q120" s="181"/>
      <c r="R120" s="181"/>
      <c r="S120" s="181"/>
      <c r="T120" s="181"/>
    </row>
    <row r="121" spans="2:20" ht="15" customHeight="1" x14ac:dyDescent="0.3">
      <c r="B121" s="599"/>
      <c r="C121" s="600"/>
      <c r="D121" s="600"/>
      <c r="E121" s="601"/>
      <c r="F121" s="181"/>
      <c r="G121" s="181"/>
      <c r="H121" s="181"/>
      <c r="I121" s="181"/>
      <c r="J121" s="181"/>
      <c r="K121" s="181"/>
      <c r="L121" s="181"/>
      <c r="M121" s="181"/>
      <c r="N121" s="181"/>
      <c r="O121" s="181"/>
      <c r="P121" s="181"/>
      <c r="Q121" s="181"/>
      <c r="R121" s="181"/>
      <c r="S121" s="181"/>
      <c r="T121" s="181"/>
    </row>
    <row r="122" spans="2:20" ht="15.75" customHeight="1" thickBot="1" x14ac:dyDescent="0.35">
      <c r="B122" s="602"/>
      <c r="C122" s="603"/>
      <c r="D122" s="603"/>
      <c r="E122" s="604"/>
      <c r="F122" s="181"/>
      <c r="G122" s="181"/>
      <c r="H122" s="181"/>
      <c r="I122" s="181"/>
      <c r="J122" s="181"/>
      <c r="K122" s="181"/>
      <c r="L122" s="181"/>
      <c r="M122" s="181"/>
      <c r="N122" s="181"/>
      <c r="O122" s="181"/>
      <c r="P122" s="181"/>
      <c r="Q122" s="181"/>
      <c r="R122" s="181"/>
      <c r="S122" s="181"/>
      <c r="T122" s="181"/>
    </row>
  </sheetData>
  <mergeCells count="8">
    <mergeCell ref="G7:T15"/>
    <mergeCell ref="B100:D100"/>
    <mergeCell ref="B113:E122"/>
    <mergeCell ref="N17:R17"/>
    <mergeCell ref="N18:Q18"/>
    <mergeCell ref="N19:Q19"/>
    <mergeCell ref="N21:R21"/>
    <mergeCell ref="B43:D43"/>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D297DA1-6472-4FDE-B0EB-4395D00CDA13}">
          <x14:formula1>
            <xm:f>'Inputs and assumptions'!$J$21:$J$24</xm:f>
          </x14:formula1>
          <xm:sqref>E14</xm:sqref>
        </x14:dataValidation>
        <x14:dataValidation type="list" allowBlank="1" showInputMessage="1" showErrorMessage="1" xr:uid="{347A222A-C0FA-4F93-B19C-78ADE7CCB84D}">
          <x14:formula1>
            <xm:f>'Inputs and assumptions'!$H$36:$H$40</xm:f>
          </x14:formula1>
          <xm:sqref>E13</xm:sqref>
        </x14:dataValidation>
        <x14:dataValidation type="list" allowBlank="1" showInputMessage="1" showErrorMessage="1" xr:uid="{AD3970A5-C018-4592-A83F-36446B566FE3}">
          <x14:formula1>
            <xm:f>'Inputs and assumptions'!$H$31:$H$34</xm:f>
          </x14:formula1>
          <xm:sqref>E12</xm:sqref>
        </x14:dataValidation>
        <x14:dataValidation type="list" allowBlank="1" showInputMessage="1" showErrorMessage="1" xr:uid="{9F77A5DF-9428-4055-905D-C30927D2DE02}">
          <x14:formula1>
            <xm:f>'Inputs and assumptions'!$J$17:$J$18</xm:f>
          </x14:formula1>
          <xm:sqref>E43</xm:sqref>
        </x14:dataValidation>
        <x14:dataValidation type="list" allowBlank="1" showInputMessage="1" showErrorMessage="1" xr:uid="{A00E0E3F-CB94-478E-8A97-5BA7FB8AD93D}">
          <x14:formula1>
            <xm:f>'Inputs and assumptions'!$H$26:$H$29</xm:f>
          </x14:formula1>
          <xm:sqref>E11</xm:sqref>
        </x14:dataValidation>
        <x14:dataValidation type="list" allowBlank="1" showInputMessage="1" showErrorMessage="1" xr:uid="{1A2CC1BA-5283-4687-9231-C77DAED8A2CC}">
          <x14:formula1>
            <xm:f>'Inputs and assumptions'!$H$22:$H$24</xm:f>
          </x14:formula1>
          <xm:sqref>E10</xm:sqref>
        </x14:dataValidation>
        <x14:dataValidation type="list" allowBlank="1" showInputMessage="1" showErrorMessage="1" xr:uid="{5C6575F9-3E49-40ED-8890-5D96C387F1DE}">
          <x14:formula1>
            <xm:f>'Inputs and assumptions'!$G$16:$G$20</xm:f>
          </x14:formula1>
          <xm:sqref>E7</xm:sqref>
        </x14:dataValidation>
        <x14:dataValidation type="list" allowBlank="1" showInputMessage="1" showErrorMessage="1" xr:uid="{D84E8C81-9BE4-4BC3-A984-9ABE0183B44C}">
          <x14:formula1>
            <xm:f>'Inputs and assumptions'!$H$16:$H$20</xm:f>
          </x14:formula1>
          <xm:sqref>E8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1A9A-BC32-4819-BA43-753964F947B2}">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274</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178</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275</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156</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8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-2104651.1023464799</v>
      </c>
      <c r="J18" s="222"/>
      <c r="K18" s="220" t="s">
        <v>220</v>
      </c>
      <c r="L18" s="223">
        <f>SUM(F34:J34)</f>
        <v>2100000</v>
      </c>
      <c r="N18" s="584" t="s">
        <v>221</v>
      </c>
      <c r="O18" s="584"/>
      <c r="P18" s="584"/>
      <c r="Q18" s="584"/>
      <c r="R18" s="314"/>
      <c r="S18" s="161"/>
      <c r="T18" s="315" t="s">
        <v>227</v>
      </c>
    </row>
    <row r="19" spans="2:20" ht="13.5" customHeight="1" x14ac:dyDescent="0.3">
      <c r="B19" s="160" t="s">
        <v>19</v>
      </c>
      <c r="C19" s="182">
        <v>3</v>
      </c>
      <c r="D19" s="161">
        <v>0.18</v>
      </c>
      <c r="E19" s="162">
        <f>D19*C19</f>
        <v>0.54</v>
      </c>
      <c r="G19" s="224"/>
      <c r="H19" s="125" t="s">
        <v>20</v>
      </c>
      <c r="I19" s="126">
        <f>D40</f>
        <v>4544209.290795289</v>
      </c>
      <c r="J19" s="127"/>
      <c r="K19" s="125" t="s">
        <v>223</v>
      </c>
      <c r="L19" s="225">
        <f>SUM(F36:J36)</f>
        <v>60000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3.1591271283534552</v>
      </c>
      <c r="J20" s="127"/>
      <c r="K20" s="125" t="s">
        <v>225</v>
      </c>
      <c r="L20" s="225">
        <f>NPV($D$33,F39:T39)</f>
        <v>6648860.3931417689</v>
      </c>
      <c r="N20" s="316" t="s">
        <v>226</v>
      </c>
      <c r="O20" s="316"/>
      <c r="P20" s="316"/>
      <c r="Q20" s="316"/>
      <c r="R20" s="317"/>
      <c r="S20" s="318"/>
      <c r="T20" s="315" t="s">
        <v>227</v>
      </c>
    </row>
    <row r="21" spans="2:20" ht="13.5" customHeight="1" thickBot="1" x14ac:dyDescent="0.35">
      <c r="B21" s="160" t="s">
        <v>23</v>
      </c>
      <c r="C21" s="182">
        <v>4</v>
      </c>
      <c r="D21" s="161">
        <v>0.18</v>
      </c>
      <c r="E21" s="162">
        <f>D21*C21</f>
        <v>0.72</v>
      </c>
      <c r="G21" s="194"/>
      <c r="H21" s="257" t="s">
        <v>166</v>
      </c>
      <c r="I21" s="258">
        <f>IFERROR(NPV($D$33,F39:T39)/NPV($D$33,F38:T38),"N/A")</f>
        <v>2.1449996530749744</v>
      </c>
      <c r="J21" s="226"/>
      <c r="K21" s="436" t="s">
        <v>228</v>
      </c>
      <c r="L21" s="439">
        <f>NPV($D$33,F39:J39)</f>
        <v>3524971.9396679653</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3.82</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0.5</v>
      </c>
      <c r="H28" s="265">
        <v>1</v>
      </c>
      <c r="I28" s="265">
        <v>1</v>
      </c>
      <c r="J28" s="265">
        <v>1</v>
      </c>
      <c r="K28" s="265">
        <v>1</v>
      </c>
      <c r="L28" s="265">
        <v>1</v>
      </c>
      <c r="M28" s="265">
        <v>1</v>
      </c>
      <c r="N28" s="265">
        <v>0.5</v>
      </c>
      <c r="O28" s="228"/>
      <c r="P28" s="228"/>
      <c r="Q28" s="228"/>
      <c r="R28" s="228"/>
      <c r="S28" s="228"/>
      <c r="T28" s="229"/>
    </row>
    <row r="29" spans="2:20" ht="13.5" thickBot="1" x14ac:dyDescent="0.35">
      <c r="B29" s="120"/>
      <c r="C29" s="232"/>
      <c r="D29" s="121"/>
      <c r="E29" s="121"/>
      <c r="F29" s="293">
        <v>0.6</v>
      </c>
      <c r="G29" s="293">
        <v>0.2</v>
      </c>
      <c r="H29" s="293">
        <v>0.2</v>
      </c>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1260000</v>
      </c>
      <c r="G34" s="140">
        <f t="shared" si="0"/>
        <v>420000</v>
      </c>
      <c r="H34" s="140">
        <f t="shared" si="0"/>
        <v>420000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1890000</v>
      </c>
      <c r="G35" s="140">
        <f>G34*(1+'Inputs and assumptions'!$C$7)</f>
        <v>630000</v>
      </c>
      <c r="H35" s="140">
        <f>H34*(1+'Inputs and assumptions'!$C$7)</f>
        <v>630000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ref="G36:N36" si="2">IF($E$100="Per Unit",G103,G108)</f>
        <v>0</v>
      </c>
      <c r="H36" s="142">
        <f t="shared" si="2"/>
        <v>20000</v>
      </c>
      <c r="I36" s="142">
        <f t="shared" si="2"/>
        <v>20000</v>
      </c>
      <c r="J36" s="142">
        <f t="shared" si="2"/>
        <v>20000</v>
      </c>
      <c r="K36" s="142">
        <f t="shared" si="2"/>
        <v>20000</v>
      </c>
      <c r="L36" s="142">
        <f t="shared" si="2"/>
        <v>20000</v>
      </c>
      <c r="M36" s="142">
        <f t="shared" si="2"/>
        <v>20000</v>
      </c>
      <c r="N36" s="142">
        <f t="shared" si="2"/>
        <v>20000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-2104651.1023464799</v>
      </c>
      <c r="E37" s="248"/>
      <c r="F37" s="144">
        <f t="shared" ref="F37:T37" si="3">-F34-F36</f>
        <v>-1260000</v>
      </c>
      <c r="G37" s="144">
        <f t="shared" si="3"/>
        <v>-420000</v>
      </c>
      <c r="H37" s="144">
        <f t="shared" si="3"/>
        <v>-440000</v>
      </c>
      <c r="I37" s="144">
        <f t="shared" si="3"/>
        <v>-20000</v>
      </c>
      <c r="J37" s="144">
        <f t="shared" si="3"/>
        <v>-20000</v>
      </c>
      <c r="K37" s="144">
        <f t="shared" si="3"/>
        <v>-20000</v>
      </c>
      <c r="L37" s="144">
        <f t="shared" si="3"/>
        <v>-20000</v>
      </c>
      <c r="M37" s="144">
        <f t="shared" si="3"/>
        <v>-20000</v>
      </c>
      <c r="N37" s="144">
        <f t="shared" si="3"/>
        <v>-20000</v>
      </c>
      <c r="O37" s="144">
        <f t="shared" si="3"/>
        <v>0</v>
      </c>
      <c r="P37" s="144">
        <f t="shared" si="3"/>
        <v>0</v>
      </c>
      <c r="Q37" s="144">
        <f t="shared" si="3"/>
        <v>0</v>
      </c>
      <c r="R37" s="144">
        <f t="shared" si="3"/>
        <v>0</v>
      </c>
      <c r="S37" s="144">
        <f t="shared" si="3"/>
        <v>0</v>
      </c>
      <c r="T37" s="145">
        <f t="shared" si="3"/>
        <v>0</v>
      </c>
    </row>
    <row r="38" spans="2:20" ht="13.5" thickBot="1" x14ac:dyDescent="0.35">
      <c r="B38" s="124" t="s">
        <v>235</v>
      </c>
      <c r="C38" s="135"/>
      <c r="D38" s="132"/>
      <c r="E38" s="121"/>
      <c r="F38" s="142">
        <f>F35+F36</f>
        <v>1890000</v>
      </c>
      <c r="G38" s="142">
        <f t="shared" ref="G38:T38" si="4">G35+G36</f>
        <v>630000</v>
      </c>
      <c r="H38" s="142">
        <f t="shared" si="4"/>
        <v>650000</v>
      </c>
      <c r="I38" s="142">
        <f t="shared" si="4"/>
        <v>20000</v>
      </c>
      <c r="J38" s="142">
        <f t="shared" si="4"/>
        <v>20000</v>
      </c>
      <c r="K38" s="142">
        <f t="shared" si="4"/>
        <v>20000</v>
      </c>
      <c r="L38" s="142">
        <f t="shared" si="4"/>
        <v>20000</v>
      </c>
      <c r="M38" s="142">
        <f t="shared" si="4"/>
        <v>20000</v>
      </c>
      <c r="N38" s="142">
        <f t="shared" si="4"/>
        <v>20000</v>
      </c>
      <c r="O38" s="142">
        <f t="shared" si="4"/>
        <v>0</v>
      </c>
      <c r="P38" s="142">
        <f t="shared" si="4"/>
        <v>0</v>
      </c>
      <c r="Q38" s="142">
        <f t="shared" si="4"/>
        <v>0</v>
      </c>
      <c r="R38" s="142">
        <f t="shared" si="4"/>
        <v>0</v>
      </c>
      <c r="S38" s="142">
        <f t="shared" si="4"/>
        <v>0</v>
      </c>
      <c r="T38" s="143">
        <f t="shared" si="4"/>
        <v>0</v>
      </c>
    </row>
    <row r="39" spans="2:20" x14ac:dyDescent="0.3">
      <c r="B39" s="123" t="s">
        <v>45</v>
      </c>
      <c r="C39" s="112"/>
      <c r="D39" s="134"/>
      <c r="E39" s="112"/>
      <c r="F39" s="140">
        <f t="shared" ref="F39:T39" si="5">IF($E$43="Per Unit",SUM(F45:F71),SUM(F73:F98))</f>
        <v>0</v>
      </c>
      <c r="G39" s="140">
        <f t="shared" si="5"/>
        <v>570625</v>
      </c>
      <c r="H39" s="140">
        <f t="shared" si="5"/>
        <v>1141250</v>
      </c>
      <c r="I39" s="140">
        <f t="shared" si="5"/>
        <v>1141250</v>
      </c>
      <c r="J39" s="140">
        <f t="shared" si="5"/>
        <v>1141250</v>
      </c>
      <c r="K39" s="140">
        <f t="shared" si="5"/>
        <v>1141250</v>
      </c>
      <c r="L39" s="140">
        <f t="shared" si="5"/>
        <v>1141250</v>
      </c>
      <c r="M39" s="140">
        <f t="shared" si="5"/>
        <v>1141250</v>
      </c>
      <c r="N39" s="140">
        <f t="shared" si="5"/>
        <v>570625</v>
      </c>
      <c r="O39" s="140">
        <f t="shared" si="5"/>
        <v>0</v>
      </c>
      <c r="P39" s="140">
        <f t="shared" si="5"/>
        <v>0</v>
      </c>
      <c r="Q39" s="140">
        <f t="shared" si="5"/>
        <v>0</v>
      </c>
      <c r="R39" s="140">
        <f t="shared" si="5"/>
        <v>0</v>
      </c>
      <c r="S39" s="140">
        <f t="shared" si="5"/>
        <v>0</v>
      </c>
      <c r="T39" s="141">
        <f t="shared" si="5"/>
        <v>0</v>
      </c>
    </row>
    <row r="40" spans="2:20" x14ac:dyDescent="0.3">
      <c r="B40" s="123" t="s">
        <v>46</v>
      </c>
      <c r="C40" s="112"/>
      <c r="D40" s="134">
        <f>NPV($D$33,F40:T40)</f>
        <v>4544209.290795289</v>
      </c>
      <c r="E40" s="112"/>
      <c r="F40" s="140">
        <f t="shared" ref="F40:T40" si="6">F39+F37</f>
        <v>-1260000</v>
      </c>
      <c r="G40" s="140">
        <f t="shared" si="6"/>
        <v>150625</v>
      </c>
      <c r="H40" s="140">
        <f t="shared" si="6"/>
        <v>701250</v>
      </c>
      <c r="I40" s="140">
        <f t="shared" si="6"/>
        <v>1121250</v>
      </c>
      <c r="J40" s="140">
        <f t="shared" si="6"/>
        <v>1121250</v>
      </c>
      <c r="K40" s="140">
        <f t="shared" si="6"/>
        <v>1121250</v>
      </c>
      <c r="L40" s="140">
        <f t="shared" si="6"/>
        <v>1121250</v>
      </c>
      <c r="M40" s="140">
        <f t="shared" si="6"/>
        <v>1121250</v>
      </c>
      <c r="N40" s="140">
        <f t="shared" si="6"/>
        <v>550625</v>
      </c>
      <c r="O40" s="140">
        <f t="shared" si="6"/>
        <v>0</v>
      </c>
      <c r="P40" s="140">
        <f t="shared" si="6"/>
        <v>0</v>
      </c>
      <c r="Q40" s="140">
        <f t="shared" si="6"/>
        <v>0</v>
      </c>
      <c r="R40" s="140">
        <f t="shared" si="6"/>
        <v>0</v>
      </c>
      <c r="S40" s="140">
        <f t="shared" si="6"/>
        <v>0</v>
      </c>
      <c r="T40" s="141">
        <f t="shared" si="6"/>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7">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7">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7">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7">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268"/>
      <c r="F78" s="215"/>
      <c r="G78" s="215"/>
      <c r="H78" s="215"/>
      <c r="I78" s="215"/>
      <c r="J78" s="215"/>
      <c r="K78" s="215"/>
      <c r="L78" s="215"/>
      <c r="M78" s="215"/>
      <c r="N78" s="215"/>
      <c r="O78" s="215"/>
      <c r="P78" s="215"/>
      <c r="Q78" s="215"/>
      <c r="R78" s="215"/>
      <c r="S78" s="215"/>
      <c r="T78" s="216"/>
    </row>
    <row r="79" spans="2:20" x14ac:dyDescent="0.3">
      <c r="B79" s="191" t="s">
        <v>55</v>
      </c>
      <c r="C79" s="239" t="s">
        <v>236</v>
      </c>
      <c r="D79" s="269"/>
      <c r="F79" s="215"/>
      <c r="G79" s="215"/>
      <c r="H79" s="215"/>
      <c r="I79" s="215"/>
      <c r="J79" s="215"/>
      <c r="K79" s="215"/>
      <c r="L79" s="215"/>
      <c r="M79" s="215"/>
      <c r="N79" s="215"/>
      <c r="O79" s="215"/>
      <c r="P79" s="215"/>
      <c r="Q79" s="215"/>
      <c r="R79" s="215"/>
      <c r="S79" s="215"/>
      <c r="T79" s="216"/>
    </row>
    <row r="80" spans="2:20" x14ac:dyDescent="0.3">
      <c r="B80" s="193" t="s">
        <v>56</v>
      </c>
      <c r="C80" s="240"/>
      <c r="D80" s="267">
        <f>C80*'Inputs and assumptions'!D23</f>
        <v>0</v>
      </c>
      <c r="F80" s="294">
        <f>$D80*F$28</f>
        <v>0</v>
      </c>
      <c r="G80" s="294">
        <f t="shared" ref="G80:T85" si="7">$D80*G$28</f>
        <v>0</v>
      </c>
      <c r="H80" s="294">
        <f t="shared" si="7"/>
        <v>0</v>
      </c>
      <c r="I80" s="294">
        <f t="shared" si="7"/>
        <v>0</v>
      </c>
      <c r="J80" s="294">
        <f t="shared" si="7"/>
        <v>0</v>
      </c>
      <c r="K80" s="294">
        <f t="shared" si="7"/>
        <v>0</v>
      </c>
      <c r="L80" s="294">
        <f t="shared" si="7"/>
        <v>0</v>
      </c>
      <c r="M80" s="294">
        <f t="shared" si="7"/>
        <v>0</v>
      </c>
      <c r="N80" s="294">
        <f t="shared" si="7"/>
        <v>0</v>
      </c>
      <c r="O80" s="294">
        <f t="shared" si="7"/>
        <v>0</v>
      </c>
      <c r="P80" s="294">
        <f t="shared" si="7"/>
        <v>0</v>
      </c>
      <c r="Q80" s="294">
        <f t="shared" si="7"/>
        <v>0</v>
      </c>
      <c r="R80" s="294">
        <f t="shared" si="7"/>
        <v>0</v>
      </c>
      <c r="S80" s="294">
        <f t="shared" si="7"/>
        <v>0</v>
      </c>
      <c r="T80" s="295">
        <f t="shared" si="7"/>
        <v>0</v>
      </c>
    </row>
    <row r="81" spans="2:20" x14ac:dyDescent="0.3">
      <c r="B81" s="193" t="s">
        <v>57</v>
      </c>
      <c r="C81" s="240">
        <v>0.01</v>
      </c>
      <c r="D81" s="267">
        <f>C81*'Inputs and assumptions'!D24</f>
        <v>470000</v>
      </c>
      <c r="F81" s="294">
        <f t="shared" ref="F81:F85" si="8">$D81*F$28</f>
        <v>0</v>
      </c>
      <c r="G81" s="294">
        <f t="shared" si="7"/>
        <v>235000</v>
      </c>
      <c r="H81" s="294">
        <f t="shared" si="7"/>
        <v>470000</v>
      </c>
      <c r="I81" s="294">
        <f t="shared" si="7"/>
        <v>470000</v>
      </c>
      <c r="J81" s="294">
        <f t="shared" si="7"/>
        <v>470000</v>
      </c>
      <c r="K81" s="294">
        <f t="shared" si="7"/>
        <v>470000</v>
      </c>
      <c r="L81" s="294">
        <f t="shared" si="7"/>
        <v>470000</v>
      </c>
      <c r="M81" s="294">
        <f t="shared" si="7"/>
        <v>470000</v>
      </c>
      <c r="N81" s="294">
        <f t="shared" si="7"/>
        <v>235000</v>
      </c>
      <c r="O81" s="294">
        <f t="shared" si="7"/>
        <v>0</v>
      </c>
      <c r="P81" s="294">
        <f t="shared" si="7"/>
        <v>0</v>
      </c>
      <c r="Q81" s="294">
        <f t="shared" si="7"/>
        <v>0</v>
      </c>
      <c r="R81" s="294">
        <f t="shared" si="7"/>
        <v>0</v>
      </c>
      <c r="S81" s="294">
        <f t="shared" si="7"/>
        <v>0</v>
      </c>
      <c r="T81" s="295">
        <f t="shared" si="7"/>
        <v>0</v>
      </c>
    </row>
    <row r="82" spans="2:20" x14ac:dyDescent="0.3">
      <c r="B82" s="193" t="s">
        <v>58</v>
      </c>
      <c r="C82" s="240"/>
      <c r="D82" s="267">
        <f>C82*'Inputs and assumptions'!D25</f>
        <v>0</v>
      </c>
      <c r="F82" s="294">
        <f t="shared" si="8"/>
        <v>0</v>
      </c>
      <c r="G82" s="294">
        <f t="shared" si="7"/>
        <v>0</v>
      </c>
      <c r="H82" s="294">
        <f t="shared" si="7"/>
        <v>0</v>
      </c>
      <c r="I82" s="294">
        <f t="shared" si="7"/>
        <v>0</v>
      </c>
      <c r="J82" s="294">
        <f t="shared" si="7"/>
        <v>0</v>
      </c>
      <c r="K82" s="294">
        <f t="shared" si="7"/>
        <v>0</v>
      </c>
      <c r="L82" s="294">
        <f t="shared" si="7"/>
        <v>0</v>
      </c>
      <c r="M82" s="294">
        <f t="shared" si="7"/>
        <v>0</v>
      </c>
      <c r="N82" s="294">
        <f t="shared" si="7"/>
        <v>0</v>
      </c>
      <c r="O82" s="294">
        <f t="shared" si="7"/>
        <v>0</v>
      </c>
      <c r="P82" s="294">
        <f t="shared" si="7"/>
        <v>0</v>
      </c>
      <c r="Q82" s="294">
        <f t="shared" si="7"/>
        <v>0</v>
      </c>
      <c r="R82" s="294">
        <f t="shared" si="7"/>
        <v>0</v>
      </c>
      <c r="S82" s="294">
        <f t="shared" si="7"/>
        <v>0</v>
      </c>
      <c r="T82" s="295">
        <f t="shared" si="7"/>
        <v>0</v>
      </c>
    </row>
    <row r="83" spans="2:20" x14ac:dyDescent="0.3">
      <c r="B83" s="193" t="s">
        <v>59</v>
      </c>
      <c r="C83" s="240"/>
      <c r="D83" s="267">
        <f>C83*'Inputs and assumptions'!D26</f>
        <v>0</v>
      </c>
      <c r="F83" s="294">
        <f t="shared" si="8"/>
        <v>0</v>
      </c>
      <c r="G83" s="294">
        <f t="shared" si="7"/>
        <v>0</v>
      </c>
      <c r="H83" s="294">
        <f t="shared" si="7"/>
        <v>0</v>
      </c>
      <c r="I83" s="294">
        <f t="shared" si="7"/>
        <v>0</v>
      </c>
      <c r="J83" s="294">
        <f t="shared" si="7"/>
        <v>0</v>
      </c>
      <c r="K83" s="294">
        <f t="shared" si="7"/>
        <v>0</v>
      </c>
      <c r="L83" s="294">
        <f t="shared" si="7"/>
        <v>0</v>
      </c>
      <c r="M83" s="294">
        <f t="shared" si="7"/>
        <v>0</v>
      </c>
      <c r="N83" s="294">
        <f t="shared" si="7"/>
        <v>0</v>
      </c>
      <c r="O83" s="294">
        <f t="shared" si="7"/>
        <v>0</v>
      </c>
      <c r="P83" s="294">
        <f t="shared" si="7"/>
        <v>0</v>
      </c>
      <c r="Q83" s="294">
        <f t="shared" si="7"/>
        <v>0</v>
      </c>
      <c r="R83" s="294">
        <f t="shared" si="7"/>
        <v>0</v>
      </c>
      <c r="S83" s="294">
        <f t="shared" si="7"/>
        <v>0</v>
      </c>
      <c r="T83" s="295">
        <f t="shared" si="7"/>
        <v>0</v>
      </c>
    </row>
    <row r="84" spans="2:20" x14ac:dyDescent="0.3">
      <c r="B84" s="193" t="s">
        <v>60</v>
      </c>
      <c r="C84" s="240"/>
      <c r="D84" s="267">
        <f>C84*'Inputs and assumptions'!D27</f>
        <v>0</v>
      </c>
      <c r="F84" s="294">
        <f t="shared" si="8"/>
        <v>0</v>
      </c>
      <c r="G84" s="294">
        <f t="shared" si="7"/>
        <v>0</v>
      </c>
      <c r="H84" s="294">
        <f t="shared" si="7"/>
        <v>0</v>
      </c>
      <c r="I84" s="294">
        <f t="shared" si="7"/>
        <v>0</v>
      </c>
      <c r="J84" s="294">
        <f t="shared" si="7"/>
        <v>0</v>
      </c>
      <c r="K84" s="294">
        <f t="shared" si="7"/>
        <v>0</v>
      </c>
      <c r="L84" s="294">
        <f t="shared" si="7"/>
        <v>0</v>
      </c>
      <c r="M84" s="294">
        <f t="shared" si="7"/>
        <v>0</v>
      </c>
      <c r="N84" s="294">
        <f t="shared" si="7"/>
        <v>0</v>
      </c>
      <c r="O84" s="294">
        <f t="shared" si="7"/>
        <v>0</v>
      </c>
      <c r="P84" s="294">
        <f t="shared" si="7"/>
        <v>0</v>
      </c>
      <c r="Q84" s="294">
        <f t="shared" si="7"/>
        <v>0</v>
      </c>
      <c r="R84" s="294">
        <f t="shared" si="7"/>
        <v>0</v>
      </c>
      <c r="S84" s="294">
        <f t="shared" si="7"/>
        <v>0</v>
      </c>
      <c r="T84" s="295">
        <f t="shared" si="7"/>
        <v>0</v>
      </c>
    </row>
    <row r="85" spans="2:20" x14ac:dyDescent="0.3">
      <c r="B85" s="193" t="s">
        <v>61</v>
      </c>
      <c r="C85" s="240"/>
      <c r="D85" s="267">
        <f>C85*'Inputs and assumptions'!D28</f>
        <v>0</v>
      </c>
      <c r="F85" s="294">
        <f t="shared" si="8"/>
        <v>0</v>
      </c>
      <c r="G85" s="294">
        <f t="shared" si="7"/>
        <v>0</v>
      </c>
      <c r="H85" s="294">
        <f t="shared" si="7"/>
        <v>0</v>
      </c>
      <c r="I85" s="294">
        <f t="shared" si="7"/>
        <v>0</v>
      </c>
      <c r="J85" s="294">
        <f t="shared" si="7"/>
        <v>0</v>
      </c>
      <c r="K85" s="294">
        <f t="shared" si="7"/>
        <v>0</v>
      </c>
      <c r="L85" s="294">
        <f t="shared" si="7"/>
        <v>0</v>
      </c>
      <c r="M85" s="294">
        <f t="shared" si="7"/>
        <v>0</v>
      </c>
      <c r="N85" s="294">
        <f t="shared" si="7"/>
        <v>0</v>
      </c>
      <c r="O85" s="294">
        <f t="shared" si="7"/>
        <v>0</v>
      </c>
      <c r="P85" s="294">
        <f t="shared" si="7"/>
        <v>0</v>
      </c>
      <c r="Q85" s="294">
        <f t="shared" si="7"/>
        <v>0</v>
      </c>
      <c r="R85" s="294">
        <f t="shared" si="7"/>
        <v>0</v>
      </c>
      <c r="S85" s="294">
        <f t="shared" si="7"/>
        <v>0</v>
      </c>
      <c r="T85" s="295">
        <f t="shared" si="7"/>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c r="D88" s="267">
        <f>C88*'Inputs and assumptions'!D31</f>
        <v>0</v>
      </c>
      <c r="F88" s="294">
        <v>0</v>
      </c>
      <c r="G88" s="294">
        <v>0</v>
      </c>
      <c r="H88" s="294">
        <v>0</v>
      </c>
      <c r="I88" s="294">
        <v>0</v>
      </c>
      <c r="J88" s="294">
        <v>0</v>
      </c>
      <c r="K88" s="294">
        <v>0</v>
      </c>
      <c r="L88" s="294">
        <v>0</v>
      </c>
      <c r="M88" s="294">
        <v>0</v>
      </c>
      <c r="N88" s="294">
        <v>0</v>
      </c>
      <c r="O88" s="294">
        <v>0</v>
      </c>
      <c r="P88" s="294">
        <v>0</v>
      </c>
      <c r="Q88" s="294">
        <v>0</v>
      </c>
      <c r="R88" s="294">
        <v>0</v>
      </c>
      <c r="S88" s="294">
        <v>0</v>
      </c>
      <c r="T88" s="295">
        <v>0</v>
      </c>
    </row>
    <row r="89" spans="2:20" x14ac:dyDescent="0.3">
      <c r="B89" s="193" t="s">
        <v>64</v>
      </c>
      <c r="C89" s="240"/>
      <c r="D89" s="267">
        <f>C89*'Inputs and assumptions'!D32</f>
        <v>0</v>
      </c>
      <c r="F89" s="294">
        <v>0</v>
      </c>
      <c r="G89" s="294">
        <v>0</v>
      </c>
      <c r="H89" s="294">
        <v>0</v>
      </c>
      <c r="I89" s="294">
        <v>0</v>
      </c>
      <c r="J89" s="294">
        <v>0</v>
      </c>
      <c r="K89" s="294">
        <v>0</v>
      </c>
      <c r="L89" s="294">
        <v>0</v>
      </c>
      <c r="M89" s="294">
        <v>0</v>
      </c>
      <c r="N89" s="294">
        <v>0</v>
      </c>
      <c r="O89" s="294">
        <v>0</v>
      </c>
      <c r="P89" s="294">
        <v>0</v>
      </c>
      <c r="Q89" s="294">
        <v>0</v>
      </c>
      <c r="R89" s="294">
        <v>0</v>
      </c>
      <c r="S89" s="294">
        <v>0</v>
      </c>
      <c r="T89" s="295">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v>5.0000000000000001E-3</v>
      </c>
      <c r="D92" s="267">
        <f>C92*'Inputs and assumptions'!D35</f>
        <v>630000</v>
      </c>
      <c r="F92" s="294">
        <f>$D92*F$28</f>
        <v>0</v>
      </c>
      <c r="G92" s="294">
        <f t="shared" ref="G92:T98" si="9">$D92*G$28</f>
        <v>315000</v>
      </c>
      <c r="H92" s="294">
        <f t="shared" si="9"/>
        <v>630000</v>
      </c>
      <c r="I92" s="294">
        <f t="shared" si="9"/>
        <v>630000</v>
      </c>
      <c r="J92" s="294">
        <f t="shared" si="9"/>
        <v>630000</v>
      </c>
      <c r="K92" s="294">
        <f t="shared" si="9"/>
        <v>630000</v>
      </c>
      <c r="L92" s="294">
        <f t="shared" si="9"/>
        <v>630000</v>
      </c>
      <c r="M92" s="294">
        <f t="shared" si="9"/>
        <v>630000</v>
      </c>
      <c r="N92" s="294">
        <f t="shared" si="9"/>
        <v>315000</v>
      </c>
      <c r="O92" s="294">
        <f t="shared" si="9"/>
        <v>0</v>
      </c>
      <c r="P92" s="294">
        <f t="shared" si="9"/>
        <v>0</v>
      </c>
      <c r="Q92" s="294">
        <f t="shared" si="9"/>
        <v>0</v>
      </c>
      <c r="R92" s="294">
        <f t="shared" si="9"/>
        <v>0</v>
      </c>
      <c r="S92" s="294">
        <f t="shared" si="9"/>
        <v>0</v>
      </c>
      <c r="T92" s="295">
        <f t="shared" si="9"/>
        <v>0</v>
      </c>
    </row>
    <row r="93" spans="2:20" x14ac:dyDescent="0.3">
      <c r="B93" s="193" t="s">
        <v>67</v>
      </c>
      <c r="C93" s="240"/>
      <c r="D93" s="267">
        <f>C93*'Inputs and assumptions'!D36</f>
        <v>0</v>
      </c>
      <c r="F93" s="294">
        <f t="shared" ref="F93:F98" si="10">$D93*F$28</f>
        <v>0</v>
      </c>
      <c r="G93" s="294">
        <f t="shared" si="9"/>
        <v>0</v>
      </c>
      <c r="H93" s="294">
        <f t="shared" si="9"/>
        <v>0</v>
      </c>
      <c r="I93" s="294">
        <f t="shared" si="9"/>
        <v>0</v>
      </c>
      <c r="J93" s="294">
        <f t="shared" si="9"/>
        <v>0</v>
      </c>
      <c r="K93" s="294">
        <f t="shared" si="9"/>
        <v>0</v>
      </c>
      <c r="L93" s="294">
        <f t="shared" si="9"/>
        <v>0</v>
      </c>
      <c r="M93" s="294">
        <f t="shared" si="9"/>
        <v>0</v>
      </c>
      <c r="N93" s="294">
        <f t="shared" si="9"/>
        <v>0</v>
      </c>
      <c r="O93" s="294">
        <f t="shared" si="9"/>
        <v>0</v>
      </c>
      <c r="P93" s="294">
        <f t="shared" si="9"/>
        <v>0</v>
      </c>
      <c r="Q93" s="294">
        <f t="shared" si="9"/>
        <v>0</v>
      </c>
      <c r="R93" s="294">
        <f t="shared" si="9"/>
        <v>0</v>
      </c>
      <c r="S93" s="294">
        <f t="shared" si="9"/>
        <v>0</v>
      </c>
      <c r="T93" s="295">
        <f t="shared" si="9"/>
        <v>0</v>
      </c>
    </row>
    <row r="94" spans="2:20" x14ac:dyDescent="0.3">
      <c r="B94" s="193" t="s">
        <v>68</v>
      </c>
      <c r="C94" s="240"/>
      <c r="D94" s="267">
        <f>C94*'Inputs and assumptions'!D37</f>
        <v>0</v>
      </c>
      <c r="F94" s="294">
        <f t="shared" si="10"/>
        <v>0</v>
      </c>
      <c r="G94" s="294">
        <f t="shared" si="9"/>
        <v>0</v>
      </c>
      <c r="H94" s="294">
        <f t="shared" si="9"/>
        <v>0</v>
      </c>
      <c r="I94" s="294">
        <f t="shared" si="9"/>
        <v>0</v>
      </c>
      <c r="J94" s="294">
        <f t="shared" si="9"/>
        <v>0</v>
      </c>
      <c r="K94" s="294">
        <f t="shared" si="9"/>
        <v>0</v>
      </c>
      <c r="L94" s="294">
        <f t="shared" si="9"/>
        <v>0</v>
      </c>
      <c r="M94" s="294">
        <f t="shared" si="9"/>
        <v>0</v>
      </c>
      <c r="N94" s="294">
        <f t="shared" si="9"/>
        <v>0</v>
      </c>
      <c r="O94" s="294">
        <f t="shared" si="9"/>
        <v>0</v>
      </c>
      <c r="P94" s="294">
        <f t="shared" si="9"/>
        <v>0</v>
      </c>
      <c r="Q94" s="294">
        <f t="shared" si="9"/>
        <v>0</v>
      </c>
      <c r="R94" s="294">
        <f t="shared" si="9"/>
        <v>0</v>
      </c>
      <c r="S94" s="294">
        <f t="shared" si="9"/>
        <v>0</v>
      </c>
      <c r="T94" s="295">
        <f t="shared" si="9"/>
        <v>0</v>
      </c>
    </row>
    <row r="95" spans="2:20" x14ac:dyDescent="0.3">
      <c r="B95" s="193" t="s">
        <v>69</v>
      </c>
      <c r="C95" s="240"/>
      <c r="D95" s="267">
        <f>C95*'Inputs and assumptions'!D38</f>
        <v>0</v>
      </c>
      <c r="F95" s="294">
        <f t="shared" si="10"/>
        <v>0</v>
      </c>
      <c r="G95" s="294">
        <f t="shared" si="9"/>
        <v>0</v>
      </c>
      <c r="H95" s="294">
        <f t="shared" si="9"/>
        <v>0</v>
      </c>
      <c r="I95" s="294">
        <f t="shared" si="9"/>
        <v>0</v>
      </c>
      <c r="J95" s="294">
        <f t="shared" si="9"/>
        <v>0</v>
      </c>
      <c r="K95" s="294">
        <f t="shared" si="9"/>
        <v>0</v>
      </c>
      <c r="L95" s="294">
        <f t="shared" si="9"/>
        <v>0</v>
      </c>
      <c r="M95" s="294">
        <f t="shared" si="9"/>
        <v>0</v>
      </c>
      <c r="N95" s="294">
        <f t="shared" si="9"/>
        <v>0</v>
      </c>
      <c r="O95" s="294">
        <f t="shared" si="9"/>
        <v>0</v>
      </c>
      <c r="P95" s="294">
        <f t="shared" si="9"/>
        <v>0</v>
      </c>
      <c r="Q95" s="294">
        <f t="shared" si="9"/>
        <v>0</v>
      </c>
      <c r="R95" s="294">
        <f t="shared" si="9"/>
        <v>0</v>
      </c>
      <c r="S95" s="294">
        <f t="shared" si="9"/>
        <v>0</v>
      </c>
      <c r="T95" s="295">
        <f t="shared" si="9"/>
        <v>0</v>
      </c>
    </row>
    <row r="96" spans="2:20" x14ac:dyDescent="0.3">
      <c r="B96" s="193" t="s">
        <v>70</v>
      </c>
      <c r="C96" s="275">
        <v>1.9999999999999999E-6</v>
      </c>
      <c r="D96" s="267">
        <f>C96*'Inputs and assumptions'!D39</f>
        <v>3000</v>
      </c>
      <c r="F96" s="294">
        <f t="shared" si="10"/>
        <v>0</v>
      </c>
      <c r="G96" s="294">
        <f t="shared" si="9"/>
        <v>1500</v>
      </c>
      <c r="H96" s="294">
        <f t="shared" si="9"/>
        <v>3000</v>
      </c>
      <c r="I96" s="294">
        <f t="shared" si="9"/>
        <v>3000</v>
      </c>
      <c r="J96" s="294">
        <f t="shared" si="9"/>
        <v>3000</v>
      </c>
      <c r="K96" s="294">
        <f t="shared" si="9"/>
        <v>3000</v>
      </c>
      <c r="L96" s="294">
        <f t="shared" si="9"/>
        <v>3000</v>
      </c>
      <c r="M96" s="294">
        <f t="shared" si="9"/>
        <v>3000</v>
      </c>
      <c r="N96" s="294">
        <f t="shared" si="9"/>
        <v>1500</v>
      </c>
      <c r="O96" s="294">
        <f t="shared" si="9"/>
        <v>0</v>
      </c>
      <c r="P96" s="294">
        <f t="shared" si="9"/>
        <v>0</v>
      </c>
      <c r="Q96" s="294">
        <f t="shared" si="9"/>
        <v>0</v>
      </c>
      <c r="R96" s="294">
        <f t="shared" si="9"/>
        <v>0</v>
      </c>
      <c r="S96" s="294">
        <f t="shared" si="9"/>
        <v>0</v>
      </c>
      <c r="T96" s="295">
        <f t="shared" si="9"/>
        <v>0</v>
      </c>
    </row>
    <row r="97" spans="2:20" x14ac:dyDescent="0.3">
      <c r="B97" s="193" t="s">
        <v>71</v>
      </c>
      <c r="C97" s="240">
        <v>5.0000000000000001E-4</v>
      </c>
      <c r="D97" s="267">
        <f>C97*'Inputs and assumptions'!D40</f>
        <v>38250</v>
      </c>
      <c r="F97" s="294">
        <f t="shared" si="10"/>
        <v>0</v>
      </c>
      <c r="G97" s="294">
        <f t="shared" si="9"/>
        <v>19125</v>
      </c>
      <c r="H97" s="294">
        <f t="shared" si="9"/>
        <v>38250</v>
      </c>
      <c r="I97" s="294">
        <f t="shared" si="9"/>
        <v>38250</v>
      </c>
      <c r="J97" s="294">
        <f t="shared" si="9"/>
        <v>38250</v>
      </c>
      <c r="K97" s="294">
        <f t="shared" si="9"/>
        <v>38250</v>
      </c>
      <c r="L97" s="294">
        <f t="shared" si="9"/>
        <v>38250</v>
      </c>
      <c r="M97" s="294">
        <f t="shared" si="9"/>
        <v>38250</v>
      </c>
      <c r="N97" s="294">
        <f t="shared" si="9"/>
        <v>19125</v>
      </c>
      <c r="O97" s="294">
        <f t="shared" si="9"/>
        <v>0</v>
      </c>
      <c r="P97" s="294">
        <f t="shared" si="9"/>
        <v>0</v>
      </c>
      <c r="Q97" s="294">
        <f t="shared" si="9"/>
        <v>0</v>
      </c>
      <c r="R97" s="294">
        <f t="shared" si="9"/>
        <v>0</v>
      </c>
      <c r="S97" s="294">
        <f t="shared" si="9"/>
        <v>0</v>
      </c>
      <c r="T97" s="295">
        <f t="shared" si="9"/>
        <v>0</v>
      </c>
    </row>
    <row r="98" spans="2:20" ht="13.5" thickBot="1" x14ac:dyDescent="0.35">
      <c r="B98" s="194" t="s">
        <v>72</v>
      </c>
      <c r="C98" s="254"/>
      <c r="D98" s="270">
        <f>C98*'Inputs and assumptions'!D41</f>
        <v>0</v>
      </c>
      <c r="E98" s="195"/>
      <c r="F98" s="300">
        <f t="shared" si="10"/>
        <v>0</v>
      </c>
      <c r="G98" s="300">
        <f t="shared" si="9"/>
        <v>0</v>
      </c>
      <c r="H98" s="300">
        <f t="shared" si="9"/>
        <v>0</v>
      </c>
      <c r="I98" s="300">
        <f t="shared" si="9"/>
        <v>0</v>
      </c>
      <c r="J98" s="300">
        <f t="shared" si="9"/>
        <v>0</v>
      </c>
      <c r="K98" s="300">
        <f t="shared" si="9"/>
        <v>0</v>
      </c>
      <c r="L98" s="300">
        <f t="shared" si="9"/>
        <v>0</v>
      </c>
      <c r="M98" s="300">
        <f t="shared" si="9"/>
        <v>0</v>
      </c>
      <c r="N98" s="300">
        <f t="shared" si="9"/>
        <v>0</v>
      </c>
      <c r="O98" s="300">
        <f t="shared" si="9"/>
        <v>0</v>
      </c>
      <c r="P98" s="300">
        <f t="shared" si="9"/>
        <v>0</v>
      </c>
      <c r="Q98" s="300">
        <f t="shared" si="9"/>
        <v>0</v>
      </c>
      <c r="R98" s="300">
        <f t="shared" si="9"/>
        <v>0</v>
      </c>
      <c r="S98" s="300">
        <f t="shared" si="9"/>
        <v>0</v>
      </c>
      <c r="T98" s="301">
        <f t="shared" si="9"/>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11">$D$102*F27</f>
        <v>0</v>
      </c>
      <c r="G102" s="140">
        <f t="shared" si="11"/>
        <v>0</v>
      </c>
      <c r="H102" s="140">
        <f t="shared" si="11"/>
        <v>0</v>
      </c>
      <c r="I102" s="140">
        <f t="shared" si="11"/>
        <v>0</v>
      </c>
      <c r="J102" s="140">
        <f t="shared" si="11"/>
        <v>0</v>
      </c>
      <c r="K102" s="140">
        <f t="shared" si="11"/>
        <v>0</v>
      </c>
      <c r="L102" s="140">
        <f t="shared" si="11"/>
        <v>0</v>
      </c>
      <c r="M102" s="140">
        <f t="shared" si="11"/>
        <v>0</v>
      </c>
      <c r="N102" s="140">
        <f t="shared" si="11"/>
        <v>0</v>
      </c>
      <c r="O102" s="140">
        <f t="shared" si="11"/>
        <v>0</v>
      </c>
      <c r="P102" s="140">
        <f t="shared" si="11"/>
        <v>0</v>
      </c>
      <c r="Q102" s="140">
        <f t="shared" si="11"/>
        <v>0</v>
      </c>
      <c r="R102" s="140">
        <f t="shared" si="11"/>
        <v>0</v>
      </c>
      <c r="S102" s="140">
        <f t="shared" si="11"/>
        <v>0</v>
      </c>
      <c r="T102" s="141">
        <f t="shared" si="11"/>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1260000</v>
      </c>
      <c r="G107" s="294">
        <f t="shared" ref="G107:H107" si="12">$E$111*G29</f>
        <v>420000</v>
      </c>
      <c r="H107" s="294">
        <f t="shared" si="12"/>
        <v>420000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294">
        <v>0</v>
      </c>
      <c r="G108" s="294"/>
      <c r="H108" s="294">
        <v>20000</v>
      </c>
      <c r="I108" s="175">
        <v>20000</v>
      </c>
      <c r="J108" s="175">
        <v>20000</v>
      </c>
      <c r="K108" s="175">
        <v>20000</v>
      </c>
      <c r="L108" s="175">
        <v>20000</v>
      </c>
      <c r="M108" s="175">
        <v>20000</v>
      </c>
      <c r="N108" s="175">
        <v>20000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2100000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276</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181"/>
      <c r="J114" s="181"/>
      <c r="K114" s="181"/>
      <c r="L114" s="181"/>
      <c r="M114" s="181"/>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181"/>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181"/>
      <c r="J119" s="181"/>
      <c r="K119" s="181"/>
      <c r="L119" s="181"/>
      <c r="M119" s="181"/>
      <c r="N119" s="181"/>
      <c r="O119" s="181"/>
      <c r="P119" s="181"/>
      <c r="Q119" s="181"/>
      <c r="R119" s="181"/>
      <c r="S119" s="181"/>
      <c r="T119" s="181"/>
    </row>
    <row r="120" spans="2:20" ht="15" customHeight="1" x14ac:dyDescent="0.3">
      <c r="B120" s="590"/>
      <c r="C120" s="586"/>
      <c r="D120" s="586"/>
      <c r="E120" s="591"/>
      <c r="F120" s="181"/>
      <c r="G120" s="181"/>
      <c r="H120" s="181"/>
      <c r="I120" s="181"/>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64A44BD-CF10-428A-81D6-CB2E6FBB050A}">
          <x14:formula1>
            <xm:f>'Inputs and assumptions'!$H$16:$H$20</xm:f>
          </x14:formula1>
          <xm:sqref>E8</xm:sqref>
        </x14:dataValidation>
        <x14:dataValidation type="list" allowBlank="1" showInputMessage="1" showErrorMessage="1" xr:uid="{3D4E2B05-D32F-44C1-9E73-776362447B6A}">
          <x14:formula1>
            <xm:f>'Inputs and assumptions'!$G$16:$G$20</xm:f>
          </x14:formula1>
          <xm:sqref>E7</xm:sqref>
        </x14:dataValidation>
        <x14:dataValidation type="list" allowBlank="1" showInputMessage="1" showErrorMessage="1" xr:uid="{FA8338A8-3040-4AE4-BBCE-F7982A58BC17}">
          <x14:formula1>
            <xm:f>'Inputs and assumptions'!$H$23:$H$24</xm:f>
          </x14:formula1>
          <xm:sqref>E10</xm:sqref>
        </x14:dataValidation>
        <x14:dataValidation type="list" allowBlank="1" showInputMessage="1" showErrorMessage="1" xr:uid="{305A2015-054B-4F8D-8EDC-1E6A930B5F71}">
          <x14:formula1>
            <xm:f>'Inputs and assumptions'!$H$27:$H$29</xm:f>
          </x14:formula1>
          <xm:sqref>E11</xm:sqref>
        </x14:dataValidation>
        <x14:dataValidation type="list" allowBlank="1" showInputMessage="1" showErrorMessage="1" xr:uid="{149EF069-2425-4D7F-ABC8-3E5F19C5CB0E}">
          <x14:formula1>
            <xm:f>'Inputs and assumptions'!$J$17:$J$18</xm:f>
          </x14:formula1>
          <xm:sqref>E43</xm:sqref>
        </x14:dataValidation>
        <x14:dataValidation type="list" allowBlank="1" showInputMessage="1" showErrorMessage="1" xr:uid="{27A83F6A-90B3-49CB-95F3-D0D55F47ED41}">
          <x14:formula1>
            <xm:f>'Inputs and assumptions'!$H$31:$H$34</xm:f>
          </x14:formula1>
          <xm:sqref>E12</xm:sqref>
        </x14:dataValidation>
        <x14:dataValidation type="list" allowBlank="1" showInputMessage="1" showErrorMessage="1" xr:uid="{429B25F8-FFC5-4507-BC4D-5799299C37B7}">
          <x14:formula1>
            <xm:f>'Inputs and assumptions'!$H$36:$H$40</xm:f>
          </x14:formula1>
          <xm:sqref>E13</xm:sqref>
        </x14:dataValidation>
        <x14:dataValidation type="list" allowBlank="1" showInputMessage="1" showErrorMessage="1" xr:uid="{46814224-79A3-42E0-9785-923A1D7C5973}">
          <x14:formula1>
            <xm:f>'Inputs and assumptions'!$J$21:$J$24</xm:f>
          </x14:formula1>
          <xm:sqref>E14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CB1B-167E-47E4-8801-0F4D689085A3}">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277</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179</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278</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-974597.127171956</v>
      </c>
      <c r="J18" s="222"/>
      <c r="K18" s="220" t="s">
        <v>220</v>
      </c>
      <c r="L18" s="223">
        <f>SUM(F34:J34)</f>
        <v>950000</v>
      </c>
      <c r="N18" s="584" t="s">
        <v>221</v>
      </c>
      <c r="O18" s="584"/>
      <c r="P18" s="584"/>
      <c r="Q18" s="584"/>
      <c r="R18" s="314"/>
      <c r="S18" s="161"/>
      <c r="T18" s="315" t="s">
        <v>227</v>
      </c>
    </row>
    <row r="19" spans="2:20" ht="13.5" customHeight="1" x14ac:dyDescent="0.3">
      <c r="B19" s="160" t="s">
        <v>19</v>
      </c>
      <c r="C19" s="182">
        <v>4</v>
      </c>
      <c r="D19" s="161">
        <v>0.18</v>
      </c>
      <c r="E19" s="162">
        <f>D19*C19</f>
        <v>0.72</v>
      </c>
      <c r="G19" s="224"/>
      <c r="H19" s="125" t="s">
        <v>20</v>
      </c>
      <c r="I19" s="126">
        <f>D40</f>
        <v>3128089.6499966462</v>
      </c>
      <c r="J19" s="127"/>
      <c r="K19" s="125" t="s">
        <v>223</v>
      </c>
      <c r="L19" s="225">
        <f>SUM(F36:J36)</f>
        <v>40000</v>
      </c>
      <c r="N19" s="585" t="s">
        <v>224</v>
      </c>
      <c r="O19" s="585"/>
      <c r="P19" s="585"/>
      <c r="Q19" s="585"/>
      <c r="R19" s="314"/>
      <c r="S19" s="161"/>
      <c r="T19" s="315" t="s">
        <v>227</v>
      </c>
    </row>
    <row r="20" spans="2:20" ht="13.5" customHeight="1" x14ac:dyDescent="0.3">
      <c r="B20" s="160" t="s">
        <v>21</v>
      </c>
      <c r="C20" s="182">
        <v>4</v>
      </c>
      <c r="D20" s="161">
        <v>0.18</v>
      </c>
      <c r="E20" s="162">
        <f>D20*C20</f>
        <v>0.72</v>
      </c>
      <c r="G20" s="224"/>
      <c r="H20" s="125" t="s">
        <v>22</v>
      </c>
      <c r="I20" s="217">
        <f>IFERROR(ABS((I19-I18)/I18),"N/A")</f>
        <v>4.2096233025779606</v>
      </c>
      <c r="J20" s="127"/>
      <c r="K20" s="125" t="s">
        <v>225</v>
      </c>
      <c r="L20" s="225">
        <f>NPV($D$33,F39:T39)</f>
        <v>4102686.7771686013</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2.864457838130904</v>
      </c>
      <c r="J21" s="226"/>
      <c r="K21" s="436" t="s">
        <v>228</v>
      </c>
      <c r="L21" s="439">
        <f>NPV($D$33,F39:J39)</f>
        <v>2462523.7050282895</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2.8899999999999997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855000</v>
      </c>
      <c r="G34" s="140">
        <f t="shared" si="0"/>
        <v>95000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1282500</v>
      </c>
      <c r="G35" s="140">
        <f>G34*(1+'Inputs and assumptions'!$C$7)</f>
        <v>142500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-974597.127171956</v>
      </c>
      <c r="E37" s="248"/>
      <c r="F37" s="144">
        <f t="shared" ref="F37:T37" si="2">-F34-F36</f>
        <v>-855000</v>
      </c>
      <c r="G37" s="144">
        <f t="shared" si="2"/>
        <v>-105000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1282500</v>
      </c>
      <c r="G38" s="142">
        <f t="shared" ref="G38:T38" si="3">G35+G36</f>
        <v>152500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692500</v>
      </c>
      <c r="H39" s="140">
        <f t="shared" si="4"/>
        <v>692500</v>
      </c>
      <c r="I39" s="140">
        <f t="shared" si="4"/>
        <v>692500</v>
      </c>
      <c r="J39" s="140">
        <f t="shared" si="4"/>
        <v>692500</v>
      </c>
      <c r="K39" s="140">
        <f t="shared" si="4"/>
        <v>692500</v>
      </c>
      <c r="L39" s="140">
        <f t="shared" si="4"/>
        <v>692500</v>
      </c>
      <c r="M39" s="140">
        <f t="shared" si="4"/>
        <v>692500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3128089.6499966462</v>
      </c>
      <c r="E40" s="112"/>
      <c r="F40" s="140">
        <f t="shared" ref="F40:T40" si="5">F39+F37</f>
        <v>-855000</v>
      </c>
      <c r="G40" s="140">
        <f t="shared" si="5"/>
        <v>587500</v>
      </c>
      <c r="H40" s="140">
        <f t="shared" si="5"/>
        <v>682500</v>
      </c>
      <c r="I40" s="140">
        <f t="shared" si="5"/>
        <v>682500</v>
      </c>
      <c r="J40" s="140">
        <f t="shared" si="5"/>
        <v>682500</v>
      </c>
      <c r="K40" s="140">
        <f t="shared" si="5"/>
        <v>682500</v>
      </c>
      <c r="L40" s="140">
        <f t="shared" si="5"/>
        <v>682500</v>
      </c>
      <c r="M40" s="140">
        <f t="shared" si="5"/>
        <v>682500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7">
        <f>C80*'Inputs and assumptions'!D23</f>
        <v>0</v>
      </c>
      <c r="F80" s="294">
        <f>$D80*F$28</f>
        <v>0</v>
      </c>
      <c r="G80" s="294">
        <f t="shared" ref="G80:T85" si="6">$D80*G$28</f>
        <v>0</v>
      </c>
      <c r="H80" s="294">
        <f t="shared" si="6"/>
        <v>0</v>
      </c>
      <c r="I80" s="294">
        <f t="shared" si="6"/>
        <v>0</v>
      </c>
      <c r="J80" s="294">
        <f t="shared" si="6"/>
        <v>0</v>
      </c>
      <c r="K80" s="294">
        <f t="shared" si="6"/>
        <v>0</v>
      </c>
      <c r="L80" s="294">
        <f t="shared" si="6"/>
        <v>0</v>
      </c>
      <c r="M80" s="294">
        <f t="shared" si="6"/>
        <v>0</v>
      </c>
      <c r="N80" s="294">
        <f t="shared" si="6"/>
        <v>0</v>
      </c>
      <c r="O80" s="294">
        <f t="shared" si="6"/>
        <v>0</v>
      </c>
      <c r="P80" s="294">
        <f t="shared" si="6"/>
        <v>0</v>
      </c>
      <c r="Q80" s="294">
        <f t="shared" si="6"/>
        <v>0</v>
      </c>
      <c r="R80" s="294">
        <f t="shared" si="6"/>
        <v>0</v>
      </c>
      <c r="S80" s="294">
        <f t="shared" si="6"/>
        <v>0</v>
      </c>
      <c r="T80" s="295">
        <f t="shared" si="6"/>
        <v>0</v>
      </c>
    </row>
    <row r="81" spans="2:20" x14ac:dyDescent="0.3">
      <c r="B81" s="193" t="s">
        <v>57</v>
      </c>
      <c r="C81" s="240">
        <v>5.0000000000000001E-3</v>
      </c>
      <c r="D81" s="267">
        <f>C81*'Inputs and assumptions'!D24</f>
        <v>235000</v>
      </c>
      <c r="F81" s="294">
        <f t="shared" ref="F81:F85" si="7">$D81*F$28</f>
        <v>0</v>
      </c>
      <c r="G81" s="294">
        <f t="shared" si="6"/>
        <v>235000</v>
      </c>
      <c r="H81" s="294">
        <f t="shared" si="6"/>
        <v>235000</v>
      </c>
      <c r="I81" s="294">
        <f t="shared" si="6"/>
        <v>235000</v>
      </c>
      <c r="J81" s="294">
        <f t="shared" si="6"/>
        <v>235000</v>
      </c>
      <c r="K81" s="294">
        <f t="shared" si="6"/>
        <v>235000</v>
      </c>
      <c r="L81" s="294">
        <f t="shared" si="6"/>
        <v>235000</v>
      </c>
      <c r="M81" s="294">
        <f t="shared" si="6"/>
        <v>235000</v>
      </c>
      <c r="N81" s="294">
        <f t="shared" si="6"/>
        <v>0</v>
      </c>
      <c r="O81" s="294">
        <f t="shared" si="6"/>
        <v>0</v>
      </c>
      <c r="P81" s="294">
        <f t="shared" si="6"/>
        <v>0</v>
      </c>
      <c r="Q81" s="294">
        <f t="shared" si="6"/>
        <v>0</v>
      </c>
      <c r="R81" s="294">
        <f t="shared" si="6"/>
        <v>0</v>
      </c>
      <c r="S81" s="294">
        <f t="shared" si="6"/>
        <v>0</v>
      </c>
      <c r="T81" s="295">
        <f t="shared" si="6"/>
        <v>0</v>
      </c>
    </row>
    <row r="82" spans="2:20" x14ac:dyDescent="0.3">
      <c r="B82" s="193" t="s">
        <v>58</v>
      </c>
      <c r="C82" s="240"/>
      <c r="D82" s="267">
        <f>C82*'Inputs and assumptions'!D25</f>
        <v>0</v>
      </c>
      <c r="F82" s="294">
        <f t="shared" si="7"/>
        <v>0</v>
      </c>
      <c r="G82" s="294">
        <f t="shared" si="6"/>
        <v>0</v>
      </c>
      <c r="H82" s="294">
        <f t="shared" si="6"/>
        <v>0</v>
      </c>
      <c r="I82" s="294">
        <f t="shared" si="6"/>
        <v>0</v>
      </c>
      <c r="J82" s="294">
        <f t="shared" si="6"/>
        <v>0</v>
      </c>
      <c r="K82" s="294">
        <f t="shared" si="6"/>
        <v>0</v>
      </c>
      <c r="L82" s="294">
        <f t="shared" si="6"/>
        <v>0</v>
      </c>
      <c r="M82" s="294">
        <f t="shared" si="6"/>
        <v>0</v>
      </c>
      <c r="N82" s="294">
        <f t="shared" si="6"/>
        <v>0</v>
      </c>
      <c r="O82" s="294">
        <f t="shared" si="6"/>
        <v>0</v>
      </c>
      <c r="P82" s="294">
        <f t="shared" si="6"/>
        <v>0</v>
      </c>
      <c r="Q82" s="294">
        <f t="shared" si="6"/>
        <v>0</v>
      </c>
      <c r="R82" s="294">
        <f t="shared" si="6"/>
        <v>0</v>
      </c>
      <c r="S82" s="294">
        <f t="shared" si="6"/>
        <v>0</v>
      </c>
      <c r="T82" s="295">
        <f t="shared" si="6"/>
        <v>0</v>
      </c>
    </row>
    <row r="83" spans="2:20" x14ac:dyDescent="0.3">
      <c r="B83" s="193" t="s">
        <v>59</v>
      </c>
      <c r="C83" s="240">
        <v>1.5E-3</v>
      </c>
      <c r="D83" s="267">
        <f>C83*'Inputs and assumptions'!D26</f>
        <v>457500</v>
      </c>
      <c r="F83" s="294">
        <f t="shared" si="7"/>
        <v>0</v>
      </c>
      <c r="G83" s="294">
        <f t="shared" si="6"/>
        <v>457500</v>
      </c>
      <c r="H83" s="294">
        <f t="shared" si="6"/>
        <v>457500</v>
      </c>
      <c r="I83" s="294">
        <f t="shared" si="6"/>
        <v>457500</v>
      </c>
      <c r="J83" s="294">
        <f t="shared" si="6"/>
        <v>457500</v>
      </c>
      <c r="K83" s="294">
        <f t="shared" si="6"/>
        <v>457500</v>
      </c>
      <c r="L83" s="294">
        <f t="shared" si="6"/>
        <v>457500</v>
      </c>
      <c r="M83" s="294">
        <f t="shared" si="6"/>
        <v>457500</v>
      </c>
      <c r="N83" s="294">
        <f t="shared" si="6"/>
        <v>0</v>
      </c>
      <c r="O83" s="294">
        <f t="shared" si="6"/>
        <v>0</v>
      </c>
      <c r="P83" s="294">
        <f t="shared" si="6"/>
        <v>0</v>
      </c>
      <c r="Q83" s="294">
        <f t="shared" si="6"/>
        <v>0</v>
      </c>
      <c r="R83" s="294">
        <f t="shared" si="6"/>
        <v>0</v>
      </c>
      <c r="S83" s="294">
        <f t="shared" si="6"/>
        <v>0</v>
      </c>
      <c r="T83" s="295">
        <f t="shared" si="6"/>
        <v>0</v>
      </c>
    </row>
    <row r="84" spans="2:20" x14ac:dyDescent="0.3">
      <c r="B84" s="193" t="s">
        <v>60</v>
      </c>
      <c r="C84" s="240"/>
      <c r="D84" s="267">
        <f>C84*'Inputs and assumptions'!D27</f>
        <v>0</v>
      </c>
      <c r="F84" s="294">
        <f t="shared" si="7"/>
        <v>0</v>
      </c>
      <c r="G84" s="294">
        <f t="shared" si="6"/>
        <v>0</v>
      </c>
      <c r="H84" s="294">
        <f t="shared" si="6"/>
        <v>0</v>
      </c>
      <c r="I84" s="294">
        <f t="shared" si="6"/>
        <v>0</v>
      </c>
      <c r="J84" s="294">
        <f t="shared" si="6"/>
        <v>0</v>
      </c>
      <c r="K84" s="294">
        <f t="shared" si="6"/>
        <v>0</v>
      </c>
      <c r="L84" s="294">
        <f t="shared" si="6"/>
        <v>0</v>
      </c>
      <c r="M84" s="294">
        <f t="shared" si="6"/>
        <v>0</v>
      </c>
      <c r="N84" s="294">
        <f t="shared" si="6"/>
        <v>0</v>
      </c>
      <c r="O84" s="294">
        <f t="shared" si="6"/>
        <v>0</v>
      </c>
      <c r="P84" s="294">
        <f t="shared" si="6"/>
        <v>0</v>
      </c>
      <c r="Q84" s="294">
        <f t="shared" si="6"/>
        <v>0</v>
      </c>
      <c r="R84" s="294">
        <f t="shared" si="6"/>
        <v>0</v>
      </c>
      <c r="S84" s="294">
        <f t="shared" si="6"/>
        <v>0</v>
      </c>
      <c r="T84" s="295">
        <f t="shared" si="6"/>
        <v>0</v>
      </c>
    </row>
    <row r="85" spans="2:20" x14ac:dyDescent="0.3">
      <c r="B85" s="193" t="s">
        <v>61</v>
      </c>
      <c r="C85" s="240"/>
      <c r="D85" s="267">
        <f>C85*'Inputs and assumptions'!D28</f>
        <v>0</v>
      </c>
      <c r="F85" s="294">
        <f t="shared" si="7"/>
        <v>0</v>
      </c>
      <c r="G85" s="294">
        <f t="shared" si="6"/>
        <v>0</v>
      </c>
      <c r="H85" s="294">
        <f t="shared" si="6"/>
        <v>0</v>
      </c>
      <c r="I85" s="294">
        <f t="shared" si="6"/>
        <v>0</v>
      </c>
      <c r="J85" s="294">
        <f t="shared" si="6"/>
        <v>0</v>
      </c>
      <c r="K85" s="294">
        <f t="shared" si="6"/>
        <v>0</v>
      </c>
      <c r="L85" s="294">
        <f t="shared" si="6"/>
        <v>0</v>
      </c>
      <c r="M85" s="294">
        <f t="shared" si="6"/>
        <v>0</v>
      </c>
      <c r="N85" s="294">
        <f t="shared" si="6"/>
        <v>0</v>
      </c>
      <c r="O85" s="294">
        <f t="shared" si="6"/>
        <v>0</v>
      </c>
      <c r="P85" s="294">
        <f t="shared" si="6"/>
        <v>0</v>
      </c>
      <c r="Q85" s="294">
        <f t="shared" si="6"/>
        <v>0</v>
      </c>
      <c r="R85" s="294">
        <f t="shared" si="6"/>
        <v>0</v>
      </c>
      <c r="S85" s="294">
        <f t="shared" si="6"/>
        <v>0</v>
      </c>
      <c r="T85" s="295">
        <f t="shared" si="6"/>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8">$D$102*F27</f>
        <v>0</v>
      </c>
      <c r="G102" s="140">
        <f t="shared" si="8"/>
        <v>0</v>
      </c>
      <c r="H102" s="140">
        <f t="shared" si="8"/>
        <v>0</v>
      </c>
      <c r="I102" s="140">
        <f t="shared" si="8"/>
        <v>0</v>
      </c>
      <c r="J102" s="140">
        <f t="shared" si="8"/>
        <v>0</v>
      </c>
      <c r="K102" s="140">
        <f t="shared" si="8"/>
        <v>0</v>
      </c>
      <c r="L102" s="140">
        <f t="shared" si="8"/>
        <v>0</v>
      </c>
      <c r="M102" s="140">
        <f t="shared" si="8"/>
        <v>0</v>
      </c>
      <c r="N102" s="140">
        <f t="shared" si="8"/>
        <v>0</v>
      </c>
      <c r="O102" s="140">
        <f t="shared" si="8"/>
        <v>0</v>
      </c>
      <c r="P102" s="140">
        <f t="shared" si="8"/>
        <v>0</v>
      </c>
      <c r="Q102" s="140">
        <f t="shared" si="8"/>
        <v>0</v>
      </c>
      <c r="R102" s="140">
        <f t="shared" si="8"/>
        <v>0</v>
      </c>
      <c r="S102" s="140">
        <f t="shared" si="8"/>
        <v>0</v>
      </c>
      <c r="T102" s="141">
        <f t="shared" si="8"/>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855000</v>
      </c>
      <c r="G107" s="294">
        <f>$E$111*G$29</f>
        <v>95000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279</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181"/>
      <c r="J114" s="181"/>
      <c r="K114" s="181"/>
      <c r="L114" s="181"/>
      <c r="M114" s="181"/>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181"/>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181"/>
      <c r="J119" s="181"/>
      <c r="K119" s="181"/>
      <c r="L119" s="181"/>
      <c r="M119" s="181"/>
      <c r="N119" s="181"/>
      <c r="O119" s="181"/>
      <c r="P119" s="181"/>
      <c r="Q119" s="181"/>
      <c r="R119" s="181"/>
      <c r="S119" s="181"/>
      <c r="T119" s="181"/>
    </row>
    <row r="120" spans="2:20" ht="15" customHeight="1" x14ac:dyDescent="0.3">
      <c r="B120" s="590"/>
      <c r="C120" s="586"/>
      <c r="D120" s="586"/>
      <c r="E120" s="591"/>
      <c r="F120" s="181"/>
      <c r="G120" s="181"/>
      <c r="H120" s="181"/>
      <c r="I120" s="181"/>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6237CA20-C132-413F-8404-92C47796968A}">
          <x14:formula1>
            <xm:f>'Inputs and assumptions'!$H$16:$H$20</xm:f>
          </x14:formula1>
          <xm:sqref>E8</xm:sqref>
        </x14:dataValidation>
        <x14:dataValidation type="list" allowBlank="1" showInputMessage="1" showErrorMessage="1" xr:uid="{565C524E-D1B5-4D7A-982E-CF4D031879C8}">
          <x14:formula1>
            <xm:f>'Inputs and assumptions'!$G$16:$G$20</xm:f>
          </x14:formula1>
          <xm:sqref>E7</xm:sqref>
        </x14:dataValidation>
        <x14:dataValidation type="list" allowBlank="1" showInputMessage="1" showErrorMessage="1" xr:uid="{96A355CB-78BE-4434-B437-108180FB70F4}">
          <x14:formula1>
            <xm:f>'Inputs and assumptions'!$H$23:$H$24</xm:f>
          </x14:formula1>
          <xm:sqref>E10</xm:sqref>
        </x14:dataValidation>
        <x14:dataValidation type="list" allowBlank="1" showInputMessage="1" showErrorMessage="1" xr:uid="{DEB3E8E6-FC77-4549-B8A3-A117B9B644C7}">
          <x14:formula1>
            <xm:f>'Inputs and assumptions'!$H$27:$H$29</xm:f>
          </x14:formula1>
          <xm:sqref>E11</xm:sqref>
        </x14:dataValidation>
        <x14:dataValidation type="list" allowBlank="1" showInputMessage="1" showErrorMessage="1" xr:uid="{F30AC8DB-C912-4D85-B9BA-789F06B3693A}">
          <x14:formula1>
            <xm:f>'Inputs and assumptions'!$J$17:$J$18</xm:f>
          </x14:formula1>
          <xm:sqref>E43</xm:sqref>
        </x14:dataValidation>
        <x14:dataValidation type="list" allowBlank="1" showInputMessage="1" showErrorMessage="1" xr:uid="{EA87EF42-E8C6-4620-B583-7D077F7C6854}">
          <x14:formula1>
            <xm:f>'Inputs and assumptions'!$H$31:$H$34</xm:f>
          </x14:formula1>
          <xm:sqref>E12</xm:sqref>
        </x14:dataValidation>
        <x14:dataValidation type="list" allowBlank="1" showInputMessage="1" showErrorMessage="1" xr:uid="{9B8E310C-52FA-436B-8E94-BA6DBE797FCA}">
          <x14:formula1>
            <xm:f>'Inputs and assumptions'!$H$36:$H$40</xm:f>
          </x14:formula1>
          <xm:sqref>E13</xm:sqref>
        </x14:dataValidation>
        <x14:dataValidation type="list" allowBlank="1" showInputMessage="1" showErrorMessage="1" xr:uid="{7BE0926B-EAF6-4F38-B0DF-95C0523BCE52}">
          <x14:formula1>
            <xm:f>'Inputs and assumptions'!$J$21:$J$24</xm:f>
          </x14:formula1>
          <xm:sqref>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C82D-836E-4DF7-A3EC-E5E8B4418775}">
  <sheetPr>
    <tabColor rgb="FF00B050"/>
  </sheetPr>
  <dimension ref="A1:E35"/>
  <sheetViews>
    <sheetView zoomScaleNormal="100" workbookViewId="0"/>
  </sheetViews>
  <sheetFormatPr defaultRowHeight="14.5" x14ac:dyDescent="0.35"/>
  <cols>
    <col min="1" max="1" width="5.7265625" customWidth="1"/>
    <col min="2" max="2" width="10.81640625" customWidth="1"/>
    <col min="3" max="3" width="30.54296875" bestFit="1" customWidth="1"/>
    <col min="4" max="4" width="103.26953125" customWidth="1"/>
  </cols>
  <sheetData>
    <row r="1" spans="1:5" x14ac:dyDescent="0.35">
      <c r="A1" s="104"/>
      <c r="B1" s="104"/>
      <c r="C1" s="104"/>
      <c r="D1" s="104"/>
      <c r="E1" s="104"/>
    </row>
    <row r="2" spans="1:5" ht="21" x14ac:dyDescent="0.5">
      <c r="A2" s="104"/>
      <c r="B2" s="105" t="s">
        <v>83</v>
      </c>
      <c r="C2" s="104"/>
      <c r="D2" s="104"/>
      <c r="E2" s="104"/>
    </row>
    <row r="3" spans="1:5" x14ac:dyDescent="0.35">
      <c r="A3" s="104"/>
      <c r="B3" s="104"/>
      <c r="C3" s="104"/>
      <c r="D3" s="104"/>
      <c r="E3" s="104"/>
    </row>
    <row r="4" spans="1:5" ht="18.5" x14ac:dyDescent="0.45">
      <c r="A4" s="104"/>
      <c r="B4" s="106" t="s">
        <v>84</v>
      </c>
      <c r="C4" s="104"/>
      <c r="D4" s="104"/>
      <c r="E4" s="104"/>
    </row>
    <row r="5" spans="1:5" x14ac:dyDescent="0.35">
      <c r="A5" s="104"/>
      <c r="B5" s="104"/>
      <c r="C5" s="104"/>
      <c r="D5" s="104"/>
      <c r="E5" s="104"/>
    </row>
    <row r="6" spans="1:5" ht="57" customHeight="1" x14ac:dyDescent="0.35">
      <c r="A6" s="104"/>
      <c r="B6" s="553" t="s">
        <v>85</v>
      </c>
      <c r="C6" s="553"/>
      <c r="D6" s="553"/>
      <c r="E6" s="107"/>
    </row>
    <row r="7" spans="1:5" x14ac:dyDescent="0.35">
      <c r="A7" s="104"/>
      <c r="B7" s="104"/>
      <c r="C7" s="104"/>
      <c r="D7" s="104"/>
      <c r="E7" s="104"/>
    </row>
    <row r="8" spans="1:5" x14ac:dyDescent="0.35">
      <c r="A8" s="104"/>
      <c r="B8" s="104"/>
      <c r="C8" s="104"/>
      <c r="D8" s="104"/>
      <c r="E8" s="104"/>
    </row>
    <row r="9" spans="1:5" x14ac:dyDescent="0.35">
      <c r="A9" s="104"/>
      <c r="B9" s="104"/>
      <c r="C9" s="104"/>
      <c r="D9" s="104"/>
      <c r="E9" s="104"/>
    </row>
    <row r="10" spans="1:5" x14ac:dyDescent="0.35">
      <c r="A10" s="104"/>
      <c r="B10" s="104"/>
      <c r="C10" s="104"/>
      <c r="D10" s="104"/>
      <c r="E10" s="104"/>
    </row>
    <row r="11" spans="1:5" x14ac:dyDescent="0.35">
      <c r="A11" s="104"/>
      <c r="B11" s="104"/>
      <c r="C11" s="104"/>
      <c r="D11" s="104"/>
      <c r="E11" s="104"/>
    </row>
    <row r="12" spans="1:5" x14ac:dyDescent="0.35">
      <c r="A12" s="104"/>
      <c r="B12" s="104"/>
      <c r="C12" s="104"/>
      <c r="D12" s="104"/>
      <c r="E12" s="104"/>
    </row>
    <row r="13" spans="1:5" x14ac:dyDescent="0.35">
      <c r="A13" s="104"/>
      <c r="B13" s="104"/>
      <c r="C13" s="104"/>
      <c r="D13" s="104"/>
      <c r="E13" s="104"/>
    </row>
    <row r="14" spans="1:5" x14ac:dyDescent="0.35">
      <c r="A14" s="104"/>
      <c r="B14" s="104"/>
      <c r="C14" s="104"/>
      <c r="D14" s="104"/>
      <c r="E14" s="104"/>
    </row>
    <row r="15" spans="1:5" x14ac:dyDescent="0.35">
      <c r="A15" s="104"/>
      <c r="B15" s="104"/>
      <c r="C15" s="104"/>
      <c r="D15" s="104"/>
      <c r="E15" s="104"/>
    </row>
    <row r="16" spans="1:5" x14ac:dyDescent="0.35">
      <c r="A16" s="104"/>
      <c r="B16" s="104"/>
      <c r="C16" s="104"/>
      <c r="D16" s="104"/>
      <c r="E16" s="104"/>
    </row>
    <row r="17" spans="1:5" x14ac:dyDescent="0.35">
      <c r="A17" s="104"/>
      <c r="B17" s="104"/>
      <c r="C17" s="104"/>
      <c r="D17" s="104"/>
      <c r="E17" s="104"/>
    </row>
    <row r="18" spans="1:5" x14ac:dyDescent="0.35">
      <c r="A18" s="104"/>
      <c r="B18" s="104"/>
      <c r="C18" s="104"/>
      <c r="D18" s="104"/>
      <c r="E18" s="104"/>
    </row>
    <row r="19" spans="1:5" x14ac:dyDescent="0.35">
      <c r="A19" s="104"/>
      <c r="B19" s="104"/>
      <c r="C19" s="104"/>
      <c r="D19" s="104"/>
      <c r="E19" s="104"/>
    </row>
    <row r="20" spans="1:5" x14ac:dyDescent="0.35">
      <c r="A20" s="104"/>
      <c r="B20" s="104"/>
      <c r="C20" s="104"/>
      <c r="D20" s="104"/>
      <c r="E20" s="104"/>
    </row>
    <row r="21" spans="1:5" x14ac:dyDescent="0.35">
      <c r="A21" s="104"/>
      <c r="B21" s="104"/>
      <c r="C21" s="104"/>
      <c r="D21" s="104"/>
      <c r="E21" s="104"/>
    </row>
    <row r="22" spans="1:5" x14ac:dyDescent="0.35">
      <c r="A22" s="104"/>
      <c r="B22" s="108" t="s">
        <v>86</v>
      </c>
      <c r="C22" s="104"/>
      <c r="D22" s="104"/>
      <c r="E22" s="104"/>
    </row>
    <row r="23" spans="1:5" x14ac:dyDescent="0.35">
      <c r="A23" s="104"/>
      <c r="B23" s="99" t="s">
        <v>87</v>
      </c>
      <c r="C23" s="100" t="s">
        <v>88</v>
      </c>
      <c r="D23" s="100" t="s">
        <v>89</v>
      </c>
      <c r="E23" s="104"/>
    </row>
    <row r="24" spans="1:5" x14ac:dyDescent="0.35">
      <c r="A24" s="104"/>
      <c r="B24" s="101">
        <v>1</v>
      </c>
      <c r="C24" s="101" t="s">
        <v>90</v>
      </c>
      <c r="D24" s="100"/>
      <c r="E24" s="104"/>
    </row>
    <row r="25" spans="1:5" x14ac:dyDescent="0.35">
      <c r="A25" s="104"/>
      <c r="B25" s="101">
        <v>2</v>
      </c>
      <c r="C25" s="101" t="s">
        <v>91</v>
      </c>
      <c r="D25" s="102" t="s">
        <v>92</v>
      </c>
      <c r="E25" s="104"/>
    </row>
    <row r="26" spans="1:5" x14ac:dyDescent="0.35">
      <c r="A26" s="104"/>
      <c r="B26" s="101">
        <v>3</v>
      </c>
      <c r="C26" s="101" t="s">
        <v>93</v>
      </c>
      <c r="D26" s="103" t="s">
        <v>94</v>
      </c>
      <c r="E26" s="104"/>
    </row>
    <row r="27" spans="1:5" ht="14.25" customHeight="1" x14ac:dyDescent="0.35">
      <c r="A27" s="104"/>
      <c r="B27" s="101">
        <v>4</v>
      </c>
      <c r="C27" s="101" t="s">
        <v>16</v>
      </c>
      <c r="D27" s="103" t="s">
        <v>95</v>
      </c>
      <c r="E27" s="104"/>
    </row>
    <row r="28" spans="1:5" ht="14.25" customHeight="1" x14ac:dyDescent="0.35">
      <c r="A28" s="104"/>
      <c r="B28" s="101">
        <v>5</v>
      </c>
      <c r="C28" s="101" t="s">
        <v>96</v>
      </c>
      <c r="D28" s="103" t="s">
        <v>97</v>
      </c>
      <c r="E28" s="104"/>
    </row>
    <row r="29" spans="1:5" ht="14.25" customHeight="1" x14ac:dyDescent="0.35">
      <c r="A29" s="104"/>
      <c r="B29" s="101">
        <v>6</v>
      </c>
      <c r="C29" s="101" t="s">
        <v>98</v>
      </c>
      <c r="D29" s="103" t="s">
        <v>99</v>
      </c>
      <c r="E29" s="104"/>
    </row>
    <row r="30" spans="1:5" x14ac:dyDescent="0.35">
      <c r="A30" s="104"/>
      <c r="B30" s="496" t="s">
        <v>100</v>
      </c>
      <c r="C30" s="101" t="s">
        <v>101</v>
      </c>
      <c r="D30" s="103" t="s">
        <v>102</v>
      </c>
      <c r="E30" s="104"/>
    </row>
    <row r="31" spans="1:5" x14ac:dyDescent="0.35">
      <c r="A31" s="104"/>
      <c r="B31" s="104"/>
      <c r="C31" s="104"/>
      <c r="D31" s="104"/>
      <c r="E31" s="104"/>
    </row>
    <row r="32" spans="1:5" x14ac:dyDescent="0.35">
      <c r="A32" s="104"/>
      <c r="B32" s="104"/>
      <c r="C32" s="104"/>
      <c r="D32" s="104"/>
      <c r="E32" s="104"/>
    </row>
    <row r="33" spans="1:5" x14ac:dyDescent="0.35">
      <c r="A33" s="104"/>
      <c r="B33" s="104"/>
      <c r="C33" s="104"/>
      <c r="D33" s="104"/>
      <c r="E33" s="104"/>
    </row>
    <row r="34" spans="1:5" x14ac:dyDescent="0.35">
      <c r="A34" s="104"/>
      <c r="B34" s="104"/>
      <c r="C34" s="104"/>
      <c r="D34" s="104"/>
      <c r="E34" s="104"/>
    </row>
    <row r="35" spans="1:5" x14ac:dyDescent="0.35">
      <c r="A35" s="104"/>
      <c r="B35" s="104"/>
      <c r="C35" s="104"/>
      <c r="D35" s="104"/>
      <c r="E35" s="104"/>
    </row>
  </sheetData>
  <mergeCells count="1">
    <mergeCell ref="B6:D6"/>
  </mergeCells>
  <pageMargins left="0.7" right="0.7" top="0.75" bottom="0.75" header="0.3" footer="0.3"/>
  <pageSetup paperSize="9" orientation="portrait" r:id="rId1"/>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239A1-6D3E-40F5-A203-F4F16ED73116}">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280</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180</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128</v>
      </c>
      <c r="G7" s="586" t="s">
        <v>281</v>
      </c>
      <c r="H7" s="586"/>
      <c r="I7" s="586"/>
      <c r="J7" s="586"/>
      <c r="K7" s="586"/>
      <c r="L7" s="586"/>
      <c r="M7" s="586"/>
      <c r="N7" s="586"/>
      <c r="O7" s="586"/>
      <c r="P7" s="586"/>
      <c r="Q7" s="586"/>
      <c r="R7" s="586"/>
      <c r="S7" s="586"/>
      <c r="T7" s="586"/>
    </row>
    <row r="8" spans="1:23" s="170" customFormat="1" ht="15.75" customHeight="1" x14ac:dyDescent="0.35">
      <c r="B8" s="328" t="s">
        <v>3</v>
      </c>
      <c r="C8" s="230"/>
      <c r="E8" s="329" t="s">
        <v>129</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-370819.10021233867</v>
      </c>
      <c r="J18" s="222"/>
      <c r="K18" s="220" t="s">
        <v>220</v>
      </c>
      <c r="L18" s="223">
        <f>SUM(F34:J34)</f>
        <v>240000</v>
      </c>
      <c r="N18" s="584" t="s">
        <v>221</v>
      </c>
      <c r="O18" s="584"/>
      <c r="P18" s="584"/>
      <c r="Q18" s="584"/>
      <c r="R18" s="314"/>
      <c r="S18" s="161"/>
      <c r="T18" s="315" t="s">
        <v>227</v>
      </c>
    </row>
    <row r="19" spans="2:20" ht="13.5" customHeight="1" x14ac:dyDescent="0.3">
      <c r="B19" s="160" t="s">
        <v>19</v>
      </c>
      <c r="C19" s="182">
        <v>4</v>
      </c>
      <c r="D19" s="161">
        <v>0.18</v>
      </c>
      <c r="E19" s="162">
        <f>D19*C19</f>
        <v>0.72</v>
      </c>
      <c r="G19" s="224"/>
      <c r="H19" s="125" t="s">
        <v>20</v>
      </c>
      <c r="I19" s="126">
        <f>D40</f>
        <v>1142529.2811008315</v>
      </c>
      <c r="J19" s="127"/>
      <c r="K19" s="125" t="s">
        <v>223</v>
      </c>
      <c r="L19" s="225">
        <f>SUM(F36:J36)</f>
        <v>60000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4.0810960936116709</v>
      </c>
      <c r="J20" s="127"/>
      <c r="K20" s="125" t="s">
        <v>225</v>
      </c>
      <c r="L20" s="225">
        <f>NPV($D$33,F39:T39)</f>
        <v>1513348.3813131701</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3.1085870103651252</v>
      </c>
      <c r="J21" s="226"/>
      <c r="K21" s="436" t="s">
        <v>228</v>
      </c>
      <c r="L21" s="439">
        <f>NPV($D$33,F39:J39)</f>
        <v>591738.93360524834</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3.17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10</v>
      </c>
      <c r="E27" s="112"/>
      <c r="F27" s="227">
        <v>10</v>
      </c>
      <c r="G27" s="227"/>
      <c r="H27" s="227"/>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240000</v>
      </c>
      <c r="G34" s="140">
        <f t="shared" si="0"/>
        <v>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360000</v>
      </c>
      <c r="G35" s="140">
        <f>G34*(1+'Inputs and assumptions'!$C$7)</f>
        <v>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12000</v>
      </c>
      <c r="G36" s="142">
        <f t="shared" si="1"/>
        <v>12000</v>
      </c>
      <c r="H36" s="142">
        <f t="shared" si="1"/>
        <v>12000</v>
      </c>
      <c r="I36" s="142">
        <f t="shared" si="1"/>
        <v>12000</v>
      </c>
      <c r="J36" s="142">
        <f t="shared" si="1"/>
        <v>12000</v>
      </c>
      <c r="K36" s="142">
        <f t="shared" si="1"/>
        <v>12000</v>
      </c>
      <c r="L36" s="142">
        <f t="shared" si="1"/>
        <v>12000</v>
      </c>
      <c r="M36" s="142">
        <f t="shared" si="1"/>
        <v>12000</v>
      </c>
      <c r="N36" s="142">
        <f t="shared" si="1"/>
        <v>12000</v>
      </c>
      <c r="O36" s="142">
        <f t="shared" si="1"/>
        <v>12000</v>
      </c>
      <c r="P36" s="142">
        <f t="shared" si="1"/>
        <v>12000</v>
      </c>
      <c r="Q36" s="142">
        <f t="shared" si="1"/>
        <v>12000</v>
      </c>
      <c r="R36" s="142">
        <f t="shared" si="1"/>
        <v>12000</v>
      </c>
      <c r="S36" s="142">
        <f t="shared" si="1"/>
        <v>12000</v>
      </c>
      <c r="T36" s="143">
        <f t="shared" si="1"/>
        <v>12000</v>
      </c>
    </row>
    <row r="37" spans="2:20" x14ac:dyDescent="0.3">
      <c r="B37" s="122" t="s">
        <v>44</v>
      </c>
      <c r="C37" s="133"/>
      <c r="D37" s="247">
        <f>NPV($D$33,F37:T37)</f>
        <v>-370819.10021233867</v>
      </c>
      <c r="E37" s="248"/>
      <c r="F37" s="144">
        <f t="shared" ref="F37:T37" si="2">-F34-F36</f>
        <v>-252000</v>
      </c>
      <c r="G37" s="144">
        <f t="shared" si="2"/>
        <v>-12000</v>
      </c>
      <c r="H37" s="144">
        <f t="shared" si="2"/>
        <v>-12000</v>
      </c>
      <c r="I37" s="144">
        <f t="shared" si="2"/>
        <v>-12000</v>
      </c>
      <c r="J37" s="144">
        <f t="shared" si="2"/>
        <v>-12000</v>
      </c>
      <c r="K37" s="144">
        <f t="shared" si="2"/>
        <v>-12000</v>
      </c>
      <c r="L37" s="144">
        <f t="shared" si="2"/>
        <v>-12000</v>
      </c>
      <c r="M37" s="144">
        <f t="shared" si="2"/>
        <v>-12000</v>
      </c>
      <c r="N37" s="144">
        <f t="shared" si="2"/>
        <v>-12000</v>
      </c>
      <c r="O37" s="144">
        <f t="shared" si="2"/>
        <v>-12000</v>
      </c>
      <c r="P37" s="144">
        <f t="shared" si="2"/>
        <v>-12000</v>
      </c>
      <c r="Q37" s="144">
        <f t="shared" si="2"/>
        <v>-12000</v>
      </c>
      <c r="R37" s="144">
        <f t="shared" si="2"/>
        <v>-12000</v>
      </c>
      <c r="S37" s="144">
        <f t="shared" si="2"/>
        <v>-12000</v>
      </c>
      <c r="T37" s="145">
        <f t="shared" si="2"/>
        <v>-12000</v>
      </c>
    </row>
    <row r="38" spans="2:20" ht="13.5" thickBot="1" x14ac:dyDescent="0.35">
      <c r="B38" s="124" t="s">
        <v>235</v>
      </c>
      <c r="C38" s="135"/>
      <c r="D38" s="132"/>
      <c r="E38" s="121"/>
      <c r="F38" s="142">
        <f>F35+F36</f>
        <v>372000</v>
      </c>
      <c r="G38" s="142">
        <f t="shared" ref="G38:T38" si="3">G35+G36</f>
        <v>12000</v>
      </c>
      <c r="H38" s="142">
        <f t="shared" si="3"/>
        <v>12000</v>
      </c>
      <c r="I38" s="142">
        <f t="shared" si="3"/>
        <v>12000</v>
      </c>
      <c r="J38" s="142">
        <f t="shared" si="3"/>
        <v>12000</v>
      </c>
      <c r="K38" s="142">
        <f t="shared" si="3"/>
        <v>12000</v>
      </c>
      <c r="L38" s="142">
        <f t="shared" si="3"/>
        <v>12000</v>
      </c>
      <c r="M38" s="142">
        <f t="shared" si="3"/>
        <v>12000</v>
      </c>
      <c r="N38" s="142">
        <f t="shared" si="3"/>
        <v>12000</v>
      </c>
      <c r="O38" s="142">
        <f t="shared" si="3"/>
        <v>12000</v>
      </c>
      <c r="P38" s="142">
        <f t="shared" si="3"/>
        <v>12000</v>
      </c>
      <c r="Q38" s="142">
        <f t="shared" si="3"/>
        <v>12000</v>
      </c>
      <c r="R38" s="142">
        <f t="shared" si="3"/>
        <v>12000</v>
      </c>
      <c r="S38" s="142">
        <f t="shared" si="3"/>
        <v>12000</v>
      </c>
      <c r="T38" s="143">
        <f t="shared" si="3"/>
        <v>12000</v>
      </c>
    </row>
    <row r="39" spans="2:20" x14ac:dyDescent="0.3">
      <c r="B39" s="123" t="s">
        <v>45</v>
      </c>
      <c r="C39" s="112"/>
      <c r="D39" s="134"/>
      <c r="E39" s="112"/>
      <c r="F39" s="140">
        <f t="shared" ref="F39:T39" si="4">IF($E$43="Per Unit",SUM(F45:F71),SUM(F73:F98))</f>
        <v>130836.52802977571</v>
      </c>
      <c r="G39" s="140">
        <f t="shared" si="4"/>
        <v>130836.52802977571</v>
      </c>
      <c r="H39" s="140">
        <f t="shared" si="4"/>
        <v>130836.52802977571</v>
      </c>
      <c r="I39" s="140">
        <f t="shared" si="4"/>
        <v>130836.52802977571</v>
      </c>
      <c r="J39" s="140">
        <f t="shared" si="4"/>
        <v>130836.52802977571</v>
      </c>
      <c r="K39" s="140">
        <f t="shared" si="4"/>
        <v>130836.52802977571</v>
      </c>
      <c r="L39" s="140">
        <f t="shared" si="4"/>
        <v>130836.52802977571</v>
      </c>
      <c r="M39" s="140">
        <f t="shared" si="4"/>
        <v>130836.52802977571</v>
      </c>
      <c r="N39" s="140">
        <f t="shared" si="4"/>
        <v>130836.52802977571</v>
      </c>
      <c r="O39" s="140">
        <f t="shared" si="4"/>
        <v>130836.52802977571</v>
      </c>
      <c r="P39" s="140">
        <f t="shared" si="4"/>
        <v>130836.52802977571</v>
      </c>
      <c r="Q39" s="140">
        <f t="shared" si="4"/>
        <v>130836.52802977571</v>
      </c>
      <c r="R39" s="140">
        <f t="shared" si="4"/>
        <v>130836.52802977571</v>
      </c>
      <c r="S39" s="140">
        <f t="shared" si="4"/>
        <v>130836.52802977571</v>
      </c>
      <c r="T39" s="141">
        <f t="shared" si="4"/>
        <v>130836.52802977571</v>
      </c>
    </row>
    <row r="40" spans="2:20" x14ac:dyDescent="0.3">
      <c r="B40" s="123" t="s">
        <v>46</v>
      </c>
      <c r="C40" s="112"/>
      <c r="D40" s="134">
        <f>NPV($D$33,F40:T40)</f>
        <v>1142529.2811008315</v>
      </c>
      <c r="E40" s="112"/>
      <c r="F40" s="140">
        <f t="shared" ref="F40:T40" si="5">F39+F37</f>
        <v>-121163.47197022429</v>
      </c>
      <c r="G40" s="140">
        <f t="shared" si="5"/>
        <v>118836.52802977571</v>
      </c>
      <c r="H40" s="140">
        <f t="shared" si="5"/>
        <v>118836.52802977571</v>
      </c>
      <c r="I40" s="140">
        <f t="shared" si="5"/>
        <v>118836.52802977571</v>
      </c>
      <c r="J40" s="140">
        <f t="shared" si="5"/>
        <v>118836.52802977571</v>
      </c>
      <c r="K40" s="140">
        <f t="shared" si="5"/>
        <v>118836.52802977571</v>
      </c>
      <c r="L40" s="140">
        <f t="shared" si="5"/>
        <v>118836.52802977571</v>
      </c>
      <c r="M40" s="140">
        <f t="shared" si="5"/>
        <v>118836.52802977571</v>
      </c>
      <c r="N40" s="140">
        <f t="shared" si="5"/>
        <v>118836.52802977571</v>
      </c>
      <c r="O40" s="140">
        <f t="shared" si="5"/>
        <v>118836.52802977571</v>
      </c>
      <c r="P40" s="140">
        <f t="shared" si="5"/>
        <v>118836.52802977571</v>
      </c>
      <c r="Q40" s="140">
        <f t="shared" si="5"/>
        <v>118836.52802977571</v>
      </c>
      <c r="R40" s="140">
        <f t="shared" si="5"/>
        <v>118836.52802977571</v>
      </c>
      <c r="S40" s="140">
        <f t="shared" si="5"/>
        <v>118836.52802977571</v>
      </c>
      <c r="T40" s="141">
        <f t="shared" si="5"/>
        <v>118836.52802977571</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13083.652802977573</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1E-3</v>
      </c>
      <c r="D46" s="261">
        <f>IFERROR(C46*'Inputs and assumptions'!D17/$D$27,0)</f>
        <v>3649.4944973720294</v>
      </c>
      <c r="E46" s="112"/>
      <c r="F46" s="140">
        <f>$D46*SUM($E$27:F$27)</f>
        <v>36494.944973720296</v>
      </c>
      <c r="G46" s="140">
        <f>$D46*SUM($E$27:G$27)</f>
        <v>36494.944973720296</v>
      </c>
      <c r="H46" s="140">
        <f>$D46*SUM($E$27:H$27)</f>
        <v>36494.944973720296</v>
      </c>
      <c r="I46" s="140">
        <f>$D46*SUM($E$27:I$27)</f>
        <v>36494.944973720296</v>
      </c>
      <c r="J46" s="140">
        <f>$D46*SUM($E$27:J$27)</f>
        <v>36494.944973720296</v>
      </c>
      <c r="K46" s="140">
        <f>$D46*SUM($E$27:K$27)</f>
        <v>36494.944973720296</v>
      </c>
      <c r="L46" s="140">
        <f>$D46*SUM($E$27:L$27)</f>
        <v>36494.944973720296</v>
      </c>
      <c r="M46" s="140">
        <f>$D46*SUM($E$27:M$27)</f>
        <v>36494.944973720296</v>
      </c>
      <c r="N46" s="140">
        <f>$D46*SUM($E$27:N$27)</f>
        <v>36494.944973720296</v>
      </c>
      <c r="O46" s="140">
        <f>$D46*SUM($E$27:O$27)</f>
        <v>36494.944973720296</v>
      </c>
      <c r="P46" s="140">
        <f>$D46*SUM($E$27:P$27)</f>
        <v>36494.944973720296</v>
      </c>
      <c r="Q46" s="140">
        <f>$D46*SUM($E$27:Q$27)</f>
        <v>36494.944973720296</v>
      </c>
      <c r="R46" s="140">
        <f>$D46*SUM($E$27:R$27)</f>
        <v>36494.944973720296</v>
      </c>
      <c r="S46" s="140">
        <f>$D46*SUM($E$27:S$27)</f>
        <v>36494.944973720296</v>
      </c>
      <c r="T46" s="141">
        <f>$D46*SUM($E$27:T$27)</f>
        <v>36494.944973720296</v>
      </c>
    </row>
    <row r="47" spans="2:20" x14ac:dyDescent="0.3">
      <c r="B47" s="184" t="s">
        <v>52</v>
      </c>
      <c r="C47" s="240">
        <v>1E-3</v>
      </c>
      <c r="D47" s="261">
        <f>IFERROR(C47*'Inputs and assumptions'!D18/$D$27,0)</f>
        <v>2624.6595948073054</v>
      </c>
      <c r="E47" s="112"/>
      <c r="F47" s="140">
        <f>$D47*SUM($E$27:F$27)</f>
        <v>26246.595948073053</v>
      </c>
      <c r="G47" s="140">
        <f>$D47*SUM($E$27:G$27)</f>
        <v>26246.595948073053</v>
      </c>
      <c r="H47" s="140">
        <f>$D47*SUM($E$27:H$27)</f>
        <v>26246.595948073053</v>
      </c>
      <c r="I47" s="140">
        <f>$D47*SUM($E$27:I$27)</f>
        <v>26246.595948073053</v>
      </c>
      <c r="J47" s="140">
        <f>$D47*SUM($E$27:J$27)</f>
        <v>26246.595948073053</v>
      </c>
      <c r="K47" s="140">
        <f>$D47*SUM($E$27:K$27)</f>
        <v>26246.595948073053</v>
      </c>
      <c r="L47" s="140">
        <f>$D47*SUM($E$27:L$27)</f>
        <v>26246.595948073053</v>
      </c>
      <c r="M47" s="140">
        <f>$D47*SUM($E$27:M$27)</f>
        <v>26246.595948073053</v>
      </c>
      <c r="N47" s="140">
        <f>$D47*SUM($E$27:N$27)</f>
        <v>26246.595948073053</v>
      </c>
      <c r="O47" s="140">
        <f>$D47*SUM($E$27:O$27)</f>
        <v>26246.595948073053</v>
      </c>
      <c r="P47" s="140">
        <f>$D47*SUM($E$27:P$27)</f>
        <v>26246.595948073053</v>
      </c>
      <c r="Q47" s="140">
        <f>$D47*SUM($E$27:Q$27)</f>
        <v>26246.595948073053</v>
      </c>
      <c r="R47" s="140">
        <f>$D47*SUM($E$27:R$27)</f>
        <v>26246.595948073053</v>
      </c>
      <c r="S47" s="140">
        <f>$D47*SUM($E$27:S$27)</f>
        <v>26246.595948073053</v>
      </c>
      <c r="T47" s="141">
        <f>$D47*SUM($E$27:T$27)</f>
        <v>26246.595948073053</v>
      </c>
    </row>
    <row r="48" spans="2:20" x14ac:dyDescent="0.3">
      <c r="B48" s="184" t="s">
        <v>53</v>
      </c>
      <c r="C48" s="240">
        <v>1E-3</v>
      </c>
      <c r="D48" s="261">
        <f>IFERROR(C48*'Inputs and assumptions'!D19/$D$27,0)</f>
        <v>509.49871079823669</v>
      </c>
      <c r="E48" s="112"/>
      <c r="F48" s="140">
        <f>$D48*SUM($E$27:F$27)</f>
        <v>5094.987107982367</v>
      </c>
      <c r="G48" s="140">
        <f>$D48*SUM($E$27:G$27)</f>
        <v>5094.987107982367</v>
      </c>
      <c r="H48" s="140">
        <f>$D48*SUM($E$27:H$27)</f>
        <v>5094.987107982367</v>
      </c>
      <c r="I48" s="140">
        <f>$D48*SUM($E$27:I$27)</f>
        <v>5094.987107982367</v>
      </c>
      <c r="J48" s="140">
        <f>$D48*SUM($E$27:J$27)</f>
        <v>5094.987107982367</v>
      </c>
      <c r="K48" s="140">
        <f>$D48*SUM($E$27:K$27)</f>
        <v>5094.987107982367</v>
      </c>
      <c r="L48" s="140">
        <f>$D48*SUM($E$27:L$27)</f>
        <v>5094.987107982367</v>
      </c>
      <c r="M48" s="140">
        <f>$D48*SUM($E$27:M$27)</f>
        <v>5094.987107982367</v>
      </c>
      <c r="N48" s="140">
        <f>$D48*SUM($E$27:N$27)</f>
        <v>5094.987107982367</v>
      </c>
      <c r="O48" s="140">
        <f>$D48*SUM($E$27:O$27)</f>
        <v>5094.987107982367</v>
      </c>
      <c r="P48" s="140">
        <f>$D48*SUM($E$27:P$27)</f>
        <v>5094.987107982367</v>
      </c>
      <c r="Q48" s="140">
        <f>$D48*SUM($E$27:Q$27)</f>
        <v>5094.987107982367</v>
      </c>
      <c r="R48" s="140">
        <f>$D48*SUM($E$27:R$27)</f>
        <v>5094.987107982367</v>
      </c>
      <c r="S48" s="140">
        <f>$D48*SUM($E$27:S$27)</f>
        <v>5094.987107982367</v>
      </c>
      <c r="T48" s="141">
        <f>$D48*SUM($E$27:T$27)</f>
        <v>5094.987107982367</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5.0000000000000001E-4</v>
      </c>
      <c r="D64" s="261">
        <f>IFERROR(C64*'Inputs and assumptions'!D35/$D$27,0)</f>
        <v>6300</v>
      </c>
      <c r="E64" s="112"/>
      <c r="F64" s="140">
        <f>$D64*SUM($E$27:F$27)</f>
        <v>63000</v>
      </c>
      <c r="G64" s="140">
        <f>$D64*SUM($E$27:G$27)</f>
        <v>63000</v>
      </c>
      <c r="H64" s="140">
        <f>$D64*SUM($E$27:H$27)</f>
        <v>63000</v>
      </c>
      <c r="I64" s="140">
        <f>$D64*SUM($E$27:I$27)</f>
        <v>63000</v>
      </c>
      <c r="J64" s="140">
        <f>$D64*SUM($E$27:J$27)</f>
        <v>63000</v>
      </c>
      <c r="K64" s="140">
        <f>$D64*SUM($E$27:K$27)</f>
        <v>63000</v>
      </c>
      <c r="L64" s="140">
        <f>$D64*SUM($E$27:L$27)</f>
        <v>63000</v>
      </c>
      <c r="M64" s="140">
        <f>$D64*SUM($E$27:M$27)</f>
        <v>63000</v>
      </c>
      <c r="N64" s="140">
        <f>$D64*SUM($E$27:N$27)</f>
        <v>63000</v>
      </c>
      <c r="O64" s="140">
        <f>$D64*SUM($E$27:O$27)</f>
        <v>63000</v>
      </c>
      <c r="P64" s="140">
        <f>$D64*SUM($E$27:P$27)</f>
        <v>63000</v>
      </c>
      <c r="Q64" s="140">
        <f>$D64*SUM($E$27:Q$27)</f>
        <v>63000</v>
      </c>
      <c r="R64" s="140">
        <f>$D64*SUM($E$27:R$27)</f>
        <v>63000</v>
      </c>
      <c r="S64" s="140">
        <f>$D64*SUM($E$27:S$27)</f>
        <v>63000</v>
      </c>
      <c r="T64" s="141">
        <f>$D64*SUM($E$27:T$27)</f>
        <v>63000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24000</v>
      </c>
      <c r="E102" s="112"/>
      <c r="F102" s="140">
        <f t="shared" ref="F102:T102" si="6">$D$102*F27</f>
        <v>240000</v>
      </c>
      <c r="G102" s="140">
        <f t="shared" si="6"/>
        <v>0</v>
      </c>
      <c r="H102" s="140">
        <f t="shared" si="6"/>
        <v>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1200</v>
      </c>
      <c r="E103" s="112"/>
      <c r="F103" s="140">
        <f>$D103*SUM($E$27:F$27)</f>
        <v>12000</v>
      </c>
      <c r="G103" s="140">
        <f>$D103*SUM($E$27:G$27)</f>
        <v>12000</v>
      </c>
      <c r="H103" s="140">
        <f>$D103*SUM($E$27:H$27)</f>
        <v>12000</v>
      </c>
      <c r="I103" s="140">
        <f>$D103*SUM($E$27:I$27)</f>
        <v>12000</v>
      </c>
      <c r="J103" s="140">
        <f>$D103*SUM($E$27:J$27)</f>
        <v>12000</v>
      </c>
      <c r="K103" s="140">
        <f>$D103*SUM($E$27:K$27)</f>
        <v>12000</v>
      </c>
      <c r="L103" s="140">
        <f>$D103*SUM($E$27:L$27)</f>
        <v>12000</v>
      </c>
      <c r="M103" s="140">
        <f>$D103*SUM($E$27:M$27)</f>
        <v>12000</v>
      </c>
      <c r="N103" s="140">
        <f>$D103*SUM($E$27:N$27)</f>
        <v>12000</v>
      </c>
      <c r="O103" s="140">
        <f>$D103*SUM($E$27:O$27)</f>
        <v>12000</v>
      </c>
      <c r="P103" s="140">
        <f>$D103*SUM($E$27:P$27)</f>
        <v>12000</v>
      </c>
      <c r="Q103" s="140">
        <f>$D103*SUM($E$27:Q$27)</f>
        <v>12000</v>
      </c>
      <c r="R103" s="140">
        <f>$D103*SUM($E$27:R$27)</f>
        <v>12000</v>
      </c>
      <c r="S103" s="140">
        <f>$D103*SUM($E$27:S$27)</f>
        <v>12000</v>
      </c>
      <c r="T103" s="141">
        <f>$D103*SUM($E$27:T$27)</f>
        <v>12000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24000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282</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G7:T15"/>
    <mergeCell ref="N18:Q18"/>
    <mergeCell ref="N19:Q19"/>
    <mergeCell ref="B113:E122"/>
    <mergeCell ref="N17:R17"/>
    <mergeCell ref="N21:R21"/>
    <mergeCell ref="B43:D43"/>
    <mergeCell ref="B100:D100"/>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792B75D7-83FD-44A3-8B47-EC1028B2E7D6}">
          <x14:formula1>
            <xm:f>'Inputs and assumptions'!$J$17:$J$18</xm:f>
          </x14:formula1>
          <xm:sqref>E43</xm:sqref>
        </x14:dataValidation>
        <x14:dataValidation type="list" allowBlank="1" showInputMessage="1" showErrorMessage="1" xr:uid="{786F7F2A-4100-4F64-9320-39D77B120017}">
          <x14:formula1>
            <xm:f>'Inputs and assumptions'!$H$27:$H$29</xm:f>
          </x14:formula1>
          <xm:sqref>E11</xm:sqref>
        </x14:dataValidation>
        <x14:dataValidation type="list" allowBlank="1" showInputMessage="1" showErrorMessage="1" xr:uid="{105CBC9C-37B8-4E66-8FBF-B5E980797669}">
          <x14:formula1>
            <xm:f>'Inputs and assumptions'!$H$23:$H$24</xm:f>
          </x14:formula1>
          <xm:sqref>E10</xm:sqref>
        </x14:dataValidation>
        <x14:dataValidation type="list" allowBlank="1" showInputMessage="1" showErrorMessage="1" xr:uid="{3A0E25CD-D092-4783-A6EE-EC428B46C4F2}">
          <x14:formula1>
            <xm:f>'Inputs and assumptions'!$G$16:$G$20</xm:f>
          </x14:formula1>
          <xm:sqref>E7</xm:sqref>
        </x14:dataValidation>
        <x14:dataValidation type="list" allowBlank="1" showInputMessage="1" showErrorMessage="1" xr:uid="{2A2A1659-7E6F-47AB-B669-88D9E558DC22}">
          <x14:formula1>
            <xm:f>'Inputs and assumptions'!$H$16:$H$20</xm:f>
          </x14:formula1>
          <xm:sqref>E8</xm:sqref>
        </x14:dataValidation>
        <x14:dataValidation type="list" allowBlank="1" showInputMessage="1" showErrorMessage="1" xr:uid="{F741F40C-4DF2-47EE-9D2C-BBEE91AFB540}">
          <x14:formula1>
            <xm:f>'Inputs and assumptions'!$H$31:$H$34</xm:f>
          </x14:formula1>
          <xm:sqref>E12</xm:sqref>
        </x14:dataValidation>
        <x14:dataValidation type="list" allowBlank="1" showInputMessage="1" showErrorMessage="1" xr:uid="{E01AD44F-0C46-4B62-83B4-1614A1444CC1}">
          <x14:formula1>
            <xm:f>'Inputs and assumptions'!$H$36:$H$40</xm:f>
          </x14:formula1>
          <xm:sqref>E13</xm:sqref>
        </x14:dataValidation>
        <x14:dataValidation type="list" allowBlank="1" showInputMessage="1" showErrorMessage="1" xr:uid="{3C46EB16-C487-402A-9637-AE1C2EB1FADF}">
          <x14:formula1>
            <xm:f>'Inputs and assumptions'!$J$21:$J$24</xm:f>
          </x14:formula1>
          <xm:sqref>E14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C51EB-82DD-43B6-B590-0665519D64E1}">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283</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181</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123</v>
      </c>
      <c r="G7" s="586" t="s">
        <v>284</v>
      </c>
      <c r="H7" s="586"/>
      <c r="I7" s="586"/>
      <c r="J7" s="586"/>
      <c r="K7" s="586"/>
      <c r="L7" s="586"/>
      <c r="M7" s="586"/>
      <c r="N7" s="586"/>
      <c r="O7" s="586"/>
      <c r="P7" s="586"/>
      <c r="Q7" s="586"/>
      <c r="R7" s="586"/>
      <c r="S7" s="586"/>
      <c r="T7" s="586"/>
    </row>
    <row r="8" spans="1:23" s="170" customFormat="1" ht="15.75" customHeight="1" x14ac:dyDescent="0.35">
      <c r="B8" s="328" t="s">
        <v>3</v>
      </c>
      <c r="C8" s="230"/>
      <c r="E8" s="329" t="s">
        <v>124</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285</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3" ht="35.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-1141701.6264460755</v>
      </c>
      <c r="J18" s="222"/>
      <c r="K18" s="220" t="s">
        <v>220</v>
      </c>
      <c r="L18" s="223">
        <f>SUM(F34:J34)</f>
        <v>1250000</v>
      </c>
      <c r="N18" s="584" t="s">
        <v>221</v>
      </c>
      <c r="O18" s="584"/>
      <c r="P18" s="584"/>
      <c r="Q18" s="584"/>
      <c r="R18" s="314"/>
      <c r="S18" s="161"/>
      <c r="T18" s="315" t="s">
        <v>227</v>
      </c>
    </row>
    <row r="19" spans="2:20" ht="13.5" customHeight="1" x14ac:dyDescent="0.3">
      <c r="B19" s="160" t="s">
        <v>19</v>
      </c>
      <c r="C19" s="182">
        <v>3</v>
      </c>
      <c r="D19" s="161">
        <v>0.18</v>
      </c>
      <c r="E19" s="162">
        <f>D19*C19</f>
        <v>0.54</v>
      </c>
      <c r="G19" s="224"/>
      <c r="H19" s="125" t="s">
        <v>20</v>
      </c>
      <c r="I19" s="126">
        <f>D40</f>
        <v>-173851.72925421904</v>
      </c>
      <c r="J19" s="127"/>
      <c r="K19" s="125" t="s">
        <v>223</v>
      </c>
      <c r="L19" s="225">
        <f>SUM(F36:J36)</f>
        <v>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0.84772577595830345</v>
      </c>
      <c r="J20" s="127"/>
      <c r="K20" s="125" t="s">
        <v>225</v>
      </c>
      <c r="L20" s="225">
        <f>NPV($D$33,F39:T39)</f>
        <v>967849.89719185629</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0.56515051730553556</v>
      </c>
      <c r="J21" s="226"/>
      <c r="K21" s="436" t="s">
        <v>228</v>
      </c>
      <c r="L21" s="439">
        <f>NPV($D$33,F39:J39)</f>
        <v>283464.21821647533</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2.8200000000000003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50</v>
      </c>
      <c r="E27" s="112"/>
      <c r="F27" s="227">
        <v>10</v>
      </c>
      <c r="G27" s="227">
        <v>10</v>
      </c>
      <c r="H27" s="227">
        <v>15</v>
      </c>
      <c r="I27" s="227">
        <v>15</v>
      </c>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250000</v>
      </c>
      <c r="G34" s="140">
        <f t="shared" si="0"/>
        <v>250000</v>
      </c>
      <c r="H34" s="140">
        <f t="shared" si="0"/>
        <v>375000</v>
      </c>
      <c r="I34" s="140">
        <f t="shared" si="0"/>
        <v>375000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375000</v>
      </c>
      <c r="G35" s="140">
        <f>G34*(1+'Inputs and assumptions'!$C$7)</f>
        <v>375000</v>
      </c>
      <c r="H35" s="140">
        <f>H34*(1+'Inputs and assumptions'!$C$7)</f>
        <v>562500</v>
      </c>
      <c r="I35" s="140">
        <f>I34*(1+'Inputs and assumptions'!$C$7)</f>
        <v>562500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-1141701.6264460755</v>
      </c>
      <c r="E37" s="248"/>
      <c r="F37" s="144">
        <f t="shared" ref="F37:T37" si="2">-F34-F36</f>
        <v>-250000</v>
      </c>
      <c r="G37" s="144">
        <f t="shared" si="2"/>
        <v>-250000</v>
      </c>
      <c r="H37" s="144">
        <f t="shared" si="2"/>
        <v>-375000</v>
      </c>
      <c r="I37" s="144">
        <f t="shared" si="2"/>
        <v>-375000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375000</v>
      </c>
      <c r="G38" s="142">
        <f t="shared" ref="G38:T38" si="3">G35+G36</f>
        <v>375000</v>
      </c>
      <c r="H38" s="142">
        <f t="shared" si="3"/>
        <v>562500</v>
      </c>
      <c r="I38" s="142">
        <f t="shared" si="3"/>
        <v>562500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19431.798641634054</v>
      </c>
      <c r="G39" s="140">
        <f t="shared" si="4"/>
        <v>38863.597283268107</v>
      </c>
      <c r="H39" s="140">
        <f t="shared" si="4"/>
        <v>68011.295245719186</v>
      </c>
      <c r="I39" s="140">
        <f t="shared" si="4"/>
        <v>97158.993208170257</v>
      </c>
      <c r="J39" s="140">
        <f t="shared" si="4"/>
        <v>97158.993208170257</v>
      </c>
      <c r="K39" s="140">
        <f t="shared" si="4"/>
        <v>97158.993208170257</v>
      </c>
      <c r="L39" s="140">
        <f t="shared" si="4"/>
        <v>97158.993208170257</v>
      </c>
      <c r="M39" s="140">
        <f t="shared" si="4"/>
        <v>97158.993208170257</v>
      </c>
      <c r="N39" s="140">
        <f t="shared" si="4"/>
        <v>97158.993208170257</v>
      </c>
      <c r="O39" s="140">
        <f t="shared" si="4"/>
        <v>97158.993208170257</v>
      </c>
      <c r="P39" s="140">
        <f t="shared" si="4"/>
        <v>97158.993208170257</v>
      </c>
      <c r="Q39" s="140">
        <f t="shared" si="4"/>
        <v>97158.993208170257</v>
      </c>
      <c r="R39" s="140">
        <f t="shared" si="4"/>
        <v>97158.993208170257</v>
      </c>
      <c r="S39" s="140">
        <f t="shared" si="4"/>
        <v>97158.993208170257</v>
      </c>
      <c r="T39" s="141">
        <f t="shared" si="4"/>
        <v>97158.993208170257</v>
      </c>
    </row>
    <row r="40" spans="2:20" x14ac:dyDescent="0.3">
      <c r="B40" s="123" t="s">
        <v>46</v>
      </c>
      <c r="C40" s="112"/>
      <c r="D40" s="134">
        <f>NPV($D$33,F40:T40)</f>
        <v>-173851.72925421904</v>
      </c>
      <c r="E40" s="112"/>
      <c r="F40" s="140">
        <f t="shared" ref="F40:T40" si="5">F39+F37</f>
        <v>-230568.20135836594</v>
      </c>
      <c r="G40" s="140">
        <f t="shared" si="5"/>
        <v>-211136.40271673189</v>
      </c>
      <c r="H40" s="140">
        <f t="shared" si="5"/>
        <v>-306988.7047542808</v>
      </c>
      <c r="I40" s="140">
        <f t="shared" si="5"/>
        <v>-277841.00679182971</v>
      </c>
      <c r="J40" s="140">
        <f t="shared" si="5"/>
        <v>97158.993208170257</v>
      </c>
      <c r="K40" s="140">
        <f t="shared" si="5"/>
        <v>97158.993208170257</v>
      </c>
      <c r="L40" s="140">
        <f t="shared" si="5"/>
        <v>97158.993208170257</v>
      </c>
      <c r="M40" s="140">
        <f t="shared" si="5"/>
        <v>97158.993208170257</v>
      </c>
      <c r="N40" s="140">
        <f t="shared" si="5"/>
        <v>97158.993208170257</v>
      </c>
      <c r="O40" s="140">
        <f t="shared" si="5"/>
        <v>97158.993208170257</v>
      </c>
      <c r="P40" s="140">
        <f t="shared" si="5"/>
        <v>97158.993208170257</v>
      </c>
      <c r="Q40" s="140">
        <f t="shared" si="5"/>
        <v>97158.993208170257</v>
      </c>
      <c r="R40" s="140">
        <f t="shared" si="5"/>
        <v>97158.993208170257</v>
      </c>
      <c r="S40" s="140">
        <f t="shared" si="5"/>
        <v>97158.993208170257</v>
      </c>
      <c r="T40" s="141">
        <f t="shared" si="5"/>
        <v>97158.993208170257</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1943.1798641634055</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1E-4</v>
      </c>
      <c r="D46" s="261">
        <f>IFERROR(C46*'Inputs and assumptions'!D17/$D$27,0)</f>
        <v>72.989889947440602</v>
      </c>
      <c r="E46" s="112"/>
      <c r="F46" s="140">
        <f>$D46*SUM($E$27:F$27)</f>
        <v>729.89889947440599</v>
      </c>
      <c r="G46" s="140">
        <f>$D46*SUM($E$27:G$27)</f>
        <v>1459.797798948812</v>
      </c>
      <c r="H46" s="140">
        <f>$D46*SUM($E$27:H$27)</f>
        <v>2554.646148160421</v>
      </c>
      <c r="I46" s="140">
        <f>$D46*SUM($E$27:I$27)</f>
        <v>3649.4944973720303</v>
      </c>
      <c r="J46" s="140">
        <f>$D46*SUM($E$27:J$27)</f>
        <v>3649.4944973720303</v>
      </c>
      <c r="K46" s="140">
        <f>$D46*SUM($E$27:K$27)</f>
        <v>3649.4944973720303</v>
      </c>
      <c r="L46" s="140">
        <f>$D46*SUM($E$27:L$27)</f>
        <v>3649.4944973720303</v>
      </c>
      <c r="M46" s="140">
        <f>$D46*SUM($E$27:M$27)</f>
        <v>3649.4944973720303</v>
      </c>
      <c r="N46" s="140">
        <f>$D46*SUM($E$27:N$27)</f>
        <v>3649.4944973720303</v>
      </c>
      <c r="O46" s="140">
        <f>$D46*SUM($E$27:O$27)</f>
        <v>3649.4944973720303</v>
      </c>
      <c r="P46" s="140">
        <f>$D46*SUM($E$27:P$27)</f>
        <v>3649.4944973720303</v>
      </c>
      <c r="Q46" s="140">
        <f>$D46*SUM($E$27:Q$27)</f>
        <v>3649.4944973720303</v>
      </c>
      <c r="R46" s="140">
        <f>$D46*SUM($E$27:R$27)</f>
        <v>3649.4944973720303</v>
      </c>
      <c r="S46" s="140">
        <f>$D46*SUM($E$27:S$27)</f>
        <v>3649.4944973720303</v>
      </c>
      <c r="T46" s="141">
        <f>$D46*SUM($E$27:T$27)</f>
        <v>3649.4944973720303</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v>1E-4</v>
      </c>
      <c r="D48" s="261">
        <f>IFERROR(C48*'Inputs and assumptions'!D19/$D$27,0)</f>
        <v>10.189974215964735</v>
      </c>
      <c r="E48" s="112"/>
      <c r="F48" s="140">
        <f>$D48*SUM($E$27:F$27)</f>
        <v>101.89974215964736</v>
      </c>
      <c r="G48" s="140">
        <f>$D48*SUM($E$27:G$27)</f>
        <v>203.79948431929472</v>
      </c>
      <c r="H48" s="140">
        <f>$D48*SUM($E$27:H$27)</f>
        <v>356.64909755876573</v>
      </c>
      <c r="I48" s="140">
        <f>$D48*SUM($E$27:I$27)</f>
        <v>509.49871079823674</v>
      </c>
      <c r="J48" s="140">
        <f>$D48*SUM($E$27:J$27)</f>
        <v>509.49871079823674</v>
      </c>
      <c r="K48" s="140">
        <f>$D48*SUM($E$27:K$27)</f>
        <v>509.49871079823674</v>
      </c>
      <c r="L48" s="140">
        <f>$D48*SUM($E$27:L$27)</f>
        <v>509.49871079823674</v>
      </c>
      <c r="M48" s="140">
        <f>$D48*SUM($E$27:M$27)</f>
        <v>509.49871079823674</v>
      </c>
      <c r="N48" s="140">
        <f>$D48*SUM($E$27:N$27)</f>
        <v>509.49871079823674</v>
      </c>
      <c r="O48" s="140">
        <f>$D48*SUM($E$27:O$27)</f>
        <v>509.49871079823674</v>
      </c>
      <c r="P48" s="140">
        <f>$D48*SUM($E$27:P$27)</f>
        <v>509.49871079823674</v>
      </c>
      <c r="Q48" s="140">
        <f>$D48*SUM($E$27:Q$27)</f>
        <v>509.49871079823674</v>
      </c>
      <c r="R48" s="140">
        <f>$D48*SUM($E$27:R$27)</f>
        <v>509.49871079823674</v>
      </c>
      <c r="S48" s="140">
        <f>$D48*SUM($E$27:S$27)</f>
        <v>509.49871079823674</v>
      </c>
      <c r="T48" s="141">
        <f>$D48*SUM($E$27:T$27)</f>
        <v>509.49871079823674</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1E-3</v>
      </c>
      <c r="D61" s="261">
        <f>IFERROR(C61*'Inputs and assumptions'!D32/$D$27,0)</f>
        <v>600</v>
      </c>
      <c r="E61" s="112"/>
      <c r="F61" s="140">
        <f>$D61*SUM($E$27:F$27)</f>
        <v>6000</v>
      </c>
      <c r="G61" s="140">
        <f>$D61*SUM($E$27:G$27)</f>
        <v>12000</v>
      </c>
      <c r="H61" s="140">
        <f>$D61*SUM($E$27:H$27)</f>
        <v>21000</v>
      </c>
      <c r="I61" s="140">
        <f>$D61*SUM($E$27:I$27)</f>
        <v>30000</v>
      </c>
      <c r="J61" s="140">
        <f>$D61*SUM($E$27:J$27)</f>
        <v>30000</v>
      </c>
      <c r="K61" s="140">
        <f>$D61*SUM($E$27:K$27)</f>
        <v>30000</v>
      </c>
      <c r="L61" s="140">
        <f>$D61*SUM($E$27:L$27)</f>
        <v>30000</v>
      </c>
      <c r="M61" s="140">
        <f>$D61*SUM($E$27:M$27)</f>
        <v>30000</v>
      </c>
      <c r="N61" s="140">
        <f>$D61*SUM($E$27:N$27)</f>
        <v>30000</v>
      </c>
      <c r="O61" s="140">
        <f>$D61*SUM($E$27:O$27)</f>
        <v>30000</v>
      </c>
      <c r="P61" s="140">
        <f>$D61*SUM($E$27:P$27)</f>
        <v>30000</v>
      </c>
      <c r="Q61" s="140">
        <f>$D61*SUM($E$27:Q$27)</f>
        <v>30000</v>
      </c>
      <c r="R61" s="140">
        <f>$D61*SUM($E$27:R$27)</f>
        <v>30000</v>
      </c>
      <c r="S61" s="140">
        <f>$D61*SUM($E$27:S$27)</f>
        <v>30000</v>
      </c>
      <c r="T61" s="141">
        <f>$D61*SUM($E$27:T$27)</f>
        <v>30000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5.0000000000000001E-4</v>
      </c>
      <c r="D64" s="261">
        <f>IFERROR(C64*'Inputs and assumptions'!D35/$D$27,0)</f>
        <v>1260</v>
      </c>
      <c r="E64" s="112"/>
      <c r="F64" s="140">
        <f>$D64*SUM($E$27:F$27)</f>
        <v>12600</v>
      </c>
      <c r="G64" s="140">
        <f>$D64*SUM($E$27:G$27)</f>
        <v>25200</v>
      </c>
      <c r="H64" s="140">
        <f>$D64*SUM($E$27:H$27)</f>
        <v>44100</v>
      </c>
      <c r="I64" s="140">
        <f>$D64*SUM($E$27:I$27)</f>
        <v>63000</v>
      </c>
      <c r="J64" s="140">
        <f>$D64*SUM($E$27:J$27)</f>
        <v>63000</v>
      </c>
      <c r="K64" s="140">
        <f>$D64*SUM($E$27:K$27)</f>
        <v>63000</v>
      </c>
      <c r="L64" s="140">
        <f>$D64*SUM($E$27:L$27)</f>
        <v>63000</v>
      </c>
      <c r="M64" s="140">
        <f>$D64*SUM($E$27:M$27)</f>
        <v>63000</v>
      </c>
      <c r="N64" s="140">
        <f>$D64*SUM($E$27:N$27)</f>
        <v>63000</v>
      </c>
      <c r="O64" s="140">
        <f>$D64*SUM($E$27:O$27)</f>
        <v>63000</v>
      </c>
      <c r="P64" s="140">
        <f>$D64*SUM($E$27:P$27)</f>
        <v>63000</v>
      </c>
      <c r="Q64" s="140">
        <f>$D64*SUM($E$27:Q$27)</f>
        <v>63000</v>
      </c>
      <c r="R64" s="140">
        <f>$D64*SUM($E$27:R$27)</f>
        <v>63000</v>
      </c>
      <c r="S64" s="140">
        <f>$D64*SUM($E$27:S$27)</f>
        <v>63000</v>
      </c>
      <c r="T64" s="141">
        <f>$D64*SUM($E$27:T$27)</f>
        <v>63000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25000</v>
      </c>
      <c r="E102" s="112"/>
      <c r="F102" s="140">
        <f t="shared" ref="F102:T102" si="6">$D$102*F27</f>
        <v>250000</v>
      </c>
      <c r="G102" s="140">
        <f t="shared" si="6"/>
        <v>250000</v>
      </c>
      <c r="H102" s="140">
        <f t="shared" si="6"/>
        <v>375000</v>
      </c>
      <c r="I102" s="140">
        <f t="shared" si="6"/>
        <v>375000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286</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H70 F103:H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7361A235-7721-44E3-869F-4C50DF568B3E}">
          <x14:formula1>
            <xm:f>'Inputs and assumptions'!$J$17:$J$18</xm:f>
          </x14:formula1>
          <xm:sqref>E43</xm:sqref>
        </x14:dataValidation>
        <x14:dataValidation type="list" allowBlank="1" showInputMessage="1" showErrorMessage="1" xr:uid="{A781C66D-E7BC-4A2F-828E-34E48A940DA8}">
          <x14:formula1>
            <xm:f>'Inputs and assumptions'!$H$27:$H$29</xm:f>
          </x14:formula1>
          <xm:sqref>E11</xm:sqref>
        </x14:dataValidation>
        <x14:dataValidation type="list" allowBlank="1" showInputMessage="1" showErrorMessage="1" xr:uid="{909AD243-8990-4F2F-9FF1-3453FAC6D788}">
          <x14:formula1>
            <xm:f>'Inputs and assumptions'!$H$23:$H$24</xm:f>
          </x14:formula1>
          <xm:sqref>E10</xm:sqref>
        </x14:dataValidation>
        <x14:dataValidation type="list" allowBlank="1" showInputMessage="1" showErrorMessage="1" xr:uid="{1B5508E3-D522-4C47-B1EE-A09A1AA9F5E5}">
          <x14:formula1>
            <xm:f>'Inputs and assumptions'!$G$16:$G$20</xm:f>
          </x14:formula1>
          <xm:sqref>E7</xm:sqref>
        </x14:dataValidation>
        <x14:dataValidation type="list" allowBlank="1" showInputMessage="1" showErrorMessage="1" xr:uid="{68FA7777-78F1-464D-8048-B2AE71E8E5A3}">
          <x14:formula1>
            <xm:f>'Inputs and assumptions'!$H$16:$H$20</xm:f>
          </x14:formula1>
          <xm:sqref>E8</xm:sqref>
        </x14:dataValidation>
        <x14:dataValidation type="list" allowBlank="1" showInputMessage="1" showErrorMessage="1" xr:uid="{471D56A6-FAFE-49FA-9374-E7B152EDDF7B}">
          <x14:formula1>
            <xm:f>'Inputs and assumptions'!$H$31:$H$34</xm:f>
          </x14:formula1>
          <xm:sqref>E12</xm:sqref>
        </x14:dataValidation>
        <x14:dataValidation type="list" allowBlank="1" showInputMessage="1" showErrorMessage="1" xr:uid="{C55865CB-CB0A-421F-B758-9507BAE55BD6}">
          <x14:formula1>
            <xm:f>'Inputs and assumptions'!$H$36:$H$40</xm:f>
          </x14:formula1>
          <xm:sqref>E13</xm:sqref>
        </x14:dataValidation>
        <x14:dataValidation type="list" allowBlank="1" showInputMessage="1" showErrorMessage="1" xr:uid="{A9D47E9F-A2C6-44ED-8186-A3514E4A2D98}">
          <x14:formula1>
            <xm:f>'Inputs and assumptions'!$J$21:$J$24</xm:f>
          </x14:formula1>
          <xm:sqref>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4188-0F89-4219-9C40-E79F1ED11A52}">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8" width="11.453125" style="109" customWidth="1"/>
    <col min="9" max="9" width="11.54296875" style="109" customWidth="1"/>
    <col min="10" max="11" width="11.453125" style="109" customWidth="1"/>
    <col min="12" max="12" width="12.26953125" style="109" customWidth="1"/>
    <col min="13"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287</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182</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288</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243</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22.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-1167302.9277556213</v>
      </c>
      <c r="J18" s="222"/>
      <c r="K18" s="220" t="s">
        <v>220</v>
      </c>
      <c r="L18" s="223">
        <f>SUM(F34:J34)</f>
        <v>1150000</v>
      </c>
      <c r="N18" s="584" t="s">
        <v>221</v>
      </c>
      <c r="O18" s="584"/>
      <c r="P18" s="584"/>
      <c r="Q18" s="584"/>
      <c r="R18" s="314"/>
      <c r="S18" s="161"/>
      <c r="T18" s="315" t="s">
        <v>227</v>
      </c>
    </row>
    <row r="19" spans="2:20" ht="13.5" customHeight="1" x14ac:dyDescent="0.3">
      <c r="B19" s="160" t="s">
        <v>19</v>
      </c>
      <c r="C19" s="182">
        <v>5</v>
      </c>
      <c r="D19" s="161">
        <v>0.18</v>
      </c>
      <c r="E19" s="162">
        <f>D19*C19</f>
        <v>0.89999999999999991</v>
      </c>
      <c r="G19" s="224"/>
      <c r="H19" s="125" t="s">
        <v>20</v>
      </c>
      <c r="I19" s="126">
        <f>D40</f>
        <v>16043245.935312664</v>
      </c>
      <c r="J19" s="127"/>
      <c r="K19" s="125" t="s">
        <v>223</v>
      </c>
      <c r="L19" s="225">
        <f>SUM(F36:J36)</f>
        <v>40000</v>
      </c>
      <c r="N19" s="585" t="s">
        <v>224</v>
      </c>
      <c r="O19" s="585"/>
      <c r="P19" s="585"/>
      <c r="Q19" s="585"/>
      <c r="R19" s="314"/>
      <c r="S19" s="161"/>
      <c r="T19" s="315" t="s">
        <v>227</v>
      </c>
    </row>
    <row r="20" spans="2:20" ht="13.5" customHeight="1" x14ac:dyDescent="0.3">
      <c r="B20" s="160" t="s">
        <v>21</v>
      </c>
      <c r="C20" s="182">
        <v>3</v>
      </c>
      <c r="D20" s="161">
        <v>0.18</v>
      </c>
      <c r="E20" s="162">
        <f>D20*C20</f>
        <v>0.54</v>
      </c>
      <c r="G20" s="224"/>
      <c r="H20" s="125" t="s">
        <v>22</v>
      </c>
      <c r="I20" s="217">
        <f>IFERROR(ABS((I19-I18)/I18),"N/A")</f>
        <v>14.74385821695752</v>
      </c>
      <c r="J20" s="127"/>
      <c r="K20" s="125" t="s">
        <v>225</v>
      </c>
      <c r="L20" s="225">
        <f>NPV($D$33,F39:T39)</f>
        <v>17210548.863068283</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9.9983895139925867</v>
      </c>
      <c r="J21" s="226"/>
      <c r="K21" s="436" t="s">
        <v>228</v>
      </c>
      <c r="L21" s="439">
        <f>NPV($D$33,F39:J39)</f>
        <v>10330153.59293456</v>
      </c>
      <c r="N21" s="570" t="s">
        <v>229</v>
      </c>
      <c r="O21" s="570"/>
      <c r="P21" s="570"/>
      <c r="Q21" s="570"/>
      <c r="R21" s="570"/>
      <c r="S21" s="164"/>
      <c r="T21" s="165"/>
    </row>
    <row r="22" spans="2:20" ht="13.5" customHeight="1" x14ac:dyDescent="0.3">
      <c r="B22" s="160" t="s">
        <v>230</v>
      </c>
      <c r="C22" s="182">
        <v>2</v>
      </c>
      <c r="D22" s="161">
        <v>0.17</v>
      </c>
      <c r="E22" s="162">
        <f>D22*C22</f>
        <v>0.34</v>
      </c>
      <c r="L22" s="218"/>
    </row>
    <row r="23" spans="2:20" ht="13.5" customHeight="1" x14ac:dyDescent="0.3">
      <c r="B23" s="117" t="s">
        <v>229</v>
      </c>
      <c r="C23" s="117"/>
      <c r="D23" s="164">
        <f>SUM(D18:D22)</f>
        <v>0.99999999999999989</v>
      </c>
      <c r="E23" s="165">
        <f>SUM(E18:E22)</f>
        <v>2.7199999999999998</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3">
        <v>0.9</v>
      </c>
      <c r="G29" s="293">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1035000</v>
      </c>
      <c r="G34" s="140">
        <f t="shared" si="0"/>
        <v>115000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1552500</v>
      </c>
      <c r="G35" s="140">
        <f>G34*(1+'Inputs and assumptions'!$C$7)</f>
        <v>172500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-1167302.9277556213</v>
      </c>
      <c r="E37" s="248"/>
      <c r="F37" s="144">
        <f t="shared" ref="F37:T37" si="2">-F34-F36</f>
        <v>-1035000</v>
      </c>
      <c r="G37" s="144">
        <f t="shared" si="2"/>
        <v>-125000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1552500</v>
      </c>
      <c r="G38" s="142">
        <f t="shared" ref="G38:T38" si="3">G35+G36</f>
        <v>182500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2905000</v>
      </c>
      <c r="H39" s="140">
        <f t="shared" si="4"/>
        <v>2905000</v>
      </c>
      <c r="I39" s="140">
        <f t="shared" si="4"/>
        <v>2905000</v>
      </c>
      <c r="J39" s="140">
        <f t="shared" si="4"/>
        <v>2905000</v>
      </c>
      <c r="K39" s="140">
        <f t="shared" si="4"/>
        <v>2905000</v>
      </c>
      <c r="L39" s="140">
        <f t="shared" si="4"/>
        <v>2905000</v>
      </c>
      <c r="M39" s="140">
        <f t="shared" si="4"/>
        <v>2905000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16043245.935312664</v>
      </c>
      <c r="E40" s="112"/>
      <c r="F40" s="140">
        <f t="shared" ref="F40:T40" si="5">F39+F37</f>
        <v>-1035000</v>
      </c>
      <c r="G40" s="140">
        <f t="shared" si="5"/>
        <v>2780000</v>
      </c>
      <c r="H40" s="140">
        <f t="shared" si="5"/>
        <v>2895000</v>
      </c>
      <c r="I40" s="140">
        <f t="shared" si="5"/>
        <v>2895000</v>
      </c>
      <c r="J40" s="140">
        <f t="shared" si="5"/>
        <v>2895000</v>
      </c>
      <c r="K40" s="140">
        <f t="shared" si="5"/>
        <v>2895000</v>
      </c>
      <c r="L40" s="140">
        <f t="shared" si="5"/>
        <v>2895000</v>
      </c>
      <c r="M40" s="140">
        <f t="shared" si="5"/>
        <v>2895000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7">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v>5.0000000000000001E-3</v>
      </c>
      <c r="D81" s="267">
        <f>C81*'Inputs and assumptions'!D24</f>
        <v>235000</v>
      </c>
      <c r="F81" s="294">
        <f>$D81*F$28</f>
        <v>0</v>
      </c>
      <c r="G81" s="294">
        <f t="shared" ref="G81:T81" si="6">$D81*G$28</f>
        <v>235000</v>
      </c>
      <c r="H81" s="294">
        <f t="shared" si="6"/>
        <v>235000</v>
      </c>
      <c r="I81" s="294">
        <f t="shared" si="6"/>
        <v>235000</v>
      </c>
      <c r="J81" s="294">
        <f t="shared" si="6"/>
        <v>235000</v>
      </c>
      <c r="K81" s="294">
        <f t="shared" si="6"/>
        <v>235000</v>
      </c>
      <c r="L81" s="294">
        <f t="shared" si="6"/>
        <v>235000</v>
      </c>
      <c r="M81" s="294">
        <f t="shared" si="6"/>
        <v>235000</v>
      </c>
      <c r="N81" s="294">
        <f t="shared" si="6"/>
        <v>0</v>
      </c>
      <c r="O81" s="294">
        <f t="shared" si="6"/>
        <v>0</v>
      </c>
      <c r="P81" s="294">
        <f t="shared" si="6"/>
        <v>0</v>
      </c>
      <c r="Q81" s="294">
        <f t="shared" si="6"/>
        <v>0</v>
      </c>
      <c r="R81" s="294">
        <f t="shared" si="6"/>
        <v>0</v>
      </c>
      <c r="S81" s="294">
        <f t="shared" si="6"/>
        <v>0</v>
      </c>
      <c r="T81" s="295">
        <f t="shared" si="6"/>
        <v>0</v>
      </c>
    </row>
    <row r="82" spans="2:20" x14ac:dyDescent="0.3">
      <c r="B82" s="193" t="s">
        <v>58</v>
      </c>
      <c r="C82" s="240"/>
      <c r="D82" s="267">
        <f>C82*'Inputs and assumptions'!D25</f>
        <v>0</v>
      </c>
      <c r="F82" s="294">
        <v>0</v>
      </c>
      <c r="G82" s="294">
        <v>0</v>
      </c>
      <c r="H82" s="294">
        <v>0</v>
      </c>
      <c r="I82" s="294">
        <v>0</v>
      </c>
      <c r="J82" s="294">
        <v>0</v>
      </c>
      <c r="K82" s="294">
        <v>0</v>
      </c>
      <c r="L82" s="294">
        <v>0</v>
      </c>
      <c r="M82" s="294">
        <v>0</v>
      </c>
      <c r="N82" s="294">
        <v>0</v>
      </c>
      <c r="O82" s="294">
        <v>0</v>
      </c>
      <c r="P82" s="294">
        <v>0</v>
      </c>
      <c r="Q82" s="294">
        <v>0</v>
      </c>
      <c r="R82" s="294">
        <v>0</v>
      </c>
      <c r="S82" s="294">
        <v>0</v>
      </c>
      <c r="T82" s="295">
        <v>0</v>
      </c>
    </row>
    <row r="83" spans="2:20" x14ac:dyDescent="0.3">
      <c r="B83" s="193" t="s">
        <v>59</v>
      </c>
      <c r="C83" s="240"/>
      <c r="D83" s="267">
        <f>C83*'Inputs and assumptions'!D26</f>
        <v>0</v>
      </c>
      <c r="F83" s="294">
        <v>0</v>
      </c>
      <c r="G83" s="294">
        <v>0</v>
      </c>
      <c r="H83" s="294">
        <v>0</v>
      </c>
      <c r="I83" s="294">
        <v>0</v>
      </c>
      <c r="J83" s="294">
        <v>0</v>
      </c>
      <c r="K83" s="294">
        <v>0</v>
      </c>
      <c r="L83" s="294">
        <v>0</v>
      </c>
      <c r="M83" s="294">
        <v>0</v>
      </c>
      <c r="N83" s="294">
        <v>0</v>
      </c>
      <c r="O83" s="294">
        <v>0</v>
      </c>
      <c r="P83" s="294">
        <v>0</v>
      </c>
      <c r="Q83" s="294">
        <v>0</v>
      </c>
      <c r="R83" s="294">
        <v>0</v>
      </c>
      <c r="S83" s="294">
        <v>0</v>
      </c>
      <c r="T83" s="295">
        <v>0</v>
      </c>
    </row>
    <row r="84" spans="2:20" x14ac:dyDescent="0.3">
      <c r="B84" s="193" t="s">
        <v>60</v>
      </c>
      <c r="C84" s="240"/>
      <c r="D84" s="267">
        <f>C84*'Inputs and assumptions'!D27</f>
        <v>0</v>
      </c>
      <c r="F84" s="294">
        <v>0</v>
      </c>
      <c r="G84" s="294">
        <v>0</v>
      </c>
      <c r="H84" s="294">
        <v>0</v>
      </c>
      <c r="I84" s="294">
        <v>0</v>
      </c>
      <c r="J84" s="294">
        <v>0</v>
      </c>
      <c r="K84" s="294">
        <v>0</v>
      </c>
      <c r="L84" s="294">
        <v>0</v>
      </c>
      <c r="M84" s="294">
        <v>0</v>
      </c>
      <c r="N84" s="294">
        <v>0</v>
      </c>
      <c r="O84" s="294">
        <v>0</v>
      </c>
      <c r="P84" s="294">
        <v>0</v>
      </c>
      <c r="Q84" s="294">
        <v>0</v>
      </c>
      <c r="R84" s="294">
        <v>0</v>
      </c>
      <c r="S84" s="294">
        <v>0</v>
      </c>
      <c r="T84" s="295">
        <v>0</v>
      </c>
    </row>
    <row r="85" spans="2:20" x14ac:dyDescent="0.3">
      <c r="B85" s="193" t="s">
        <v>61</v>
      </c>
      <c r="C85" s="240"/>
      <c r="D85" s="267">
        <f>C85*'Inputs and assumptions'!D28</f>
        <v>0</v>
      </c>
      <c r="F85" s="294">
        <v>0</v>
      </c>
      <c r="G85" s="294">
        <v>0</v>
      </c>
      <c r="H85" s="294">
        <v>0</v>
      </c>
      <c r="I85" s="294">
        <v>0</v>
      </c>
      <c r="J85" s="294">
        <v>0</v>
      </c>
      <c r="K85" s="294">
        <v>0</v>
      </c>
      <c r="L85" s="294">
        <v>0</v>
      </c>
      <c r="M85" s="294">
        <v>0</v>
      </c>
      <c r="N85" s="294">
        <v>0</v>
      </c>
      <c r="O85" s="294">
        <v>0</v>
      </c>
      <c r="P85" s="294">
        <v>0</v>
      </c>
      <c r="Q85" s="294">
        <v>0</v>
      </c>
      <c r="R85" s="294">
        <v>0</v>
      </c>
      <c r="S85" s="294">
        <v>0</v>
      </c>
      <c r="T85" s="295">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c r="D88" s="267">
        <f>C88*'Inputs and assumptions'!D31</f>
        <v>0</v>
      </c>
      <c r="F88" s="294">
        <v>0</v>
      </c>
      <c r="G88" s="294">
        <v>0</v>
      </c>
      <c r="H88" s="294">
        <v>0</v>
      </c>
      <c r="I88" s="294">
        <v>0</v>
      </c>
      <c r="J88" s="294">
        <v>0</v>
      </c>
      <c r="K88" s="294">
        <v>0</v>
      </c>
      <c r="L88" s="294">
        <v>0</v>
      </c>
      <c r="M88" s="294">
        <v>0</v>
      </c>
      <c r="N88" s="294">
        <v>0</v>
      </c>
      <c r="O88" s="294">
        <v>0</v>
      </c>
      <c r="P88" s="294">
        <v>0</v>
      </c>
      <c r="Q88" s="294">
        <v>0</v>
      </c>
      <c r="R88" s="294">
        <v>0</v>
      </c>
      <c r="S88" s="294">
        <v>0</v>
      </c>
      <c r="T88" s="295">
        <v>0</v>
      </c>
    </row>
    <row r="89" spans="2:20" x14ac:dyDescent="0.3">
      <c r="B89" s="193" t="s">
        <v>64</v>
      </c>
      <c r="C89" s="240">
        <v>5.0000000000000001E-3</v>
      </c>
      <c r="D89" s="267">
        <f>C89*'Inputs and assumptions'!D32</f>
        <v>150000</v>
      </c>
      <c r="F89" s="294">
        <f>$D89*F$28</f>
        <v>0</v>
      </c>
      <c r="G89" s="294">
        <f t="shared" ref="G89:T89" si="7">$D89*G$28</f>
        <v>150000</v>
      </c>
      <c r="H89" s="294">
        <f t="shared" si="7"/>
        <v>150000</v>
      </c>
      <c r="I89" s="294">
        <f t="shared" si="7"/>
        <v>150000</v>
      </c>
      <c r="J89" s="294">
        <f t="shared" si="7"/>
        <v>150000</v>
      </c>
      <c r="K89" s="294">
        <f t="shared" si="7"/>
        <v>150000</v>
      </c>
      <c r="L89" s="294">
        <f t="shared" si="7"/>
        <v>150000</v>
      </c>
      <c r="M89" s="294">
        <f t="shared" si="7"/>
        <v>150000</v>
      </c>
      <c r="N89" s="294">
        <f t="shared" si="7"/>
        <v>0</v>
      </c>
      <c r="O89" s="294">
        <f t="shared" si="7"/>
        <v>0</v>
      </c>
      <c r="P89" s="294">
        <f t="shared" si="7"/>
        <v>0</v>
      </c>
      <c r="Q89" s="294">
        <f t="shared" si="7"/>
        <v>0</v>
      </c>
      <c r="R89" s="294">
        <f t="shared" si="7"/>
        <v>0</v>
      </c>
      <c r="S89" s="294">
        <f t="shared" si="7"/>
        <v>0</v>
      </c>
      <c r="T89" s="295">
        <f t="shared" si="7"/>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v>0.02</v>
      </c>
      <c r="D92" s="267">
        <f>C92*'Inputs and assumptions'!D35</f>
        <v>2520000</v>
      </c>
      <c r="F92" s="294">
        <f>$D92*F$28</f>
        <v>0</v>
      </c>
      <c r="G92" s="294">
        <f t="shared" ref="G92:T92" si="8">$D92*G$28</f>
        <v>2520000</v>
      </c>
      <c r="H92" s="294">
        <f t="shared" si="8"/>
        <v>2520000</v>
      </c>
      <c r="I92" s="294">
        <f t="shared" si="8"/>
        <v>2520000</v>
      </c>
      <c r="J92" s="294">
        <f t="shared" si="8"/>
        <v>2520000</v>
      </c>
      <c r="K92" s="294">
        <f t="shared" si="8"/>
        <v>2520000</v>
      </c>
      <c r="L92" s="294">
        <f t="shared" si="8"/>
        <v>2520000</v>
      </c>
      <c r="M92" s="294">
        <f t="shared" si="8"/>
        <v>2520000</v>
      </c>
      <c r="N92" s="294">
        <f t="shared" si="8"/>
        <v>0</v>
      </c>
      <c r="O92" s="294">
        <f t="shared" si="8"/>
        <v>0</v>
      </c>
      <c r="P92" s="294">
        <f t="shared" si="8"/>
        <v>0</v>
      </c>
      <c r="Q92" s="294">
        <f t="shared" si="8"/>
        <v>0</v>
      </c>
      <c r="R92" s="294">
        <f t="shared" si="8"/>
        <v>0</v>
      </c>
      <c r="S92" s="294">
        <f t="shared" si="8"/>
        <v>0</v>
      </c>
      <c r="T92" s="295">
        <f t="shared" si="8"/>
        <v>0</v>
      </c>
    </row>
    <row r="93" spans="2:20" x14ac:dyDescent="0.3">
      <c r="B93" s="193" t="s">
        <v>67</v>
      </c>
      <c r="C93" s="240"/>
      <c r="D93" s="267">
        <f>C93*'Inputs and assumptions'!D36</f>
        <v>0</v>
      </c>
      <c r="F93" s="294">
        <v>0</v>
      </c>
      <c r="G93" s="294">
        <v>0</v>
      </c>
      <c r="H93" s="294">
        <v>0</v>
      </c>
      <c r="I93" s="294">
        <v>0</v>
      </c>
      <c r="J93" s="294">
        <v>0</v>
      </c>
      <c r="K93" s="294">
        <v>0</v>
      </c>
      <c r="L93" s="294">
        <v>0</v>
      </c>
      <c r="M93" s="294">
        <v>0</v>
      </c>
      <c r="N93" s="294">
        <v>0</v>
      </c>
      <c r="O93" s="294">
        <v>0</v>
      </c>
      <c r="P93" s="294">
        <v>0</v>
      </c>
      <c r="Q93" s="294">
        <v>0</v>
      </c>
      <c r="R93" s="294">
        <v>0</v>
      </c>
      <c r="S93" s="294">
        <v>0</v>
      </c>
      <c r="T93" s="295">
        <v>0</v>
      </c>
    </row>
    <row r="94" spans="2:20" x14ac:dyDescent="0.3">
      <c r="B94" s="193" t="s">
        <v>68</v>
      </c>
      <c r="C94" s="240"/>
      <c r="D94" s="267">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7">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7">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7">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70">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9">$D$102*F27</f>
        <v>0</v>
      </c>
      <c r="G102" s="140">
        <f t="shared" si="9"/>
        <v>0</v>
      </c>
      <c r="H102" s="140">
        <f t="shared" si="9"/>
        <v>0</v>
      </c>
      <c r="I102" s="140">
        <f t="shared" si="9"/>
        <v>0</v>
      </c>
      <c r="J102" s="140">
        <f t="shared" si="9"/>
        <v>0</v>
      </c>
      <c r="K102" s="140">
        <f t="shared" si="9"/>
        <v>0</v>
      </c>
      <c r="L102" s="140">
        <f t="shared" si="9"/>
        <v>0</v>
      </c>
      <c r="M102" s="140">
        <f t="shared" si="9"/>
        <v>0</v>
      </c>
      <c r="N102" s="140">
        <f t="shared" si="9"/>
        <v>0</v>
      </c>
      <c r="O102" s="140">
        <f t="shared" si="9"/>
        <v>0</v>
      </c>
      <c r="P102" s="140">
        <f t="shared" si="9"/>
        <v>0</v>
      </c>
      <c r="Q102" s="140">
        <f t="shared" si="9"/>
        <v>0</v>
      </c>
      <c r="R102" s="140">
        <f t="shared" si="9"/>
        <v>0</v>
      </c>
      <c r="S102" s="140">
        <f t="shared" si="9"/>
        <v>0</v>
      </c>
      <c r="T102" s="141">
        <f t="shared" si="9"/>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1035000</v>
      </c>
      <c r="G107" s="294">
        <f>$E$111*G29</f>
        <v>115000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1150000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289</v>
      </c>
      <c r="C113" s="605"/>
      <c r="D113" s="605"/>
      <c r="E113" s="606"/>
      <c r="F113" s="181"/>
      <c r="G113" s="181"/>
      <c r="H113" s="181"/>
      <c r="I113" s="181"/>
      <c r="J113" s="181"/>
      <c r="K113" s="181"/>
      <c r="L113" s="181"/>
      <c r="M113" s="181"/>
      <c r="N113" s="181"/>
      <c r="O113" s="181"/>
      <c r="P113" s="181"/>
      <c r="Q113" s="181"/>
      <c r="R113" s="181"/>
      <c r="S113" s="181"/>
      <c r="T113" s="181"/>
    </row>
    <row r="114" spans="2:20" ht="15" customHeight="1" x14ac:dyDescent="0.3">
      <c r="B114" s="607"/>
      <c r="C114" s="608"/>
      <c r="D114" s="608"/>
      <c r="E114" s="609"/>
      <c r="F114" s="181"/>
      <c r="G114" s="181"/>
      <c r="H114" s="181"/>
      <c r="I114" s="181"/>
      <c r="J114" s="181"/>
      <c r="K114" s="181"/>
      <c r="L114" s="181"/>
      <c r="M114" s="181"/>
      <c r="N114" s="181"/>
      <c r="O114" s="181"/>
      <c r="P114" s="181"/>
      <c r="Q114" s="181"/>
      <c r="R114" s="181"/>
      <c r="S114" s="181"/>
      <c r="T114" s="181"/>
    </row>
    <row r="115" spans="2:20" ht="15" customHeight="1" x14ac:dyDescent="0.3">
      <c r="B115" s="607"/>
      <c r="C115" s="608"/>
      <c r="D115" s="608"/>
      <c r="E115" s="609"/>
      <c r="F115" s="181"/>
      <c r="G115" s="181"/>
      <c r="H115" s="181"/>
      <c r="I115" s="181"/>
      <c r="J115" s="181"/>
      <c r="K115" s="181"/>
      <c r="L115" s="181"/>
      <c r="M115" s="181"/>
      <c r="N115" s="181"/>
      <c r="O115" s="181"/>
      <c r="P115" s="181"/>
      <c r="Q115" s="181"/>
      <c r="R115" s="181"/>
      <c r="S115" s="181"/>
      <c r="T115" s="181"/>
    </row>
    <row r="116" spans="2:20" ht="15" customHeight="1" x14ac:dyDescent="0.3">
      <c r="B116" s="607"/>
      <c r="C116" s="608"/>
      <c r="D116" s="608"/>
      <c r="E116" s="609"/>
      <c r="F116" s="181"/>
      <c r="G116" s="181"/>
      <c r="H116" s="181"/>
      <c r="I116" s="181"/>
      <c r="J116" s="181"/>
      <c r="K116" s="181"/>
      <c r="L116" s="181"/>
      <c r="M116" s="181"/>
      <c r="N116" s="181"/>
      <c r="O116" s="181"/>
      <c r="P116" s="181"/>
      <c r="Q116" s="181"/>
      <c r="R116" s="181"/>
      <c r="S116" s="181"/>
      <c r="T116" s="181"/>
    </row>
    <row r="117" spans="2:20" ht="15" customHeight="1" x14ac:dyDescent="0.3">
      <c r="B117" s="607"/>
      <c r="C117" s="608"/>
      <c r="D117" s="608"/>
      <c r="E117" s="609"/>
      <c r="F117" s="181"/>
      <c r="G117" s="181"/>
      <c r="H117" s="181"/>
      <c r="I117" s="181"/>
      <c r="J117" s="181"/>
      <c r="K117" s="181"/>
      <c r="L117" s="181"/>
      <c r="M117" s="181"/>
      <c r="N117" s="181"/>
      <c r="O117" s="181"/>
      <c r="P117" s="181"/>
      <c r="Q117" s="181"/>
      <c r="R117" s="181"/>
      <c r="S117" s="181"/>
      <c r="T117" s="181"/>
    </row>
    <row r="118" spans="2:20" ht="15" customHeight="1" x14ac:dyDescent="0.3">
      <c r="B118" s="607"/>
      <c r="C118" s="608"/>
      <c r="D118" s="608"/>
      <c r="E118" s="609"/>
      <c r="F118" s="181"/>
      <c r="G118" s="181"/>
      <c r="H118" s="181"/>
      <c r="I118" s="181"/>
      <c r="J118" s="181"/>
      <c r="K118" s="181"/>
      <c r="L118" s="181"/>
      <c r="M118" s="181"/>
      <c r="N118" s="181"/>
      <c r="O118" s="181"/>
      <c r="P118" s="181"/>
      <c r="Q118" s="181"/>
      <c r="R118" s="181"/>
      <c r="S118" s="181"/>
      <c r="T118" s="181"/>
    </row>
    <row r="119" spans="2:20" ht="15" customHeight="1" x14ac:dyDescent="0.3">
      <c r="B119" s="607"/>
      <c r="C119" s="608"/>
      <c r="D119" s="608"/>
      <c r="E119" s="609"/>
      <c r="F119" s="181"/>
      <c r="G119" s="181"/>
      <c r="H119" s="181"/>
      <c r="I119" s="181"/>
      <c r="J119" s="181"/>
      <c r="K119" s="181"/>
      <c r="L119" s="181"/>
      <c r="M119" s="181"/>
      <c r="N119" s="181"/>
      <c r="O119" s="181"/>
      <c r="P119" s="181"/>
      <c r="Q119" s="181"/>
      <c r="R119" s="181"/>
      <c r="S119" s="181"/>
      <c r="T119" s="181"/>
    </row>
    <row r="120" spans="2:20" ht="15" customHeight="1" x14ac:dyDescent="0.3">
      <c r="B120" s="607"/>
      <c r="C120" s="608"/>
      <c r="D120" s="608"/>
      <c r="E120" s="609"/>
      <c r="F120" s="181"/>
      <c r="G120" s="181"/>
      <c r="H120" s="181"/>
      <c r="I120" s="181"/>
      <c r="J120" s="181"/>
      <c r="K120" s="181"/>
      <c r="L120" s="181"/>
      <c r="M120" s="181"/>
      <c r="N120" s="181"/>
      <c r="O120" s="181"/>
      <c r="P120" s="181"/>
      <c r="Q120" s="181"/>
      <c r="R120" s="181"/>
      <c r="S120" s="181"/>
      <c r="T120" s="181"/>
    </row>
    <row r="121" spans="2:20" ht="15" customHeight="1" x14ac:dyDescent="0.3">
      <c r="B121" s="607"/>
      <c r="C121" s="608"/>
      <c r="D121" s="608"/>
      <c r="E121" s="609"/>
      <c r="F121" s="181"/>
      <c r="G121" s="181"/>
      <c r="H121" s="181"/>
      <c r="I121" s="181"/>
      <c r="J121" s="181"/>
      <c r="K121" s="181"/>
      <c r="L121" s="181"/>
      <c r="M121" s="181"/>
      <c r="N121" s="181"/>
      <c r="O121" s="181"/>
      <c r="P121" s="181"/>
      <c r="Q121" s="181"/>
      <c r="R121" s="181"/>
      <c r="S121" s="181"/>
      <c r="T121" s="181"/>
    </row>
    <row r="122" spans="2:20" ht="15.75" customHeight="1" thickBot="1" x14ac:dyDescent="0.35">
      <c r="B122" s="610"/>
      <c r="C122" s="611"/>
      <c r="D122" s="611"/>
      <c r="E122" s="612"/>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4097B498-F521-482B-BA40-FF4F1F719AFA}">
          <x14:formula1>
            <xm:f>'Inputs and assumptions'!$J$17:$J$18</xm:f>
          </x14:formula1>
          <xm:sqref>E43</xm:sqref>
        </x14:dataValidation>
        <x14:dataValidation type="list" allowBlank="1" showInputMessage="1" showErrorMessage="1" xr:uid="{447EB669-CAD4-4B5C-A6D6-74391AF97D97}">
          <x14:formula1>
            <xm:f>'Inputs and assumptions'!$H$27:$H$29</xm:f>
          </x14:formula1>
          <xm:sqref>E11</xm:sqref>
        </x14:dataValidation>
        <x14:dataValidation type="list" allowBlank="1" showInputMessage="1" showErrorMessage="1" xr:uid="{D784C922-9B2F-4D24-BBF5-8C1C6938A899}">
          <x14:formula1>
            <xm:f>'Inputs and assumptions'!$H$23:$H$24</xm:f>
          </x14:formula1>
          <xm:sqref>E10</xm:sqref>
        </x14:dataValidation>
        <x14:dataValidation type="list" allowBlank="1" showInputMessage="1" showErrorMessage="1" xr:uid="{0B09DA9C-00D4-4756-B38B-A5AA1EDA7213}">
          <x14:formula1>
            <xm:f>'Inputs and assumptions'!$G$16:$G$20</xm:f>
          </x14:formula1>
          <xm:sqref>E7</xm:sqref>
        </x14:dataValidation>
        <x14:dataValidation type="list" allowBlank="1" showInputMessage="1" showErrorMessage="1" xr:uid="{E44CF199-D57B-4FBD-8BD8-0342FF61FD20}">
          <x14:formula1>
            <xm:f>'Inputs and assumptions'!$H$16:$H$20</xm:f>
          </x14:formula1>
          <xm:sqref>E8</xm:sqref>
        </x14:dataValidation>
        <x14:dataValidation type="list" allowBlank="1" showInputMessage="1" showErrorMessage="1" xr:uid="{3116610B-E6AB-42DB-906F-96BA5E6E4562}">
          <x14:formula1>
            <xm:f>'Inputs and assumptions'!$H$31:$H$34</xm:f>
          </x14:formula1>
          <xm:sqref>E12</xm:sqref>
        </x14:dataValidation>
        <x14:dataValidation type="list" allowBlank="1" showInputMessage="1" showErrorMessage="1" xr:uid="{BEDB2552-2C81-4086-952F-28A3E61D36E1}">
          <x14:formula1>
            <xm:f>'Inputs and assumptions'!$H$36:$H$40</xm:f>
          </x14:formula1>
          <xm:sqref>E13</xm:sqref>
        </x14:dataValidation>
        <x14:dataValidation type="list" allowBlank="1" showInputMessage="1" showErrorMessage="1" xr:uid="{7DCF29D1-C6BF-4495-86F3-9FEF5C66AD00}">
          <x14:formula1>
            <xm:f>'Inputs and assumptions'!$J$21:$J$24</xm:f>
          </x14:formula1>
          <xm:sqref>E14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EDDE-3A38-4333-8FDF-C45A26EBA62F}">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8" width="11.453125" style="109" customWidth="1"/>
    <col min="9" max="9" width="11.54296875" style="109" customWidth="1"/>
    <col min="10" max="11" width="11.453125" style="109" customWidth="1"/>
    <col min="12" max="12" width="12.26953125" style="109" customWidth="1"/>
    <col min="13"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290</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291</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2</v>
      </c>
      <c r="G7" s="595" t="s">
        <v>292</v>
      </c>
      <c r="H7" s="595"/>
      <c r="I7" s="595"/>
      <c r="J7" s="595"/>
      <c r="K7" s="595"/>
      <c r="L7" s="595"/>
      <c r="M7" s="595"/>
      <c r="N7" s="595"/>
      <c r="O7" s="595"/>
      <c r="P7" s="595"/>
      <c r="Q7" s="595"/>
      <c r="R7" s="595"/>
      <c r="S7" s="595"/>
      <c r="T7" s="595"/>
    </row>
    <row r="8" spans="1:23" s="170" customFormat="1" ht="15.75" customHeight="1" x14ac:dyDescent="0.35">
      <c r="B8" s="328" t="s">
        <v>3</v>
      </c>
      <c r="C8" s="230"/>
      <c r="E8" s="329" t="s">
        <v>3</v>
      </c>
      <c r="G8" s="595"/>
      <c r="H8" s="595"/>
      <c r="I8" s="595"/>
      <c r="J8" s="595"/>
      <c r="K8" s="595"/>
      <c r="L8" s="595"/>
      <c r="M8" s="595"/>
      <c r="N8" s="595"/>
      <c r="O8" s="595"/>
      <c r="P8" s="595"/>
      <c r="Q8" s="595"/>
      <c r="R8" s="595"/>
      <c r="S8" s="595"/>
      <c r="T8" s="595"/>
    </row>
    <row r="9" spans="1:23" s="170" customFormat="1" ht="15.75" customHeight="1" x14ac:dyDescent="0.35">
      <c r="B9" s="328" t="s">
        <v>4</v>
      </c>
      <c r="C9" s="230"/>
      <c r="E9" s="330" t="s">
        <v>5</v>
      </c>
      <c r="G9" s="595"/>
      <c r="H9" s="595"/>
      <c r="I9" s="595"/>
      <c r="J9" s="595"/>
      <c r="K9" s="595"/>
      <c r="L9" s="595"/>
      <c r="M9" s="595"/>
      <c r="N9" s="595"/>
      <c r="O9" s="595"/>
      <c r="P9" s="595"/>
      <c r="Q9" s="595"/>
      <c r="R9" s="595"/>
      <c r="S9" s="595"/>
      <c r="T9" s="595"/>
    </row>
    <row r="10" spans="1:23" s="170" customFormat="1" ht="15.75" customHeight="1" x14ac:dyDescent="0.35">
      <c r="B10" s="328" t="s">
        <v>6</v>
      </c>
      <c r="C10" s="230"/>
      <c r="E10" s="330" t="s">
        <v>131</v>
      </c>
      <c r="G10" s="595"/>
      <c r="H10" s="595"/>
      <c r="I10" s="595"/>
      <c r="J10" s="595"/>
      <c r="K10" s="595"/>
      <c r="L10" s="595"/>
      <c r="M10" s="595"/>
      <c r="N10" s="595"/>
      <c r="O10" s="595"/>
      <c r="P10" s="595"/>
      <c r="Q10" s="595"/>
      <c r="R10" s="595"/>
      <c r="S10" s="595"/>
      <c r="T10" s="595"/>
    </row>
    <row r="11" spans="1:23" s="170" customFormat="1" ht="15.75" customHeight="1" x14ac:dyDescent="0.35">
      <c r="B11" s="328" t="s">
        <v>7</v>
      </c>
      <c r="C11" s="230"/>
      <c r="E11" s="330" t="s">
        <v>141</v>
      </c>
      <c r="G11" s="595"/>
      <c r="H11" s="595"/>
      <c r="I11" s="595"/>
      <c r="J11" s="595"/>
      <c r="K11" s="595"/>
      <c r="L11" s="595"/>
      <c r="M11" s="595"/>
      <c r="N11" s="595"/>
      <c r="O11" s="595"/>
      <c r="P11" s="595"/>
      <c r="Q11" s="595"/>
      <c r="R11" s="595"/>
      <c r="S11" s="595"/>
      <c r="T11" s="595"/>
    </row>
    <row r="12" spans="1:23" x14ac:dyDescent="0.3">
      <c r="B12" s="331" t="s">
        <v>9</v>
      </c>
      <c r="C12" s="231"/>
      <c r="D12" s="114"/>
      <c r="E12" s="330" t="s">
        <v>147</v>
      </c>
      <c r="G12" s="595"/>
      <c r="H12" s="595"/>
      <c r="I12" s="595"/>
      <c r="J12" s="595"/>
      <c r="K12" s="595"/>
      <c r="L12" s="595"/>
      <c r="M12" s="595"/>
      <c r="N12" s="595"/>
      <c r="O12" s="595"/>
      <c r="P12" s="595"/>
      <c r="Q12" s="595"/>
      <c r="R12" s="595"/>
      <c r="S12" s="595"/>
      <c r="T12" s="595"/>
    </row>
    <row r="13" spans="1:23" x14ac:dyDescent="0.3">
      <c r="B13" s="331" t="s">
        <v>10</v>
      </c>
      <c r="C13" s="231"/>
      <c r="D13" s="114"/>
      <c r="E13" s="330" t="s">
        <v>10</v>
      </c>
      <c r="G13" s="595"/>
      <c r="H13" s="595"/>
      <c r="I13" s="595"/>
      <c r="J13" s="595"/>
      <c r="K13" s="595"/>
      <c r="L13" s="595"/>
      <c r="M13" s="595"/>
      <c r="N13" s="595"/>
      <c r="O13" s="595"/>
      <c r="P13" s="595"/>
      <c r="Q13" s="595"/>
      <c r="R13" s="595"/>
      <c r="S13" s="595"/>
      <c r="T13" s="595"/>
    </row>
    <row r="14" spans="1:23" ht="13.5" thickBot="1" x14ac:dyDescent="0.35">
      <c r="B14" s="332" t="s">
        <v>11</v>
      </c>
      <c r="C14" s="333"/>
      <c r="D14" s="334"/>
      <c r="E14" s="335" t="s">
        <v>130</v>
      </c>
      <c r="G14" s="595"/>
      <c r="H14" s="595"/>
      <c r="I14" s="595"/>
      <c r="J14" s="595"/>
      <c r="K14" s="595"/>
      <c r="L14" s="595"/>
      <c r="M14" s="595"/>
      <c r="N14" s="595"/>
      <c r="O14" s="595"/>
      <c r="P14" s="595"/>
      <c r="Q14" s="595"/>
      <c r="R14" s="595"/>
      <c r="S14" s="595"/>
      <c r="T14" s="595"/>
    </row>
    <row r="15" spans="1:23" x14ac:dyDescent="0.3">
      <c r="B15" s="438"/>
      <c r="C15" s="231"/>
      <c r="D15" s="114"/>
      <c r="E15" s="158"/>
      <c r="G15" s="595"/>
      <c r="H15" s="595"/>
      <c r="I15" s="595"/>
      <c r="J15" s="595"/>
      <c r="K15" s="595"/>
      <c r="L15" s="595"/>
      <c r="M15" s="595"/>
      <c r="N15" s="595"/>
      <c r="O15" s="595"/>
      <c r="P15" s="595"/>
      <c r="Q15" s="595"/>
      <c r="R15" s="595"/>
      <c r="S15" s="595"/>
      <c r="T15" s="595"/>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c r="D18" s="161">
        <v>0.28999999999999998</v>
      </c>
      <c r="E18" s="162">
        <f>D18*C18</f>
        <v>0</v>
      </c>
      <c r="G18" s="219"/>
      <c r="H18" s="220" t="s">
        <v>18</v>
      </c>
      <c r="I18" s="221">
        <f>D37</f>
        <v>-2309004.554201697</v>
      </c>
      <c r="J18" s="222"/>
      <c r="K18" s="220" t="s">
        <v>220</v>
      </c>
      <c r="L18" s="223">
        <f>SUM(F34:J34)</f>
        <v>2400000</v>
      </c>
      <c r="N18" s="584" t="s">
        <v>221</v>
      </c>
      <c r="O18" s="584"/>
      <c r="P18" s="584"/>
      <c r="Q18" s="584"/>
      <c r="R18" s="314"/>
      <c r="S18" s="161"/>
      <c r="T18" s="315"/>
    </row>
    <row r="19" spans="2:20" ht="13.5" customHeight="1" x14ac:dyDescent="0.3">
      <c r="B19" s="160" t="s">
        <v>19</v>
      </c>
      <c r="C19" s="182"/>
      <c r="D19" s="161">
        <v>0.18</v>
      </c>
      <c r="E19" s="162">
        <f>D19*C19</f>
        <v>0</v>
      </c>
      <c r="G19" s="224"/>
      <c r="H19" s="125" t="s">
        <v>20</v>
      </c>
      <c r="I19" s="126">
        <f>D40</f>
        <v>15869394.206058444</v>
      </c>
      <c r="J19" s="127"/>
      <c r="K19" s="125" t="s">
        <v>223</v>
      </c>
      <c r="L19" s="225">
        <f>SUM(F36:J36)</f>
        <v>40000</v>
      </c>
      <c r="N19" s="585" t="s">
        <v>224</v>
      </c>
      <c r="O19" s="585"/>
      <c r="P19" s="585"/>
      <c r="Q19" s="585"/>
      <c r="R19" s="314"/>
      <c r="S19" s="161"/>
      <c r="T19" s="315"/>
    </row>
    <row r="20" spans="2:20" ht="13.5" customHeight="1" x14ac:dyDescent="0.3">
      <c r="B20" s="160" t="s">
        <v>21</v>
      </c>
      <c r="C20" s="182"/>
      <c r="D20" s="161">
        <v>0.18</v>
      </c>
      <c r="E20" s="162">
        <f>D20*C20</f>
        <v>0</v>
      </c>
      <c r="G20" s="224"/>
      <c r="H20" s="125" t="s">
        <v>22</v>
      </c>
      <c r="I20" s="217">
        <f>IFERROR(ABS((I19-I18)/I18),"N/A")</f>
        <v>7.8728293225671209</v>
      </c>
      <c r="J20" s="127"/>
      <c r="K20" s="125" t="s">
        <v>225</v>
      </c>
      <c r="L20" s="225">
        <f>NPV($D$33,F39:T39)</f>
        <v>18178398.76026015</v>
      </c>
      <c r="N20" s="316" t="s">
        <v>226</v>
      </c>
      <c r="O20" s="316"/>
      <c r="P20" s="316"/>
      <c r="Q20" s="316"/>
      <c r="R20" s="317"/>
      <c r="S20" s="318"/>
      <c r="T20" s="315"/>
    </row>
    <row r="21" spans="2:20" ht="13.5" customHeight="1" thickBot="1" x14ac:dyDescent="0.35">
      <c r="B21" s="160" t="s">
        <v>23</v>
      </c>
      <c r="C21" s="182"/>
      <c r="D21" s="161">
        <v>0.18</v>
      </c>
      <c r="E21" s="162">
        <f>D21*C21</f>
        <v>0</v>
      </c>
      <c r="G21" s="194"/>
      <c r="H21" s="257" t="s">
        <v>166</v>
      </c>
      <c r="I21" s="258">
        <f>IFERROR(NPV($D$33,F39:T39)/NPV($D$33,F38:T38),"N/A")</f>
        <v>5.2938293430625301</v>
      </c>
      <c r="J21" s="226"/>
      <c r="K21" s="436" t="s">
        <v>228</v>
      </c>
      <c r="L21" s="439">
        <f>NPV($D$33,F39:J39)</f>
        <v>10613617.811151035</v>
      </c>
      <c r="N21" s="570" t="s">
        <v>229</v>
      </c>
      <c r="O21" s="570"/>
      <c r="P21" s="570"/>
      <c r="Q21" s="570"/>
      <c r="R21" s="570"/>
      <c r="S21" s="164"/>
      <c r="T21" s="165"/>
    </row>
    <row r="22" spans="2:20" ht="13.5" customHeight="1" x14ac:dyDescent="0.3">
      <c r="B22" s="160" t="s">
        <v>230</v>
      </c>
      <c r="C22" s="182"/>
      <c r="D22" s="161">
        <v>0.17</v>
      </c>
      <c r="E22" s="162">
        <f>D22*C22</f>
        <v>0</v>
      </c>
      <c r="L22" s="218"/>
    </row>
    <row r="23" spans="2:20" ht="13.5" customHeight="1" x14ac:dyDescent="0.3">
      <c r="B23" s="117" t="s">
        <v>229</v>
      </c>
      <c r="C23" s="117"/>
      <c r="D23" s="164">
        <f>SUM(D18:D22)</f>
        <v>0.99999999999999989</v>
      </c>
      <c r="E23" s="165">
        <f>SUM(E18:E22)</f>
        <v>0</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c r="H28" s="265"/>
      <c r="I28" s="265"/>
      <c r="J28" s="265"/>
      <c r="K28" s="265"/>
      <c r="L28" s="265"/>
      <c r="M28" s="265"/>
      <c r="N28" s="228"/>
      <c r="O28" s="228"/>
      <c r="P28" s="228"/>
      <c r="Q28" s="228"/>
      <c r="R28" s="228"/>
      <c r="S28" s="228"/>
      <c r="T28" s="229"/>
    </row>
    <row r="29" spans="2:20" ht="13.5" thickBot="1" x14ac:dyDescent="0.35">
      <c r="B29" s="120"/>
      <c r="C29" s="232"/>
      <c r="D29" s="121"/>
      <c r="E29" s="121"/>
      <c r="F29" s="293"/>
      <c r="G29" s="293"/>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354" t="s">
        <v>41</v>
      </c>
      <c r="C33" s="355"/>
      <c r="D33" s="356">
        <f>'Inputs and assumptions'!C5</f>
        <v>3.44E-2</v>
      </c>
      <c r="E33" s="357"/>
      <c r="F33" s="358" t="str">
        <f>F26</f>
        <v>Year 1</v>
      </c>
      <c r="G33" s="358" t="s">
        <v>232</v>
      </c>
      <c r="H33" s="358" t="s">
        <v>26</v>
      </c>
      <c r="I33" s="358" t="s">
        <v>27</v>
      </c>
      <c r="J33" s="358" t="s">
        <v>28</v>
      </c>
      <c r="K33" s="358" t="s">
        <v>29</v>
      </c>
      <c r="L33" s="358" t="s">
        <v>30</v>
      </c>
      <c r="M33" s="358" t="s">
        <v>31</v>
      </c>
      <c r="N33" s="358" t="s">
        <v>32</v>
      </c>
      <c r="O33" s="358" t="s">
        <v>33</v>
      </c>
      <c r="P33" s="358" t="s">
        <v>34</v>
      </c>
      <c r="Q33" s="358" t="s">
        <v>35</v>
      </c>
      <c r="R33" s="358" t="s">
        <v>36</v>
      </c>
      <c r="S33" s="358" t="s">
        <v>37</v>
      </c>
      <c r="T33" s="359" t="s">
        <v>38</v>
      </c>
    </row>
    <row r="34" spans="2:20" x14ac:dyDescent="0.3">
      <c r="B34" s="360" t="s">
        <v>42</v>
      </c>
      <c r="C34" s="112"/>
      <c r="D34" s="112"/>
      <c r="E34" s="112"/>
      <c r="F34" s="140">
        <f>'PR031'!F34+'PR035'!F34</f>
        <v>1285000</v>
      </c>
      <c r="G34" s="140">
        <f>'PR031'!G34+'PR035'!G34</f>
        <v>365000</v>
      </c>
      <c r="H34" s="140">
        <f>'PR031'!H34+'PR035'!H34</f>
        <v>375000</v>
      </c>
      <c r="I34" s="140">
        <f>'PR031'!I34+'PR035'!I34</f>
        <v>375000</v>
      </c>
      <c r="J34" s="140">
        <f>'PR031'!J34+'PR035'!J34</f>
        <v>0</v>
      </c>
      <c r="K34" s="140">
        <f>'PR031'!K34+'PR035'!K34</f>
        <v>0</v>
      </c>
      <c r="L34" s="140">
        <f>'PR031'!L34+'PR035'!L34</f>
        <v>0</v>
      </c>
      <c r="M34" s="140">
        <f>'PR031'!M34+'PR035'!M34</f>
        <v>0</v>
      </c>
      <c r="N34" s="140">
        <f>'PR031'!N34+'PR035'!N34</f>
        <v>0</v>
      </c>
      <c r="O34" s="140">
        <f>'PR031'!O34+'PR035'!O34</f>
        <v>0</v>
      </c>
      <c r="P34" s="140">
        <f>'PR031'!P34+'PR035'!P34</f>
        <v>0</v>
      </c>
      <c r="Q34" s="140">
        <f>'PR031'!Q34+'PR035'!Q34</f>
        <v>0</v>
      </c>
      <c r="R34" s="140">
        <f>'PR031'!R34+'PR035'!R34</f>
        <v>0</v>
      </c>
      <c r="S34" s="140">
        <f>'PR031'!S34+'PR035'!S34</f>
        <v>0</v>
      </c>
      <c r="T34" s="361">
        <f>'PR031'!T34+'PR035'!T34</f>
        <v>0</v>
      </c>
    </row>
    <row r="35" spans="2:20" x14ac:dyDescent="0.3">
      <c r="B35" s="360" t="s">
        <v>234</v>
      </c>
      <c r="C35" s="112"/>
      <c r="D35" s="112"/>
      <c r="E35" s="112"/>
      <c r="F35" s="140">
        <f>F34*(1+'Inputs and assumptions'!$C$7)</f>
        <v>1927500</v>
      </c>
      <c r="G35" s="140">
        <f>G34*(1+'Inputs and assumptions'!$C$7)</f>
        <v>547500</v>
      </c>
      <c r="H35" s="140">
        <f>H34*(1+'Inputs and assumptions'!$C$7)</f>
        <v>562500</v>
      </c>
      <c r="I35" s="140">
        <f>I34*(1+'Inputs and assumptions'!$C$7)</f>
        <v>562500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361">
        <f>T34*(1+'Inputs and assumptions'!$C$7)</f>
        <v>0</v>
      </c>
    </row>
    <row r="36" spans="2:20" ht="13.5" thickBot="1" x14ac:dyDescent="0.35">
      <c r="B36" s="362" t="s">
        <v>43</v>
      </c>
      <c r="C36" s="363"/>
      <c r="D36" s="363"/>
      <c r="E36" s="363"/>
      <c r="F36" s="364">
        <f>'PR031'!F36+'PR035'!F36</f>
        <v>0</v>
      </c>
      <c r="G36" s="364">
        <f>'PR031'!G36+'PR035'!G36</f>
        <v>10000</v>
      </c>
      <c r="H36" s="364">
        <f>'PR031'!H36+'PR035'!H36</f>
        <v>10000</v>
      </c>
      <c r="I36" s="364">
        <f>'PR031'!I36+'PR035'!I36</f>
        <v>10000</v>
      </c>
      <c r="J36" s="364">
        <f>'PR031'!J36+'PR035'!J36</f>
        <v>10000</v>
      </c>
      <c r="K36" s="364">
        <f>'PR031'!K36+'PR035'!K36</f>
        <v>10000</v>
      </c>
      <c r="L36" s="364">
        <f>'PR031'!L36+'PR035'!L36</f>
        <v>10000</v>
      </c>
      <c r="M36" s="364">
        <f>'PR031'!M36+'PR035'!M36</f>
        <v>10000</v>
      </c>
      <c r="N36" s="364">
        <f>'PR031'!N36+'PR035'!N36</f>
        <v>0</v>
      </c>
      <c r="O36" s="364">
        <f>'PR031'!O36+'PR035'!O36</f>
        <v>0</v>
      </c>
      <c r="P36" s="364">
        <f>'PR031'!P36+'PR035'!P36</f>
        <v>0</v>
      </c>
      <c r="Q36" s="364">
        <f>'PR031'!Q36+'PR035'!Q36</f>
        <v>0</v>
      </c>
      <c r="R36" s="364">
        <f>'PR031'!R36+'PR035'!R36</f>
        <v>0</v>
      </c>
      <c r="S36" s="364">
        <f>'PR031'!S36+'PR035'!S36</f>
        <v>0</v>
      </c>
      <c r="T36" s="365">
        <f>'PR031'!T36+'PR035'!T36</f>
        <v>0</v>
      </c>
    </row>
    <row r="37" spans="2:20" x14ac:dyDescent="0.3">
      <c r="B37" s="360" t="s">
        <v>44</v>
      </c>
      <c r="C37" s="112"/>
      <c r="D37" s="353">
        <f>NPV($D$33,F37:T37)</f>
        <v>-2309004.554201697</v>
      </c>
      <c r="F37" s="140">
        <f>'PR031'!F37+'PR035'!F37</f>
        <v>-1285000</v>
      </c>
      <c r="G37" s="140">
        <f>'PR031'!G37+'PR035'!G37</f>
        <v>-375000</v>
      </c>
      <c r="H37" s="140">
        <f>'PR031'!H37+'PR035'!H37</f>
        <v>-385000</v>
      </c>
      <c r="I37" s="140">
        <f>'PR031'!I37+'PR035'!I37</f>
        <v>-385000</v>
      </c>
      <c r="J37" s="140">
        <f>'PR031'!J37+'PR035'!J37</f>
        <v>-10000</v>
      </c>
      <c r="K37" s="140">
        <f>'PR031'!K37+'PR035'!K37</f>
        <v>-10000</v>
      </c>
      <c r="L37" s="140">
        <f>'PR031'!L37+'PR035'!L37</f>
        <v>-10000</v>
      </c>
      <c r="M37" s="140">
        <f>'PR031'!M37+'PR035'!M37</f>
        <v>-10000</v>
      </c>
      <c r="N37" s="140">
        <f>'PR031'!N37+'PR035'!N37</f>
        <v>0</v>
      </c>
      <c r="O37" s="140">
        <f>'PR031'!O37+'PR035'!O37</f>
        <v>0</v>
      </c>
      <c r="P37" s="140">
        <f>'PR031'!P37+'PR035'!P37</f>
        <v>0</v>
      </c>
      <c r="Q37" s="140">
        <f>'PR031'!Q37+'PR035'!Q37</f>
        <v>0</v>
      </c>
      <c r="R37" s="140">
        <f>'PR031'!R37+'PR035'!R37</f>
        <v>0</v>
      </c>
      <c r="S37" s="140">
        <f>'PR031'!S37+'PR035'!S37</f>
        <v>0</v>
      </c>
      <c r="T37" s="361">
        <f>'PR031'!T37+'PR035'!T37</f>
        <v>0</v>
      </c>
    </row>
    <row r="38" spans="2:20" ht="13.5" thickBot="1" x14ac:dyDescent="0.35">
      <c r="B38" s="362" t="s">
        <v>235</v>
      </c>
      <c r="C38" s="363"/>
      <c r="D38" s="366"/>
      <c r="E38" s="367"/>
      <c r="F38" s="364">
        <f>'PR031'!F38+'PR035'!F38</f>
        <v>1927500</v>
      </c>
      <c r="G38" s="364">
        <f>'PR031'!G38+'PR035'!G38</f>
        <v>557500</v>
      </c>
      <c r="H38" s="364">
        <f>'PR031'!H38+'PR035'!H38</f>
        <v>572500</v>
      </c>
      <c r="I38" s="364">
        <f>'PR031'!I38+'PR035'!I38</f>
        <v>572500</v>
      </c>
      <c r="J38" s="364">
        <f>'PR031'!J38+'PR035'!J38</f>
        <v>10000</v>
      </c>
      <c r="K38" s="364">
        <f>'PR031'!K38+'PR035'!K38</f>
        <v>10000</v>
      </c>
      <c r="L38" s="364">
        <f>'PR031'!L38+'PR035'!L38</f>
        <v>10000</v>
      </c>
      <c r="M38" s="364">
        <f>'PR031'!M38+'PR035'!M38</f>
        <v>10000</v>
      </c>
      <c r="N38" s="364">
        <f>'PR031'!N38+'PR035'!N38</f>
        <v>0</v>
      </c>
      <c r="O38" s="364">
        <f>'PR031'!O38+'PR035'!O38</f>
        <v>0</v>
      </c>
      <c r="P38" s="364">
        <f>'PR031'!P38+'PR035'!P38</f>
        <v>0</v>
      </c>
      <c r="Q38" s="364">
        <f>'PR031'!Q38+'PR035'!Q38</f>
        <v>0</v>
      </c>
      <c r="R38" s="364">
        <f>'PR031'!R38+'PR035'!R38</f>
        <v>0</v>
      </c>
      <c r="S38" s="364">
        <f>'PR031'!S38+'PR035'!S38</f>
        <v>0</v>
      </c>
      <c r="T38" s="365">
        <f>'PR031'!T38+'PR035'!T38</f>
        <v>0</v>
      </c>
    </row>
    <row r="39" spans="2:20" x14ac:dyDescent="0.3">
      <c r="B39" s="360" t="s">
        <v>45</v>
      </c>
      <c r="C39" s="112"/>
      <c r="D39" s="134"/>
      <c r="E39" s="112"/>
      <c r="F39" s="140">
        <f>'PR031'!F39+'PR035'!F39</f>
        <v>19431.798641634054</v>
      </c>
      <c r="G39" s="140">
        <f>'PR031'!G39+'PR035'!G39</f>
        <v>2943863.5972832679</v>
      </c>
      <c r="H39" s="140">
        <f>'PR031'!H39+'PR035'!H39</f>
        <v>2973011.2952457191</v>
      </c>
      <c r="I39" s="140">
        <f>'PR031'!I39+'PR035'!I39</f>
        <v>3002158.9932081704</v>
      </c>
      <c r="J39" s="140">
        <f>'PR031'!J39+'PR035'!J39</f>
        <v>3002158.9932081704</v>
      </c>
      <c r="K39" s="140">
        <f>'PR031'!K39+'PR035'!K39</f>
        <v>3002158.9932081704</v>
      </c>
      <c r="L39" s="140">
        <f>'PR031'!L39+'PR035'!L39</f>
        <v>3002158.9932081704</v>
      </c>
      <c r="M39" s="140">
        <f>'PR031'!M39+'PR035'!M39</f>
        <v>3002158.9932081704</v>
      </c>
      <c r="N39" s="140">
        <f>'PR031'!N39+'PR035'!N39</f>
        <v>97158.993208170257</v>
      </c>
      <c r="O39" s="140">
        <f>'PR031'!O39+'PR035'!O39</f>
        <v>97158.993208170257</v>
      </c>
      <c r="P39" s="140">
        <f>'PR031'!P39+'PR035'!P39</f>
        <v>97158.993208170257</v>
      </c>
      <c r="Q39" s="140">
        <f>'PR031'!Q39+'PR035'!Q39</f>
        <v>97158.993208170257</v>
      </c>
      <c r="R39" s="140">
        <f>'PR031'!R39+'PR035'!R39</f>
        <v>97158.993208170257</v>
      </c>
      <c r="S39" s="140">
        <f>'PR031'!S39+'PR035'!S39</f>
        <v>97158.993208170257</v>
      </c>
      <c r="T39" s="361">
        <f>'PR031'!T39+'PR035'!T39</f>
        <v>97158.993208170257</v>
      </c>
    </row>
    <row r="40" spans="2:20" x14ac:dyDescent="0.3">
      <c r="B40" s="360" t="s">
        <v>46</v>
      </c>
      <c r="C40" s="112"/>
      <c r="D40" s="134">
        <f>NPV($D$33,F40:T40)</f>
        <v>15869394.206058444</v>
      </c>
      <c r="E40" s="112"/>
      <c r="F40" s="140">
        <f>'PR031'!F40+'PR035'!F40</f>
        <v>-1265568.2013583658</v>
      </c>
      <c r="G40" s="140">
        <f>'PR031'!G40+'PR035'!G40</f>
        <v>2568863.5972832683</v>
      </c>
      <c r="H40" s="140">
        <f>'PR031'!H40+'PR035'!H40</f>
        <v>2588011.2952457191</v>
      </c>
      <c r="I40" s="140">
        <f>'PR031'!I40+'PR035'!I40</f>
        <v>2617158.9932081704</v>
      </c>
      <c r="J40" s="140">
        <f>'PR031'!J40+'PR035'!J40</f>
        <v>2992158.9932081704</v>
      </c>
      <c r="K40" s="140">
        <f>'PR031'!K40+'PR035'!K40</f>
        <v>2992158.9932081704</v>
      </c>
      <c r="L40" s="140">
        <f>'PR031'!L40+'PR035'!L40</f>
        <v>2992158.9932081704</v>
      </c>
      <c r="M40" s="140">
        <f>'PR031'!M40+'PR035'!M40</f>
        <v>2992158.9932081704</v>
      </c>
      <c r="N40" s="140">
        <f>'PR031'!N40+'PR035'!N40</f>
        <v>97158.993208170257</v>
      </c>
      <c r="O40" s="140">
        <f>'PR031'!O40+'PR035'!O40</f>
        <v>97158.993208170257</v>
      </c>
      <c r="P40" s="140">
        <f>'PR031'!P40+'PR035'!P40</f>
        <v>97158.993208170257</v>
      </c>
      <c r="Q40" s="140">
        <f>'PR031'!Q40+'PR035'!Q40</f>
        <v>97158.993208170257</v>
      </c>
      <c r="R40" s="140">
        <f>'PR031'!R40+'PR035'!R40</f>
        <v>97158.993208170257</v>
      </c>
      <c r="S40" s="140">
        <f>'PR031'!S40+'PR035'!S40</f>
        <v>97158.993208170257</v>
      </c>
      <c r="T40" s="361">
        <f>'PR031'!T40+'PR035'!T40</f>
        <v>97158.993208170257</v>
      </c>
    </row>
    <row r="41" spans="2:20" ht="13.5" thickBot="1" x14ac:dyDescent="0.35">
      <c r="B41" s="362"/>
      <c r="C41" s="363"/>
      <c r="D41" s="363"/>
      <c r="E41" s="368"/>
      <c r="F41" s="369"/>
      <c r="G41" s="370"/>
      <c r="H41" s="370"/>
      <c r="I41" s="370"/>
      <c r="J41" s="370"/>
      <c r="K41" s="370"/>
      <c r="L41" s="370"/>
      <c r="M41" s="370"/>
      <c r="N41" s="370"/>
      <c r="O41" s="370"/>
      <c r="P41" s="370"/>
      <c r="Q41" s="370"/>
      <c r="R41" s="370"/>
      <c r="S41" s="370"/>
      <c r="T41" s="371"/>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7">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7">
        <f>C81*'Inputs and assumptions'!D24</f>
        <v>0</v>
      </c>
      <c r="F81" s="294">
        <f>$D81*F$28</f>
        <v>0</v>
      </c>
      <c r="G81" s="294">
        <f t="shared" ref="G81:T81" si="0">$D81*G$28</f>
        <v>0</v>
      </c>
      <c r="H81" s="294">
        <f t="shared" si="0"/>
        <v>0</v>
      </c>
      <c r="I81" s="294">
        <f t="shared" si="0"/>
        <v>0</v>
      </c>
      <c r="J81" s="294">
        <f t="shared" si="0"/>
        <v>0</v>
      </c>
      <c r="K81" s="294">
        <f t="shared" si="0"/>
        <v>0</v>
      </c>
      <c r="L81" s="294">
        <f t="shared" si="0"/>
        <v>0</v>
      </c>
      <c r="M81" s="294">
        <f t="shared" si="0"/>
        <v>0</v>
      </c>
      <c r="N81" s="294">
        <f t="shared" si="0"/>
        <v>0</v>
      </c>
      <c r="O81" s="294">
        <f t="shared" si="0"/>
        <v>0</v>
      </c>
      <c r="P81" s="294">
        <f t="shared" si="0"/>
        <v>0</v>
      </c>
      <c r="Q81" s="294">
        <f t="shared" si="0"/>
        <v>0</v>
      </c>
      <c r="R81" s="294">
        <f t="shared" si="0"/>
        <v>0</v>
      </c>
      <c r="S81" s="294">
        <f t="shared" si="0"/>
        <v>0</v>
      </c>
      <c r="T81" s="295">
        <f t="shared" si="0"/>
        <v>0</v>
      </c>
    </row>
    <row r="82" spans="2:20" x14ac:dyDescent="0.3">
      <c r="B82" s="193" t="s">
        <v>58</v>
      </c>
      <c r="C82" s="240"/>
      <c r="D82" s="267">
        <f>C82*'Inputs and assumptions'!D25</f>
        <v>0</v>
      </c>
      <c r="F82" s="294">
        <v>0</v>
      </c>
      <c r="G82" s="294">
        <v>0</v>
      </c>
      <c r="H82" s="294">
        <v>0</v>
      </c>
      <c r="I82" s="294">
        <v>0</v>
      </c>
      <c r="J82" s="294">
        <v>0</v>
      </c>
      <c r="K82" s="294">
        <v>0</v>
      </c>
      <c r="L82" s="294">
        <v>0</v>
      </c>
      <c r="M82" s="294">
        <v>0</v>
      </c>
      <c r="N82" s="294">
        <v>0</v>
      </c>
      <c r="O82" s="294">
        <v>0</v>
      </c>
      <c r="P82" s="294">
        <v>0</v>
      </c>
      <c r="Q82" s="294">
        <v>0</v>
      </c>
      <c r="R82" s="294">
        <v>0</v>
      </c>
      <c r="S82" s="294">
        <v>0</v>
      </c>
      <c r="T82" s="295">
        <v>0</v>
      </c>
    </row>
    <row r="83" spans="2:20" x14ac:dyDescent="0.3">
      <c r="B83" s="193" t="s">
        <v>59</v>
      </c>
      <c r="C83" s="240"/>
      <c r="D83" s="267">
        <f>C83*'Inputs and assumptions'!D26</f>
        <v>0</v>
      </c>
      <c r="F83" s="294">
        <v>0</v>
      </c>
      <c r="G83" s="294">
        <v>0</v>
      </c>
      <c r="H83" s="294">
        <v>0</v>
      </c>
      <c r="I83" s="294">
        <v>0</v>
      </c>
      <c r="J83" s="294">
        <v>0</v>
      </c>
      <c r="K83" s="294">
        <v>0</v>
      </c>
      <c r="L83" s="294">
        <v>0</v>
      </c>
      <c r="M83" s="294">
        <v>0</v>
      </c>
      <c r="N83" s="294">
        <v>0</v>
      </c>
      <c r="O83" s="294">
        <v>0</v>
      </c>
      <c r="P83" s="294">
        <v>0</v>
      </c>
      <c r="Q83" s="294">
        <v>0</v>
      </c>
      <c r="R83" s="294">
        <v>0</v>
      </c>
      <c r="S83" s="294">
        <v>0</v>
      </c>
      <c r="T83" s="295">
        <v>0</v>
      </c>
    </row>
    <row r="84" spans="2:20" x14ac:dyDescent="0.3">
      <c r="B84" s="193" t="s">
        <v>60</v>
      </c>
      <c r="C84" s="240"/>
      <c r="D84" s="267">
        <f>C84*'Inputs and assumptions'!D27</f>
        <v>0</v>
      </c>
      <c r="F84" s="294">
        <v>0</v>
      </c>
      <c r="G84" s="294">
        <v>0</v>
      </c>
      <c r="H84" s="294">
        <v>0</v>
      </c>
      <c r="I84" s="294">
        <v>0</v>
      </c>
      <c r="J84" s="294">
        <v>0</v>
      </c>
      <c r="K84" s="294">
        <v>0</v>
      </c>
      <c r="L84" s="294">
        <v>0</v>
      </c>
      <c r="M84" s="294">
        <v>0</v>
      </c>
      <c r="N84" s="294">
        <v>0</v>
      </c>
      <c r="O84" s="294">
        <v>0</v>
      </c>
      <c r="P84" s="294">
        <v>0</v>
      </c>
      <c r="Q84" s="294">
        <v>0</v>
      </c>
      <c r="R84" s="294">
        <v>0</v>
      </c>
      <c r="S84" s="294">
        <v>0</v>
      </c>
      <c r="T84" s="295">
        <v>0</v>
      </c>
    </row>
    <row r="85" spans="2:20" x14ac:dyDescent="0.3">
      <c r="B85" s="193" t="s">
        <v>61</v>
      </c>
      <c r="C85" s="240"/>
      <c r="D85" s="267">
        <f>C85*'Inputs and assumptions'!D28</f>
        <v>0</v>
      </c>
      <c r="F85" s="294">
        <v>0</v>
      </c>
      <c r="G85" s="294">
        <v>0</v>
      </c>
      <c r="H85" s="294">
        <v>0</v>
      </c>
      <c r="I85" s="294">
        <v>0</v>
      </c>
      <c r="J85" s="294">
        <v>0</v>
      </c>
      <c r="K85" s="294">
        <v>0</v>
      </c>
      <c r="L85" s="294">
        <v>0</v>
      </c>
      <c r="M85" s="294">
        <v>0</v>
      </c>
      <c r="N85" s="294">
        <v>0</v>
      </c>
      <c r="O85" s="294">
        <v>0</v>
      </c>
      <c r="P85" s="294">
        <v>0</v>
      </c>
      <c r="Q85" s="294">
        <v>0</v>
      </c>
      <c r="R85" s="294">
        <v>0</v>
      </c>
      <c r="S85" s="294">
        <v>0</v>
      </c>
      <c r="T85" s="295">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c r="D88" s="267">
        <f>C88*'Inputs and assumptions'!D31</f>
        <v>0</v>
      </c>
      <c r="F88" s="294">
        <v>0</v>
      </c>
      <c r="G88" s="294">
        <v>0</v>
      </c>
      <c r="H88" s="294">
        <v>0</v>
      </c>
      <c r="I88" s="294">
        <v>0</v>
      </c>
      <c r="J88" s="294">
        <v>0</v>
      </c>
      <c r="K88" s="294">
        <v>0</v>
      </c>
      <c r="L88" s="294">
        <v>0</v>
      </c>
      <c r="M88" s="294">
        <v>0</v>
      </c>
      <c r="N88" s="294">
        <v>0</v>
      </c>
      <c r="O88" s="294">
        <v>0</v>
      </c>
      <c r="P88" s="294">
        <v>0</v>
      </c>
      <c r="Q88" s="294">
        <v>0</v>
      </c>
      <c r="R88" s="294">
        <v>0</v>
      </c>
      <c r="S88" s="294">
        <v>0</v>
      </c>
      <c r="T88" s="295">
        <v>0</v>
      </c>
    </row>
    <row r="89" spans="2:20" x14ac:dyDescent="0.3">
      <c r="B89" s="193" t="s">
        <v>64</v>
      </c>
      <c r="C89" s="240"/>
      <c r="D89" s="267">
        <f>C89*'Inputs and assumptions'!D32</f>
        <v>0</v>
      </c>
      <c r="F89" s="294">
        <f>$D89*F$28</f>
        <v>0</v>
      </c>
      <c r="G89" s="294">
        <f t="shared" ref="G89:T89" si="1">$D89*G$28</f>
        <v>0</v>
      </c>
      <c r="H89" s="294">
        <f t="shared" si="1"/>
        <v>0</v>
      </c>
      <c r="I89" s="294">
        <f t="shared" si="1"/>
        <v>0</v>
      </c>
      <c r="J89" s="294">
        <f t="shared" si="1"/>
        <v>0</v>
      </c>
      <c r="K89" s="294">
        <f t="shared" si="1"/>
        <v>0</v>
      </c>
      <c r="L89" s="294">
        <f t="shared" si="1"/>
        <v>0</v>
      </c>
      <c r="M89" s="294">
        <f t="shared" si="1"/>
        <v>0</v>
      </c>
      <c r="N89" s="294">
        <f t="shared" si="1"/>
        <v>0</v>
      </c>
      <c r="O89" s="294">
        <f t="shared" si="1"/>
        <v>0</v>
      </c>
      <c r="P89" s="294">
        <f t="shared" si="1"/>
        <v>0</v>
      </c>
      <c r="Q89" s="294">
        <f t="shared" si="1"/>
        <v>0</v>
      </c>
      <c r="R89" s="294">
        <f t="shared" si="1"/>
        <v>0</v>
      </c>
      <c r="S89" s="294">
        <f t="shared" si="1"/>
        <v>0</v>
      </c>
      <c r="T89" s="295">
        <f t="shared" si="1"/>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c r="D92" s="267">
        <f>C92*'Inputs and assumptions'!D35</f>
        <v>0</v>
      </c>
      <c r="F92" s="294">
        <f>$D92*F$28</f>
        <v>0</v>
      </c>
      <c r="G92" s="294">
        <f t="shared" ref="G92:T92" si="2">$D92*G$28</f>
        <v>0</v>
      </c>
      <c r="H92" s="294">
        <f t="shared" si="2"/>
        <v>0</v>
      </c>
      <c r="I92" s="294">
        <f t="shared" si="2"/>
        <v>0</v>
      </c>
      <c r="J92" s="294">
        <f t="shared" si="2"/>
        <v>0</v>
      </c>
      <c r="K92" s="294">
        <f t="shared" si="2"/>
        <v>0</v>
      </c>
      <c r="L92" s="294">
        <f t="shared" si="2"/>
        <v>0</v>
      </c>
      <c r="M92" s="294">
        <f t="shared" si="2"/>
        <v>0</v>
      </c>
      <c r="N92" s="294">
        <f t="shared" si="2"/>
        <v>0</v>
      </c>
      <c r="O92" s="294">
        <f t="shared" si="2"/>
        <v>0</v>
      </c>
      <c r="P92" s="294">
        <f t="shared" si="2"/>
        <v>0</v>
      </c>
      <c r="Q92" s="294">
        <f t="shared" si="2"/>
        <v>0</v>
      </c>
      <c r="R92" s="294">
        <f t="shared" si="2"/>
        <v>0</v>
      </c>
      <c r="S92" s="294">
        <f t="shared" si="2"/>
        <v>0</v>
      </c>
      <c r="T92" s="295">
        <f t="shared" si="2"/>
        <v>0</v>
      </c>
    </row>
    <row r="93" spans="2:20" x14ac:dyDescent="0.3">
      <c r="B93" s="193" t="s">
        <v>67</v>
      </c>
      <c r="C93" s="240"/>
      <c r="D93" s="267">
        <f>C93*'Inputs and assumptions'!D36</f>
        <v>0</v>
      </c>
      <c r="F93" s="294">
        <v>0</v>
      </c>
      <c r="G93" s="294">
        <v>0</v>
      </c>
      <c r="H93" s="294">
        <v>0</v>
      </c>
      <c r="I93" s="294">
        <v>0</v>
      </c>
      <c r="J93" s="294">
        <v>0</v>
      </c>
      <c r="K93" s="294">
        <v>0</v>
      </c>
      <c r="L93" s="294">
        <v>0</v>
      </c>
      <c r="M93" s="294">
        <v>0</v>
      </c>
      <c r="N93" s="294">
        <v>0</v>
      </c>
      <c r="O93" s="294">
        <v>0</v>
      </c>
      <c r="P93" s="294">
        <v>0</v>
      </c>
      <c r="Q93" s="294">
        <v>0</v>
      </c>
      <c r="R93" s="294">
        <v>0</v>
      </c>
      <c r="S93" s="294">
        <v>0</v>
      </c>
      <c r="T93" s="295">
        <v>0</v>
      </c>
    </row>
    <row r="94" spans="2:20" x14ac:dyDescent="0.3">
      <c r="B94" s="193" t="s">
        <v>68</v>
      </c>
      <c r="C94" s="240"/>
      <c r="D94" s="267">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7">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7">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7">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70">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3">$D$102*F27</f>
        <v>0</v>
      </c>
      <c r="G102" s="140">
        <f t="shared" si="3"/>
        <v>0</v>
      </c>
      <c r="H102" s="140">
        <f t="shared" si="3"/>
        <v>0</v>
      </c>
      <c r="I102" s="140">
        <f t="shared" si="3"/>
        <v>0</v>
      </c>
      <c r="J102" s="140">
        <f t="shared" si="3"/>
        <v>0</v>
      </c>
      <c r="K102" s="140">
        <f t="shared" si="3"/>
        <v>0</v>
      </c>
      <c r="L102" s="140">
        <f t="shared" si="3"/>
        <v>0</v>
      </c>
      <c r="M102" s="140">
        <f t="shared" si="3"/>
        <v>0</v>
      </c>
      <c r="N102" s="140">
        <f t="shared" si="3"/>
        <v>0</v>
      </c>
      <c r="O102" s="140">
        <f t="shared" si="3"/>
        <v>0</v>
      </c>
      <c r="P102" s="140">
        <f t="shared" si="3"/>
        <v>0</v>
      </c>
      <c r="Q102" s="140">
        <f t="shared" si="3"/>
        <v>0</v>
      </c>
      <c r="R102" s="140">
        <f t="shared" si="3"/>
        <v>0</v>
      </c>
      <c r="S102" s="140">
        <f t="shared" si="3"/>
        <v>0</v>
      </c>
      <c r="T102" s="141">
        <f t="shared" si="3"/>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c r="G107" s="294"/>
      <c r="H107" s="175"/>
      <c r="I107" s="175"/>
      <c r="J107" s="175"/>
      <c r="K107" s="175"/>
      <c r="L107" s="175"/>
      <c r="M107" s="175"/>
      <c r="N107" s="175"/>
      <c r="O107" s="175"/>
      <c r="P107" s="175"/>
      <c r="Q107" s="175"/>
      <c r="R107" s="175"/>
      <c r="S107" s="175"/>
      <c r="T107" s="176"/>
    </row>
    <row r="108" spans="2:20" x14ac:dyDescent="0.3">
      <c r="B108" s="123" t="s">
        <v>79</v>
      </c>
      <c r="C108" s="112"/>
      <c r="F108" s="175"/>
      <c r="G108" s="175"/>
      <c r="H108" s="175"/>
      <c r="I108" s="175"/>
      <c r="J108" s="175"/>
      <c r="K108" s="175"/>
      <c r="L108" s="175"/>
      <c r="M108" s="175"/>
      <c r="N108" s="175"/>
      <c r="O108" s="175"/>
      <c r="P108" s="175"/>
      <c r="Q108" s="175"/>
      <c r="R108" s="175"/>
      <c r="S108" s="175"/>
      <c r="T108" s="176"/>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8"/>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613"/>
      <c r="C113" s="614"/>
      <c r="D113" s="614"/>
      <c r="E113" s="615"/>
      <c r="F113" s="181"/>
      <c r="G113" s="181"/>
      <c r="H113" s="181"/>
      <c r="I113" s="181"/>
      <c r="J113" s="181"/>
      <c r="K113" s="181"/>
      <c r="L113" s="181"/>
      <c r="M113" s="181"/>
      <c r="N113" s="181"/>
      <c r="O113" s="181"/>
      <c r="P113" s="181"/>
      <c r="Q113" s="181"/>
      <c r="R113" s="181"/>
      <c r="S113" s="181"/>
      <c r="T113" s="181"/>
    </row>
    <row r="114" spans="2:20" ht="15" customHeight="1" x14ac:dyDescent="0.3">
      <c r="B114" s="616"/>
      <c r="C114" s="617"/>
      <c r="D114" s="617"/>
      <c r="E114" s="618"/>
      <c r="F114" s="181"/>
      <c r="G114" s="181"/>
      <c r="H114" s="181"/>
      <c r="I114" s="181"/>
      <c r="J114" s="181"/>
      <c r="K114" s="181"/>
      <c r="L114" s="181"/>
      <c r="M114" s="181"/>
      <c r="N114" s="181"/>
      <c r="O114" s="181"/>
      <c r="P114" s="181"/>
      <c r="Q114" s="181"/>
      <c r="R114" s="181"/>
      <c r="S114" s="181"/>
      <c r="T114" s="181"/>
    </row>
    <row r="115" spans="2:20" ht="15" customHeight="1" x14ac:dyDescent="0.3">
      <c r="B115" s="616"/>
      <c r="C115" s="617"/>
      <c r="D115" s="617"/>
      <c r="E115" s="618"/>
      <c r="F115" s="181"/>
      <c r="G115" s="181"/>
      <c r="H115" s="181"/>
      <c r="I115" s="181"/>
      <c r="J115" s="181"/>
      <c r="K115" s="181"/>
      <c r="L115" s="181"/>
      <c r="M115" s="181"/>
      <c r="N115" s="181"/>
      <c r="O115" s="181"/>
      <c r="P115" s="181"/>
      <c r="Q115" s="181"/>
      <c r="R115" s="181"/>
      <c r="S115" s="181"/>
      <c r="T115" s="181"/>
    </row>
    <row r="116" spans="2:20" ht="15" customHeight="1" x14ac:dyDescent="0.3">
      <c r="B116" s="616"/>
      <c r="C116" s="617"/>
      <c r="D116" s="617"/>
      <c r="E116" s="618"/>
      <c r="F116" s="181"/>
      <c r="G116" s="181"/>
      <c r="H116" s="181"/>
      <c r="I116" s="181"/>
      <c r="J116" s="181"/>
      <c r="K116" s="181"/>
      <c r="L116" s="181"/>
      <c r="M116" s="181"/>
      <c r="N116" s="181"/>
      <c r="O116" s="181"/>
      <c r="P116" s="181"/>
      <c r="Q116" s="181"/>
      <c r="R116" s="181"/>
      <c r="S116" s="181"/>
      <c r="T116" s="181"/>
    </row>
    <row r="117" spans="2:20" ht="15" customHeight="1" x14ac:dyDescent="0.3">
      <c r="B117" s="616"/>
      <c r="C117" s="617"/>
      <c r="D117" s="617"/>
      <c r="E117" s="618"/>
      <c r="F117" s="181"/>
      <c r="G117" s="181"/>
      <c r="H117" s="181"/>
      <c r="I117" s="181"/>
      <c r="J117" s="181"/>
      <c r="K117" s="181"/>
      <c r="L117" s="181"/>
      <c r="M117" s="181"/>
      <c r="N117" s="181"/>
      <c r="O117" s="181"/>
      <c r="P117" s="181"/>
      <c r="Q117" s="181"/>
      <c r="R117" s="181"/>
      <c r="S117" s="181"/>
      <c r="T117" s="181"/>
    </row>
    <row r="118" spans="2:20" ht="15" customHeight="1" x14ac:dyDescent="0.3">
      <c r="B118" s="616"/>
      <c r="C118" s="617"/>
      <c r="D118" s="617"/>
      <c r="E118" s="618"/>
      <c r="F118" s="181"/>
      <c r="G118" s="181"/>
      <c r="H118" s="181"/>
      <c r="I118" s="181"/>
      <c r="J118" s="181"/>
      <c r="K118" s="181"/>
      <c r="L118" s="181"/>
      <c r="M118" s="181"/>
      <c r="N118" s="181"/>
      <c r="O118" s="181"/>
      <c r="P118" s="181"/>
      <c r="Q118" s="181"/>
      <c r="R118" s="181"/>
      <c r="S118" s="181"/>
      <c r="T118" s="181"/>
    </row>
    <row r="119" spans="2:20" ht="15" customHeight="1" x14ac:dyDescent="0.3">
      <c r="B119" s="616"/>
      <c r="C119" s="617"/>
      <c r="D119" s="617"/>
      <c r="E119" s="618"/>
      <c r="F119" s="181"/>
      <c r="G119" s="181"/>
      <c r="H119" s="181"/>
      <c r="I119" s="181"/>
      <c r="J119" s="181"/>
      <c r="K119" s="181"/>
      <c r="L119" s="181"/>
      <c r="M119" s="181"/>
      <c r="N119" s="181"/>
      <c r="O119" s="181"/>
      <c r="P119" s="181"/>
      <c r="Q119" s="181"/>
      <c r="R119" s="181"/>
      <c r="S119" s="181"/>
      <c r="T119" s="181"/>
    </row>
    <row r="120" spans="2:20" ht="15" customHeight="1" x14ac:dyDescent="0.3">
      <c r="B120" s="616"/>
      <c r="C120" s="617"/>
      <c r="D120" s="617"/>
      <c r="E120" s="618"/>
      <c r="F120" s="181"/>
      <c r="G120" s="181"/>
      <c r="H120" s="181"/>
      <c r="I120" s="181"/>
      <c r="J120" s="181"/>
      <c r="K120" s="181"/>
      <c r="L120" s="181"/>
      <c r="M120" s="181"/>
      <c r="N120" s="181"/>
      <c r="O120" s="181"/>
      <c r="P120" s="181"/>
      <c r="Q120" s="181"/>
      <c r="R120" s="181"/>
      <c r="S120" s="181"/>
      <c r="T120" s="181"/>
    </row>
    <row r="121" spans="2:20" ht="15" customHeight="1" x14ac:dyDescent="0.3">
      <c r="B121" s="616"/>
      <c r="C121" s="617"/>
      <c r="D121" s="617"/>
      <c r="E121" s="618"/>
      <c r="F121" s="181"/>
      <c r="G121" s="181"/>
      <c r="H121" s="181"/>
      <c r="I121" s="181"/>
      <c r="J121" s="181"/>
      <c r="K121" s="181"/>
      <c r="L121" s="181"/>
      <c r="M121" s="181"/>
      <c r="N121" s="181"/>
      <c r="O121" s="181"/>
      <c r="P121" s="181"/>
      <c r="Q121" s="181"/>
      <c r="R121" s="181"/>
      <c r="S121" s="181"/>
      <c r="T121" s="181"/>
    </row>
    <row r="122" spans="2:20" ht="15.75" customHeight="1" thickBot="1" x14ac:dyDescent="0.35">
      <c r="B122" s="619"/>
      <c r="C122" s="620"/>
      <c r="D122" s="620"/>
      <c r="E122" s="621"/>
      <c r="F122" s="181"/>
      <c r="G122" s="181"/>
      <c r="H122" s="181"/>
      <c r="I122" s="181"/>
      <c r="J122" s="181"/>
      <c r="K122" s="181"/>
      <c r="L122" s="181"/>
      <c r="M122" s="181"/>
      <c r="N122" s="181"/>
      <c r="O122" s="181"/>
      <c r="P122" s="181"/>
      <c r="Q122" s="181"/>
      <c r="R122" s="181"/>
      <c r="S122" s="181"/>
      <c r="T122" s="181"/>
    </row>
  </sheetData>
  <mergeCells count="8">
    <mergeCell ref="G7:T15"/>
    <mergeCell ref="B100:D100"/>
    <mergeCell ref="B113:E122"/>
    <mergeCell ref="N17:R17"/>
    <mergeCell ref="N18:Q18"/>
    <mergeCell ref="N19:Q19"/>
    <mergeCell ref="N21:R21"/>
    <mergeCell ref="B43:D43"/>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75463926-F4E4-42F3-B715-1B6BB19D2E26}">
          <x14:formula1>
            <xm:f>'Inputs and assumptions'!$J$21:$J$24</xm:f>
          </x14:formula1>
          <xm:sqref>E14</xm:sqref>
        </x14:dataValidation>
        <x14:dataValidation type="list" allowBlank="1" showInputMessage="1" showErrorMessage="1" xr:uid="{3E00EAD3-447A-4E3D-9975-3D63DAA629ED}">
          <x14:formula1>
            <xm:f>'Inputs and assumptions'!$H$36:$H$40</xm:f>
          </x14:formula1>
          <xm:sqref>E13</xm:sqref>
        </x14:dataValidation>
        <x14:dataValidation type="list" allowBlank="1" showInputMessage="1" showErrorMessage="1" xr:uid="{878514B6-9AD6-4188-A2E8-1EBB35983F8C}">
          <x14:formula1>
            <xm:f>'Inputs and assumptions'!$H$31:$H$34</xm:f>
          </x14:formula1>
          <xm:sqref>E12</xm:sqref>
        </x14:dataValidation>
        <x14:dataValidation type="list" allowBlank="1" showInputMessage="1" showErrorMessage="1" xr:uid="{94817B66-8D79-48D2-89B7-260CF59F0CEC}">
          <x14:formula1>
            <xm:f>'Inputs and assumptions'!$H$16:$H$20</xm:f>
          </x14:formula1>
          <xm:sqref>E8</xm:sqref>
        </x14:dataValidation>
        <x14:dataValidation type="list" allowBlank="1" showInputMessage="1" showErrorMessage="1" xr:uid="{FA54CC6F-D187-4426-80B8-6EC31BC2D60A}">
          <x14:formula1>
            <xm:f>'Inputs and assumptions'!$G$16:$G$20</xm:f>
          </x14:formula1>
          <xm:sqref>E7</xm:sqref>
        </x14:dataValidation>
        <x14:dataValidation type="list" allowBlank="1" showInputMessage="1" showErrorMessage="1" xr:uid="{405D5DBE-D741-4B5B-B4A5-741FC6D766ED}">
          <x14:formula1>
            <xm:f>'Inputs and assumptions'!$H$23:$H$24</xm:f>
          </x14:formula1>
          <xm:sqref>E10</xm:sqref>
        </x14:dataValidation>
        <x14:dataValidation type="list" allowBlank="1" showInputMessage="1" showErrorMessage="1" xr:uid="{ED7D6C02-F077-4766-8DE1-4118E2E4B257}">
          <x14:formula1>
            <xm:f>'Inputs and assumptions'!$H$27:$H$29</xm:f>
          </x14:formula1>
          <xm:sqref>E11</xm:sqref>
        </x14:dataValidation>
        <x14:dataValidation type="list" allowBlank="1" showInputMessage="1" showErrorMessage="1" xr:uid="{E762DB41-91BC-4074-A94D-C9FC04501B6F}">
          <x14:formula1>
            <xm:f>'Inputs and assumptions'!$J$17:$J$18</xm:f>
          </x14:formula1>
          <xm:sqref>E43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8AFF-E5C1-4FF8-A39D-D5C2789FC2BC}">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293</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183</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123</v>
      </c>
      <c r="G7" s="586" t="s">
        <v>294</v>
      </c>
      <c r="H7" s="586"/>
      <c r="I7" s="586"/>
      <c r="J7" s="586"/>
      <c r="K7" s="586"/>
      <c r="L7" s="586"/>
      <c r="M7" s="586"/>
      <c r="N7" s="586"/>
      <c r="O7" s="586"/>
      <c r="P7" s="586"/>
      <c r="Q7" s="586"/>
      <c r="R7" s="586"/>
      <c r="S7" s="586"/>
      <c r="T7" s="586"/>
    </row>
    <row r="8" spans="1:23" s="170" customFormat="1" ht="15.75" customHeight="1" x14ac:dyDescent="0.35">
      <c r="B8" s="328" t="s">
        <v>3</v>
      </c>
      <c r="C8" s="230"/>
      <c r="E8" s="329" t="s">
        <v>124</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251</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150</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ht="21"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-866685.43041620858</v>
      </c>
      <c r="J18" s="222"/>
      <c r="K18" s="220" t="s">
        <v>220</v>
      </c>
      <c r="L18" s="282">
        <f>SUM(F34:J34)</f>
        <v>900000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3476083.1940628979</v>
      </c>
      <c r="J19" s="127"/>
      <c r="K19" s="125" t="s">
        <v>223</v>
      </c>
      <c r="L19" s="283">
        <f>SUM(F36:J36)</f>
        <v>4500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5.0107783886404755</v>
      </c>
      <c r="J20" s="127"/>
      <c r="K20" s="125" t="s">
        <v>225</v>
      </c>
      <c r="L20" s="225">
        <f>NPV($D$33,F39:T39)</f>
        <v>4342768.6244791066</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3.3548196180593042</v>
      </c>
      <c r="J21" s="226"/>
      <c r="K21" s="436" t="s">
        <v>228</v>
      </c>
      <c r="L21" s="439">
        <f>NPV($D$33,F39:J39)</f>
        <v>1582737.6243325132</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2.7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200</v>
      </c>
      <c r="E27" s="112"/>
      <c r="F27" s="227">
        <v>100</v>
      </c>
      <c r="G27" s="227">
        <v>100</v>
      </c>
      <c r="H27" s="227"/>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450000</v>
      </c>
      <c r="G34" s="140">
        <f t="shared" si="0"/>
        <v>450000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675000</v>
      </c>
      <c r="G35" s="140">
        <f>G34*(1+'Inputs and assumptions'!$C$7)</f>
        <v>675000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500</v>
      </c>
      <c r="G36" s="142">
        <f t="shared" si="1"/>
        <v>1000</v>
      </c>
      <c r="H36" s="142">
        <f t="shared" si="1"/>
        <v>1000</v>
      </c>
      <c r="I36" s="142">
        <f t="shared" si="1"/>
        <v>1000</v>
      </c>
      <c r="J36" s="142">
        <f t="shared" si="1"/>
        <v>1000</v>
      </c>
      <c r="K36" s="142">
        <f t="shared" si="1"/>
        <v>1000</v>
      </c>
      <c r="L36" s="142">
        <f t="shared" si="1"/>
        <v>1000</v>
      </c>
      <c r="M36" s="142">
        <f t="shared" si="1"/>
        <v>1000</v>
      </c>
      <c r="N36" s="142">
        <f t="shared" si="1"/>
        <v>1000</v>
      </c>
      <c r="O36" s="142">
        <f t="shared" si="1"/>
        <v>1000</v>
      </c>
      <c r="P36" s="142">
        <f t="shared" si="1"/>
        <v>1000</v>
      </c>
      <c r="Q36" s="142">
        <f t="shared" si="1"/>
        <v>1000</v>
      </c>
      <c r="R36" s="142">
        <f t="shared" si="1"/>
        <v>1000</v>
      </c>
      <c r="S36" s="142">
        <f t="shared" si="1"/>
        <v>1000</v>
      </c>
      <c r="T36" s="143">
        <f t="shared" si="1"/>
        <v>1000</v>
      </c>
    </row>
    <row r="37" spans="2:20" x14ac:dyDescent="0.3">
      <c r="B37" s="122" t="s">
        <v>44</v>
      </c>
      <c r="C37" s="133"/>
      <c r="D37" s="247">
        <f>NPV($D$33,F37:T37)</f>
        <v>-866685.43041620858</v>
      </c>
      <c r="E37" s="248"/>
      <c r="F37" s="144">
        <f t="shared" ref="F37:T37" si="2">-F34-F36</f>
        <v>-450500</v>
      </c>
      <c r="G37" s="144">
        <f t="shared" si="2"/>
        <v>-451000</v>
      </c>
      <c r="H37" s="144">
        <f t="shared" si="2"/>
        <v>-1000</v>
      </c>
      <c r="I37" s="144">
        <f t="shared" si="2"/>
        <v>-1000</v>
      </c>
      <c r="J37" s="144">
        <f t="shared" si="2"/>
        <v>-1000</v>
      </c>
      <c r="K37" s="144">
        <f t="shared" si="2"/>
        <v>-1000</v>
      </c>
      <c r="L37" s="144">
        <f t="shared" si="2"/>
        <v>-1000</v>
      </c>
      <c r="M37" s="144">
        <f t="shared" si="2"/>
        <v>-1000</v>
      </c>
      <c r="N37" s="144">
        <f t="shared" si="2"/>
        <v>-1000</v>
      </c>
      <c r="O37" s="144">
        <f t="shared" si="2"/>
        <v>-1000</v>
      </c>
      <c r="P37" s="144">
        <f t="shared" si="2"/>
        <v>-1000</v>
      </c>
      <c r="Q37" s="144">
        <f t="shared" si="2"/>
        <v>-1000</v>
      </c>
      <c r="R37" s="144">
        <f t="shared" si="2"/>
        <v>-1000</v>
      </c>
      <c r="S37" s="144">
        <f t="shared" si="2"/>
        <v>-1000</v>
      </c>
      <c r="T37" s="145">
        <f t="shared" si="2"/>
        <v>-1000</v>
      </c>
    </row>
    <row r="38" spans="2:20" ht="13.5" thickBot="1" x14ac:dyDescent="0.35">
      <c r="B38" s="124" t="s">
        <v>235</v>
      </c>
      <c r="C38" s="135"/>
      <c r="D38" s="132"/>
      <c r="E38" s="121"/>
      <c r="F38" s="142">
        <f>F35+F36</f>
        <v>675500</v>
      </c>
      <c r="G38" s="142">
        <f t="shared" ref="G38:T38" si="3">G35+G36</f>
        <v>676000</v>
      </c>
      <c r="H38" s="142">
        <f t="shared" si="3"/>
        <v>1000</v>
      </c>
      <c r="I38" s="142">
        <f t="shared" si="3"/>
        <v>1000</v>
      </c>
      <c r="J38" s="142">
        <f t="shared" si="3"/>
        <v>1000</v>
      </c>
      <c r="K38" s="142">
        <f t="shared" si="3"/>
        <v>1000</v>
      </c>
      <c r="L38" s="142">
        <f t="shared" si="3"/>
        <v>1000</v>
      </c>
      <c r="M38" s="142">
        <f t="shared" si="3"/>
        <v>1000</v>
      </c>
      <c r="N38" s="142">
        <f t="shared" si="3"/>
        <v>1000</v>
      </c>
      <c r="O38" s="142">
        <f t="shared" si="3"/>
        <v>1000</v>
      </c>
      <c r="P38" s="142">
        <f t="shared" si="3"/>
        <v>1000</v>
      </c>
      <c r="Q38" s="142">
        <f t="shared" si="3"/>
        <v>1000</v>
      </c>
      <c r="R38" s="142">
        <f t="shared" si="3"/>
        <v>1000</v>
      </c>
      <c r="S38" s="142">
        <f t="shared" si="3"/>
        <v>1000</v>
      </c>
      <c r="T38" s="143">
        <f t="shared" si="3"/>
        <v>1000</v>
      </c>
    </row>
    <row r="39" spans="2:20" x14ac:dyDescent="0.3">
      <c r="B39" s="123" t="s">
        <v>45</v>
      </c>
      <c r="C39" s="112"/>
      <c r="D39" s="134"/>
      <c r="E39" s="112"/>
      <c r="F39" s="140">
        <f t="shared" ref="F39:T39" si="4">IF($E$43="Per Unit",SUM(F45:F71),SUM(F73:F98))</f>
        <v>195914.26401488786</v>
      </c>
      <c r="G39" s="140">
        <f t="shared" si="4"/>
        <v>391828.52802977571</v>
      </c>
      <c r="H39" s="140">
        <f t="shared" si="4"/>
        <v>391828.52802977571</v>
      </c>
      <c r="I39" s="140">
        <f t="shared" si="4"/>
        <v>391828.52802977571</v>
      </c>
      <c r="J39" s="140">
        <f t="shared" si="4"/>
        <v>391828.52802977571</v>
      </c>
      <c r="K39" s="140">
        <f t="shared" si="4"/>
        <v>391828.52802977571</v>
      </c>
      <c r="L39" s="140">
        <f t="shared" si="4"/>
        <v>391828.52802977571</v>
      </c>
      <c r="M39" s="140">
        <f t="shared" si="4"/>
        <v>391828.52802977571</v>
      </c>
      <c r="N39" s="140">
        <f t="shared" si="4"/>
        <v>391828.52802977571</v>
      </c>
      <c r="O39" s="140">
        <f t="shared" si="4"/>
        <v>391828.52802977571</v>
      </c>
      <c r="P39" s="140">
        <f t="shared" si="4"/>
        <v>391828.52802977571</v>
      </c>
      <c r="Q39" s="140">
        <f t="shared" si="4"/>
        <v>391828.52802977571</v>
      </c>
      <c r="R39" s="140">
        <f t="shared" si="4"/>
        <v>391828.52802977571</v>
      </c>
      <c r="S39" s="140">
        <f t="shared" si="4"/>
        <v>391828.52802977571</v>
      </c>
      <c r="T39" s="141">
        <f t="shared" si="4"/>
        <v>391828.52802977571</v>
      </c>
    </row>
    <row r="40" spans="2:20" x14ac:dyDescent="0.3">
      <c r="B40" s="123" t="s">
        <v>46</v>
      </c>
      <c r="C40" s="112"/>
      <c r="D40" s="134">
        <f>NPV($D$33,F40:T40)</f>
        <v>3476083.1940628979</v>
      </c>
      <c r="E40" s="112"/>
      <c r="F40" s="140">
        <f t="shared" ref="F40:T40" si="5">F39+F37</f>
        <v>-254585.73598511214</v>
      </c>
      <c r="G40" s="140">
        <f t="shared" si="5"/>
        <v>-59171.471970224287</v>
      </c>
      <c r="H40" s="140">
        <f t="shared" si="5"/>
        <v>390828.52802977571</v>
      </c>
      <c r="I40" s="140">
        <f t="shared" si="5"/>
        <v>390828.52802977571</v>
      </c>
      <c r="J40" s="140">
        <f t="shared" si="5"/>
        <v>390828.52802977571</v>
      </c>
      <c r="K40" s="140">
        <f t="shared" si="5"/>
        <v>390828.52802977571</v>
      </c>
      <c r="L40" s="140">
        <f t="shared" si="5"/>
        <v>390828.52802977571</v>
      </c>
      <c r="M40" s="140">
        <f t="shared" si="5"/>
        <v>390828.52802977571</v>
      </c>
      <c r="N40" s="140">
        <f t="shared" si="5"/>
        <v>390828.52802977571</v>
      </c>
      <c r="O40" s="140">
        <f t="shared" si="5"/>
        <v>390828.52802977571</v>
      </c>
      <c r="P40" s="140">
        <f t="shared" si="5"/>
        <v>390828.52802977571</v>
      </c>
      <c r="Q40" s="140">
        <f t="shared" si="5"/>
        <v>390828.52802977571</v>
      </c>
      <c r="R40" s="140">
        <f t="shared" si="5"/>
        <v>390828.52802977571</v>
      </c>
      <c r="S40" s="140">
        <f t="shared" si="5"/>
        <v>390828.52802977571</v>
      </c>
      <c r="T40" s="141">
        <f t="shared" si="5"/>
        <v>390828.52802977571</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1959.1426401488786</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1E-3</v>
      </c>
      <c r="D46" s="261">
        <f>IFERROR(C46*'Inputs and assumptions'!D17/$D$27,0)</f>
        <v>182.47472486860147</v>
      </c>
      <c r="E46" s="112"/>
      <c r="F46" s="140">
        <f>$D46*SUM($E$27:F$27)</f>
        <v>18247.472486860148</v>
      </c>
      <c r="G46" s="140">
        <f>$D46*SUM($E$27:G$27)</f>
        <v>36494.944973720296</v>
      </c>
      <c r="H46" s="140">
        <f>$D46*SUM($E$27:H$27)</f>
        <v>36494.944973720296</v>
      </c>
      <c r="I46" s="140">
        <f>$D46*SUM($E$27:I$27)</f>
        <v>36494.944973720296</v>
      </c>
      <c r="J46" s="140">
        <f>$D46*SUM($E$27:J$27)</f>
        <v>36494.944973720296</v>
      </c>
      <c r="K46" s="140">
        <f>$D46*SUM($E$27:K$27)</f>
        <v>36494.944973720296</v>
      </c>
      <c r="L46" s="140">
        <f>$D46*SUM($E$27:L$27)</f>
        <v>36494.944973720296</v>
      </c>
      <c r="M46" s="140">
        <f>$D46*SUM($E$27:M$27)</f>
        <v>36494.944973720296</v>
      </c>
      <c r="N46" s="140">
        <f>$D46*SUM($E$27:N$27)</f>
        <v>36494.944973720296</v>
      </c>
      <c r="O46" s="140">
        <f>$D46*SUM($E$27:O$27)</f>
        <v>36494.944973720296</v>
      </c>
      <c r="P46" s="140">
        <f>$D46*SUM($E$27:P$27)</f>
        <v>36494.944973720296</v>
      </c>
      <c r="Q46" s="140">
        <f>$D46*SUM($E$27:Q$27)</f>
        <v>36494.944973720296</v>
      </c>
      <c r="R46" s="140">
        <f>$D46*SUM($E$27:R$27)</f>
        <v>36494.944973720296</v>
      </c>
      <c r="S46" s="140">
        <f>$D46*SUM($E$27:S$27)</f>
        <v>36494.944973720296</v>
      </c>
      <c r="T46" s="141">
        <f>$D46*SUM($E$27:T$27)</f>
        <v>36494.944973720296</v>
      </c>
    </row>
    <row r="47" spans="2:20" x14ac:dyDescent="0.3">
      <c r="B47" s="184" t="s">
        <v>52</v>
      </c>
      <c r="C47" s="240">
        <v>1E-3</v>
      </c>
      <c r="D47" s="261">
        <f>IFERROR(C47*'Inputs and assumptions'!D18/$D$27,0)</f>
        <v>131.23297974036527</v>
      </c>
      <c r="E47" s="112"/>
      <c r="F47" s="140">
        <f>$D47*SUM($E$27:F$27)</f>
        <v>13123.297974036526</v>
      </c>
      <c r="G47" s="140">
        <f>$D47*SUM($E$27:G$27)</f>
        <v>26246.595948073053</v>
      </c>
      <c r="H47" s="140">
        <f>$D47*SUM($E$27:H$27)</f>
        <v>26246.595948073053</v>
      </c>
      <c r="I47" s="140">
        <f>$D47*SUM($E$27:I$27)</f>
        <v>26246.595948073053</v>
      </c>
      <c r="J47" s="140">
        <f>$D47*SUM($E$27:J$27)</f>
        <v>26246.595948073053</v>
      </c>
      <c r="K47" s="140">
        <f>$D47*SUM($E$27:K$27)</f>
        <v>26246.595948073053</v>
      </c>
      <c r="L47" s="140">
        <f>$D47*SUM($E$27:L$27)</f>
        <v>26246.595948073053</v>
      </c>
      <c r="M47" s="140">
        <f>$D47*SUM($E$27:M$27)</f>
        <v>26246.595948073053</v>
      </c>
      <c r="N47" s="140">
        <f>$D47*SUM($E$27:N$27)</f>
        <v>26246.595948073053</v>
      </c>
      <c r="O47" s="140">
        <f>$D47*SUM($E$27:O$27)</f>
        <v>26246.595948073053</v>
      </c>
      <c r="P47" s="140">
        <f>$D47*SUM($E$27:P$27)</f>
        <v>26246.595948073053</v>
      </c>
      <c r="Q47" s="140">
        <f>$D47*SUM($E$27:Q$27)</f>
        <v>26246.595948073053</v>
      </c>
      <c r="R47" s="140">
        <f>$D47*SUM($E$27:R$27)</f>
        <v>26246.595948073053</v>
      </c>
      <c r="S47" s="140">
        <f>$D47*SUM($E$27:S$27)</f>
        <v>26246.595948073053</v>
      </c>
      <c r="T47" s="141">
        <f>$D47*SUM($E$27:T$27)</f>
        <v>26246.595948073053</v>
      </c>
    </row>
    <row r="48" spans="2:20" x14ac:dyDescent="0.3">
      <c r="B48" s="184" t="s">
        <v>53</v>
      </c>
      <c r="C48" s="240">
        <v>1E-3</v>
      </c>
      <c r="D48" s="261">
        <f>IFERROR(C48*'Inputs and assumptions'!D19/$D$27,0)</f>
        <v>25.474935539911836</v>
      </c>
      <c r="E48" s="112"/>
      <c r="F48" s="140">
        <f>$D48*SUM($E$27:F$27)</f>
        <v>2547.4935539911835</v>
      </c>
      <c r="G48" s="140">
        <f>$D48*SUM($E$27:G$27)</f>
        <v>5094.987107982367</v>
      </c>
      <c r="H48" s="140">
        <f>$D48*SUM($E$27:H$27)</f>
        <v>5094.987107982367</v>
      </c>
      <c r="I48" s="140">
        <f>$D48*SUM($E$27:I$27)</f>
        <v>5094.987107982367</v>
      </c>
      <c r="J48" s="140">
        <f>$D48*SUM($E$27:J$27)</f>
        <v>5094.987107982367</v>
      </c>
      <c r="K48" s="140">
        <f>$D48*SUM($E$27:K$27)</f>
        <v>5094.987107982367</v>
      </c>
      <c r="L48" s="140">
        <f>$D48*SUM($E$27:L$27)</f>
        <v>5094.987107982367</v>
      </c>
      <c r="M48" s="140">
        <f>$D48*SUM($E$27:M$27)</f>
        <v>5094.987107982367</v>
      </c>
      <c r="N48" s="140">
        <f>$D48*SUM($E$27:N$27)</f>
        <v>5094.987107982367</v>
      </c>
      <c r="O48" s="140">
        <f>$D48*SUM($E$27:O$27)</f>
        <v>5094.987107982367</v>
      </c>
      <c r="P48" s="140">
        <f>$D48*SUM($E$27:P$27)</f>
        <v>5094.987107982367</v>
      </c>
      <c r="Q48" s="140">
        <f>$D48*SUM($E$27:Q$27)</f>
        <v>5094.987107982367</v>
      </c>
      <c r="R48" s="140">
        <f>$D48*SUM($E$27:R$27)</f>
        <v>5094.987107982367</v>
      </c>
      <c r="S48" s="140">
        <f>$D48*SUM($E$27:S$27)</f>
        <v>5094.987107982367</v>
      </c>
      <c r="T48" s="141">
        <f>$D48*SUM($E$27:T$27)</f>
        <v>5094.987107982367</v>
      </c>
    </row>
    <row r="49" spans="2:20" x14ac:dyDescent="0.3">
      <c r="B49" s="184" t="s">
        <v>54</v>
      </c>
      <c r="C49" s="240">
        <v>0</v>
      </c>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v>1E-3</v>
      </c>
      <c r="D54" s="261">
        <f>IFERROR(C54*'Inputs and assumptions'!D25/$D$27,0)</f>
        <v>52.46</v>
      </c>
      <c r="E54" s="112"/>
      <c r="F54" s="140">
        <f>$D54*SUM($E$27:F$27)</f>
        <v>5246</v>
      </c>
      <c r="G54" s="140">
        <f>$D54*SUM($E$27:G$27)</f>
        <v>10492</v>
      </c>
      <c r="H54" s="140">
        <f>$D54*SUM($E$27:H$27)</f>
        <v>10492</v>
      </c>
      <c r="I54" s="140">
        <f>$D54*SUM($E$27:I$27)</f>
        <v>10492</v>
      </c>
      <c r="J54" s="140">
        <f>$D54*SUM($E$27:J$27)</f>
        <v>10492</v>
      </c>
      <c r="K54" s="140">
        <f>$D54*SUM($E$27:K$27)</f>
        <v>10492</v>
      </c>
      <c r="L54" s="140">
        <f>$D54*SUM($E$27:L$27)</f>
        <v>10492</v>
      </c>
      <c r="M54" s="140">
        <f>$D54*SUM($E$27:M$27)</f>
        <v>10492</v>
      </c>
      <c r="N54" s="140">
        <f>$D54*SUM($E$27:N$27)</f>
        <v>10492</v>
      </c>
      <c r="O54" s="140">
        <f>$D54*SUM($E$27:O$27)</f>
        <v>10492</v>
      </c>
      <c r="P54" s="140">
        <f>$D54*SUM($E$27:P$27)</f>
        <v>10492</v>
      </c>
      <c r="Q54" s="140">
        <f>$D54*SUM($E$27:Q$27)</f>
        <v>10492</v>
      </c>
      <c r="R54" s="140">
        <f>$D54*SUM($E$27:R$27)</f>
        <v>10492</v>
      </c>
      <c r="S54" s="140">
        <f>$D54*SUM($E$27:S$27)</f>
        <v>10492</v>
      </c>
      <c r="T54" s="141">
        <f>$D54*SUM($E$27:T$27)</f>
        <v>10492</v>
      </c>
    </row>
    <row r="55" spans="2:20" x14ac:dyDescent="0.3">
      <c r="B55" s="184" t="s">
        <v>59</v>
      </c>
      <c r="C55" s="240">
        <v>1E-3</v>
      </c>
      <c r="D55" s="261">
        <f>IFERROR(C55*'Inputs and assumptions'!D26/$D$27,0)</f>
        <v>1525</v>
      </c>
      <c r="E55" s="112"/>
      <c r="F55" s="140">
        <f>$D55*SUM($E$27:F$27)</f>
        <v>152500</v>
      </c>
      <c r="G55" s="140">
        <f>$D55*SUM($E$27:G$27)</f>
        <v>305000</v>
      </c>
      <c r="H55" s="140">
        <f>$D55*SUM($E$27:H$27)</f>
        <v>305000</v>
      </c>
      <c r="I55" s="140">
        <f>$D55*SUM($E$27:I$27)</f>
        <v>305000</v>
      </c>
      <c r="J55" s="140">
        <f>$D55*SUM($E$27:J$27)</f>
        <v>305000</v>
      </c>
      <c r="K55" s="140">
        <f>$D55*SUM($E$27:K$27)</f>
        <v>305000</v>
      </c>
      <c r="L55" s="140">
        <f>$D55*SUM($E$27:L$27)</f>
        <v>305000</v>
      </c>
      <c r="M55" s="140">
        <f>$D55*SUM($E$27:M$27)</f>
        <v>305000</v>
      </c>
      <c r="N55" s="140">
        <f>$D55*SUM($E$27:N$27)</f>
        <v>305000</v>
      </c>
      <c r="O55" s="140">
        <f>$D55*SUM($E$27:O$27)</f>
        <v>305000</v>
      </c>
      <c r="P55" s="140">
        <f>$D55*SUM($E$27:P$27)</f>
        <v>305000</v>
      </c>
      <c r="Q55" s="140">
        <f>$D55*SUM($E$27:Q$27)</f>
        <v>305000</v>
      </c>
      <c r="R55" s="140">
        <f>$D55*SUM($E$27:R$27)</f>
        <v>305000</v>
      </c>
      <c r="S55" s="140">
        <f>$D55*SUM($E$27:S$27)</f>
        <v>305000</v>
      </c>
      <c r="T55" s="141">
        <f>$D55*SUM($E$27:T$27)</f>
        <v>305000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v>1E-3</v>
      </c>
      <c r="D57" s="261">
        <f>IFERROR(C57*'Inputs and assumptions'!D28/$D$27,0)</f>
        <v>42.5</v>
      </c>
      <c r="E57" s="112"/>
      <c r="F57" s="140">
        <f>$D57*SUM($E$27:F$27)</f>
        <v>4250</v>
      </c>
      <c r="G57" s="140">
        <f>$D57*SUM($E$27:G$27)</f>
        <v>8500</v>
      </c>
      <c r="H57" s="140">
        <f>$D57*SUM($E$27:H$27)</f>
        <v>8500</v>
      </c>
      <c r="I57" s="140">
        <f>$D57*SUM($E$27:I$27)</f>
        <v>8500</v>
      </c>
      <c r="J57" s="140">
        <f>$D57*SUM($E$27:J$27)</f>
        <v>8500</v>
      </c>
      <c r="K57" s="140">
        <f>$D57*SUM($E$27:K$27)</f>
        <v>8500</v>
      </c>
      <c r="L57" s="140">
        <f>$D57*SUM($E$27:L$27)</f>
        <v>8500</v>
      </c>
      <c r="M57" s="140">
        <f>$D57*SUM($E$27:M$27)</f>
        <v>8500</v>
      </c>
      <c r="N57" s="140">
        <f>$D57*SUM($E$27:N$27)</f>
        <v>8500</v>
      </c>
      <c r="O57" s="140">
        <f>$D57*SUM($E$27:O$27)</f>
        <v>8500</v>
      </c>
      <c r="P57" s="140">
        <f>$D57*SUM($E$27:P$27)</f>
        <v>8500</v>
      </c>
      <c r="Q57" s="140">
        <f>$D57*SUM($E$27:Q$27)</f>
        <v>8500</v>
      </c>
      <c r="R57" s="140">
        <f>$D57*SUM($E$27:R$27)</f>
        <v>8500</v>
      </c>
      <c r="S57" s="140">
        <f>$D57*SUM($E$27:S$27)</f>
        <v>8500</v>
      </c>
      <c r="T57" s="141">
        <f>$D57*SUM($E$27:T$27)</f>
        <v>8500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4500</v>
      </c>
      <c r="E102" s="112"/>
      <c r="F102" s="306">
        <f t="shared" ref="F102:T102" si="6">$D$102*F27</f>
        <v>450000</v>
      </c>
      <c r="G102" s="140">
        <f t="shared" si="6"/>
        <v>450000</v>
      </c>
      <c r="H102" s="140">
        <f t="shared" si="6"/>
        <v>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5</v>
      </c>
      <c r="E103" s="112"/>
      <c r="F103" s="306">
        <f>$D103*SUM($E$27:F$27)</f>
        <v>500</v>
      </c>
      <c r="G103" s="140">
        <f>$D103*SUM($E$27:G$27)</f>
        <v>1000</v>
      </c>
      <c r="H103" s="140">
        <f>$D103*SUM($E$27:H$27)</f>
        <v>1000</v>
      </c>
      <c r="I103" s="140">
        <f>$D103*SUM($E$27:I$27)</f>
        <v>1000</v>
      </c>
      <c r="J103" s="140">
        <f>$D103*SUM($E$27:J$27)</f>
        <v>1000</v>
      </c>
      <c r="K103" s="140">
        <f>$D103*SUM($E$27:K$27)</f>
        <v>1000</v>
      </c>
      <c r="L103" s="140">
        <f>$D103*SUM($E$27:L$27)</f>
        <v>1000</v>
      </c>
      <c r="M103" s="140">
        <f>$D103*SUM($E$27:M$27)</f>
        <v>1000</v>
      </c>
      <c r="N103" s="140">
        <f>$D103*SUM($E$27:N$27)</f>
        <v>1000</v>
      </c>
      <c r="O103" s="140">
        <f>$D103*SUM($E$27:O$27)</f>
        <v>1000</v>
      </c>
      <c r="P103" s="140">
        <f>$D103*SUM($E$27:P$27)</f>
        <v>1000</v>
      </c>
      <c r="Q103" s="140">
        <f>$D103*SUM($E$27:Q$27)</f>
        <v>1000</v>
      </c>
      <c r="R103" s="140">
        <f>$D103*SUM($E$27:R$27)</f>
        <v>1000</v>
      </c>
      <c r="S103" s="140">
        <f>$D103*SUM($E$27:S$27)</f>
        <v>1000</v>
      </c>
      <c r="T103" s="141">
        <f>$D103*SUM($E$27:T$27)</f>
        <v>1000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4500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295</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F70 F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67BE014F-93F4-48A9-BF56-A482965DDA80}">
          <x14:formula1>
            <xm:f>'Inputs and assumptions'!$H$16:$H$20</xm:f>
          </x14:formula1>
          <xm:sqref>E8</xm:sqref>
        </x14:dataValidation>
        <x14:dataValidation type="list" allowBlank="1" showInputMessage="1" showErrorMessage="1" xr:uid="{B930C90E-BF24-46E7-ACC1-4531F7CDA65D}">
          <x14:formula1>
            <xm:f>'Inputs and assumptions'!$G$16:$G$20</xm:f>
          </x14:formula1>
          <xm:sqref>E7</xm:sqref>
        </x14:dataValidation>
        <x14:dataValidation type="list" allowBlank="1" showInputMessage="1" showErrorMessage="1" xr:uid="{DC11BB65-B096-4843-8C94-0178ED134F88}">
          <x14:formula1>
            <xm:f>'Inputs and assumptions'!$H$23:$H$24</xm:f>
          </x14:formula1>
          <xm:sqref>E10</xm:sqref>
        </x14:dataValidation>
        <x14:dataValidation type="list" allowBlank="1" showInputMessage="1" showErrorMessage="1" xr:uid="{09CB404E-23B0-4A86-BAC5-52CB1E1F0700}">
          <x14:formula1>
            <xm:f>'Inputs and assumptions'!$H$27:$H$29</xm:f>
          </x14:formula1>
          <xm:sqref>E11</xm:sqref>
        </x14:dataValidation>
        <x14:dataValidation type="list" allowBlank="1" showInputMessage="1" showErrorMessage="1" xr:uid="{A08382E6-1A7D-4AB6-8F1A-759CEE280A85}">
          <x14:formula1>
            <xm:f>'Inputs and assumptions'!$J$17:$J$18</xm:f>
          </x14:formula1>
          <xm:sqref>E43</xm:sqref>
        </x14:dataValidation>
        <x14:dataValidation type="list" allowBlank="1" showInputMessage="1" showErrorMessage="1" xr:uid="{C5FD4414-BB8E-435F-B4EA-50A272B413D3}">
          <x14:formula1>
            <xm:f>'Inputs and assumptions'!$H$31:$H$34</xm:f>
          </x14:formula1>
          <xm:sqref>E12</xm:sqref>
        </x14:dataValidation>
        <x14:dataValidation type="list" allowBlank="1" showInputMessage="1" showErrorMessage="1" xr:uid="{7BF3BB22-23DB-485B-B8E2-4B4CFFFC832E}">
          <x14:formula1>
            <xm:f>'Inputs and assumptions'!$H$36:$H$40</xm:f>
          </x14:formula1>
          <xm:sqref>E13</xm:sqref>
        </x14:dataValidation>
        <x14:dataValidation type="list" allowBlank="1" showInputMessage="1" showErrorMessage="1" xr:uid="{51301B41-87B5-4323-8E2B-7C968745150F}">
          <x14:formula1>
            <xm:f>'Inputs and assumptions'!$J$21:$J$24</xm:f>
          </x14:formula1>
          <xm:sqref>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B999-60E7-47B6-BF69-AEB7B44B6C90}">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11" width="11.453125" style="109" customWidth="1"/>
    <col min="12" max="12" width="11.7265625" style="109" customWidth="1"/>
    <col min="13"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296</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184</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123</v>
      </c>
      <c r="G7" s="576" t="s">
        <v>297</v>
      </c>
      <c r="H7" s="576"/>
      <c r="I7" s="576"/>
      <c r="J7" s="576"/>
      <c r="K7" s="576"/>
      <c r="L7" s="576"/>
      <c r="M7" s="576"/>
      <c r="N7" s="576"/>
      <c r="O7" s="576"/>
      <c r="P7" s="576"/>
      <c r="Q7" s="576"/>
      <c r="R7" s="576"/>
      <c r="S7" s="576"/>
      <c r="T7" s="576"/>
    </row>
    <row r="8" spans="1:23" s="170" customFormat="1" ht="15.75" customHeight="1" x14ac:dyDescent="0.35">
      <c r="B8" s="328" t="s">
        <v>3</v>
      </c>
      <c r="C8" s="230"/>
      <c r="E8" s="329" t="s">
        <v>124</v>
      </c>
      <c r="G8" s="576"/>
      <c r="H8" s="576"/>
      <c r="I8" s="576"/>
      <c r="J8" s="576"/>
      <c r="K8" s="576"/>
      <c r="L8" s="576"/>
      <c r="M8" s="576"/>
      <c r="N8" s="576"/>
      <c r="O8" s="576"/>
      <c r="P8" s="576"/>
      <c r="Q8" s="576"/>
      <c r="R8" s="576"/>
      <c r="S8" s="576"/>
      <c r="T8" s="576"/>
    </row>
    <row r="9" spans="1:23" s="170" customFormat="1" ht="15.75" customHeight="1" x14ac:dyDescent="0.35">
      <c r="B9" s="328" t="s">
        <v>4</v>
      </c>
      <c r="C9" s="230"/>
      <c r="E9" s="330" t="s">
        <v>298</v>
      </c>
      <c r="G9" s="576"/>
      <c r="H9" s="576"/>
      <c r="I9" s="576"/>
      <c r="J9" s="576"/>
      <c r="K9" s="576"/>
      <c r="L9" s="576"/>
      <c r="M9" s="576"/>
      <c r="N9" s="576"/>
      <c r="O9" s="576"/>
      <c r="P9" s="576"/>
      <c r="Q9" s="576"/>
      <c r="R9" s="576"/>
      <c r="S9" s="576"/>
      <c r="T9" s="576"/>
    </row>
    <row r="10" spans="1:23" s="170" customFormat="1" ht="15.75" customHeight="1" x14ac:dyDescent="0.35">
      <c r="B10" s="328" t="s">
        <v>6</v>
      </c>
      <c r="C10" s="230"/>
      <c r="E10" s="330" t="s">
        <v>134</v>
      </c>
      <c r="G10" s="576"/>
      <c r="H10" s="576"/>
      <c r="I10" s="576"/>
      <c r="J10" s="576"/>
      <c r="K10" s="576"/>
      <c r="L10" s="576"/>
      <c r="M10" s="576"/>
      <c r="N10" s="576"/>
      <c r="O10" s="576"/>
      <c r="P10" s="576"/>
      <c r="Q10" s="576"/>
      <c r="R10" s="576"/>
      <c r="S10" s="576"/>
      <c r="T10" s="576"/>
    </row>
    <row r="11" spans="1:23" s="170" customFormat="1" ht="15.75" customHeight="1" x14ac:dyDescent="0.35">
      <c r="B11" s="328" t="s">
        <v>7</v>
      </c>
      <c r="C11" s="230"/>
      <c r="E11" s="330" t="s">
        <v>145</v>
      </c>
      <c r="G11" s="576"/>
      <c r="H11" s="576"/>
      <c r="I11" s="576"/>
      <c r="J11" s="576"/>
      <c r="K11" s="576"/>
      <c r="L11" s="576"/>
      <c r="M11" s="576"/>
      <c r="N11" s="576"/>
      <c r="O11" s="576"/>
      <c r="P11" s="576"/>
      <c r="Q11" s="576"/>
      <c r="R11" s="576"/>
      <c r="S11" s="576"/>
      <c r="T11" s="576"/>
    </row>
    <row r="12" spans="1:23" x14ac:dyDescent="0.3">
      <c r="B12" s="331" t="s">
        <v>9</v>
      </c>
      <c r="C12" s="231"/>
      <c r="D12" s="114"/>
      <c r="E12" s="330" t="s">
        <v>149</v>
      </c>
      <c r="G12" s="576"/>
      <c r="H12" s="576"/>
      <c r="I12" s="576"/>
      <c r="J12" s="576"/>
      <c r="K12" s="576"/>
      <c r="L12" s="576"/>
      <c r="M12" s="576"/>
      <c r="N12" s="576"/>
      <c r="O12" s="576"/>
      <c r="P12" s="576"/>
      <c r="Q12" s="576"/>
      <c r="R12" s="576"/>
      <c r="S12" s="576"/>
      <c r="T12" s="576"/>
    </row>
    <row r="13" spans="1:23" x14ac:dyDescent="0.3">
      <c r="B13" s="331" t="s">
        <v>10</v>
      </c>
      <c r="C13" s="231"/>
      <c r="D13" s="114"/>
      <c r="E13" s="330" t="s">
        <v>160</v>
      </c>
      <c r="G13" s="576"/>
      <c r="H13" s="576"/>
      <c r="I13" s="576"/>
      <c r="J13" s="576"/>
      <c r="K13" s="576"/>
      <c r="L13" s="576"/>
      <c r="M13" s="576"/>
      <c r="N13" s="576"/>
      <c r="O13" s="576"/>
      <c r="P13" s="576"/>
      <c r="Q13" s="576"/>
      <c r="R13" s="576"/>
      <c r="S13" s="576"/>
      <c r="T13" s="576"/>
    </row>
    <row r="14" spans="1:23" ht="13.5" thickBot="1" x14ac:dyDescent="0.35">
      <c r="B14" s="332" t="s">
        <v>11</v>
      </c>
      <c r="C14" s="333"/>
      <c r="D14" s="334"/>
      <c r="E14" s="335" t="s">
        <v>135</v>
      </c>
      <c r="G14" s="576"/>
      <c r="H14" s="576"/>
      <c r="I14" s="576"/>
      <c r="J14" s="576"/>
      <c r="K14" s="576"/>
      <c r="L14" s="576"/>
      <c r="M14" s="576"/>
      <c r="N14" s="576"/>
      <c r="O14" s="576"/>
      <c r="P14" s="576"/>
      <c r="Q14" s="576"/>
      <c r="R14" s="576"/>
      <c r="S14" s="576"/>
      <c r="T14" s="576"/>
    </row>
    <row r="15" spans="1:23" x14ac:dyDescent="0.3">
      <c r="B15" s="438"/>
      <c r="C15" s="231"/>
      <c r="D15" s="114"/>
      <c r="E15" s="158"/>
      <c r="G15" s="576"/>
      <c r="H15" s="576"/>
      <c r="I15" s="576"/>
      <c r="J15" s="576"/>
      <c r="K15" s="576"/>
      <c r="L15" s="576"/>
      <c r="M15" s="576"/>
      <c r="N15" s="576"/>
      <c r="O15" s="576"/>
      <c r="P15" s="576"/>
      <c r="Q15" s="576"/>
      <c r="R15" s="576"/>
      <c r="S15" s="576"/>
      <c r="T15" s="57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-5910594.3077271301</v>
      </c>
      <c r="J18" s="222"/>
      <c r="K18" s="220" t="s">
        <v>220</v>
      </c>
      <c r="L18" s="223">
        <f>SUM(F34:J34)</f>
        <v>5700000</v>
      </c>
      <c r="N18" s="584" t="s">
        <v>221</v>
      </c>
      <c r="O18" s="584"/>
      <c r="P18" s="584"/>
      <c r="Q18" s="584"/>
      <c r="R18" s="314"/>
      <c r="S18" s="161"/>
      <c r="T18" s="315" t="s">
        <v>222</v>
      </c>
    </row>
    <row r="19" spans="2:20" ht="13.5" customHeight="1" x14ac:dyDescent="0.3">
      <c r="B19" s="160" t="s">
        <v>19</v>
      </c>
      <c r="C19" s="182">
        <v>4</v>
      </c>
      <c r="D19" s="161">
        <v>0.18</v>
      </c>
      <c r="E19" s="162">
        <f>D19*C19</f>
        <v>0.72</v>
      </c>
      <c r="G19" s="224"/>
      <c r="H19" s="125" t="s">
        <v>20</v>
      </c>
      <c r="I19" s="126">
        <f>D40</f>
        <v>7131252.9744741693</v>
      </c>
      <c r="J19" s="127"/>
      <c r="K19" s="125" t="s">
        <v>223</v>
      </c>
      <c r="L19" s="225">
        <f>SUM(F36:J36)</f>
        <v>226153.86500000002</v>
      </c>
      <c r="N19" s="585" t="s">
        <v>224</v>
      </c>
      <c r="O19" s="585"/>
      <c r="P19" s="585"/>
      <c r="Q19" s="585"/>
      <c r="R19" s="314"/>
      <c r="S19" s="161"/>
      <c r="T19" s="315" t="s">
        <v>222</v>
      </c>
    </row>
    <row r="20" spans="2:20" ht="13.5" customHeight="1" x14ac:dyDescent="0.3">
      <c r="B20" s="160" t="s">
        <v>21</v>
      </c>
      <c r="C20" s="182">
        <v>2</v>
      </c>
      <c r="D20" s="161">
        <v>0.18</v>
      </c>
      <c r="E20" s="162">
        <f>D20*C20</f>
        <v>0.36</v>
      </c>
      <c r="G20" s="224"/>
      <c r="H20" s="125" t="s">
        <v>22</v>
      </c>
      <c r="I20" s="217">
        <f>IFERROR(ABS((I19-I18)/I18),"N/A")</f>
        <v>2.2065204619358205</v>
      </c>
      <c r="J20" s="127"/>
      <c r="K20" s="125" t="s">
        <v>225</v>
      </c>
      <c r="L20" s="225">
        <f>NPV($D$33,F39:T39)</f>
        <v>13041847.282201301</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1.524610775434931</v>
      </c>
      <c r="J21" s="226"/>
      <c r="K21" s="436" t="s">
        <v>228</v>
      </c>
      <c r="L21" s="439">
        <f>NPV($D$33,F39:J39)</f>
        <v>4199382.9880258311</v>
      </c>
      <c r="N21" s="570" t="s">
        <v>229</v>
      </c>
      <c r="O21" s="570"/>
      <c r="P21" s="570"/>
      <c r="Q21" s="570"/>
      <c r="R21" s="570"/>
      <c r="S21" s="164"/>
      <c r="T21" s="165"/>
    </row>
    <row r="22" spans="2:20" ht="13.5" customHeight="1" x14ac:dyDescent="0.3">
      <c r="B22" s="160" t="s">
        <v>230</v>
      </c>
      <c r="C22" s="182">
        <v>5</v>
      </c>
      <c r="D22" s="161">
        <v>0.17</v>
      </c>
      <c r="E22" s="162">
        <f>D22*C22</f>
        <v>0.85000000000000009</v>
      </c>
      <c r="L22" s="218"/>
    </row>
    <row r="23" spans="2:20" ht="13.5" customHeight="1" x14ac:dyDescent="0.3">
      <c r="B23" s="117" t="s">
        <v>229</v>
      </c>
      <c r="C23" s="117"/>
      <c r="D23" s="164">
        <f>SUM(D18:D22)</f>
        <v>0.99999999999999989</v>
      </c>
      <c r="E23" s="165">
        <f>SUM(E18:E22)</f>
        <v>2.8699999999999997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65</v>
      </c>
      <c r="F27" s="227">
        <v>10</v>
      </c>
      <c r="G27" s="227">
        <v>30</v>
      </c>
      <c r="H27" s="227">
        <v>25</v>
      </c>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876923.07692307688</v>
      </c>
      <c r="G34" s="140">
        <f t="shared" si="0"/>
        <v>2630769.2307692305</v>
      </c>
      <c r="H34" s="140">
        <f t="shared" si="0"/>
        <v>2192307.692307692</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1315384.6153846153</v>
      </c>
      <c r="G35" s="140">
        <f>G34*(1+'Inputs and assumptions'!$C$7)</f>
        <v>3946153.846153846</v>
      </c>
      <c r="H35" s="140">
        <f>H34*(1+'Inputs and assumptions'!$C$7)</f>
        <v>3288461.538461538</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9230.77</v>
      </c>
      <c r="G36" s="142">
        <f t="shared" si="1"/>
        <v>36923.08</v>
      </c>
      <c r="H36" s="142">
        <f t="shared" si="1"/>
        <v>60000.004999999997</v>
      </c>
      <c r="I36" s="142">
        <f t="shared" si="1"/>
        <v>60000.004999999997</v>
      </c>
      <c r="J36" s="142">
        <f t="shared" si="1"/>
        <v>60000.004999999997</v>
      </c>
      <c r="K36" s="142">
        <f t="shared" si="1"/>
        <v>60000.004999999997</v>
      </c>
      <c r="L36" s="142">
        <f t="shared" si="1"/>
        <v>60000.004999999997</v>
      </c>
      <c r="M36" s="142">
        <f t="shared" si="1"/>
        <v>60000.004999999997</v>
      </c>
      <c r="N36" s="142">
        <f t="shared" si="1"/>
        <v>60000.004999999997</v>
      </c>
      <c r="O36" s="142">
        <f t="shared" si="1"/>
        <v>60000.004999999997</v>
      </c>
      <c r="P36" s="142">
        <f t="shared" si="1"/>
        <v>60000.004999999997</v>
      </c>
      <c r="Q36" s="142">
        <f t="shared" si="1"/>
        <v>60000.004999999997</v>
      </c>
      <c r="R36" s="142">
        <f t="shared" si="1"/>
        <v>60000.004999999997</v>
      </c>
      <c r="S36" s="142">
        <f t="shared" si="1"/>
        <v>60000.004999999997</v>
      </c>
      <c r="T36" s="143">
        <f t="shared" si="1"/>
        <v>60000.004999999997</v>
      </c>
    </row>
    <row r="37" spans="2:20" x14ac:dyDescent="0.3">
      <c r="B37" s="122" t="s">
        <v>44</v>
      </c>
      <c r="C37" s="133"/>
      <c r="D37" s="247">
        <f>NPV($D$33,F37:T37)</f>
        <v>-5910594.3077271301</v>
      </c>
      <c r="E37" s="248"/>
      <c r="F37" s="144">
        <f t="shared" ref="F37:T37" si="2">-F34-F36</f>
        <v>-886153.8469230769</v>
      </c>
      <c r="G37" s="144">
        <f t="shared" si="2"/>
        <v>-2667692.3107692306</v>
      </c>
      <c r="H37" s="144">
        <f t="shared" si="2"/>
        <v>-2252307.6973076919</v>
      </c>
      <c r="I37" s="144">
        <f t="shared" si="2"/>
        <v>-60000.004999999997</v>
      </c>
      <c r="J37" s="144">
        <f t="shared" si="2"/>
        <v>-60000.004999999997</v>
      </c>
      <c r="K37" s="144">
        <f t="shared" si="2"/>
        <v>-60000.004999999997</v>
      </c>
      <c r="L37" s="144">
        <f t="shared" si="2"/>
        <v>-60000.004999999997</v>
      </c>
      <c r="M37" s="144">
        <f t="shared" si="2"/>
        <v>-60000.004999999997</v>
      </c>
      <c r="N37" s="144">
        <f t="shared" si="2"/>
        <v>-60000.004999999997</v>
      </c>
      <c r="O37" s="144">
        <f t="shared" si="2"/>
        <v>-60000.004999999997</v>
      </c>
      <c r="P37" s="144">
        <f t="shared" si="2"/>
        <v>-60000.004999999997</v>
      </c>
      <c r="Q37" s="144">
        <f t="shared" si="2"/>
        <v>-60000.004999999997</v>
      </c>
      <c r="R37" s="144">
        <f t="shared" si="2"/>
        <v>-60000.004999999997</v>
      </c>
      <c r="S37" s="144">
        <f t="shared" si="2"/>
        <v>-60000.004999999997</v>
      </c>
      <c r="T37" s="145">
        <f t="shared" si="2"/>
        <v>-60000.004999999997</v>
      </c>
    </row>
    <row r="38" spans="2:20" ht="13.5" thickBot="1" x14ac:dyDescent="0.35">
      <c r="B38" s="124" t="s">
        <v>235</v>
      </c>
      <c r="C38" s="135"/>
      <c r="D38" s="132"/>
      <c r="E38" s="121"/>
      <c r="F38" s="142">
        <f>F35+F36</f>
        <v>1324615.3853846153</v>
      </c>
      <c r="G38" s="142">
        <f t="shared" ref="G38:T38" si="3">G35+G36</f>
        <v>3983076.9261538461</v>
      </c>
      <c r="H38" s="142">
        <f t="shared" si="3"/>
        <v>3348461.5434615379</v>
      </c>
      <c r="I38" s="142">
        <f t="shared" si="3"/>
        <v>60000.004999999997</v>
      </c>
      <c r="J38" s="142">
        <f t="shared" si="3"/>
        <v>60000.004999999997</v>
      </c>
      <c r="K38" s="142">
        <f t="shared" si="3"/>
        <v>60000.004999999997</v>
      </c>
      <c r="L38" s="142">
        <f t="shared" si="3"/>
        <v>60000.004999999997</v>
      </c>
      <c r="M38" s="142">
        <f t="shared" si="3"/>
        <v>60000.004999999997</v>
      </c>
      <c r="N38" s="142">
        <f t="shared" si="3"/>
        <v>60000.004999999997</v>
      </c>
      <c r="O38" s="142">
        <f t="shared" si="3"/>
        <v>60000.004999999997</v>
      </c>
      <c r="P38" s="142">
        <f t="shared" si="3"/>
        <v>60000.004999999997</v>
      </c>
      <c r="Q38" s="142">
        <f t="shared" si="3"/>
        <v>60000.004999999997</v>
      </c>
      <c r="R38" s="142">
        <f t="shared" si="3"/>
        <v>60000.004999999997</v>
      </c>
      <c r="S38" s="142">
        <f t="shared" si="3"/>
        <v>60000.004999999997</v>
      </c>
      <c r="T38" s="143">
        <f t="shared" si="3"/>
        <v>60000.004999999997</v>
      </c>
    </row>
    <row r="39" spans="2:20" x14ac:dyDescent="0.3">
      <c r="B39" s="123" t="s">
        <v>45</v>
      </c>
      <c r="C39" s="112"/>
      <c r="D39" s="134"/>
      <c r="E39" s="112"/>
      <c r="F39" s="140">
        <f t="shared" ref="F39:T39" si="4">IF($E$43="Per Unit",SUM(F45:F71),SUM(F73:F98))</f>
        <v>193126.58045443927</v>
      </c>
      <c r="G39" s="140">
        <f t="shared" si="4"/>
        <v>772506.3218177571</v>
      </c>
      <c r="H39" s="140">
        <f t="shared" si="4"/>
        <v>1255322.7729538553</v>
      </c>
      <c r="I39" s="140">
        <f t="shared" si="4"/>
        <v>1255322.7729538553</v>
      </c>
      <c r="J39" s="140">
        <f t="shared" si="4"/>
        <v>1255322.7729538553</v>
      </c>
      <c r="K39" s="140">
        <f t="shared" si="4"/>
        <v>1255322.7729538553</v>
      </c>
      <c r="L39" s="140">
        <f t="shared" si="4"/>
        <v>1255322.7729538553</v>
      </c>
      <c r="M39" s="140">
        <f t="shared" si="4"/>
        <v>1255322.7729538553</v>
      </c>
      <c r="N39" s="140">
        <f t="shared" si="4"/>
        <v>1255322.7729538553</v>
      </c>
      <c r="O39" s="140">
        <f t="shared" si="4"/>
        <v>1255322.7729538553</v>
      </c>
      <c r="P39" s="140">
        <f t="shared" si="4"/>
        <v>1255322.7729538553</v>
      </c>
      <c r="Q39" s="140">
        <f t="shared" si="4"/>
        <v>1255322.7729538553</v>
      </c>
      <c r="R39" s="140">
        <f t="shared" si="4"/>
        <v>1255322.7729538553</v>
      </c>
      <c r="S39" s="140">
        <f t="shared" si="4"/>
        <v>1255322.7729538553</v>
      </c>
      <c r="T39" s="141">
        <f t="shared" si="4"/>
        <v>1255322.7729538553</v>
      </c>
    </row>
    <row r="40" spans="2:20" x14ac:dyDescent="0.3">
      <c r="B40" s="123" t="s">
        <v>46</v>
      </c>
      <c r="C40" s="112"/>
      <c r="D40" s="134">
        <f>NPV($D$33,F40:T40)</f>
        <v>7131252.9744741693</v>
      </c>
      <c r="E40" s="112"/>
      <c r="F40" s="140">
        <f t="shared" ref="F40:T40" si="5">F39+F37</f>
        <v>-693027.26646863762</v>
      </c>
      <c r="G40" s="140">
        <f t="shared" si="5"/>
        <v>-1895185.9889514735</v>
      </c>
      <c r="H40" s="140">
        <f t="shared" si="5"/>
        <v>-996984.92435383657</v>
      </c>
      <c r="I40" s="140">
        <f t="shared" si="5"/>
        <v>1195322.7679538555</v>
      </c>
      <c r="J40" s="140">
        <f t="shared" si="5"/>
        <v>1195322.7679538555</v>
      </c>
      <c r="K40" s="140">
        <f t="shared" si="5"/>
        <v>1195322.7679538555</v>
      </c>
      <c r="L40" s="140">
        <f t="shared" si="5"/>
        <v>1195322.7679538555</v>
      </c>
      <c r="M40" s="140">
        <f t="shared" si="5"/>
        <v>1195322.7679538555</v>
      </c>
      <c r="N40" s="140">
        <f t="shared" si="5"/>
        <v>1195322.7679538555</v>
      </c>
      <c r="O40" s="140">
        <f t="shared" si="5"/>
        <v>1195322.7679538555</v>
      </c>
      <c r="P40" s="140">
        <f t="shared" si="5"/>
        <v>1195322.7679538555</v>
      </c>
      <c r="Q40" s="140">
        <f t="shared" si="5"/>
        <v>1195322.7679538555</v>
      </c>
      <c r="R40" s="140">
        <f t="shared" si="5"/>
        <v>1195322.7679538555</v>
      </c>
      <c r="S40" s="140">
        <f t="shared" si="5"/>
        <v>1195322.7679538555</v>
      </c>
      <c r="T40" s="141">
        <f t="shared" si="5"/>
        <v>1195322.7679538555</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19312.658045443928</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76">
        <v>0.01</v>
      </c>
      <c r="D46" s="261">
        <f>IFERROR(C46*'Inputs and assumptions'!D17/$D$27,0)</f>
        <v>5614.6069190338912</v>
      </c>
      <c r="E46" s="112"/>
      <c r="F46" s="140">
        <f>$D46*SUM($E$27:F$27)</f>
        <v>56146.069190338909</v>
      </c>
      <c r="G46" s="140">
        <f>$D46*SUM($E$27:G$27)</f>
        <v>224584.27676135564</v>
      </c>
      <c r="H46" s="140">
        <f>$D46*SUM($E$27:H$27)</f>
        <v>364949.44973720296</v>
      </c>
      <c r="I46" s="140">
        <f>$D46*SUM($E$27:I$27)</f>
        <v>364949.44973720296</v>
      </c>
      <c r="J46" s="140">
        <f>$D46*SUM($E$27:J$27)</f>
        <v>364949.44973720296</v>
      </c>
      <c r="K46" s="140">
        <f>$D46*SUM($E$27:K$27)</f>
        <v>364949.44973720296</v>
      </c>
      <c r="L46" s="140">
        <f>$D46*SUM($E$27:L$27)</f>
        <v>364949.44973720296</v>
      </c>
      <c r="M46" s="140">
        <f>$D46*SUM($E$27:M$27)</f>
        <v>364949.44973720296</v>
      </c>
      <c r="N46" s="140">
        <f>$D46*SUM($E$27:N$27)</f>
        <v>364949.44973720296</v>
      </c>
      <c r="O46" s="140">
        <f>$D46*SUM($E$27:O$27)</f>
        <v>364949.44973720296</v>
      </c>
      <c r="P46" s="140">
        <f>$D46*SUM($E$27:P$27)</f>
        <v>364949.44973720296</v>
      </c>
      <c r="Q46" s="140">
        <f>$D46*SUM($E$27:Q$27)</f>
        <v>364949.44973720296</v>
      </c>
      <c r="R46" s="140">
        <f>$D46*SUM($E$27:R$27)</f>
        <v>364949.44973720296</v>
      </c>
      <c r="S46" s="140">
        <f>$D46*SUM($E$27:S$27)</f>
        <v>364949.44973720296</v>
      </c>
      <c r="T46" s="141">
        <f>$D46*SUM($E$27:T$27)</f>
        <v>364949.44973720296</v>
      </c>
    </row>
    <row r="47" spans="2:20" x14ac:dyDescent="0.3">
      <c r="B47" s="184" t="s">
        <v>52</v>
      </c>
      <c r="C47" s="276">
        <v>0.02</v>
      </c>
      <c r="D47" s="261">
        <f>IFERROR(C47*'Inputs and assumptions'!D18/$D$27,0)</f>
        <v>8075.8756763301699</v>
      </c>
      <c r="E47" s="112"/>
      <c r="F47" s="140">
        <f>$D47*SUM($E$27:F$27)</f>
        <v>80758.756763301702</v>
      </c>
      <c r="G47" s="140">
        <f>$D47*SUM($E$27:G$27)</f>
        <v>323035.02705320681</v>
      </c>
      <c r="H47" s="140">
        <f>$D47*SUM($E$27:H$27)</f>
        <v>524931.91896146105</v>
      </c>
      <c r="I47" s="140">
        <f>$D47*SUM($E$27:I$27)</f>
        <v>524931.91896146105</v>
      </c>
      <c r="J47" s="140">
        <f>$D47*SUM($E$27:J$27)</f>
        <v>524931.91896146105</v>
      </c>
      <c r="K47" s="140">
        <f>$D47*SUM($E$27:K$27)</f>
        <v>524931.91896146105</v>
      </c>
      <c r="L47" s="140">
        <f>$D47*SUM($E$27:L$27)</f>
        <v>524931.91896146105</v>
      </c>
      <c r="M47" s="140">
        <f>$D47*SUM($E$27:M$27)</f>
        <v>524931.91896146105</v>
      </c>
      <c r="N47" s="140">
        <f>$D47*SUM($E$27:N$27)</f>
        <v>524931.91896146105</v>
      </c>
      <c r="O47" s="140">
        <f>$D47*SUM($E$27:O$27)</f>
        <v>524931.91896146105</v>
      </c>
      <c r="P47" s="140">
        <f>$D47*SUM($E$27:P$27)</f>
        <v>524931.91896146105</v>
      </c>
      <c r="Q47" s="140">
        <f>$D47*SUM($E$27:Q$27)</f>
        <v>524931.91896146105</v>
      </c>
      <c r="R47" s="140">
        <f>$D47*SUM($E$27:R$27)</f>
        <v>524931.91896146105</v>
      </c>
      <c r="S47" s="140">
        <f>$D47*SUM($E$27:S$27)</f>
        <v>524931.91896146105</v>
      </c>
      <c r="T47" s="141">
        <f>$D47*SUM($E$27:T$27)</f>
        <v>524931.91896146105</v>
      </c>
    </row>
    <row r="48" spans="2:20" x14ac:dyDescent="0.3">
      <c r="B48" s="184" t="s">
        <v>53</v>
      </c>
      <c r="C48" s="276">
        <v>0.01</v>
      </c>
      <c r="D48" s="261">
        <f>IFERROR(C48*'Inputs and assumptions'!D19/$D$27,0)</f>
        <v>783.84417045882572</v>
      </c>
      <c r="E48" s="112"/>
      <c r="F48" s="140">
        <f>$D48*SUM($E$27:F$27)</f>
        <v>7838.4417045882574</v>
      </c>
      <c r="G48" s="140">
        <f>$D48*SUM($E$27:G$27)</f>
        <v>31353.76681835303</v>
      </c>
      <c r="H48" s="140">
        <f>$D48*SUM($E$27:H$27)</f>
        <v>50949.871079823672</v>
      </c>
      <c r="I48" s="140">
        <f>$D48*SUM($E$27:I$27)</f>
        <v>50949.871079823672</v>
      </c>
      <c r="J48" s="140">
        <f>$D48*SUM($E$27:J$27)</f>
        <v>50949.871079823672</v>
      </c>
      <c r="K48" s="140">
        <f>$D48*SUM($E$27:K$27)</f>
        <v>50949.871079823672</v>
      </c>
      <c r="L48" s="140">
        <f>$D48*SUM($E$27:L$27)</f>
        <v>50949.871079823672</v>
      </c>
      <c r="M48" s="140">
        <f>$D48*SUM($E$27:M$27)</f>
        <v>50949.871079823672</v>
      </c>
      <c r="N48" s="140">
        <f>$D48*SUM($E$27:N$27)</f>
        <v>50949.871079823672</v>
      </c>
      <c r="O48" s="140">
        <f>$D48*SUM($E$27:O$27)</f>
        <v>50949.871079823672</v>
      </c>
      <c r="P48" s="140">
        <f>$D48*SUM($E$27:P$27)</f>
        <v>50949.871079823672</v>
      </c>
      <c r="Q48" s="140">
        <f>$D48*SUM($E$27:Q$27)</f>
        <v>50949.871079823672</v>
      </c>
      <c r="R48" s="140">
        <f>$D48*SUM($E$27:R$27)</f>
        <v>50949.871079823672</v>
      </c>
      <c r="S48" s="140">
        <f>$D48*SUM($E$27:S$27)</f>
        <v>50949.871079823672</v>
      </c>
      <c r="T48" s="141">
        <f>$D48*SUM($E$27:T$27)</f>
        <v>50949.871079823672</v>
      </c>
    </row>
    <row r="49" spans="2:20" x14ac:dyDescent="0.3">
      <c r="B49" s="184" t="s">
        <v>54</v>
      </c>
      <c r="C49" s="276">
        <v>0.01</v>
      </c>
      <c r="D49" s="261">
        <f>IFERROR(C49*'Inputs and assumptions'!D20/$D$27,0)</f>
        <v>4838.3312796210403</v>
      </c>
      <c r="E49" s="112"/>
      <c r="F49" s="140">
        <f>$D49*SUM($E$27:F$27)</f>
        <v>48383.312796210404</v>
      </c>
      <c r="G49" s="140">
        <f>$D49*SUM($E$27:G$27)</f>
        <v>193533.25118484162</v>
      </c>
      <c r="H49" s="140">
        <f>$D49*SUM($E$27:H$27)</f>
        <v>314491.53317536763</v>
      </c>
      <c r="I49" s="140">
        <f>$D49*SUM($E$27:I$27)</f>
        <v>314491.53317536763</v>
      </c>
      <c r="J49" s="140">
        <f>$D49*SUM($E$27:J$27)</f>
        <v>314491.53317536763</v>
      </c>
      <c r="K49" s="140">
        <f>$D49*SUM($E$27:K$27)</f>
        <v>314491.53317536763</v>
      </c>
      <c r="L49" s="140">
        <f>$D49*SUM($E$27:L$27)</f>
        <v>314491.53317536763</v>
      </c>
      <c r="M49" s="140">
        <f>$D49*SUM($E$27:M$27)</f>
        <v>314491.53317536763</v>
      </c>
      <c r="N49" s="140">
        <f>$D49*SUM($E$27:N$27)</f>
        <v>314491.53317536763</v>
      </c>
      <c r="O49" s="140">
        <f>$D49*SUM($E$27:O$27)</f>
        <v>314491.53317536763</v>
      </c>
      <c r="P49" s="140">
        <f>$D49*SUM($E$27:P$27)</f>
        <v>314491.53317536763</v>
      </c>
      <c r="Q49" s="140">
        <f>$D49*SUM($E$27:Q$27)</f>
        <v>314491.53317536763</v>
      </c>
      <c r="R49" s="140">
        <f>$D49*SUM($E$27:R$27)</f>
        <v>314491.53317536763</v>
      </c>
      <c r="S49" s="140">
        <f>$D49*SUM($E$27:S$27)</f>
        <v>314491.53317536763</v>
      </c>
      <c r="T49" s="141">
        <f>$D49*SUM($E$27:T$27)</f>
        <v>314491.53317536763</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87692.307692307688</v>
      </c>
      <c r="E102" s="112"/>
      <c r="F102" s="140">
        <f t="shared" ref="F102:T102" si="6">$D$102*F27</f>
        <v>876923.07692307688</v>
      </c>
      <c r="G102" s="140">
        <f t="shared" si="6"/>
        <v>2630769.2307692305</v>
      </c>
      <c r="H102" s="140">
        <f t="shared" si="6"/>
        <v>2192307.692307692</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923.077</v>
      </c>
      <c r="E103" s="112"/>
      <c r="F103" s="140">
        <f>$D103*SUM($E$27:F$27)</f>
        <v>9230.77</v>
      </c>
      <c r="G103" s="140">
        <f>$D103*SUM($E$27:G$27)</f>
        <v>36923.08</v>
      </c>
      <c r="H103" s="140">
        <f>$D103*SUM($E$27:H$27)</f>
        <v>60000.004999999997</v>
      </c>
      <c r="I103" s="140">
        <f>$D103*SUM($E$27:I$27)</f>
        <v>60000.004999999997</v>
      </c>
      <c r="J103" s="140">
        <f>$D103*SUM($E$27:J$27)</f>
        <v>60000.004999999997</v>
      </c>
      <c r="K103" s="140">
        <f>$D103*SUM($E$27:K$27)</f>
        <v>60000.004999999997</v>
      </c>
      <c r="L103" s="140">
        <f>$D103*SUM($E$27:L$27)</f>
        <v>60000.004999999997</v>
      </c>
      <c r="M103" s="140">
        <f>$D103*SUM($E$27:M$27)</f>
        <v>60000.004999999997</v>
      </c>
      <c r="N103" s="140">
        <f>$D103*SUM($E$27:N$27)</f>
        <v>60000.004999999997</v>
      </c>
      <c r="O103" s="140">
        <f>$D103*SUM($E$27:O$27)</f>
        <v>60000.004999999997</v>
      </c>
      <c r="P103" s="140">
        <f>$D103*SUM($E$27:P$27)</f>
        <v>60000.004999999997</v>
      </c>
      <c r="Q103" s="140">
        <f>$D103*SUM($E$27:Q$27)</f>
        <v>60000.004999999997</v>
      </c>
      <c r="R103" s="140">
        <f>$D103*SUM($E$27:R$27)</f>
        <v>60000.004999999997</v>
      </c>
      <c r="S103" s="140">
        <f>$D103*SUM($E$27:S$27)</f>
        <v>60000.004999999997</v>
      </c>
      <c r="T103" s="141">
        <f>$D103*SUM($E$27:T$27)</f>
        <v>60000.004999999997</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87692.307692307688</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96" t="s">
        <v>299</v>
      </c>
      <c r="C113" s="597"/>
      <c r="D113" s="597"/>
      <c r="E113" s="598"/>
      <c r="F113" s="290"/>
      <c r="G113" s="290"/>
      <c r="H113" s="290"/>
      <c r="I113" s="290"/>
      <c r="J113" s="290"/>
      <c r="K113" s="290"/>
      <c r="L113" s="181"/>
      <c r="M113" s="181"/>
      <c r="N113" s="181"/>
      <c r="O113" s="181"/>
      <c r="P113" s="181"/>
      <c r="Q113" s="181"/>
      <c r="R113" s="181"/>
      <c r="S113" s="181"/>
      <c r="T113" s="181"/>
    </row>
    <row r="114" spans="2:20" ht="15" customHeight="1" x14ac:dyDescent="0.3">
      <c r="B114" s="599"/>
      <c r="C114" s="600"/>
      <c r="D114" s="600"/>
      <c r="E114" s="601"/>
      <c r="F114" s="290"/>
      <c r="G114" s="290"/>
      <c r="H114" s="290"/>
      <c r="I114" s="290"/>
      <c r="J114" s="290"/>
      <c r="K114" s="290"/>
      <c r="L114" s="181"/>
      <c r="M114" s="181"/>
      <c r="N114" s="181"/>
      <c r="O114" s="181"/>
      <c r="P114" s="181"/>
      <c r="Q114" s="181"/>
      <c r="R114" s="181"/>
      <c r="S114" s="181"/>
      <c r="T114" s="181"/>
    </row>
    <row r="115" spans="2:20" ht="15" customHeight="1" x14ac:dyDescent="0.3">
      <c r="B115" s="599"/>
      <c r="C115" s="600"/>
      <c r="D115" s="600"/>
      <c r="E115" s="601"/>
      <c r="F115" s="290"/>
      <c r="G115" s="290"/>
      <c r="H115" s="290"/>
      <c r="I115" s="290"/>
      <c r="J115" s="290"/>
      <c r="K115" s="290"/>
      <c r="L115" s="181"/>
      <c r="M115" s="181"/>
      <c r="N115" s="181"/>
      <c r="O115" s="181"/>
      <c r="P115" s="181"/>
      <c r="Q115" s="181"/>
      <c r="R115" s="181"/>
      <c r="S115" s="181"/>
      <c r="T115" s="181"/>
    </row>
    <row r="116" spans="2:20" ht="15" customHeight="1" x14ac:dyDescent="0.3">
      <c r="B116" s="599"/>
      <c r="C116" s="600"/>
      <c r="D116" s="600"/>
      <c r="E116" s="601"/>
      <c r="F116" s="290"/>
      <c r="G116" s="290"/>
      <c r="H116" s="290"/>
      <c r="I116" s="290"/>
      <c r="J116" s="290"/>
      <c r="K116" s="290"/>
      <c r="L116" s="181"/>
      <c r="M116" s="181"/>
      <c r="N116" s="181"/>
      <c r="O116" s="181"/>
      <c r="P116" s="181"/>
      <c r="Q116" s="181"/>
      <c r="R116" s="181"/>
      <c r="S116" s="181"/>
      <c r="T116" s="181"/>
    </row>
    <row r="117" spans="2:20" ht="15" customHeight="1" x14ac:dyDescent="0.3">
      <c r="B117" s="599"/>
      <c r="C117" s="600"/>
      <c r="D117" s="600"/>
      <c r="E117" s="601"/>
      <c r="F117" s="290"/>
      <c r="G117" s="290"/>
      <c r="H117" s="290"/>
      <c r="I117" s="290"/>
      <c r="J117" s="290"/>
      <c r="K117" s="290"/>
      <c r="L117" s="181"/>
      <c r="M117" s="181"/>
      <c r="N117" s="181"/>
      <c r="O117" s="181"/>
      <c r="P117" s="181"/>
      <c r="Q117" s="181"/>
      <c r="R117" s="181"/>
      <c r="S117" s="181"/>
      <c r="T117" s="181"/>
    </row>
    <row r="118" spans="2:20" ht="15" customHeight="1" x14ac:dyDescent="0.3">
      <c r="B118" s="599"/>
      <c r="C118" s="600"/>
      <c r="D118" s="600"/>
      <c r="E118" s="601"/>
      <c r="F118" s="290"/>
      <c r="G118" s="290"/>
      <c r="H118" s="290"/>
      <c r="I118" s="290"/>
      <c r="J118" s="290"/>
      <c r="K118" s="290"/>
      <c r="L118" s="181"/>
      <c r="M118" s="181"/>
      <c r="N118" s="181"/>
      <c r="O118" s="181"/>
      <c r="P118" s="181"/>
      <c r="Q118" s="181"/>
      <c r="R118" s="181"/>
      <c r="S118" s="181"/>
      <c r="T118" s="181"/>
    </row>
    <row r="119" spans="2:20" ht="15" customHeight="1" x14ac:dyDescent="0.3">
      <c r="B119" s="599"/>
      <c r="C119" s="600"/>
      <c r="D119" s="600"/>
      <c r="E119" s="601"/>
      <c r="F119" s="290"/>
      <c r="G119" s="290"/>
      <c r="H119" s="290"/>
      <c r="I119" s="290"/>
      <c r="J119" s="290"/>
      <c r="K119" s="290"/>
      <c r="L119" s="181"/>
      <c r="M119" s="181"/>
      <c r="N119" s="181"/>
      <c r="O119" s="181"/>
      <c r="P119" s="181"/>
      <c r="Q119" s="181"/>
      <c r="R119" s="181"/>
      <c r="S119" s="181"/>
      <c r="T119" s="181"/>
    </row>
    <row r="120" spans="2:20" ht="15" customHeight="1" x14ac:dyDescent="0.3">
      <c r="B120" s="599"/>
      <c r="C120" s="600"/>
      <c r="D120" s="600"/>
      <c r="E120" s="601"/>
      <c r="F120" s="290"/>
      <c r="G120" s="290"/>
      <c r="H120" s="290"/>
      <c r="I120" s="290"/>
      <c r="J120" s="290"/>
      <c r="K120" s="290"/>
      <c r="L120" s="181"/>
      <c r="M120" s="181"/>
      <c r="N120" s="181"/>
      <c r="O120" s="181"/>
      <c r="P120" s="181"/>
      <c r="Q120" s="181"/>
      <c r="R120" s="181"/>
      <c r="S120" s="181"/>
      <c r="T120" s="181"/>
    </row>
    <row r="121" spans="2:20" ht="15" customHeight="1" x14ac:dyDescent="0.3">
      <c r="B121" s="599"/>
      <c r="C121" s="600"/>
      <c r="D121" s="600"/>
      <c r="E121" s="601"/>
      <c r="F121" s="290"/>
      <c r="G121" s="290"/>
      <c r="H121" s="290"/>
      <c r="I121" s="290"/>
      <c r="J121" s="290"/>
      <c r="K121" s="290"/>
      <c r="L121" s="181"/>
      <c r="M121" s="181"/>
      <c r="N121" s="181"/>
      <c r="O121" s="181"/>
      <c r="P121" s="181"/>
      <c r="Q121" s="181"/>
      <c r="R121" s="181"/>
      <c r="S121" s="181"/>
      <c r="T121" s="181"/>
    </row>
    <row r="122" spans="2:20" ht="15.75" customHeight="1" thickBot="1" x14ac:dyDescent="0.35">
      <c r="B122" s="602"/>
      <c r="C122" s="603"/>
      <c r="D122" s="603"/>
      <c r="E122" s="60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103:G103 F48:G70"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68DA831E-2B22-4A30-A8B6-8AC0F3E10299}">
          <x14:formula1>
            <xm:f>'Inputs and assumptions'!$H$16:$H$20</xm:f>
          </x14:formula1>
          <xm:sqref>E8</xm:sqref>
        </x14:dataValidation>
        <x14:dataValidation type="list" allowBlank="1" showInputMessage="1" showErrorMessage="1" xr:uid="{D2D97694-016C-4A9F-9D88-9667B8737EFE}">
          <x14:formula1>
            <xm:f>'Inputs and assumptions'!$G$16:$G$20</xm:f>
          </x14:formula1>
          <xm:sqref>E7</xm:sqref>
        </x14:dataValidation>
        <x14:dataValidation type="list" allowBlank="1" showInputMessage="1" showErrorMessage="1" xr:uid="{3DF877B5-0EDA-4086-9D18-EF59091A4436}">
          <x14:formula1>
            <xm:f>'Inputs and assumptions'!$H$23:$H$24</xm:f>
          </x14:formula1>
          <xm:sqref>E10</xm:sqref>
        </x14:dataValidation>
        <x14:dataValidation type="list" allowBlank="1" showInputMessage="1" showErrorMessage="1" xr:uid="{B6DA825E-BD7F-4681-9CC1-9CACFF886EE7}">
          <x14:formula1>
            <xm:f>'Inputs and assumptions'!$H$27:$H$29</xm:f>
          </x14:formula1>
          <xm:sqref>E11</xm:sqref>
        </x14:dataValidation>
        <x14:dataValidation type="list" allowBlank="1" showInputMessage="1" showErrorMessage="1" xr:uid="{6BC25FFC-1950-405C-A883-B0D05E929D9A}">
          <x14:formula1>
            <xm:f>'Inputs and assumptions'!$J$17:$J$18</xm:f>
          </x14:formula1>
          <xm:sqref>E43</xm:sqref>
        </x14:dataValidation>
        <x14:dataValidation type="list" allowBlank="1" showInputMessage="1" showErrorMessage="1" xr:uid="{EE36B25F-7AEA-4065-B909-EB4542AF0361}">
          <x14:formula1>
            <xm:f>'Inputs and assumptions'!$H$31:$H$34</xm:f>
          </x14:formula1>
          <xm:sqref>E12</xm:sqref>
        </x14:dataValidation>
        <x14:dataValidation type="list" allowBlank="1" showInputMessage="1" showErrorMessage="1" xr:uid="{AE3C89D7-EDDB-41D7-A8C2-48528436AC37}">
          <x14:formula1>
            <xm:f>'Inputs and assumptions'!$H$36:$H$40</xm:f>
          </x14:formula1>
          <xm:sqref>E13</xm:sqref>
        </x14:dataValidation>
        <x14:dataValidation type="list" allowBlank="1" showInputMessage="1" showErrorMessage="1" xr:uid="{0088F14C-DB70-493A-B7EE-8A0C0B99A6CA}">
          <x14:formula1>
            <xm:f>'Inputs and assumptions'!$J$21:$J$24</xm:f>
          </x14:formula1>
          <xm:sqref>E14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2681D-4624-420B-8941-0E501C7EEDE9}">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300</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185</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301</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158</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21"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-487298.563585978</v>
      </c>
      <c r="J18" s="222"/>
      <c r="K18" s="220" t="s">
        <v>220</v>
      </c>
      <c r="L18" s="223">
        <f>SUM(F34:J34)</f>
        <v>475000</v>
      </c>
      <c r="N18" s="584" t="s">
        <v>221</v>
      </c>
      <c r="O18" s="584"/>
      <c r="P18" s="584"/>
      <c r="Q18" s="584"/>
      <c r="R18" s="314"/>
      <c r="S18" s="161"/>
      <c r="T18" s="315" t="s">
        <v>222</v>
      </c>
    </row>
    <row r="19" spans="2:20" ht="13.5" customHeight="1" x14ac:dyDescent="0.3">
      <c r="B19" s="160" t="s">
        <v>19</v>
      </c>
      <c r="C19" s="182">
        <v>4</v>
      </c>
      <c r="D19" s="161">
        <v>0.18</v>
      </c>
      <c r="E19" s="162">
        <f>D19*C19</f>
        <v>0.72</v>
      </c>
      <c r="G19" s="224"/>
      <c r="H19" s="125" t="s">
        <v>20</v>
      </c>
      <c r="I19" s="126">
        <f>D40</f>
        <v>1124775.114591083</v>
      </c>
      <c r="J19" s="127"/>
      <c r="K19" s="125" t="s">
        <v>223</v>
      </c>
      <c r="L19" s="225">
        <f>SUM(F36:J36)</f>
        <v>20000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3.3081847529243329</v>
      </c>
      <c r="J20" s="127"/>
      <c r="K20" s="125" t="s">
        <v>225</v>
      </c>
      <c r="L20" s="225">
        <f>NPV($D$33,F39:T39)</f>
        <v>1612073.678177061</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2.2510697666691666</v>
      </c>
      <c r="J21" s="226"/>
      <c r="K21" s="436" t="s">
        <v>228</v>
      </c>
      <c r="L21" s="439">
        <f>NPV($D$33,F39:J39)</f>
        <v>967602.41821405315</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2.88</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427500</v>
      </c>
      <c r="G34" s="140">
        <f t="shared" si="0"/>
        <v>47500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641250</v>
      </c>
      <c r="G35" s="140">
        <f>G34*(1+'Inputs and assumptions'!$C$7)</f>
        <v>71250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5000</v>
      </c>
      <c r="H36" s="142">
        <f t="shared" si="1"/>
        <v>5000</v>
      </c>
      <c r="I36" s="142">
        <f t="shared" si="1"/>
        <v>5000</v>
      </c>
      <c r="J36" s="142">
        <f t="shared" si="1"/>
        <v>5000</v>
      </c>
      <c r="K36" s="142">
        <f t="shared" si="1"/>
        <v>5000</v>
      </c>
      <c r="L36" s="142">
        <f t="shared" si="1"/>
        <v>5000</v>
      </c>
      <c r="M36" s="142">
        <f t="shared" si="1"/>
        <v>5000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-487298.563585978</v>
      </c>
      <c r="E37" s="248"/>
      <c r="F37" s="144">
        <f t="shared" ref="F37:T37" si="2">-F34-F36</f>
        <v>-427500</v>
      </c>
      <c r="G37" s="144">
        <f t="shared" si="2"/>
        <v>-52500</v>
      </c>
      <c r="H37" s="144">
        <f t="shared" si="2"/>
        <v>-5000</v>
      </c>
      <c r="I37" s="144">
        <f t="shared" si="2"/>
        <v>-5000</v>
      </c>
      <c r="J37" s="144">
        <f t="shared" si="2"/>
        <v>-5000</v>
      </c>
      <c r="K37" s="144">
        <f t="shared" si="2"/>
        <v>-5000</v>
      </c>
      <c r="L37" s="144">
        <f t="shared" si="2"/>
        <v>-5000</v>
      </c>
      <c r="M37" s="144">
        <f t="shared" si="2"/>
        <v>-5000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641250</v>
      </c>
      <c r="G38" s="142">
        <f t="shared" ref="G38:T38" si="3">G35+G36</f>
        <v>76250</v>
      </c>
      <c r="H38" s="142">
        <f t="shared" si="3"/>
        <v>5000</v>
      </c>
      <c r="I38" s="142">
        <f t="shared" si="3"/>
        <v>5000</v>
      </c>
      <c r="J38" s="142">
        <f t="shared" si="3"/>
        <v>5000</v>
      </c>
      <c r="K38" s="142">
        <f t="shared" si="3"/>
        <v>5000</v>
      </c>
      <c r="L38" s="142">
        <f t="shared" si="3"/>
        <v>5000</v>
      </c>
      <c r="M38" s="142">
        <f t="shared" si="3"/>
        <v>5000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272104.86268416815</v>
      </c>
      <c r="H39" s="140">
        <f t="shared" si="4"/>
        <v>272104.86268416815</v>
      </c>
      <c r="I39" s="140">
        <f t="shared" si="4"/>
        <v>272104.86268416815</v>
      </c>
      <c r="J39" s="140">
        <f t="shared" si="4"/>
        <v>272104.86268416815</v>
      </c>
      <c r="K39" s="140">
        <f t="shared" si="4"/>
        <v>272104.86268416815</v>
      </c>
      <c r="L39" s="140">
        <f t="shared" si="4"/>
        <v>272104.86268416815</v>
      </c>
      <c r="M39" s="140">
        <f t="shared" si="4"/>
        <v>272104.86268416815</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1124775.114591083</v>
      </c>
      <c r="E40" s="112"/>
      <c r="F40" s="140">
        <f t="shared" ref="F40:T40" si="5">F39+F37</f>
        <v>-427500</v>
      </c>
      <c r="G40" s="140">
        <f t="shared" si="5"/>
        <v>219604.86268416815</v>
      </c>
      <c r="H40" s="140">
        <f t="shared" si="5"/>
        <v>267104.86268416815</v>
      </c>
      <c r="I40" s="140">
        <f t="shared" si="5"/>
        <v>267104.86268416815</v>
      </c>
      <c r="J40" s="140">
        <f t="shared" si="5"/>
        <v>267104.86268416815</v>
      </c>
      <c r="K40" s="140">
        <f t="shared" si="5"/>
        <v>267104.86268416815</v>
      </c>
      <c r="L40" s="140">
        <f t="shared" si="5"/>
        <v>267104.86268416815</v>
      </c>
      <c r="M40" s="140">
        <f t="shared" si="5"/>
        <v>267104.86268416815</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v>1E-4</v>
      </c>
      <c r="D74" s="267">
        <f>C74*'Inputs and assumptions'!D17</f>
        <v>3649.4944973720299</v>
      </c>
      <c r="F74" s="294">
        <f>$D74*F$28</f>
        <v>0</v>
      </c>
      <c r="G74" s="294">
        <f t="shared" ref="G74:T77" si="6">$D74*G$28</f>
        <v>3649.4944973720299</v>
      </c>
      <c r="H74" s="294">
        <f t="shared" si="6"/>
        <v>3649.4944973720299</v>
      </c>
      <c r="I74" s="294">
        <f t="shared" si="6"/>
        <v>3649.4944973720299</v>
      </c>
      <c r="J74" s="294">
        <f t="shared" si="6"/>
        <v>3649.4944973720299</v>
      </c>
      <c r="K74" s="294">
        <f t="shared" si="6"/>
        <v>3649.4944973720299</v>
      </c>
      <c r="L74" s="294">
        <f t="shared" si="6"/>
        <v>3649.4944973720299</v>
      </c>
      <c r="M74" s="294">
        <f t="shared" si="6"/>
        <v>3649.4944973720299</v>
      </c>
      <c r="N74" s="294">
        <f t="shared" si="6"/>
        <v>0</v>
      </c>
      <c r="O74" s="294">
        <f t="shared" si="6"/>
        <v>0</v>
      </c>
      <c r="P74" s="294">
        <f t="shared" si="6"/>
        <v>0</v>
      </c>
      <c r="Q74" s="294">
        <f t="shared" si="6"/>
        <v>0</v>
      </c>
      <c r="R74" s="294">
        <f t="shared" si="6"/>
        <v>0</v>
      </c>
      <c r="S74" s="294">
        <f t="shared" si="6"/>
        <v>0</v>
      </c>
      <c r="T74" s="295">
        <f t="shared" si="6"/>
        <v>0</v>
      </c>
    </row>
    <row r="75" spans="2:20" x14ac:dyDescent="0.3">
      <c r="B75" s="193" t="s">
        <v>52</v>
      </c>
      <c r="C75" s="240">
        <v>5.0000000000000001E-4</v>
      </c>
      <c r="D75" s="267">
        <f>C75*'Inputs and assumptions'!D18</f>
        <v>13123.297974036526</v>
      </c>
      <c r="F75" s="294">
        <f t="shared" ref="F75:F77" si="7">$D75*F$28</f>
        <v>0</v>
      </c>
      <c r="G75" s="294">
        <f t="shared" si="6"/>
        <v>13123.297974036526</v>
      </c>
      <c r="H75" s="294">
        <f t="shared" si="6"/>
        <v>13123.297974036526</v>
      </c>
      <c r="I75" s="294">
        <f t="shared" si="6"/>
        <v>13123.297974036526</v>
      </c>
      <c r="J75" s="294">
        <f t="shared" si="6"/>
        <v>13123.297974036526</v>
      </c>
      <c r="K75" s="294">
        <f t="shared" si="6"/>
        <v>13123.297974036526</v>
      </c>
      <c r="L75" s="294">
        <f t="shared" si="6"/>
        <v>13123.297974036526</v>
      </c>
      <c r="M75" s="294">
        <f t="shared" si="6"/>
        <v>13123.297974036526</v>
      </c>
      <c r="N75" s="294">
        <f t="shared" si="6"/>
        <v>0</v>
      </c>
      <c r="O75" s="294">
        <f t="shared" si="6"/>
        <v>0</v>
      </c>
      <c r="P75" s="294">
        <f t="shared" si="6"/>
        <v>0</v>
      </c>
      <c r="Q75" s="294">
        <f t="shared" si="6"/>
        <v>0</v>
      </c>
      <c r="R75" s="294">
        <f t="shared" si="6"/>
        <v>0</v>
      </c>
      <c r="S75" s="294">
        <f t="shared" si="6"/>
        <v>0</v>
      </c>
      <c r="T75" s="295">
        <f t="shared" si="6"/>
        <v>0</v>
      </c>
    </row>
    <row r="76" spans="2:20" x14ac:dyDescent="0.3">
      <c r="B76" s="193" t="s">
        <v>53</v>
      </c>
      <c r="C76" s="240">
        <v>5.0000000000000001E-4</v>
      </c>
      <c r="D76" s="267">
        <f>C76*'Inputs and assumptions'!D19</f>
        <v>2547.4935539911835</v>
      </c>
      <c r="F76" s="294">
        <f t="shared" si="7"/>
        <v>0</v>
      </c>
      <c r="G76" s="294">
        <f t="shared" si="6"/>
        <v>2547.4935539911835</v>
      </c>
      <c r="H76" s="294">
        <f t="shared" si="6"/>
        <v>2547.4935539911835</v>
      </c>
      <c r="I76" s="294">
        <f t="shared" si="6"/>
        <v>2547.4935539911835</v>
      </c>
      <c r="J76" s="294">
        <f t="shared" si="6"/>
        <v>2547.4935539911835</v>
      </c>
      <c r="K76" s="294">
        <f t="shared" si="6"/>
        <v>2547.4935539911835</v>
      </c>
      <c r="L76" s="294">
        <f t="shared" si="6"/>
        <v>2547.4935539911835</v>
      </c>
      <c r="M76" s="294">
        <f t="shared" si="6"/>
        <v>2547.4935539911835</v>
      </c>
      <c r="N76" s="294">
        <f t="shared" si="6"/>
        <v>0</v>
      </c>
      <c r="O76" s="294">
        <f t="shared" si="6"/>
        <v>0</v>
      </c>
      <c r="P76" s="294">
        <f t="shared" si="6"/>
        <v>0</v>
      </c>
      <c r="Q76" s="294">
        <f t="shared" si="6"/>
        <v>0</v>
      </c>
      <c r="R76" s="294">
        <f t="shared" si="6"/>
        <v>0</v>
      </c>
      <c r="S76" s="294">
        <f t="shared" si="6"/>
        <v>0</v>
      </c>
      <c r="T76" s="295">
        <f t="shared" si="6"/>
        <v>0</v>
      </c>
    </row>
    <row r="77" spans="2:20" x14ac:dyDescent="0.3">
      <c r="B77" s="193" t="s">
        <v>54</v>
      </c>
      <c r="C77" s="240">
        <v>5.0000000000000001E-4</v>
      </c>
      <c r="D77" s="267">
        <f>C77*'Inputs and assumptions'!D20</f>
        <v>15724.576658768381</v>
      </c>
      <c r="F77" s="294">
        <f t="shared" si="7"/>
        <v>0</v>
      </c>
      <c r="G77" s="294">
        <f t="shared" si="6"/>
        <v>15724.576658768381</v>
      </c>
      <c r="H77" s="294">
        <f t="shared" si="6"/>
        <v>15724.576658768381</v>
      </c>
      <c r="I77" s="294">
        <f t="shared" si="6"/>
        <v>15724.576658768381</v>
      </c>
      <c r="J77" s="294">
        <f t="shared" si="6"/>
        <v>15724.576658768381</v>
      </c>
      <c r="K77" s="294">
        <f t="shared" si="6"/>
        <v>15724.576658768381</v>
      </c>
      <c r="L77" s="294">
        <f t="shared" si="6"/>
        <v>15724.576658768381</v>
      </c>
      <c r="M77" s="294">
        <f t="shared" si="6"/>
        <v>15724.576658768381</v>
      </c>
      <c r="N77" s="294">
        <f t="shared" si="6"/>
        <v>0</v>
      </c>
      <c r="O77" s="294">
        <f t="shared" si="6"/>
        <v>0</v>
      </c>
      <c r="P77" s="294">
        <f t="shared" si="6"/>
        <v>0</v>
      </c>
      <c r="Q77" s="294">
        <f t="shared" si="6"/>
        <v>0</v>
      </c>
      <c r="R77" s="294">
        <f t="shared" si="6"/>
        <v>0</v>
      </c>
      <c r="S77" s="294">
        <f t="shared" si="6"/>
        <v>0</v>
      </c>
      <c r="T77" s="295">
        <f t="shared" si="6"/>
        <v>0</v>
      </c>
    </row>
    <row r="78" spans="2:20" x14ac:dyDescent="0.3">
      <c r="B78" s="193"/>
      <c r="D78" s="268"/>
      <c r="F78" s="296"/>
      <c r="G78" s="296"/>
      <c r="H78" s="296"/>
      <c r="I78" s="296"/>
      <c r="J78" s="296"/>
      <c r="K78" s="296"/>
      <c r="L78" s="296"/>
      <c r="M78" s="296"/>
      <c r="N78" s="296"/>
      <c r="O78" s="296"/>
      <c r="P78" s="296"/>
      <c r="Q78" s="296"/>
      <c r="R78" s="296"/>
      <c r="S78" s="296"/>
      <c r="T78" s="297"/>
    </row>
    <row r="79" spans="2:20" x14ac:dyDescent="0.3">
      <c r="B79" s="191" t="s">
        <v>55</v>
      </c>
      <c r="C79" s="239" t="s">
        <v>236</v>
      </c>
      <c r="D79" s="269"/>
      <c r="F79" s="296"/>
      <c r="G79" s="296"/>
      <c r="H79" s="296"/>
      <c r="I79" s="296"/>
      <c r="J79" s="296"/>
      <c r="K79" s="296"/>
      <c r="L79" s="296"/>
      <c r="M79" s="296"/>
      <c r="N79" s="296"/>
      <c r="O79" s="296"/>
      <c r="P79" s="296"/>
      <c r="Q79" s="296"/>
      <c r="R79" s="296"/>
      <c r="S79" s="296"/>
      <c r="T79" s="297"/>
    </row>
    <row r="80" spans="2:20" x14ac:dyDescent="0.3">
      <c r="B80" s="193" t="s">
        <v>56</v>
      </c>
      <c r="C80" s="240"/>
      <c r="D80" s="267">
        <f>C80*'Inputs and assumptions'!D23</f>
        <v>0</v>
      </c>
      <c r="F80" s="294">
        <f>$D80*F$28</f>
        <v>0</v>
      </c>
      <c r="G80" s="294">
        <f t="shared" ref="G80:T85" si="8">$D80*G$28</f>
        <v>0</v>
      </c>
      <c r="H80" s="294">
        <f t="shared" si="8"/>
        <v>0</v>
      </c>
      <c r="I80" s="294">
        <f t="shared" si="8"/>
        <v>0</v>
      </c>
      <c r="J80" s="294">
        <f t="shared" si="8"/>
        <v>0</v>
      </c>
      <c r="K80" s="294">
        <f t="shared" si="8"/>
        <v>0</v>
      </c>
      <c r="L80" s="294">
        <f t="shared" si="8"/>
        <v>0</v>
      </c>
      <c r="M80" s="294">
        <f t="shared" si="8"/>
        <v>0</v>
      </c>
      <c r="N80" s="294">
        <f t="shared" si="8"/>
        <v>0</v>
      </c>
      <c r="O80" s="294">
        <f t="shared" si="8"/>
        <v>0</v>
      </c>
      <c r="P80" s="294">
        <f t="shared" si="8"/>
        <v>0</v>
      </c>
      <c r="Q80" s="294">
        <f t="shared" si="8"/>
        <v>0</v>
      </c>
      <c r="R80" s="294">
        <f t="shared" si="8"/>
        <v>0</v>
      </c>
      <c r="S80" s="294">
        <f t="shared" si="8"/>
        <v>0</v>
      </c>
      <c r="T80" s="295">
        <f t="shared" si="8"/>
        <v>0</v>
      </c>
    </row>
    <row r="81" spans="2:20" x14ac:dyDescent="0.3">
      <c r="B81" s="193" t="s">
        <v>57</v>
      </c>
      <c r="C81" s="240"/>
      <c r="D81" s="267">
        <f>C81*'Inputs and assumptions'!D24</f>
        <v>0</v>
      </c>
      <c r="F81" s="294">
        <f t="shared" ref="F81:F85" si="9">$D81*F$28</f>
        <v>0</v>
      </c>
      <c r="G81" s="294">
        <f t="shared" si="8"/>
        <v>0</v>
      </c>
      <c r="H81" s="294">
        <f t="shared" si="8"/>
        <v>0</v>
      </c>
      <c r="I81" s="294">
        <f t="shared" si="8"/>
        <v>0</v>
      </c>
      <c r="J81" s="294">
        <f t="shared" si="8"/>
        <v>0</v>
      </c>
      <c r="K81" s="294">
        <f t="shared" si="8"/>
        <v>0</v>
      </c>
      <c r="L81" s="294">
        <f t="shared" si="8"/>
        <v>0</v>
      </c>
      <c r="M81" s="294">
        <f t="shared" si="8"/>
        <v>0</v>
      </c>
      <c r="N81" s="294">
        <f t="shared" si="8"/>
        <v>0</v>
      </c>
      <c r="O81" s="294">
        <f t="shared" si="8"/>
        <v>0</v>
      </c>
      <c r="P81" s="294">
        <f t="shared" si="8"/>
        <v>0</v>
      </c>
      <c r="Q81" s="294">
        <f t="shared" si="8"/>
        <v>0</v>
      </c>
      <c r="R81" s="294">
        <f t="shared" si="8"/>
        <v>0</v>
      </c>
      <c r="S81" s="294">
        <f t="shared" si="8"/>
        <v>0</v>
      </c>
      <c r="T81" s="295">
        <f t="shared" si="8"/>
        <v>0</v>
      </c>
    </row>
    <row r="82" spans="2:20" x14ac:dyDescent="0.3">
      <c r="B82" s="193" t="s">
        <v>58</v>
      </c>
      <c r="C82" s="240">
        <v>5.0000000000000001E-3</v>
      </c>
      <c r="D82" s="267">
        <f>C82*'Inputs and assumptions'!D25</f>
        <v>52460</v>
      </c>
      <c r="F82" s="294">
        <f t="shared" si="9"/>
        <v>0</v>
      </c>
      <c r="G82" s="294">
        <f t="shared" si="8"/>
        <v>52460</v>
      </c>
      <c r="H82" s="294">
        <f t="shared" si="8"/>
        <v>52460</v>
      </c>
      <c r="I82" s="294">
        <f t="shared" si="8"/>
        <v>52460</v>
      </c>
      <c r="J82" s="294">
        <f t="shared" si="8"/>
        <v>52460</v>
      </c>
      <c r="K82" s="294">
        <f t="shared" si="8"/>
        <v>52460</v>
      </c>
      <c r="L82" s="294">
        <f t="shared" si="8"/>
        <v>52460</v>
      </c>
      <c r="M82" s="294">
        <f t="shared" si="8"/>
        <v>52460</v>
      </c>
      <c r="N82" s="294">
        <f t="shared" si="8"/>
        <v>0</v>
      </c>
      <c r="O82" s="294">
        <f t="shared" si="8"/>
        <v>0</v>
      </c>
      <c r="P82" s="294">
        <f t="shared" si="8"/>
        <v>0</v>
      </c>
      <c r="Q82" s="294">
        <f t="shared" si="8"/>
        <v>0</v>
      </c>
      <c r="R82" s="294">
        <f t="shared" si="8"/>
        <v>0</v>
      </c>
      <c r="S82" s="294">
        <f t="shared" si="8"/>
        <v>0</v>
      </c>
      <c r="T82" s="295">
        <f t="shared" si="8"/>
        <v>0</v>
      </c>
    </row>
    <row r="83" spans="2:20" x14ac:dyDescent="0.3">
      <c r="B83" s="193" t="s">
        <v>59</v>
      </c>
      <c r="C83" s="240"/>
      <c r="D83" s="267">
        <f>C83*'Inputs and assumptions'!D26</f>
        <v>0</v>
      </c>
      <c r="F83" s="294">
        <f t="shared" si="9"/>
        <v>0</v>
      </c>
      <c r="G83" s="294">
        <f t="shared" si="8"/>
        <v>0</v>
      </c>
      <c r="H83" s="294">
        <f t="shared" si="8"/>
        <v>0</v>
      </c>
      <c r="I83" s="294">
        <f t="shared" si="8"/>
        <v>0</v>
      </c>
      <c r="J83" s="294">
        <f t="shared" si="8"/>
        <v>0</v>
      </c>
      <c r="K83" s="294">
        <f t="shared" si="8"/>
        <v>0</v>
      </c>
      <c r="L83" s="294">
        <f t="shared" si="8"/>
        <v>0</v>
      </c>
      <c r="M83" s="294">
        <f t="shared" si="8"/>
        <v>0</v>
      </c>
      <c r="N83" s="294">
        <f t="shared" si="8"/>
        <v>0</v>
      </c>
      <c r="O83" s="294">
        <f t="shared" si="8"/>
        <v>0</v>
      </c>
      <c r="P83" s="294">
        <f t="shared" si="8"/>
        <v>0</v>
      </c>
      <c r="Q83" s="294">
        <f t="shared" si="8"/>
        <v>0</v>
      </c>
      <c r="R83" s="294">
        <f t="shared" si="8"/>
        <v>0</v>
      </c>
      <c r="S83" s="294">
        <f t="shared" si="8"/>
        <v>0</v>
      </c>
      <c r="T83" s="295">
        <f t="shared" si="8"/>
        <v>0</v>
      </c>
    </row>
    <row r="84" spans="2:20" x14ac:dyDescent="0.3">
      <c r="B84" s="193" t="s">
        <v>60</v>
      </c>
      <c r="C84" s="240"/>
      <c r="D84" s="267">
        <f>C84*'Inputs and assumptions'!D27</f>
        <v>0</v>
      </c>
      <c r="F84" s="294">
        <f t="shared" si="9"/>
        <v>0</v>
      </c>
      <c r="G84" s="294">
        <f t="shared" si="8"/>
        <v>0</v>
      </c>
      <c r="H84" s="294">
        <f t="shared" si="8"/>
        <v>0</v>
      </c>
      <c r="I84" s="294">
        <f t="shared" si="8"/>
        <v>0</v>
      </c>
      <c r="J84" s="294">
        <f t="shared" si="8"/>
        <v>0</v>
      </c>
      <c r="K84" s="294">
        <f t="shared" si="8"/>
        <v>0</v>
      </c>
      <c r="L84" s="294">
        <f t="shared" si="8"/>
        <v>0</v>
      </c>
      <c r="M84" s="294">
        <f t="shared" si="8"/>
        <v>0</v>
      </c>
      <c r="N84" s="294">
        <f t="shared" si="8"/>
        <v>0</v>
      </c>
      <c r="O84" s="294">
        <f t="shared" si="8"/>
        <v>0</v>
      </c>
      <c r="P84" s="294">
        <f t="shared" si="8"/>
        <v>0</v>
      </c>
      <c r="Q84" s="294">
        <f t="shared" si="8"/>
        <v>0</v>
      </c>
      <c r="R84" s="294">
        <f t="shared" si="8"/>
        <v>0</v>
      </c>
      <c r="S84" s="294">
        <f t="shared" si="8"/>
        <v>0</v>
      </c>
      <c r="T84" s="295">
        <f t="shared" si="8"/>
        <v>0</v>
      </c>
    </row>
    <row r="85" spans="2:20" x14ac:dyDescent="0.3">
      <c r="B85" s="193" t="s">
        <v>61</v>
      </c>
      <c r="C85" s="240">
        <v>5.0000000000000001E-3</v>
      </c>
      <c r="D85" s="267">
        <f>C85*'Inputs and assumptions'!D28</f>
        <v>42500</v>
      </c>
      <c r="F85" s="294">
        <f t="shared" si="9"/>
        <v>0</v>
      </c>
      <c r="G85" s="294">
        <f t="shared" si="8"/>
        <v>42500</v>
      </c>
      <c r="H85" s="294">
        <f t="shared" si="8"/>
        <v>42500</v>
      </c>
      <c r="I85" s="294">
        <f t="shared" si="8"/>
        <v>42500</v>
      </c>
      <c r="J85" s="294">
        <f t="shared" si="8"/>
        <v>42500</v>
      </c>
      <c r="K85" s="294">
        <f t="shared" si="8"/>
        <v>42500</v>
      </c>
      <c r="L85" s="294">
        <f t="shared" si="8"/>
        <v>42500</v>
      </c>
      <c r="M85" s="294">
        <f t="shared" si="8"/>
        <v>42500</v>
      </c>
      <c r="N85" s="294">
        <f t="shared" si="8"/>
        <v>0</v>
      </c>
      <c r="O85" s="294">
        <f t="shared" si="8"/>
        <v>0</v>
      </c>
      <c r="P85" s="294">
        <f t="shared" si="8"/>
        <v>0</v>
      </c>
      <c r="Q85" s="294">
        <f t="shared" si="8"/>
        <v>0</v>
      </c>
      <c r="R85" s="294">
        <f t="shared" si="8"/>
        <v>0</v>
      </c>
      <c r="S85" s="294">
        <f t="shared" si="8"/>
        <v>0</v>
      </c>
      <c r="T85" s="295">
        <f t="shared" si="8"/>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v>1E-4</v>
      </c>
      <c r="D88" s="267">
        <f>C88*'Inputs and assumptions'!D31</f>
        <v>13100</v>
      </c>
      <c r="F88" s="294">
        <f>$D88*F$28</f>
        <v>0</v>
      </c>
      <c r="G88" s="294">
        <f t="shared" ref="G88:T89" si="10">$D88*G$28</f>
        <v>13100</v>
      </c>
      <c r="H88" s="294">
        <f t="shared" si="10"/>
        <v>13100</v>
      </c>
      <c r="I88" s="294">
        <f t="shared" si="10"/>
        <v>13100</v>
      </c>
      <c r="J88" s="294">
        <f t="shared" si="10"/>
        <v>13100</v>
      </c>
      <c r="K88" s="294">
        <f t="shared" si="10"/>
        <v>13100</v>
      </c>
      <c r="L88" s="294">
        <f t="shared" si="10"/>
        <v>13100</v>
      </c>
      <c r="M88" s="294">
        <f t="shared" si="10"/>
        <v>13100</v>
      </c>
      <c r="N88" s="294">
        <f t="shared" si="10"/>
        <v>0</v>
      </c>
      <c r="O88" s="294">
        <f t="shared" si="10"/>
        <v>0</v>
      </c>
      <c r="P88" s="294">
        <f t="shared" si="10"/>
        <v>0</v>
      </c>
      <c r="Q88" s="294">
        <f t="shared" si="10"/>
        <v>0</v>
      </c>
      <c r="R88" s="294">
        <f t="shared" si="10"/>
        <v>0</v>
      </c>
      <c r="S88" s="294">
        <f t="shared" si="10"/>
        <v>0</v>
      </c>
      <c r="T88" s="295">
        <f t="shared" si="10"/>
        <v>0</v>
      </c>
    </row>
    <row r="89" spans="2:20" x14ac:dyDescent="0.3">
      <c r="B89" s="193" t="s">
        <v>64</v>
      </c>
      <c r="C89" s="240">
        <v>1E-4</v>
      </c>
      <c r="D89" s="267">
        <f>C89*'Inputs and assumptions'!D32</f>
        <v>3000</v>
      </c>
      <c r="F89" s="294">
        <f>$D89*F$28</f>
        <v>0</v>
      </c>
      <c r="G89" s="294">
        <f t="shared" si="10"/>
        <v>3000</v>
      </c>
      <c r="H89" s="294">
        <f t="shared" si="10"/>
        <v>3000</v>
      </c>
      <c r="I89" s="294">
        <f t="shared" si="10"/>
        <v>3000</v>
      </c>
      <c r="J89" s="294">
        <f t="shared" si="10"/>
        <v>3000</v>
      </c>
      <c r="K89" s="294">
        <f t="shared" si="10"/>
        <v>3000</v>
      </c>
      <c r="L89" s="294">
        <f t="shared" si="10"/>
        <v>3000</v>
      </c>
      <c r="M89" s="294">
        <f t="shared" si="10"/>
        <v>3000</v>
      </c>
      <c r="N89" s="294">
        <f t="shared" si="10"/>
        <v>0</v>
      </c>
      <c r="O89" s="294">
        <f t="shared" si="10"/>
        <v>0</v>
      </c>
      <c r="P89" s="294">
        <f t="shared" si="10"/>
        <v>0</v>
      </c>
      <c r="Q89" s="294">
        <f t="shared" si="10"/>
        <v>0</v>
      </c>
      <c r="R89" s="294">
        <f t="shared" si="10"/>
        <v>0</v>
      </c>
      <c r="S89" s="294">
        <f t="shared" si="10"/>
        <v>0</v>
      </c>
      <c r="T89" s="295">
        <f t="shared" si="10"/>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v>1E-3</v>
      </c>
      <c r="D92" s="267">
        <f>C92*'Inputs and assumptions'!D35</f>
        <v>126000</v>
      </c>
      <c r="F92" s="294">
        <f>$D92*F$28</f>
        <v>0</v>
      </c>
      <c r="G92" s="294">
        <f t="shared" ref="G92:T92" si="11">$D92*G$28</f>
        <v>126000</v>
      </c>
      <c r="H92" s="294">
        <f t="shared" si="11"/>
        <v>126000</v>
      </c>
      <c r="I92" s="294">
        <f t="shared" si="11"/>
        <v>126000</v>
      </c>
      <c r="J92" s="294">
        <f t="shared" si="11"/>
        <v>126000</v>
      </c>
      <c r="K92" s="294">
        <f t="shared" si="11"/>
        <v>126000</v>
      </c>
      <c r="L92" s="294">
        <f t="shared" si="11"/>
        <v>126000</v>
      </c>
      <c r="M92" s="294">
        <f t="shared" si="11"/>
        <v>126000</v>
      </c>
      <c r="N92" s="294">
        <f t="shared" si="11"/>
        <v>0</v>
      </c>
      <c r="O92" s="294">
        <f t="shared" si="11"/>
        <v>0</v>
      </c>
      <c r="P92" s="294">
        <f t="shared" si="11"/>
        <v>0</v>
      </c>
      <c r="Q92" s="294">
        <f t="shared" si="11"/>
        <v>0</v>
      </c>
      <c r="R92" s="294">
        <f t="shared" si="11"/>
        <v>0</v>
      </c>
      <c r="S92" s="294">
        <f t="shared" si="11"/>
        <v>0</v>
      </c>
      <c r="T92" s="295">
        <f t="shared" si="11"/>
        <v>0</v>
      </c>
    </row>
    <row r="93" spans="2:20" x14ac:dyDescent="0.3">
      <c r="B93" s="193" t="s">
        <v>67</v>
      </c>
      <c r="C93" s="240"/>
      <c r="D93" s="267">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7">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7">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7">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7">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70">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12">$D$102*F27</f>
        <v>0</v>
      </c>
      <c r="G102" s="140">
        <f t="shared" si="12"/>
        <v>0</v>
      </c>
      <c r="H102" s="140">
        <f t="shared" si="12"/>
        <v>0</v>
      </c>
      <c r="I102" s="140">
        <f t="shared" si="12"/>
        <v>0</v>
      </c>
      <c r="J102" s="140">
        <f t="shared" si="12"/>
        <v>0</v>
      </c>
      <c r="K102" s="140">
        <f t="shared" si="12"/>
        <v>0</v>
      </c>
      <c r="L102" s="140">
        <f t="shared" si="12"/>
        <v>0</v>
      </c>
      <c r="M102" s="140">
        <f t="shared" si="12"/>
        <v>0</v>
      </c>
      <c r="N102" s="140">
        <f t="shared" si="12"/>
        <v>0</v>
      </c>
      <c r="O102" s="140">
        <f t="shared" si="12"/>
        <v>0</v>
      </c>
      <c r="P102" s="140">
        <f t="shared" si="12"/>
        <v>0</v>
      </c>
      <c r="Q102" s="140">
        <f t="shared" si="12"/>
        <v>0</v>
      </c>
      <c r="R102" s="140">
        <f t="shared" si="12"/>
        <v>0</v>
      </c>
      <c r="S102" s="140">
        <f t="shared" si="12"/>
        <v>0</v>
      </c>
      <c r="T102" s="141">
        <f t="shared" si="12"/>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427500</v>
      </c>
      <c r="G107" s="294">
        <f>$E$111*G$29</f>
        <v>47500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5000</v>
      </c>
      <c r="H108" s="175">
        <v>5000</v>
      </c>
      <c r="I108" s="175">
        <v>5000</v>
      </c>
      <c r="J108" s="175">
        <v>5000</v>
      </c>
      <c r="K108" s="175">
        <v>5000</v>
      </c>
      <c r="L108" s="175">
        <v>5000</v>
      </c>
      <c r="M108" s="175">
        <v>5000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475000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302</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856D6A24-F6F2-46AA-B01E-4040730194CD}">
          <x14:formula1>
            <xm:f>'Inputs and assumptions'!$H$16:$H$20</xm:f>
          </x14:formula1>
          <xm:sqref>E8</xm:sqref>
        </x14:dataValidation>
        <x14:dataValidation type="list" allowBlank="1" showInputMessage="1" showErrorMessage="1" xr:uid="{355FCFA0-6D78-4ECB-BE1E-5CDAA838727B}">
          <x14:formula1>
            <xm:f>'Inputs and assumptions'!$G$16:$G$20</xm:f>
          </x14:formula1>
          <xm:sqref>E7</xm:sqref>
        </x14:dataValidation>
        <x14:dataValidation type="list" allowBlank="1" showInputMessage="1" showErrorMessage="1" xr:uid="{82B9017E-1914-41EB-9ECC-588CB2291651}">
          <x14:formula1>
            <xm:f>'Inputs and assumptions'!$H$23:$H$24</xm:f>
          </x14:formula1>
          <xm:sqref>E10</xm:sqref>
        </x14:dataValidation>
        <x14:dataValidation type="list" allowBlank="1" showInputMessage="1" showErrorMessage="1" xr:uid="{9ED2B24F-0FA7-474A-BE9D-B9F5F939B96E}">
          <x14:formula1>
            <xm:f>'Inputs and assumptions'!$H$27:$H$29</xm:f>
          </x14:formula1>
          <xm:sqref>E11</xm:sqref>
        </x14:dataValidation>
        <x14:dataValidation type="list" allowBlank="1" showInputMessage="1" showErrorMessage="1" xr:uid="{6341CFB4-D6E6-475C-B0E6-6F1F71B77DC8}">
          <x14:formula1>
            <xm:f>'Inputs and assumptions'!$J$17:$J$18</xm:f>
          </x14:formula1>
          <xm:sqref>E43</xm:sqref>
        </x14:dataValidation>
        <x14:dataValidation type="list" allowBlank="1" showInputMessage="1" showErrorMessage="1" xr:uid="{617CC19C-B42B-436C-9D3B-A5B3C80D194F}">
          <x14:formula1>
            <xm:f>'Inputs and assumptions'!$H$31:$H$34</xm:f>
          </x14:formula1>
          <xm:sqref>E12</xm:sqref>
        </x14:dataValidation>
        <x14:dataValidation type="list" allowBlank="1" showInputMessage="1" showErrorMessage="1" xr:uid="{E922BC93-AC9E-41BB-A474-DA43BA8F7CD2}">
          <x14:formula1>
            <xm:f>'Inputs and assumptions'!$H$36:$H$40</xm:f>
          </x14:formula1>
          <xm:sqref>E13</xm:sqref>
        </x14:dataValidation>
        <x14:dataValidation type="list" allowBlank="1" showInputMessage="1" showErrorMessage="1" xr:uid="{CB7EFA06-D384-42D6-9763-1960CCA374C4}">
          <x14:formula1>
            <xm:f>'Inputs and assumptions'!$J$21:$J$24</xm:f>
          </x14:formula1>
          <xm:sqref>E14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B8601-5846-4027-BE72-B2E4B5947115}">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8" width="11.453125" style="109" customWidth="1"/>
    <col min="9" max="9" width="13.453125" style="109" bestFit="1" customWidth="1"/>
    <col min="10"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303</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186</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304</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137</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-996733.37567921681</v>
      </c>
      <c r="J18" s="222"/>
      <c r="K18" s="220" t="s">
        <v>220</v>
      </c>
      <c r="L18" s="223">
        <f>SUM(F34:J34)</f>
        <v>850000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557251.81082089047</v>
      </c>
      <c r="J19" s="127"/>
      <c r="K19" s="125" t="s">
        <v>223</v>
      </c>
      <c r="L19" s="225">
        <f>SUM(F36:J36)</f>
        <v>120000</v>
      </c>
      <c r="N19" s="585" t="s">
        <v>224</v>
      </c>
      <c r="O19" s="585"/>
      <c r="P19" s="585"/>
      <c r="Q19" s="585"/>
      <c r="R19" s="314"/>
      <c r="S19" s="161"/>
      <c r="T19" s="315" t="s">
        <v>227</v>
      </c>
    </row>
    <row r="20" spans="2:20" ht="13.5" customHeight="1" x14ac:dyDescent="0.3">
      <c r="B20" s="160" t="s">
        <v>21</v>
      </c>
      <c r="C20" s="182">
        <v>3</v>
      </c>
      <c r="D20" s="161">
        <v>0.18</v>
      </c>
      <c r="E20" s="162">
        <f>D20*C20</f>
        <v>0.54</v>
      </c>
      <c r="G20" s="224"/>
      <c r="H20" s="125" t="s">
        <v>22</v>
      </c>
      <c r="I20" s="384">
        <f>IFERROR(ABS((I19-I18)/I18),"N/A")</f>
        <v>1.5590781089688657</v>
      </c>
      <c r="J20" s="127"/>
      <c r="K20" s="125" t="s">
        <v>225</v>
      </c>
      <c r="L20" s="225">
        <f>NPV($D$33,F39:T39)</f>
        <v>1553985.1865001072</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1.1050693330088643</v>
      </c>
      <c r="J21" s="226"/>
      <c r="K21" s="436" t="s">
        <v>228</v>
      </c>
      <c r="L21" s="439">
        <f>NPV($D$33,F39:J39)</f>
        <v>932736.41563743027</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2.6399999999999997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765000</v>
      </c>
      <c r="G34" s="140">
        <f t="shared" si="0"/>
        <v>85000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1147500</v>
      </c>
      <c r="G35" s="140">
        <f>G34*(1+'Inputs and assumptions'!$C$7)</f>
        <v>127500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30000</v>
      </c>
      <c r="H36" s="142">
        <f t="shared" si="1"/>
        <v>30000</v>
      </c>
      <c r="I36" s="142">
        <f t="shared" si="1"/>
        <v>30000</v>
      </c>
      <c r="J36" s="142">
        <f t="shared" si="1"/>
        <v>30000</v>
      </c>
      <c r="K36" s="142">
        <f t="shared" si="1"/>
        <v>30000</v>
      </c>
      <c r="L36" s="142">
        <f t="shared" si="1"/>
        <v>30000</v>
      </c>
      <c r="M36" s="142">
        <f t="shared" si="1"/>
        <v>30000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-996733.37567921681</v>
      </c>
      <c r="E37" s="248"/>
      <c r="F37" s="144">
        <f t="shared" ref="F37:T37" si="2">-F34-F36</f>
        <v>-765000</v>
      </c>
      <c r="G37" s="144">
        <f t="shared" si="2"/>
        <v>-115000</v>
      </c>
      <c r="H37" s="144">
        <f t="shared" si="2"/>
        <v>-30000</v>
      </c>
      <c r="I37" s="144">
        <f t="shared" si="2"/>
        <v>-30000</v>
      </c>
      <c r="J37" s="144">
        <f t="shared" si="2"/>
        <v>-30000</v>
      </c>
      <c r="K37" s="144">
        <f t="shared" si="2"/>
        <v>-30000</v>
      </c>
      <c r="L37" s="144">
        <f t="shared" si="2"/>
        <v>-30000</v>
      </c>
      <c r="M37" s="144">
        <f t="shared" si="2"/>
        <v>-30000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1147500</v>
      </c>
      <c r="G38" s="142">
        <f t="shared" ref="G38:T38" si="3">G35+G36</f>
        <v>157500</v>
      </c>
      <c r="H38" s="142">
        <f t="shared" si="3"/>
        <v>30000</v>
      </c>
      <c r="I38" s="142">
        <f t="shared" si="3"/>
        <v>30000</v>
      </c>
      <c r="J38" s="142">
        <f t="shared" si="3"/>
        <v>30000</v>
      </c>
      <c r="K38" s="142">
        <f t="shared" si="3"/>
        <v>30000</v>
      </c>
      <c r="L38" s="142">
        <f t="shared" si="3"/>
        <v>30000</v>
      </c>
      <c r="M38" s="142">
        <f t="shared" si="3"/>
        <v>30000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262300</v>
      </c>
      <c r="H39" s="140">
        <f t="shared" si="4"/>
        <v>262300</v>
      </c>
      <c r="I39" s="140">
        <f t="shared" si="4"/>
        <v>262300</v>
      </c>
      <c r="J39" s="140">
        <f t="shared" si="4"/>
        <v>262300</v>
      </c>
      <c r="K39" s="140">
        <f t="shared" si="4"/>
        <v>262300</v>
      </c>
      <c r="L39" s="140">
        <f t="shared" si="4"/>
        <v>262300</v>
      </c>
      <c r="M39" s="140">
        <f t="shared" si="4"/>
        <v>262300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557251.81082089047</v>
      </c>
      <c r="E40" s="112"/>
      <c r="F40" s="140">
        <f t="shared" ref="F40:T40" si="5">F39+F37</f>
        <v>-765000</v>
      </c>
      <c r="G40" s="140">
        <f t="shared" si="5"/>
        <v>147300</v>
      </c>
      <c r="H40" s="140">
        <f t="shared" si="5"/>
        <v>232300</v>
      </c>
      <c r="I40" s="140">
        <f t="shared" si="5"/>
        <v>232300</v>
      </c>
      <c r="J40" s="140">
        <f t="shared" si="5"/>
        <v>232300</v>
      </c>
      <c r="K40" s="140">
        <f t="shared" si="5"/>
        <v>232300</v>
      </c>
      <c r="L40" s="140">
        <f t="shared" si="5"/>
        <v>232300</v>
      </c>
      <c r="M40" s="140">
        <f t="shared" si="5"/>
        <v>232300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7">
        <f>C74*'Inputs and assumptions'!D17</f>
        <v>0</v>
      </c>
      <c r="E74" s="393"/>
      <c r="F74" s="294">
        <f>$D74*F$28</f>
        <v>0</v>
      </c>
      <c r="G74" s="294">
        <f t="shared" ref="G74:T74" si="6">$D74*G$28</f>
        <v>0</v>
      </c>
      <c r="H74" s="294">
        <f t="shared" si="6"/>
        <v>0</v>
      </c>
      <c r="I74" s="294">
        <f t="shared" si="6"/>
        <v>0</v>
      </c>
      <c r="J74" s="294">
        <f t="shared" si="6"/>
        <v>0</v>
      </c>
      <c r="K74" s="294">
        <f t="shared" si="6"/>
        <v>0</v>
      </c>
      <c r="L74" s="294">
        <f t="shared" si="6"/>
        <v>0</v>
      </c>
      <c r="M74" s="294">
        <f t="shared" si="6"/>
        <v>0</v>
      </c>
      <c r="N74" s="294">
        <f t="shared" si="6"/>
        <v>0</v>
      </c>
      <c r="O74" s="294">
        <f t="shared" si="6"/>
        <v>0</v>
      </c>
      <c r="P74" s="294">
        <f t="shared" si="6"/>
        <v>0</v>
      </c>
      <c r="Q74" s="294">
        <f t="shared" si="6"/>
        <v>0</v>
      </c>
      <c r="R74" s="294">
        <f t="shared" si="6"/>
        <v>0</v>
      </c>
      <c r="S74" s="294">
        <f t="shared" si="6"/>
        <v>0</v>
      </c>
      <c r="T74" s="399">
        <f t="shared" si="6"/>
        <v>0</v>
      </c>
    </row>
    <row r="75" spans="2:20" x14ac:dyDescent="0.3">
      <c r="B75" s="193" t="s">
        <v>52</v>
      </c>
      <c r="C75" s="240"/>
      <c r="D75" s="388">
        <f>C75*'Inputs and assumptions'!D18</f>
        <v>0</v>
      </c>
      <c r="E75" s="393"/>
      <c r="F75" s="294">
        <v>0</v>
      </c>
      <c r="G75" s="294">
        <v>0</v>
      </c>
      <c r="H75" s="294">
        <v>0</v>
      </c>
      <c r="I75" s="294">
        <v>0</v>
      </c>
      <c r="J75" s="294">
        <v>0</v>
      </c>
      <c r="K75" s="294">
        <v>0</v>
      </c>
      <c r="L75" s="294">
        <v>0</v>
      </c>
      <c r="M75" s="294">
        <v>0</v>
      </c>
      <c r="N75" s="294">
        <v>0</v>
      </c>
      <c r="O75" s="294">
        <v>0</v>
      </c>
      <c r="P75" s="294">
        <v>0</v>
      </c>
      <c r="Q75" s="294">
        <v>0</v>
      </c>
      <c r="R75" s="294">
        <v>0</v>
      </c>
      <c r="S75" s="294">
        <v>0</v>
      </c>
      <c r="T75" s="399">
        <v>0</v>
      </c>
    </row>
    <row r="76" spans="2:20" x14ac:dyDescent="0.3">
      <c r="B76" s="193" t="s">
        <v>53</v>
      </c>
      <c r="C76" s="240"/>
      <c r="D76" s="388">
        <f>C76*'Inputs and assumptions'!D19</f>
        <v>0</v>
      </c>
      <c r="E76" s="393"/>
      <c r="F76" s="294">
        <v>0</v>
      </c>
      <c r="G76" s="294">
        <v>0</v>
      </c>
      <c r="H76" s="294">
        <v>0</v>
      </c>
      <c r="I76" s="294">
        <v>0</v>
      </c>
      <c r="J76" s="294">
        <v>0</v>
      </c>
      <c r="K76" s="294">
        <v>0</v>
      </c>
      <c r="L76" s="294">
        <v>0</v>
      </c>
      <c r="M76" s="294">
        <v>0</v>
      </c>
      <c r="N76" s="294">
        <v>0</v>
      </c>
      <c r="O76" s="294">
        <v>0</v>
      </c>
      <c r="P76" s="294">
        <v>0</v>
      </c>
      <c r="Q76" s="294">
        <v>0</v>
      </c>
      <c r="R76" s="294">
        <v>0</v>
      </c>
      <c r="S76" s="294">
        <v>0</v>
      </c>
      <c r="T76" s="399">
        <v>0</v>
      </c>
    </row>
    <row r="77" spans="2:20" x14ac:dyDescent="0.3">
      <c r="B77" s="193" t="s">
        <v>54</v>
      </c>
      <c r="C77" s="240"/>
      <c r="D77" s="388">
        <f>C77*'Inputs and assumptions'!D20</f>
        <v>0</v>
      </c>
      <c r="E77" s="393"/>
      <c r="F77" s="294">
        <v>0</v>
      </c>
      <c r="G77" s="294">
        <v>0</v>
      </c>
      <c r="H77" s="294">
        <v>0</v>
      </c>
      <c r="I77" s="294">
        <v>0</v>
      </c>
      <c r="J77" s="294">
        <v>0</v>
      </c>
      <c r="K77" s="294">
        <v>0</v>
      </c>
      <c r="L77" s="294">
        <v>0</v>
      </c>
      <c r="M77" s="294">
        <v>0</v>
      </c>
      <c r="N77" s="294">
        <v>0</v>
      </c>
      <c r="O77" s="294">
        <v>0</v>
      </c>
      <c r="P77" s="294">
        <v>0</v>
      </c>
      <c r="Q77" s="294">
        <v>0</v>
      </c>
      <c r="R77" s="294">
        <v>0</v>
      </c>
      <c r="S77" s="294">
        <v>0</v>
      </c>
      <c r="T77" s="399">
        <v>0</v>
      </c>
    </row>
    <row r="78" spans="2:20" x14ac:dyDescent="0.3">
      <c r="B78" s="193"/>
      <c r="E78" s="393"/>
      <c r="F78" s="296"/>
      <c r="G78" s="296"/>
      <c r="H78" s="296"/>
      <c r="I78" s="296"/>
      <c r="J78" s="296"/>
      <c r="K78" s="296"/>
      <c r="L78" s="296"/>
      <c r="M78" s="296"/>
      <c r="N78" s="296"/>
      <c r="O78" s="296"/>
      <c r="P78" s="296"/>
      <c r="Q78" s="296"/>
      <c r="R78" s="296"/>
      <c r="S78" s="296"/>
      <c r="T78" s="400"/>
    </row>
    <row r="79" spans="2:20" x14ac:dyDescent="0.3">
      <c r="B79" s="191" t="s">
        <v>55</v>
      </c>
      <c r="C79" s="239" t="s">
        <v>236</v>
      </c>
      <c r="D79" s="386"/>
      <c r="E79" s="393"/>
      <c r="F79" s="296"/>
      <c r="G79" s="296"/>
      <c r="H79" s="296"/>
      <c r="I79" s="296"/>
      <c r="J79" s="296"/>
      <c r="K79" s="296"/>
      <c r="L79" s="296"/>
      <c r="M79" s="296"/>
      <c r="N79" s="296"/>
      <c r="O79" s="296"/>
      <c r="P79" s="296"/>
      <c r="Q79" s="296"/>
      <c r="R79" s="296"/>
      <c r="S79" s="296"/>
      <c r="T79" s="400"/>
    </row>
    <row r="80" spans="2:20" x14ac:dyDescent="0.3">
      <c r="B80" s="193" t="s">
        <v>56</v>
      </c>
      <c r="C80" s="240"/>
      <c r="D80" s="387">
        <f>C80*'Inputs and assumptions'!D23</f>
        <v>0</v>
      </c>
      <c r="E80" s="393"/>
      <c r="F80" s="294">
        <v>0</v>
      </c>
      <c r="G80" s="294">
        <v>0</v>
      </c>
      <c r="H80" s="294">
        <v>0</v>
      </c>
      <c r="I80" s="294">
        <v>0</v>
      </c>
      <c r="J80" s="294">
        <v>0</v>
      </c>
      <c r="K80" s="294">
        <v>0</v>
      </c>
      <c r="L80" s="294">
        <v>0</v>
      </c>
      <c r="M80" s="294">
        <v>0</v>
      </c>
      <c r="N80" s="294">
        <v>0</v>
      </c>
      <c r="O80" s="294">
        <v>0</v>
      </c>
      <c r="P80" s="294">
        <v>0</v>
      </c>
      <c r="Q80" s="294">
        <v>0</v>
      </c>
      <c r="R80" s="294">
        <v>0</v>
      </c>
      <c r="S80" s="294">
        <v>0</v>
      </c>
      <c r="T80" s="399">
        <v>0</v>
      </c>
    </row>
    <row r="81" spans="2:20" x14ac:dyDescent="0.3">
      <c r="B81" s="193" t="s">
        <v>57</v>
      </c>
      <c r="C81" s="240"/>
      <c r="D81" s="388">
        <f>C81*'Inputs and assumptions'!D24</f>
        <v>0</v>
      </c>
      <c r="E81" s="393"/>
      <c r="F81" s="294">
        <v>0</v>
      </c>
      <c r="G81" s="294">
        <v>0</v>
      </c>
      <c r="H81" s="294">
        <v>0</v>
      </c>
      <c r="I81" s="294">
        <v>0</v>
      </c>
      <c r="J81" s="294">
        <v>0</v>
      </c>
      <c r="K81" s="294">
        <v>0</v>
      </c>
      <c r="L81" s="294">
        <v>0</v>
      </c>
      <c r="M81" s="294">
        <v>0</v>
      </c>
      <c r="N81" s="294">
        <v>0</v>
      </c>
      <c r="O81" s="294">
        <v>0</v>
      </c>
      <c r="P81" s="294">
        <v>0</v>
      </c>
      <c r="Q81" s="294">
        <v>0</v>
      </c>
      <c r="R81" s="294">
        <v>0</v>
      </c>
      <c r="S81" s="294">
        <v>0</v>
      </c>
      <c r="T81" s="399">
        <v>0</v>
      </c>
    </row>
    <row r="82" spans="2:20" x14ac:dyDescent="0.3">
      <c r="B82" s="193" t="s">
        <v>58</v>
      </c>
      <c r="C82" s="240">
        <v>2.5000000000000001E-2</v>
      </c>
      <c r="D82" s="387">
        <f>C82*'Inputs and assumptions'!D25</f>
        <v>262300</v>
      </c>
      <c r="E82" s="393"/>
      <c r="F82" s="294">
        <f>$D$82*F$28</f>
        <v>0</v>
      </c>
      <c r="G82" s="294">
        <f t="shared" ref="G82:T82" si="7">$D$82*G$28</f>
        <v>262300</v>
      </c>
      <c r="H82" s="294">
        <f t="shared" si="7"/>
        <v>262300</v>
      </c>
      <c r="I82" s="294">
        <f t="shared" si="7"/>
        <v>262300</v>
      </c>
      <c r="J82" s="294">
        <f t="shared" si="7"/>
        <v>262300</v>
      </c>
      <c r="K82" s="294">
        <f t="shared" si="7"/>
        <v>262300</v>
      </c>
      <c r="L82" s="294">
        <f t="shared" si="7"/>
        <v>262300</v>
      </c>
      <c r="M82" s="294">
        <f t="shared" si="7"/>
        <v>262300</v>
      </c>
      <c r="N82" s="294">
        <f t="shared" si="7"/>
        <v>0</v>
      </c>
      <c r="O82" s="294">
        <f t="shared" si="7"/>
        <v>0</v>
      </c>
      <c r="P82" s="294">
        <f t="shared" si="7"/>
        <v>0</v>
      </c>
      <c r="Q82" s="294">
        <f t="shared" si="7"/>
        <v>0</v>
      </c>
      <c r="R82" s="294">
        <f t="shared" si="7"/>
        <v>0</v>
      </c>
      <c r="S82" s="294">
        <f t="shared" si="7"/>
        <v>0</v>
      </c>
      <c r="T82" s="399">
        <f t="shared" si="7"/>
        <v>0</v>
      </c>
    </row>
    <row r="83" spans="2:20" x14ac:dyDescent="0.3">
      <c r="B83" s="193" t="s">
        <v>59</v>
      </c>
      <c r="C83" s="240"/>
      <c r="D83" s="388">
        <f>C83*'Inputs and assumptions'!D26</f>
        <v>0</v>
      </c>
      <c r="E83" s="393"/>
      <c r="F83" s="175">
        <v>0</v>
      </c>
      <c r="G83" s="175">
        <v>0</v>
      </c>
      <c r="H83" s="175">
        <v>0</v>
      </c>
      <c r="I83" s="175">
        <v>0</v>
      </c>
      <c r="J83" s="175">
        <v>0</v>
      </c>
      <c r="K83" s="175">
        <v>0</v>
      </c>
      <c r="L83" s="175">
        <v>0</v>
      </c>
      <c r="M83" s="175">
        <v>0</v>
      </c>
      <c r="N83" s="175">
        <v>0</v>
      </c>
      <c r="O83" s="175">
        <v>0</v>
      </c>
      <c r="P83" s="175">
        <v>0</v>
      </c>
      <c r="Q83" s="175">
        <v>0</v>
      </c>
      <c r="R83" s="175">
        <v>0</v>
      </c>
      <c r="S83" s="175">
        <v>0</v>
      </c>
      <c r="T83" s="395">
        <v>0</v>
      </c>
    </row>
    <row r="84" spans="2:20" x14ac:dyDescent="0.3">
      <c r="B84" s="193" t="s">
        <v>60</v>
      </c>
      <c r="C84" s="240"/>
      <c r="D84" s="388">
        <f>C84*'Inputs and assumptions'!D27</f>
        <v>0</v>
      </c>
      <c r="E84" s="393"/>
      <c r="F84" s="175">
        <v>0</v>
      </c>
      <c r="G84" s="175">
        <v>0</v>
      </c>
      <c r="H84" s="175">
        <v>0</v>
      </c>
      <c r="I84" s="175">
        <v>0</v>
      </c>
      <c r="J84" s="175">
        <v>0</v>
      </c>
      <c r="K84" s="175">
        <v>0</v>
      </c>
      <c r="L84" s="175">
        <v>0</v>
      </c>
      <c r="M84" s="175">
        <v>0</v>
      </c>
      <c r="N84" s="175">
        <v>0</v>
      </c>
      <c r="O84" s="175">
        <v>0</v>
      </c>
      <c r="P84" s="175">
        <v>0</v>
      </c>
      <c r="Q84" s="175">
        <v>0</v>
      </c>
      <c r="R84" s="175">
        <v>0</v>
      </c>
      <c r="S84" s="175">
        <v>0</v>
      </c>
      <c r="T84" s="395">
        <v>0</v>
      </c>
    </row>
    <row r="85" spans="2:20" x14ac:dyDescent="0.3">
      <c r="B85" s="193" t="s">
        <v>61</v>
      </c>
      <c r="C85" s="240"/>
      <c r="D85" s="388">
        <f>C85*'Inputs and assumptions'!D28</f>
        <v>0</v>
      </c>
      <c r="E85" s="393"/>
      <c r="F85" s="175">
        <v>0</v>
      </c>
      <c r="G85" s="175">
        <v>0</v>
      </c>
      <c r="H85" s="175">
        <v>0</v>
      </c>
      <c r="I85" s="175">
        <v>0</v>
      </c>
      <c r="J85" s="175">
        <v>0</v>
      </c>
      <c r="K85" s="175">
        <v>0</v>
      </c>
      <c r="L85" s="175">
        <v>0</v>
      </c>
      <c r="M85" s="175">
        <v>0</v>
      </c>
      <c r="N85" s="175">
        <v>0</v>
      </c>
      <c r="O85" s="175">
        <v>0</v>
      </c>
      <c r="P85" s="175">
        <v>0</v>
      </c>
      <c r="Q85" s="175">
        <v>0</v>
      </c>
      <c r="R85" s="175">
        <v>0</v>
      </c>
      <c r="S85" s="175">
        <v>0</v>
      </c>
      <c r="T85" s="395">
        <v>0</v>
      </c>
    </row>
    <row r="86" spans="2:20" x14ac:dyDescent="0.3">
      <c r="B86" s="193"/>
      <c r="E86" s="393"/>
      <c r="F86" s="215"/>
      <c r="G86" s="215"/>
      <c r="H86" s="215"/>
      <c r="I86" s="215"/>
      <c r="J86" s="215"/>
      <c r="K86" s="215"/>
      <c r="L86" s="215"/>
      <c r="M86" s="215"/>
      <c r="N86" s="215"/>
      <c r="O86" s="215"/>
      <c r="P86" s="215"/>
      <c r="Q86" s="215"/>
      <c r="R86" s="215"/>
      <c r="S86" s="215"/>
      <c r="T86" s="394"/>
    </row>
    <row r="87" spans="2:20" x14ac:dyDescent="0.3">
      <c r="B87" s="191" t="s">
        <v>62</v>
      </c>
      <c r="C87" s="239" t="s">
        <v>236</v>
      </c>
      <c r="D87" s="386"/>
      <c r="E87" s="393"/>
      <c r="F87" s="215"/>
      <c r="G87" s="215"/>
      <c r="H87" s="215"/>
      <c r="I87" s="215"/>
      <c r="J87" s="215"/>
      <c r="K87" s="215"/>
      <c r="L87" s="215"/>
      <c r="M87" s="215"/>
      <c r="N87" s="215"/>
      <c r="O87" s="215"/>
      <c r="P87" s="215"/>
      <c r="Q87" s="215"/>
      <c r="R87" s="215"/>
      <c r="S87" s="215"/>
      <c r="T87" s="394"/>
    </row>
    <row r="88" spans="2:20" x14ac:dyDescent="0.3">
      <c r="B88" s="193" t="s">
        <v>63</v>
      </c>
      <c r="C88" s="240"/>
      <c r="D88" s="388">
        <f>C88*'Inputs and assumptions'!D31</f>
        <v>0</v>
      </c>
      <c r="E88" s="393"/>
      <c r="F88" s="175">
        <v>0</v>
      </c>
      <c r="G88" s="175">
        <v>0</v>
      </c>
      <c r="H88" s="175">
        <v>0</v>
      </c>
      <c r="I88" s="175">
        <v>0</v>
      </c>
      <c r="J88" s="175">
        <v>0</v>
      </c>
      <c r="K88" s="175">
        <v>0</v>
      </c>
      <c r="L88" s="175">
        <v>0</v>
      </c>
      <c r="M88" s="175">
        <v>0</v>
      </c>
      <c r="N88" s="175">
        <v>0</v>
      </c>
      <c r="O88" s="175">
        <v>0</v>
      </c>
      <c r="P88" s="175">
        <v>0</v>
      </c>
      <c r="Q88" s="175">
        <v>0</v>
      </c>
      <c r="R88" s="175">
        <v>0</v>
      </c>
      <c r="S88" s="175">
        <v>0</v>
      </c>
      <c r="T88" s="395">
        <v>0</v>
      </c>
    </row>
    <row r="89" spans="2:20" x14ac:dyDescent="0.3">
      <c r="B89" s="193" t="s">
        <v>64</v>
      </c>
      <c r="C89" s="240"/>
      <c r="D89" s="388">
        <f>C89*'Inputs and assumptions'!D32</f>
        <v>0</v>
      </c>
      <c r="E89" s="393"/>
      <c r="F89" s="175">
        <v>0</v>
      </c>
      <c r="G89" s="175">
        <v>0</v>
      </c>
      <c r="H89" s="175">
        <v>0</v>
      </c>
      <c r="I89" s="175">
        <v>0</v>
      </c>
      <c r="J89" s="175">
        <v>0</v>
      </c>
      <c r="K89" s="175">
        <v>0</v>
      </c>
      <c r="L89" s="175">
        <v>0</v>
      </c>
      <c r="M89" s="175">
        <v>0</v>
      </c>
      <c r="N89" s="175">
        <v>0</v>
      </c>
      <c r="O89" s="175">
        <v>0</v>
      </c>
      <c r="P89" s="175">
        <v>0</v>
      </c>
      <c r="Q89" s="175">
        <v>0</v>
      </c>
      <c r="R89" s="175">
        <v>0</v>
      </c>
      <c r="S89" s="175">
        <v>0</v>
      </c>
      <c r="T89" s="395">
        <v>0</v>
      </c>
    </row>
    <row r="90" spans="2:20" x14ac:dyDescent="0.3">
      <c r="B90" s="193"/>
      <c r="E90" s="393"/>
      <c r="F90" s="215"/>
      <c r="G90" s="215"/>
      <c r="H90" s="215"/>
      <c r="I90" s="215"/>
      <c r="J90" s="215"/>
      <c r="K90" s="215"/>
      <c r="L90" s="215"/>
      <c r="M90" s="215"/>
      <c r="N90" s="215"/>
      <c r="O90" s="215"/>
      <c r="P90" s="215"/>
      <c r="Q90" s="215"/>
      <c r="R90" s="215"/>
      <c r="S90" s="215"/>
      <c r="T90" s="394"/>
    </row>
    <row r="91" spans="2:20" x14ac:dyDescent="0.3">
      <c r="B91" s="191" t="s">
        <v>65</v>
      </c>
      <c r="C91" s="239" t="s">
        <v>236</v>
      </c>
      <c r="D91" s="386"/>
      <c r="E91" s="393"/>
      <c r="F91" s="215"/>
      <c r="G91" s="215"/>
      <c r="H91" s="215"/>
      <c r="I91" s="215"/>
      <c r="J91" s="215"/>
      <c r="K91" s="215"/>
      <c r="L91" s="215"/>
      <c r="M91" s="215"/>
      <c r="N91" s="215"/>
      <c r="O91" s="215"/>
      <c r="P91" s="215"/>
      <c r="Q91" s="215"/>
      <c r="R91" s="215"/>
      <c r="S91" s="215"/>
      <c r="T91" s="394"/>
    </row>
    <row r="92" spans="2:20" x14ac:dyDescent="0.3">
      <c r="B92" s="193" t="s">
        <v>66</v>
      </c>
      <c r="C92" s="240"/>
      <c r="D92" s="388">
        <f>C92*'Inputs and assumptions'!D35</f>
        <v>0</v>
      </c>
      <c r="E92" s="393"/>
      <c r="F92" s="175">
        <v>0</v>
      </c>
      <c r="G92" s="175">
        <v>0</v>
      </c>
      <c r="H92" s="175">
        <v>0</v>
      </c>
      <c r="I92" s="175">
        <v>0</v>
      </c>
      <c r="J92" s="175">
        <v>0</v>
      </c>
      <c r="K92" s="175">
        <v>0</v>
      </c>
      <c r="L92" s="175">
        <v>0</v>
      </c>
      <c r="M92" s="175">
        <v>0</v>
      </c>
      <c r="N92" s="175">
        <v>0</v>
      </c>
      <c r="O92" s="175">
        <v>0</v>
      </c>
      <c r="P92" s="175">
        <v>0</v>
      </c>
      <c r="Q92" s="175">
        <v>0</v>
      </c>
      <c r="R92" s="175">
        <v>0</v>
      </c>
      <c r="S92" s="175">
        <v>0</v>
      </c>
      <c r="T92" s="395">
        <v>0</v>
      </c>
    </row>
    <row r="93" spans="2:20" x14ac:dyDescent="0.3">
      <c r="B93" s="193" t="s">
        <v>67</v>
      </c>
      <c r="C93" s="240"/>
      <c r="D93" s="388">
        <f>C93*'Inputs and assumptions'!D36</f>
        <v>0</v>
      </c>
      <c r="E93" s="393"/>
      <c r="F93" s="175">
        <v>0</v>
      </c>
      <c r="G93" s="175">
        <v>0</v>
      </c>
      <c r="H93" s="175">
        <v>0</v>
      </c>
      <c r="I93" s="175">
        <v>0</v>
      </c>
      <c r="J93" s="175">
        <v>0</v>
      </c>
      <c r="K93" s="175">
        <v>0</v>
      </c>
      <c r="L93" s="175">
        <v>0</v>
      </c>
      <c r="M93" s="175">
        <v>0</v>
      </c>
      <c r="N93" s="175">
        <v>0</v>
      </c>
      <c r="O93" s="175">
        <v>0</v>
      </c>
      <c r="P93" s="175">
        <v>0</v>
      </c>
      <c r="Q93" s="175">
        <v>0</v>
      </c>
      <c r="R93" s="175">
        <v>0</v>
      </c>
      <c r="S93" s="175">
        <v>0</v>
      </c>
      <c r="T93" s="395">
        <v>0</v>
      </c>
    </row>
    <row r="94" spans="2:20" x14ac:dyDescent="0.3">
      <c r="B94" s="193" t="s">
        <v>68</v>
      </c>
      <c r="C94" s="240"/>
      <c r="D94" s="388">
        <f>C94*'Inputs and assumptions'!D37</f>
        <v>0</v>
      </c>
      <c r="E94" s="393"/>
      <c r="F94" s="175">
        <v>0</v>
      </c>
      <c r="G94" s="175">
        <v>0</v>
      </c>
      <c r="H94" s="175">
        <v>0</v>
      </c>
      <c r="I94" s="175">
        <v>0</v>
      </c>
      <c r="J94" s="175">
        <v>0</v>
      </c>
      <c r="K94" s="175">
        <v>0</v>
      </c>
      <c r="L94" s="175">
        <v>0</v>
      </c>
      <c r="M94" s="175">
        <v>0</v>
      </c>
      <c r="N94" s="175">
        <v>0</v>
      </c>
      <c r="O94" s="175">
        <v>0</v>
      </c>
      <c r="P94" s="175">
        <v>0</v>
      </c>
      <c r="Q94" s="175">
        <v>0</v>
      </c>
      <c r="R94" s="175">
        <v>0</v>
      </c>
      <c r="S94" s="175">
        <v>0</v>
      </c>
      <c r="T94" s="395">
        <v>0</v>
      </c>
    </row>
    <row r="95" spans="2:20" x14ac:dyDescent="0.3">
      <c r="B95" s="193" t="s">
        <v>69</v>
      </c>
      <c r="C95" s="240"/>
      <c r="D95" s="388">
        <f>C95*'Inputs and assumptions'!D38</f>
        <v>0</v>
      </c>
      <c r="E95" s="393"/>
      <c r="F95" s="175">
        <v>0</v>
      </c>
      <c r="G95" s="175">
        <v>0</v>
      </c>
      <c r="H95" s="175">
        <v>0</v>
      </c>
      <c r="I95" s="175">
        <v>0</v>
      </c>
      <c r="J95" s="175">
        <v>0</v>
      </c>
      <c r="K95" s="175">
        <v>0</v>
      </c>
      <c r="L95" s="175">
        <v>0</v>
      </c>
      <c r="M95" s="175">
        <v>0</v>
      </c>
      <c r="N95" s="175">
        <v>0</v>
      </c>
      <c r="O95" s="175">
        <v>0</v>
      </c>
      <c r="P95" s="175">
        <v>0</v>
      </c>
      <c r="Q95" s="175">
        <v>0</v>
      </c>
      <c r="R95" s="175">
        <v>0</v>
      </c>
      <c r="S95" s="175">
        <v>0</v>
      </c>
      <c r="T95" s="395">
        <v>0</v>
      </c>
    </row>
    <row r="96" spans="2:20" x14ac:dyDescent="0.3">
      <c r="B96" s="193" t="s">
        <v>70</v>
      </c>
      <c r="C96" s="240"/>
      <c r="D96" s="388">
        <f>C96*'Inputs and assumptions'!D39</f>
        <v>0</v>
      </c>
      <c r="E96" s="393"/>
      <c r="F96" s="175">
        <v>0</v>
      </c>
      <c r="G96" s="175">
        <v>0</v>
      </c>
      <c r="H96" s="175">
        <v>0</v>
      </c>
      <c r="I96" s="175">
        <v>0</v>
      </c>
      <c r="J96" s="175">
        <v>0</v>
      </c>
      <c r="K96" s="175">
        <v>0</v>
      </c>
      <c r="L96" s="175">
        <v>0</v>
      </c>
      <c r="M96" s="175">
        <v>0</v>
      </c>
      <c r="N96" s="175">
        <v>0</v>
      </c>
      <c r="O96" s="175">
        <v>0</v>
      </c>
      <c r="P96" s="175">
        <v>0</v>
      </c>
      <c r="Q96" s="175">
        <v>0</v>
      </c>
      <c r="R96" s="175">
        <v>0</v>
      </c>
      <c r="S96" s="175">
        <v>0</v>
      </c>
      <c r="T96" s="395">
        <v>0</v>
      </c>
    </row>
    <row r="97" spans="2:20" x14ac:dyDescent="0.3">
      <c r="B97" s="193" t="s">
        <v>71</v>
      </c>
      <c r="C97" s="240"/>
      <c r="D97" s="388">
        <f>C97*'Inputs and assumptions'!D40</f>
        <v>0</v>
      </c>
      <c r="E97" s="393"/>
      <c r="F97" s="175">
        <v>0</v>
      </c>
      <c r="G97" s="175">
        <v>0</v>
      </c>
      <c r="H97" s="175">
        <v>0</v>
      </c>
      <c r="I97" s="175">
        <v>0</v>
      </c>
      <c r="J97" s="175">
        <v>0</v>
      </c>
      <c r="K97" s="175">
        <v>0</v>
      </c>
      <c r="L97" s="175">
        <v>0</v>
      </c>
      <c r="M97" s="175">
        <v>0</v>
      </c>
      <c r="N97" s="175">
        <v>0</v>
      </c>
      <c r="O97" s="175">
        <v>0</v>
      </c>
      <c r="P97" s="175">
        <v>0</v>
      </c>
      <c r="Q97" s="175">
        <v>0</v>
      </c>
      <c r="R97" s="175">
        <v>0</v>
      </c>
      <c r="S97" s="175">
        <v>0</v>
      </c>
      <c r="T97" s="395">
        <v>0</v>
      </c>
    </row>
    <row r="98" spans="2:20" ht="13.5" thickBot="1" x14ac:dyDescent="0.35">
      <c r="B98" s="194" t="s">
        <v>72</v>
      </c>
      <c r="C98" s="254"/>
      <c r="D98" s="389">
        <f>C98*'Inputs and assumptions'!D41</f>
        <v>0</v>
      </c>
      <c r="E98" s="396"/>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8">$D$102*F27</f>
        <v>0</v>
      </c>
      <c r="G102" s="140">
        <f t="shared" si="8"/>
        <v>0</v>
      </c>
      <c r="H102" s="140">
        <f t="shared" si="8"/>
        <v>0</v>
      </c>
      <c r="I102" s="140">
        <f t="shared" si="8"/>
        <v>0</v>
      </c>
      <c r="J102" s="140">
        <f t="shared" si="8"/>
        <v>0</v>
      </c>
      <c r="K102" s="140">
        <f t="shared" si="8"/>
        <v>0</v>
      </c>
      <c r="L102" s="140">
        <f t="shared" si="8"/>
        <v>0</v>
      </c>
      <c r="M102" s="140">
        <f t="shared" si="8"/>
        <v>0</v>
      </c>
      <c r="N102" s="140">
        <f t="shared" si="8"/>
        <v>0</v>
      </c>
      <c r="O102" s="140">
        <f t="shared" si="8"/>
        <v>0</v>
      </c>
      <c r="P102" s="140">
        <f t="shared" si="8"/>
        <v>0</v>
      </c>
      <c r="Q102" s="140">
        <f t="shared" si="8"/>
        <v>0</v>
      </c>
      <c r="R102" s="140">
        <f t="shared" si="8"/>
        <v>0</v>
      </c>
      <c r="S102" s="140">
        <f t="shared" si="8"/>
        <v>0</v>
      </c>
      <c r="T102" s="141">
        <f t="shared" si="8"/>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765000</v>
      </c>
      <c r="G107" s="294">
        <f>$E$111*G$29</f>
        <v>85000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30000</v>
      </c>
      <c r="H108" s="175">
        <v>30000</v>
      </c>
      <c r="I108" s="175">
        <v>30000</v>
      </c>
      <c r="J108" s="175">
        <v>30000</v>
      </c>
      <c r="K108" s="175">
        <v>30000</v>
      </c>
      <c r="L108" s="175">
        <v>30000</v>
      </c>
      <c r="M108" s="175">
        <v>30000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850000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305</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348"/>
      <c r="J114" s="348"/>
      <c r="K114" s="348"/>
      <c r="L114" s="181"/>
      <c r="M114" s="352"/>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349"/>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351"/>
      <c r="J119" s="351"/>
      <c r="K119" s="348"/>
      <c r="L119" s="181"/>
      <c r="M119" s="181"/>
      <c r="N119" s="181"/>
      <c r="O119" s="181"/>
      <c r="P119" s="181"/>
      <c r="Q119" s="181"/>
      <c r="R119" s="181"/>
      <c r="S119" s="181"/>
      <c r="T119" s="181"/>
    </row>
    <row r="120" spans="2:20" ht="15" customHeight="1" x14ac:dyDescent="0.3">
      <c r="B120" s="590"/>
      <c r="C120" s="586"/>
      <c r="D120" s="586"/>
      <c r="E120" s="591"/>
      <c r="F120" s="181"/>
      <c r="G120" s="181"/>
      <c r="H120" s="181"/>
      <c r="I120" s="350"/>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D8455702-7C14-4336-972C-C9A04CB02135}">
          <x14:formula1>
            <xm:f>'Inputs and assumptions'!$J$17:$J$18</xm:f>
          </x14:formula1>
          <xm:sqref>E43</xm:sqref>
        </x14:dataValidation>
        <x14:dataValidation type="list" allowBlank="1" showInputMessage="1" showErrorMessage="1" xr:uid="{E95DEF87-4D5E-48DB-B628-817351B8400F}">
          <x14:formula1>
            <xm:f>'Inputs and assumptions'!$H$27:$H$29</xm:f>
          </x14:formula1>
          <xm:sqref>E11</xm:sqref>
        </x14:dataValidation>
        <x14:dataValidation type="list" allowBlank="1" showInputMessage="1" showErrorMessage="1" xr:uid="{DF627643-36E7-42EF-9982-AE78C3F42111}">
          <x14:formula1>
            <xm:f>'Inputs and assumptions'!$H$23:$H$24</xm:f>
          </x14:formula1>
          <xm:sqref>E10</xm:sqref>
        </x14:dataValidation>
        <x14:dataValidation type="list" allowBlank="1" showInputMessage="1" showErrorMessage="1" xr:uid="{56BBC15A-A34B-4EB7-99A9-17D69717F554}">
          <x14:formula1>
            <xm:f>'Inputs and assumptions'!$G$16:$G$20</xm:f>
          </x14:formula1>
          <xm:sqref>E7</xm:sqref>
        </x14:dataValidation>
        <x14:dataValidation type="list" allowBlank="1" showInputMessage="1" showErrorMessage="1" xr:uid="{B50BE7FD-0DAD-4210-8066-7736218E71A2}">
          <x14:formula1>
            <xm:f>'Inputs and assumptions'!$H$16:$H$20</xm:f>
          </x14:formula1>
          <xm:sqref>E8</xm:sqref>
        </x14:dataValidation>
        <x14:dataValidation type="list" allowBlank="1" showInputMessage="1" showErrorMessage="1" xr:uid="{21FFAEEB-B82B-4C79-BD69-2130063E7572}">
          <x14:formula1>
            <xm:f>'Inputs and assumptions'!$H$31:$H$34</xm:f>
          </x14:formula1>
          <xm:sqref>E12</xm:sqref>
        </x14:dataValidation>
        <x14:dataValidation type="list" allowBlank="1" showInputMessage="1" showErrorMessage="1" xr:uid="{91499B2D-4962-4FFD-9EE8-444443802FB3}">
          <x14:formula1>
            <xm:f>'Inputs and assumptions'!$H$36:$H$40</xm:f>
          </x14:formula1>
          <xm:sqref>E13</xm:sqref>
        </x14:dataValidation>
        <x14:dataValidation type="list" allowBlank="1" showInputMessage="1" showErrorMessage="1" xr:uid="{6CE0B1B2-04A2-4B3C-907B-C5F023FAA0CA}">
          <x14:formula1>
            <xm:f>'Inputs and assumptions'!$J$21:$J$24</xm:f>
          </x14:formula1>
          <xm:sqref>E14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FD10-4BCD-4C1D-AD00-91A96E290F3E}">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306</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187</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307</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137</v>
      </c>
      <c r="G11" s="586"/>
      <c r="H11" s="586"/>
      <c r="I11" s="586"/>
      <c r="J11" s="586"/>
      <c r="K11" s="586"/>
      <c r="L11" s="586"/>
      <c r="M11" s="586"/>
      <c r="N11" s="586"/>
      <c r="O11" s="586"/>
      <c r="P11" s="586"/>
      <c r="Q11" s="586"/>
      <c r="R11" s="586"/>
      <c r="S11" s="586"/>
      <c r="T11" s="586"/>
    </row>
    <row r="12" spans="1:23" x14ac:dyDescent="0.3">
      <c r="B12" s="331" t="s">
        <v>9</v>
      </c>
      <c r="C12" s="231"/>
      <c r="D12" s="114"/>
      <c r="E12" s="330" t="s">
        <v>150</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21"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3</v>
      </c>
      <c r="D18" s="161">
        <v>0.28999999999999998</v>
      </c>
      <c r="E18" s="162">
        <f>D18*C18</f>
        <v>0.86999999999999988</v>
      </c>
      <c r="G18" s="219"/>
      <c r="H18" s="220" t="s">
        <v>18</v>
      </c>
      <c r="I18" s="221">
        <f>D37</f>
        <v>-974597.127171956</v>
      </c>
      <c r="J18" s="222"/>
      <c r="K18" s="220" t="s">
        <v>220</v>
      </c>
      <c r="L18" s="223">
        <f>SUM(F34:J34)</f>
        <v>950000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384117.94210724556</v>
      </c>
      <c r="J19" s="127"/>
      <c r="K19" s="125" t="s">
        <v>223</v>
      </c>
      <c r="L19" s="225">
        <f>SUM(F36:J36)</f>
        <v>40000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1.3941299757591761</v>
      </c>
      <c r="J20" s="127"/>
      <c r="K20" s="125" t="s">
        <v>225</v>
      </c>
      <c r="L20" s="225">
        <f>NPV($D$33,F39:T39)</f>
        <v>1358715.0692792016</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0.94864225356959075</v>
      </c>
      <c r="J21" s="226"/>
      <c r="K21" s="436" t="s">
        <v>228</v>
      </c>
      <c r="L21" s="439">
        <f>NPV($D$33,F39:J39)</f>
        <v>815530.95525081304</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2.6399999999999997</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855000</v>
      </c>
      <c r="G34" s="140">
        <f t="shared" si="0"/>
        <v>95000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1282500</v>
      </c>
      <c r="G35" s="140">
        <f>G34*(1+'Inputs and assumptions'!$C$7)</f>
        <v>142500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-974597.127171956</v>
      </c>
      <c r="E37" s="248"/>
      <c r="F37" s="144">
        <f t="shared" ref="F37:T37" si="2">-F34-F36</f>
        <v>-855000</v>
      </c>
      <c r="G37" s="144">
        <f t="shared" si="2"/>
        <v>-105000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1282500</v>
      </c>
      <c r="G38" s="142">
        <f t="shared" ref="G38:T38" si="3">G35+G36</f>
        <v>152500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229340</v>
      </c>
      <c r="H39" s="140">
        <f t="shared" si="4"/>
        <v>229340</v>
      </c>
      <c r="I39" s="140">
        <f t="shared" si="4"/>
        <v>229340</v>
      </c>
      <c r="J39" s="140">
        <f t="shared" si="4"/>
        <v>229340</v>
      </c>
      <c r="K39" s="140">
        <f t="shared" si="4"/>
        <v>229340</v>
      </c>
      <c r="L39" s="140">
        <f t="shared" si="4"/>
        <v>229340</v>
      </c>
      <c r="M39" s="140">
        <f t="shared" si="4"/>
        <v>229340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384117.94210724556</v>
      </c>
      <c r="E40" s="112"/>
      <c r="F40" s="140">
        <f t="shared" ref="F40:T40" si="5">F39+F37</f>
        <v>-855000</v>
      </c>
      <c r="G40" s="140">
        <f t="shared" si="5"/>
        <v>124340</v>
      </c>
      <c r="H40" s="140">
        <f t="shared" si="5"/>
        <v>219340</v>
      </c>
      <c r="I40" s="140">
        <f t="shared" si="5"/>
        <v>219340</v>
      </c>
      <c r="J40" s="140">
        <f t="shared" si="5"/>
        <v>219340</v>
      </c>
      <c r="K40" s="140">
        <f t="shared" si="5"/>
        <v>219340</v>
      </c>
      <c r="L40" s="140">
        <f t="shared" si="5"/>
        <v>219340</v>
      </c>
      <c r="M40" s="140">
        <f t="shared" si="5"/>
        <v>219340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v>2.5000000000000001E-3</v>
      </c>
      <c r="D80" s="267">
        <f>C80*'Inputs and assumptions'!D23</f>
        <v>69500</v>
      </c>
      <c r="F80" s="294">
        <f>$D80*F$28</f>
        <v>0</v>
      </c>
      <c r="G80" s="294">
        <f t="shared" ref="G80:T80" si="6">$D80*G$28</f>
        <v>69500</v>
      </c>
      <c r="H80" s="294">
        <f t="shared" si="6"/>
        <v>69500</v>
      </c>
      <c r="I80" s="294">
        <f t="shared" si="6"/>
        <v>69500</v>
      </c>
      <c r="J80" s="294">
        <f t="shared" si="6"/>
        <v>69500</v>
      </c>
      <c r="K80" s="294">
        <f t="shared" si="6"/>
        <v>69500</v>
      </c>
      <c r="L80" s="294">
        <f t="shared" si="6"/>
        <v>69500</v>
      </c>
      <c r="M80" s="294">
        <f t="shared" si="6"/>
        <v>69500</v>
      </c>
      <c r="N80" s="294">
        <f t="shared" si="6"/>
        <v>0</v>
      </c>
      <c r="O80" s="294">
        <f t="shared" si="6"/>
        <v>0</v>
      </c>
      <c r="P80" s="294">
        <f t="shared" si="6"/>
        <v>0</v>
      </c>
      <c r="Q80" s="294">
        <f t="shared" si="6"/>
        <v>0</v>
      </c>
      <c r="R80" s="294">
        <f t="shared" si="6"/>
        <v>0</v>
      </c>
      <c r="S80" s="294">
        <f t="shared" si="6"/>
        <v>0</v>
      </c>
      <c r="T80" s="295">
        <f t="shared" si="6"/>
        <v>0</v>
      </c>
    </row>
    <row r="81" spans="2:20" x14ac:dyDescent="0.3">
      <c r="B81" s="193" t="s">
        <v>57</v>
      </c>
      <c r="C81" s="240"/>
      <c r="D81" s="267">
        <f>C81*'Inputs and assumptions'!D24</f>
        <v>0</v>
      </c>
      <c r="F81" s="294">
        <v>0</v>
      </c>
      <c r="G81" s="294">
        <v>0</v>
      </c>
      <c r="H81" s="294">
        <v>0</v>
      </c>
      <c r="I81" s="294">
        <v>0</v>
      </c>
      <c r="J81" s="294">
        <v>0</v>
      </c>
      <c r="K81" s="294">
        <v>0</v>
      </c>
      <c r="L81" s="294">
        <v>0</v>
      </c>
      <c r="M81" s="294">
        <v>0</v>
      </c>
      <c r="N81" s="294">
        <v>0</v>
      </c>
      <c r="O81" s="294">
        <v>0</v>
      </c>
      <c r="P81" s="294">
        <v>0</v>
      </c>
      <c r="Q81" s="294">
        <v>0</v>
      </c>
      <c r="R81" s="294">
        <v>0</v>
      </c>
      <c r="S81" s="294">
        <v>0</v>
      </c>
      <c r="T81" s="295">
        <v>0</v>
      </c>
    </row>
    <row r="82" spans="2:20" x14ac:dyDescent="0.3">
      <c r="B82" s="193" t="s">
        <v>58</v>
      </c>
      <c r="C82" s="240"/>
      <c r="D82" s="267">
        <f>C82*'Inputs and assumptions'!D25</f>
        <v>0</v>
      </c>
      <c r="F82" s="294">
        <v>0</v>
      </c>
      <c r="G82" s="294">
        <v>0</v>
      </c>
      <c r="H82" s="294">
        <v>0</v>
      </c>
      <c r="I82" s="294">
        <v>0</v>
      </c>
      <c r="J82" s="294">
        <v>0</v>
      </c>
      <c r="K82" s="294">
        <v>0</v>
      </c>
      <c r="L82" s="294">
        <v>0</v>
      </c>
      <c r="M82" s="294">
        <v>0</v>
      </c>
      <c r="N82" s="294">
        <v>0</v>
      </c>
      <c r="O82" s="294">
        <v>0</v>
      </c>
      <c r="P82" s="294">
        <v>0</v>
      </c>
      <c r="Q82" s="294">
        <v>0</v>
      </c>
      <c r="R82" s="294">
        <v>0</v>
      </c>
      <c r="S82" s="294">
        <v>0</v>
      </c>
      <c r="T82" s="295">
        <v>0</v>
      </c>
    </row>
    <row r="83" spans="2:20" x14ac:dyDescent="0.3">
      <c r="B83" s="193" t="s">
        <v>59</v>
      </c>
      <c r="C83" s="240"/>
      <c r="D83" s="267">
        <f>C83*'Inputs and assumptions'!D26</f>
        <v>0</v>
      </c>
      <c r="F83" s="294">
        <v>0</v>
      </c>
      <c r="G83" s="294">
        <v>0</v>
      </c>
      <c r="H83" s="294">
        <v>0</v>
      </c>
      <c r="I83" s="294">
        <v>0</v>
      </c>
      <c r="J83" s="294">
        <v>0</v>
      </c>
      <c r="K83" s="294">
        <v>0</v>
      </c>
      <c r="L83" s="294">
        <v>0</v>
      </c>
      <c r="M83" s="294">
        <v>0</v>
      </c>
      <c r="N83" s="294">
        <v>0</v>
      </c>
      <c r="O83" s="294">
        <v>0</v>
      </c>
      <c r="P83" s="294">
        <v>0</v>
      </c>
      <c r="Q83" s="294">
        <v>0</v>
      </c>
      <c r="R83" s="294">
        <v>0</v>
      </c>
      <c r="S83" s="294">
        <v>0</v>
      </c>
      <c r="T83" s="295">
        <v>0</v>
      </c>
    </row>
    <row r="84" spans="2:20" x14ac:dyDescent="0.3">
      <c r="B84" s="193" t="s">
        <v>60</v>
      </c>
      <c r="C84" s="240"/>
      <c r="D84" s="267">
        <f>C84*'Inputs and assumptions'!D27</f>
        <v>0</v>
      </c>
      <c r="F84" s="294">
        <v>0</v>
      </c>
      <c r="G84" s="294">
        <v>0</v>
      </c>
      <c r="H84" s="294">
        <v>0</v>
      </c>
      <c r="I84" s="294">
        <v>0</v>
      </c>
      <c r="J84" s="294">
        <v>0</v>
      </c>
      <c r="K84" s="294">
        <v>0</v>
      </c>
      <c r="L84" s="294">
        <v>0</v>
      </c>
      <c r="M84" s="294">
        <v>0</v>
      </c>
      <c r="N84" s="294">
        <v>0</v>
      </c>
      <c r="O84" s="294">
        <v>0</v>
      </c>
      <c r="P84" s="294">
        <v>0</v>
      </c>
      <c r="Q84" s="294">
        <v>0</v>
      </c>
      <c r="R84" s="294">
        <v>0</v>
      </c>
      <c r="S84" s="294">
        <v>0</v>
      </c>
      <c r="T84" s="295">
        <v>0</v>
      </c>
    </row>
    <row r="85" spans="2:20" x14ac:dyDescent="0.3">
      <c r="B85" s="193" t="s">
        <v>61</v>
      </c>
      <c r="C85" s="240"/>
      <c r="D85" s="267">
        <f>C85*'Inputs and assumptions'!D28</f>
        <v>0</v>
      </c>
      <c r="F85" s="294">
        <v>0</v>
      </c>
      <c r="G85" s="294">
        <v>0</v>
      </c>
      <c r="H85" s="294">
        <v>0</v>
      </c>
      <c r="I85" s="294">
        <v>0</v>
      </c>
      <c r="J85" s="294">
        <v>0</v>
      </c>
      <c r="K85" s="294">
        <v>0</v>
      </c>
      <c r="L85" s="294">
        <v>0</v>
      </c>
      <c r="M85" s="294">
        <v>0</v>
      </c>
      <c r="N85" s="294">
        <v>0</v>
      </c>
      <c r="O85" s="294">
        <v>0</v>
      </c>
      <c r="P85" s="294">
        <v>0</v>
      </c>
      <c r="Q85" s="294">
        <v>0</v>
      </c>
      <c r="R85" s="294">
        <v>0</v>
      </c>
      <c r="S85" s="294">
        <v>0</v>
      </c>
      <c r="T85" s="295">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c r="D88" s="267">
        <f>C88*'Inputs and assumptions'!D31</f>
        <v>0</v>
      </c>
      <c r="F88" s="294">
        <v>0</v>
      </c>
      <c r="G88" s="294">
        <v>0</v>
      </c>
      <c r="H88" s="294">
        <v>0</v>
      </c>
      <c r="I88" s="294">
        <v>0</v>
      </c>
      <c r="J88" s="294">
        <v>0</v>
      </c>
      <c r="K88" s="294">
        <v>0</v>
      </c>
      <c r="L88" s="294">
        <v>0</v>
      </c>
      <c r="M88" s="294">
        <v>0</v>
      </c>
      <c r="N88" s="294">
        <v>0</v>
      </c>
      <c r="O88" s="294">
        <v>0</v>
      </c>
      <c r="P88" s="294">
        <v>0</v>
      </c>
      <c r="Q88" s="294">
        <v>0</v>
      </c>
      <c r="R88" s="294">
        <v>0</v>
      </c>
      <c r="S88" s="294">
        <v>0</v>
      </c>
      <c r="T88" s="295">
        <v>0</v>
      </c>
    </row>
    <row r="89" spans="2:20" x14ac:dyDescent="0.3">
      <c r="B89" s="193" t="s">
        <v>64</v>
      </c>
      <c r="C89" s="240">
        <v>4.7999999999999996E-3</v>
      </c>
      <c r="D89" s="267">
        <f>C89*'Inputs and assumptions'!D32</f>
        <v>144000</v>
      </c>
      <c r="F89" s="294">
        <f>$D89*F$28</f>
        <v>0</v>
      </c>
      <c r="G89" s="294">
        <f t="shared" ref="G89:T89" si="7">$D89*G$28</f>
        <v>144000</v>
      </c>
      <c r="H89" s="294">
        <f t="shared" si="7"/>
        <v>144000</v>
      </c>
      <c r="I89" s="294">
        <f t="shared" si="7"/>
        <v>144000</v>
      </c>
      <c r="J89" s="294">
        <f t="shared" si="7"/>
        <v>144000</v>
      </c>
      <c r="K89" s="294">
        <f t="shared" si="7"/>
        <v>144000</v>
      </c>
      <c r="L89" s="294">
        <f t="shared" si="7"/>
        <v>144000</v>
      </c>
      <c r="M89" s="294">
        <f t="shared" si="7"/>
        <v>144000</v>
      </c>
      <c r="N89" s="294">
        <f t="shared" si="7"/>
        <v>0</v>
      </c>
      <c r="O89" s="294">
        <f t="shared" si="7"/>
        <v>0</v>
      </c>
      <c r="P89" s="294">
        <f t="shared" si="7"/>
        <v>0</v>
      </c>
      <c r="Q89" s="294">
        <f t="shared" si="7"/>
        <v>0</v>
      </c>
      <c r="R89" s="294">
        <f t="shared" si="7"/>
        <v>0</v>
      </c>
      <c r="S89" s="294">
        <f t="shared" si="7"/>
        <v>0</v>
      </c>
      <c r="T89" s="295">
        <f t="shared" si="7"/>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c r="D92" s="267">
        <f>C92*'Inputs and assumptions'!D35</f>
        <v>0</v>
      </c>
      <c r="F92" s="294">
        <v>0</v>
      </c>
      <c r="G92" s="294">
        <v>0</v>
      </c>
      <c r="H92" s="294">
        <v>0</v>
      </c>
      <c r="I92" s="294">
        <v>0</v>
      </c>
      <c r="J92" s="294">
        <v>0</v>
      </c>
      <c r="K92" s="294">
        <v>0</v>
      </c>
      <c r="L92" s="294">
        <v>0</v>
      </c>
      <c r="M92" s="294">
        <v>0</v>
      </c>
      <c r="N92" s="294">
        <v>0</v>
      </c>
      <c r="O92" s="294">
        <v>0</v>
      </c>
      <c r="P92" s="294">
        <v>0</v>
      </c>
      <c r="Q92" s="294">
        <v>0</v>
      </c>
      <c r="R92" s="294">
        <v>0</v>
      </c>
      <c r="S92" s="294">
        <v>0</v>
      </c>
      <c r="T92" s="295">
        <v>0</v>
      </c>
    </row>
    <row r="93" spans="2:20" x14ac:dyDescent="0.3">
      <c r="B93" s="193" t="s">
        <v>67</v>
      </c>
      <c r="C93" s="240"/>
      <c r="D93" s="267">
        <f>C93*'Inputs and assumptions'!D36</f>
        <v>0</v>
      </c>
      <c r="F93" s="294">
        <v>0</v>
      </c>
      <c r="G93" s="294">
        <v>0</v>
      </c>
      <c r="H93" s="294">
        <v>0</v>
      </c>
      <c r="I93" s="294">
        <v>0</v>
      </c>
      <c r="J93" s="294">
        <v>0</v>
      </c>
      <c r="K93" s="294">
        <v>0</v>
      </c>
      <c r="L93" s="294">
        <v>0</v>
      </c>
      <c r="M93" s="294">
        <v>0</v>
      </c>
      <c r="N93" s="294">
        <v>0</v>
      </c>
      <c r="O93" s="294">
        <v>0</v>
      </c>
      <c r="P93" s="294">
        <v>0</v>
      </c>
      <c r="Q93" s="294">
        <v>0</v>
      </c>
      <c r="R93" s="294">
        <v>0</v>
      </c>
      <c r="S93" s="294">
        <v>0</v>
      </c>
      <c r="T93" s="295">
        <v>0</v>
      </c>
    </row>
    <row r="94" spans="2:20" x14ac:dyDescent="0.3">
      <c r="B94" s="193" t="s">
        <v>68</v>
      </c>
      <c r="C94" s="240"/>
      <c r="D94" s="267">
        <f>C94*'Inputs and assumptions'!D37</f>
        <v>0</v>
      </c>
      <c r="F94" s="294">
        <v>0</v>
      </c>
      <c r="G94" s="294">
        <v>0</v>
      </c>
      <c r="H94" s="294">
        <v>0</v>
      </c>
      <c r="I94" s="294">
        <v>0</v>
      </c>
      <c r="J94" s="294">
        <v>0</v>
      </c>
      <c r="K94" s="294">
        <v>0</v>
      </c>
      <c r="L94" s="294">
        <v>0</v>
      </c>
      <c r="M94" s="294">
        <v>0</v>
      </c>
      <c r="N94" s="294">
        <v>0</v>
      </c>
      <c r="O94" s="294">
        <v>0</v>
      </c>
      <c r="P94" s="294">
        <v>0</v>
      </c>
      <c r="Q94" s="294">
        <v>0</v>
      </c>
      <c r="R94" s="294">
        <v>0</v>
      </c>
      <c r="S94" s="294">
        <v>0</v>
      </c>
      <c r="T94" s="295">
        <v>0</v>
      </c>
    </row>
    <row r="95" spans="2:20" x14ac:dyDescent="0.3">
      <c r="B95" s="193" t="s">
        <v>69</v>
      </c>
      <c r="C95" s="240"/>
      <c r="D95" s="267">
        <f>C95*'Inputs and assumptions'!D38</f>
        <v>0</v>
      </c>
      <c r="F95" s="294">
        <v>0</v>
      </c>
      <c r="G95" s="294">
        <v>0</v>
      </c>
      <c r="H95" s="294">
        <v>0</v>
      </c>
      <c r="I95" s="294">
        <v>0</v>
      </c>
      <c r="J95" s="294">
        <v>0</v>
      </c>
      <c r="K95" s="294">
        <v>0</v>
      </c>
      <c r="L95" s="294">
        <v>0</v>
      </c>
      <c r="M95" s="294">
        <v>0</v>
      </c>
      <c r="N95" s="294">
        <v>0</v>
      </c>
      <c r="O95" s="294">
        <v>0</v>
      </c>
      <c r="P95" s="294">
        <v>0</v>
      </c>
      <c r="Q95" s="294">
        <v>0</v>
      </c>
      <c r="R95" s="294">
        <v>0</v>
      </c>
      <c r="S95" s="294">
        <v>0</v>
      </c>
      <c r="T95" s="295">
        <v>0</v>
      </c>
    </row>
    <row r="96" spans="2:20" x14ac:dyDescent="0.3">
      <c r="B96" s="193" t="s">
        <v>70</v>
      </c>
      <c r="C96" s="240"/>
      <c r="D96" s="267">
        <f>C96*'Inputs and assumptions'!D39</f>
        <v>0</v>
      </c>
      <c r="F96" s="294">
        <v>0</v>
      </c>
      <c r="G96" s="294">
        <v>0</v>
      </c>
      <c r="H96" s="294">
        <v>0</v>
      </c>
      <c r="I96" s="294">
        <v>0</v>
      </c>
      <c r="J96" s="294">
        <v>0</v>
      </c>
      <c r="K96" s="294">
        <v>0</v>
      </c>
      <c r="L96" s="294">
        <v>0</v>
      </c>
      <c r="M96" s="294">
        <v>0</v>
      </c>
      <c r="N96" s="294">
        <v>0</v>
      </c>
      <c r="O96" s="294">
        <v>0</v>
      </c>
      <c r="P96" s="294">
        <v>0</v>
      </c>
      <c r="Q96" s="294">
        <v>0</v>
      </c>
      <c r="R96" s="294">
        <v>0</v>
      </c>
      <c r="S96" s="294">
        <v>0</v>
      </c>
      <c r="T96" s="295">
        <v>0</v>
      </c>
    </row>
    <row r="97" spans="2:20" x14ac:dyDescent="0.3">
      <c r="B97" s="193" t="s">
        <v>71</v>
      </c>
      <c r="C97" s="240"/>
      <c r="D97" s="267">
        <f>C97*'Inputs and assumptions'!D40</f>
        <v>0</v>
      </c>
      <c r="F97" s="294">
        <v>0</v>
      </c>
      <c r="G97" s="294">
        <v>0</v>
      </c>
      <c r="H97" s="294">
        <v>0</v>
      </c>
      <c r="I97" s="294">
        <v>0</v>
      </c>
      <c r="J97" s="294">
        <v>0</v>
      </c>
      <c r="K97" s="294">
        <v>0</v>
      </c>
      <c r="L97" s="294">
        <v>0</v>
      </c>
      <c r="M97" s="294">
        <v>0</v>
      </c>
      <c r="N97" s="294">
        <v>0</v>
      </c>
      <c r="O97" s="294">
        <v>0</v>
      </c>
      <c r="P97" s="294">
        <v>0</v>
      </c>
      <c r="Q97" s="294">
        <v>0</v>
      </c>
      <c r="R97" s="294">
        <v>0</v>
      </c>
      <c r="S97" s="294">
        <v>0</v>
      </c>
      <c r="T97" s="295">
        <v>0</v>
      </c>
    </row>
    <row r="98" spans="2:20" ht="13.5" thickBot="1" x14ac:dyDescent="0.35">
      <c r="B98" s="194" t="s">
        <v>72</v>
      </c>
      <c r="C98" s="254">
        <v>4.0000000000000002E-4</v>
      </c>
      <c r="D98" s="270">
        <f>C98*'Inputs and assumptions'!D41</f>
        <v>15840</v>
      </c>
      <c r="E98" s="195"/>
      <c r="F98" s="300">
        <f>$D98*F$28</f>
        <v>0</v>
      </c>
      <c r="G98" s="300">
        <f t="shared" ref="G98:T98" si="8">$D98*G$28</f>
        <v>15840</v>
      </c>
      <c r="H98" s="300">
        <f t="shared" si="8"/>
        <v>15840</v>
      </c>
      <c r="I98" s="300">
        <f t="shared" si="8"/>
        <v>15840</v>
      </c>
      <c r="J98" s="300">
        <f t="shared" si="8"/>
        <v>15840</v>
      </c>
      <c r="K98" s="300">
        <f t="shared" si="8"/>
        <v>15840</v>
      </c>
      <c r="L98" s="300">
        <f t="shared" si="8"/>
        <v>15840</v>
      </c>
      <c r="M98" s="300">
        <f t="shared" si="8"/>
        <v>15840</v>
      </c>
      <c r="N98" s="300">
        <f t="shared" si="8"/>
        <v>0</v>
      </c>
      <c r="O98" s="300">
        <f t="shared" si="8"/>
        <v>0</v>
      </c>
      <c r="P98" s="300">
        <f t="shared" si="8"/>
        <v>0</v>
      </c>
      <c r="Q98" s="300">
        <f t="shared" si="8"/>
        <v>0</v>
      </c>
      <c r="R98" s="300">
        <f t="shared" si="8"/>
        <v>0</v>
      </c>
      <c r="S98" s="300">
        <f t="shared" si="8"/>
        <v>0</v>
      </c>
      <c r="T98" s="301">
        <f t="shared" si="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9">$D$102*F27</f>
        <v>0</v>
      </c>
      <c r="G102" s="140">
        <f t="shared" si="9"/>
        <v>0</v>
      </c>
      <c r="H102" s="140">
        <f t="shared" si="9"/>
        <v>0</v>
      </c>
      <c r="I102" s="140">
        <f t="shared" si="9"/>
        <v>0</v>
      </c>
      <c r="J102" s="140">
        <f t="shared" si="9"/>
        <v>0</v>
      </c>
      <c r="K102" s="140">
        <f t="shared" si="9"/>
        <v>0</v>
      </c>
      <c r="L102" s="140">
        <f t="shared" si="9"/>
        <v>0</v>
      </c>
      <c r="M102" s="140">
        <f t="shared" si="9"/>
        <v>0</v>
      </c>
      <c r="N102" s="140">
        <f t="shared" si="9"/>
        <v>0</v>
      </c>
      <c r="O102" s="140">
        <f t="shared" si="9"/>
        <v>0</v>
      </c>
      <c r="P102" s="140">
        <f t="shared" si="9"/>
        <v>0</v>
      </c>
      <c r="Q102" s="140">
        <f t="shared" si="9"/>
        <v>0</v>
      </c>
      <c r="R102" s="140">
        <f t="shared" si="9"/>
        <v>0</v>
      </c>
      <c r="S102" s="140">
        <f t="shared" si="9"/>
        <v>0</v>
      </c>
      <c r="T102" s="141">
        <f t="shared" si="9"/>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855000</v>
      </c>
      <c r="G107" s="294">
        <f>$E$111*G$29</f>
        <v>95000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308</v>
      </c>
      <c r="C113" s="588"/>
      <c r="D113" s="588"/>
      <c r="E113" s="589"/>
      <c r="F113" s="302"/>
      <c r="G113" s="302"/>
      <c r="H113" s="302"/>
      <c r="I113" s="302"/>
      <c r="J113" s="302"/>
      <c r="K113" s="302"/>
      <c r="L113" s="181"/>
      <c r="M113" s="181"/>
      <c r="N113" s="181"/>
      <c r="O113" s="181"/>
      <c r="P113" s="181"/>
      <c r="Q113" s="181"/>
      <c r="R113" s="181"/>
      <c r="S113" s="181"/>
      <c r="T113" s="181"/>
    </row>
    <row r="114" spans="2:20" ht="15" customHeight="1" x14ac:dyDescent="0.3">
      <c r="B114" s="590"/>
      <c r="C114" s="586"/>
      <c r="D114" s="586"/>
      <c r="E114" s="591"/>
      <c r="F114" s="302"/>
      <c r="G114" s="302"/>
      <c r="H114" s="302"/>
      <c r="I114" s="302"/>
      <c r="J114" s="302"/>
      <c r="K114" s="302"/>
      <c r="L114" s="181"/>
      <c r="M114" s="181"/>
      <c r="N114" s="181"/>
      <c r="O114" s="181"/>
      <c r="P114" s="181"/>
      <c r="Q114" s="181"/>
      <c r="R114" s="181"/>
      <c r="S114" s="181"/>
      <c r="T114" s="181"/>
    </row>
    <row r="115" spans="2:20" ht="15" customHeight="1" x14ac:dyDescent="0.3">
      <c r="B115" s="590"/>
      <c r="C115" s="586"/>
      <c r="D115" s="586"/>
      <c r="E115" s="591"/>
      <c r="F115" s="302"/>
      <c r="G115" s="302"/>
      <c r="H115" s="302"/>
      <c r="I115" s="302"/>
      <c r="J115" s="302"/>
      <c r="K115" s="302"/>
      <c r="L115" s="181"/>
      <c r="M115" s="181"/>
      <c r="N115" s="181"/>
      <c r="O115" s="181"/>
      <c r="P115" s="181"/>
      <c r="Q115" s="181"/>
      <c r="R115" s="181"/>
      <c r="S115" s="181"/>
      <c r="T115" s="181"/>
    </row>
    <row r="116" spans="2:20" ht="15" customHeight="1" x14ac:dyDescent="0.3">
      <c r="B116" s="590"/>
      <c r="C116" s="586"/>
      <c r="D116" s="586"/>
      <c r="E116" s="591"/>
      <c r="F116" s="302"/>
      <c r="G116" s="302"/>
      <c r="H116" s="302"/>
      <c r="I116" s="302"/>
      <c r="J116" s="302"/>
      <c r="K116" s="302"/>
      <c r="L116" s="181"/>
      <c r="M116" s="181"/>
      <c r="N116" s="181"/>
      <c r="O116" s="181"/>
      <c r="P116" s="181"/>
      <c r="Q116" s="181"/>
      <c r="R116" s="181"/>
      <c r="S116" s="181"/>
      <c r="T116" s="181"/>
    </row>
    <row r="117" spans="2:20" ht="15" customHeight="1" x14ac:dyDescent="0.3">
      <c r="B117" s="590"/>
      <c r="C117" s="586"/>
      <c r="D117" s="586"/>
      <c r="E117" s="591"/>
      <c r="F117" s="302"/>
      <c r="G117" s="302"/>
      <c r="H117" s="302"/>
      <c r="I117" s="302"/>
      <c r="J117" s="302"/>
      <c r="K117" s="302"/>
      <c r="L117" s="181"/>
      <c r="M117" s="181"/>
      <c r="N117" s="181"/>
      <c r="O117" s="181"/>
      <c r="P117" s="181"/>
      <c r="Q117" s="181"/>
      <c r="R117" s="181"/>
      <c r="S117" s="181"/>
      <c r="T117" s="181"/>
    </row>
    <row r="118" spans="2:20" ht="15" customHeight="1" x14ac:dyDescent="0.3">
      <c r="B118" s="590"/>
      <c r="C118" s="586"/>
      <c r="D118" s="586"/>
      <c r="E118" s="591"/>
      <c r="F118" s="302"/>
      <c r="G118" s="302"/>
      <c r="H118" s="302"/>
      <c r="I118" s="302"/>
      <c r="J118" s="302"/>
      <c r="K118" s="302"/>
      <c r="L118" s="181"/>
      <c r="M118" s="181"/>
      <c r="N118" s="181"/>
      <c r="O118" s="181"/>
      <c r="P118" s="181"/>
      <c r="Q118" s="181"/>
      <c r="R118" s="181"/>
      <c r="S118" s="181"/>
      <c r="T118" s="181"/>
    </row>
    <row r="119" spans="2:20" ht="15" customHeight="1" x14ac:dyDescent="0.3">
      <c r="B119" s="590"/>
      <c r="C119" s="586"/>
      <c r="D119" s="586"/>
      <c r="E119" s="591"/>
      <c r="F119" s="302"/>
      <c r="G119" s="302"/>
      <c r="H119" s="302"/>
      <c r="I119" s="302"/>
      <c r="J119" s="302"/>
      <c r="K119" s="302"/>
      <c r="L119" s="181"/>
      <c r="M119" s="181"/>
      <c r="N119" s="181"/>
      <c r="O119" s="181"/>
      <c r="P119" s="181"/>
      <c r="Q119" s="181"/>
      <c r="R119" s="181"/>
      <c r="S119" s="181"/>
      <c r="T119" s="181"/>
    </row>
    <row r="120" spans="2:20" ht="15" customHeight="1" x14ac:dyDescent="0.3">
      <c r="B120" s="590"/>
      <c r="C120" s="586"/>
      <c r="D120" s="586"/>
      <c r="E120" s="591"/>
      <c r="F120" s="302"/>
      <c r="G120" s="302"/>
      <c r="H120" s="302"/>
      <c r="I120" s="302"/>
      <c r="J120" s="302"/>
      <c r="K120" s="302"/>
      <c r="L120" s="181"/>
      <c r="M120" s="181"/>
      <c r="N120" s="181"/>
      <c r="O120" s="181"/>
      <c r="P120" s="181"/>
      <c r="Q120" s="181"/>
      <c r="R120" s="181"/>
      <c r="S120" s="181"/>
      <c r="T120" s="181"/>
    </row>
    <row r="121" spans="2:20" ht="15" customHeight="1" x14ac:dyDescent="0.3">
      <c r="B121" s="590"/>
      <c r="C121" s="586"/>
      <c r="D121" s="586"/>
      <c r="E121" s="591"/>
      <c r="F121" s="302"/>
      <c r="G121" s="302"/>
      <c r="H121" s="302"/>
      <c r="I121" s="302"/>
      <c r="J121" s="302"/>
      <c r="K121" s="302"/>
      <c r="L121" s="181"/>
      <c r="M121" s="181"/>
      <c r="N121" s="181"/>
      <c r="O121" s="181"/>
      <c r="P121" s="181"/>
      <c r="Q121" s="181"/>
      <c r="R121" s="181"/>
      <c r="S121" s="181"/>
      <c r="T121" s="181"/>
    </row>
    <row r="122" spans="2:20" ht="15.75" customHeight="1" thickBot="1" x14ac:dyDescent="0.35">
      <c r="B122" s="592"/>
      <c r="C122" s="593"/>
      <c r="D122" s="593"/>
      <c r="E122" s="594"/>
      <c r="F122" s="302"/>
      <c r="G122" s="302"/>
      <c r="H122" s="302"/>
      <c r="I122" s="302"/>
      <c r="J122" s="302"/>
      <c r="K122" s="302"/>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2363A57C-8DAA-4493-BE57-3249C5A961FC}">
          <x14:formula1>
            <xm:f>'Inputs and assumptions'!$J$17:$J$18</xm:f>
          </x14:formula1>
          <xm:sqref>E43</xm:sqref>
        </x14:dataValidation>
        <x14:dataValidation type="list" allowBlank="1" showInputMessage="1" showErrorMessage="1" xr:uid="{BBD2EFCD-0D32-4A7C-8EB8-A94795AAEA67}">
          <x14:formula1>
            <xm:f>'Inputs and assumptions'!$H$27:$H$29</xm:f>
          </x14:formula1>
          <xm:sqref>E11</xm:sqref>
        </x14:dataValidation>
        <x14:dataValidation type="list" allowBlank="1" showInputMessage="1" showErrorMessage="1" xr:uid="{DB7FD78C-8277-48E6-AAAA-4AE589F034B5}">
          <x14:formula1>
            <xm:f>'Inputs and assumptions'!$H$23:$H$24</xm:f>
          </x14:formula1>
          <xm:sqref>E10</xm:sqref>
        </x14:dataValidation>
        <x14:dataValidation type="list" allowBlank="1" showInputMessage="1" showErrorMessage="1" xr:uid="{5F74ED06-A84F-4F56-80C5-BC1C050F06AA}">
          <x14:formula1>
            <xm:f>'Inputs and assumptions'!$G$16:$G$20</xm:f>
          </x14:formula1>
          <xm:sqref>E7</xm:sqref>
        </x14:dataValidation>
        <x14:dataValidation type="list" allowBlank="1" showInputMessage="1" showErrorMessage="1" xr:uid="{949C3A13-2E59-4076-9CF3-DBCBF69C325C}">
          <x14:formula1>
            <xm:f>'Inputs and assumptions'!$H$16:$H$20</xm:f>
          </x14:formula1>
          <xm:sqref>E8</xm:sqref>
        </x14:dataValidation>
        <x14:dataValidation type="list" allowBlank="1" showInputMessage="1" showErrorMessage="1" xr:uid="{641292F5-97D1-4D9A-BF1D-FA7F75CB5DF9}">
          <x14:formula1>
            <xm:f>'Inputs and assumptions'!$H$31:$H$34</xm:f>
          </x14:formula1>
          <xm:sqref>E12</xm:sqref>
        </x14:dataValidation>
        <x14:dataValidation type="list" allowBlank="1" showInputMessage="1" showErrorMessage="1" xr:uid="{FA450AC3-3EBE-492E-AC30-F37681D4D912}">
          <x14:formula1>
            <xm:f>'Inputs and assumptions'!$H$36:$H$40</xm:f>
          </x14:formula1>
          <xm:sqref>E13</xm:sqref>
        </x14:dataValidation>
        <x14:dataValidation type="list" allowBlank="1" showInputMessage="1" showErrorMessage="1" xr:uid="{1D23F19F-E7A8-4217-8538-F765B2019241}">
          <x14:formula1>
            <xm:f>'Inputs and assumptions'!$J$21:$J$24</xm:f>
          </x14:formula1>
          <xm:sqref>E14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BD6AB-C5C6-4F6C-8832-ADEF5057CBEA}">
  <sheetPr>
    <tabColor rgb="FF002060"/>
    <pageSetUpPr fitToPage="1"/>
  </sheetPr>
  <dimension ref="A1:W122"/>
  <sheetViews>
    <sheetView showGridLines="0" zoomScale="90" zoomScaleNormal="90"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309</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188</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76" t="s">
        <v>310</v>
      </c>
      <c r="H7" s="576"/>
      <c r="I7" s="576"/>
      <c r="J7" s="576"/>
      <c r="K7" s="576"/>
      <c r="L7" s="576"/>
      <c r="M7" s="576"/>
      <c r="N7" s="576"/>
      <c r="O7" s="576"/>
      <c r="P7" s="576"/>
      <c r="Q7" s="576"/>
      <c r="R7" s="576"/>
      <c r="S7" s="576"/>
      <c r="T7" s="576"/>
    </row>
    <row r="8" spans="1:23" s="170" customFormat="1" ht="15.75" customHeight="1" x14ac:dyDescent="0.35">
      <c r="B8" s="328" t="s">
        <v>3</v>
      </c>
      <c r="C8" s="230"/>
      <c r="E8" s="329" t="s">
        <v>127</v>
      </c>
      <c r="G8" s="576"/>
      <c r="H8" s="576"/>
      <c r="I8" s="576"/>
      <c r="J8" s="576"/>
      <c r="K8" s="576"/>
      <c r="L8" s="576"/>
      <c r="M8" s="576"/>
      <c r="N8" s="576"/>
      <c r="O8" s="576"/>
      <c r="P8" s="576"/>
      <c r="Q8" s="576"/>
      <c r="R8" s="576"/>
      <c r="S8" s="576"/>
      <c r="T8" s="576"/>
    </row>
    <row r="9" spans="1:23" s="170" customFormat="1" ht="15.75" customHeight="1" x14ac:dyDescent="0.35">
      <c r="B9" s="328" t="s">
        <v>4</v>
      </c>
      <c r="C9" s="230"/>
      <c r="E9" s="330" t="s">
        <v>218</v>
      </c>
      <c r="G9" s="576"/>
      <c r="H9" s="576"/>
      <c r="I9" s="576"/>
      <c r="J9" s="576"/>
      <c r="K9" s="576"/>
      <c r="L9" s="576"/>
      <c r="M9" s="576"/>
      <c r="N9" s="576"/>
      <c r="O9" s="576"/>
      <c r="P9" s="576"/>
      <c r="Q9" s="576"/>
      <c r="R9" s="576"/>
      <c r="S9" s="576"/>
      <c r="T9" s="576"/>
    </row>
    <row r="10" spans="1:23" s="170" customFormat="1" ht="15.75" customHeight="1" x14ac:dyDescent="0.35">
      <c r="B10" s="328" t="s">
        <v>6</v>
      </c>
      <c r="C10" s="230"/>
      <c r="E10" s="330" t="s">
        <v>134</v>
      </c>
      <c r="G10" s="576"/>
      <c r="H10" s="576"/>
      <c r="I10" s="576"/>
      <c r="J10" s="576"/>
      <c r="K10" s="576"/>
      <c r="L10" s="576"/>
      <c r="M10" s="576"/>
      <c r="N10" s="576"/>
      <c r="O10" s="576"/>
      <c r="P10" s="576"/>
      <c r="Q10" s="576"/>
      <c r="R10" s="576"/>
      <c r="S10" s="576"/>
      <c r="T10" s="576"/>
    </row>
    <row r="11" spans="1:23" s="170" customFormat="1" ht="15.75" customHeight="1" x14ac:dyDescent="0.35">
      <c r="B11" s="328" t="s">
        <v>7</v>
      </c>
      <c r="C11" s="230"/>
      <c r="E11" s="330" t="s">
        <v>143</v>
      </c>
      <c r="G11" s="576"/>
      <c r="H11" s="576"/>
      <c r="I11" s="576"/>
      <c r="J11" s="576"/>
      <c r="K11" s="576"/>
      <c r="L11" s="576"/>
      <c r="M11" s="576"/>
      <c r="N11" s="576"/>
      <c r="O11" s="576"/>
      <c r="P11" s="576"/>
      <c r="Q11" s="576"/>
      <c r="R11" s="576"/>
      <c r="S11" s="576"/>
      <c r="T11" s="576"/>
    </row>
    <row r="12" spans="1:23" x14ac:dyDescent="0.3">
      <c r="B12" s="331" t="s">
        <v>9</v>
      </c>
      <c r="C12" s="231"/>
      <c r="D12" s="114"/>
      <c r="E12" s="330" t="s">
        <v>149</v>
      </c>
      <c r="G12" s="576"/>
      <c r="H12" s="576"/>
      <c r="I12" s="576"/>
      <c r="J12" s="576"/>
      <c r="K12" s="576"/>
      <c r="L12" s="576"/>
      <c r="M12" s="576"/>
      <c r="N12" s="576"/>
      <c r="O12" s="576"/>
      <c r="P12" s="576"/>
      <c r="Q12" s="576"/>
      <c r="R12" s="576"/>
      <c r="S12" s="576"/>
      <c r="T12" s="576"/>
    </row>
    <row r="13" spans="1:23" x14ac:dyDescent="0.3">
      <c r="B13" s="331" t="s">
        <v>10</v>
      </c>
      <c r="C13" s="231"/>
      <c r="D13" s="114"/>
      <c r="E13" s="330" t="s">
        <v>155</v>
      </c>
      <c r="G13" s="576"/>
      <c r="H13" s="576"/>
      <c r="I13" s="576"/>
      <c r="J13" s="576"/>
      <c r="K13" s="576"/>
      <c r="L13" s="576"/>
      <c r="M13" s="576"/>
      <c r="N13" s="576"/>
      <c r="O13" s="576"/>
      <c r="P13" s="576"/>
      <c r="Q13" s="576"/>
      <c r="R13" s="576"/>
      <c r="S13" s="576"/>
      <c r="T13" s="576"/>
    </row>
    <row r="14" spans="1:23" ht="13.5" thickBot="1" x14ac:dyDescent="0.35">
      <c r="B14" s="332" t="s">
        <v>11</v>
      </c>
      <c r="C14" s="333"/>
      <c r="D14" s="334"/>
      <c r="E14" s="335" t="s">
        <v>132</v>
      </c>
      <c r="G14" s="576"/>
      <c r="H14" s="576"/>
      <c r="I14" s="576"/>
      <c r="J14" s="576"/>
      <c r="K14" s="576"/>
      <c r="L14" s="576"/>
      <c r="M14" s="576"/>
      <c r="N14" s="576"/>
      <c r="O14" s="576"/>
      <c r="P14" s="576"/>
      <c r="Q14" s="576"/>
      <c r="R14" s="576"/>
      <c r="S14" s="576"/>
      <c r="T14" s="576"/>
    </row>
    <row r="15" spans="1:23" ht="33.75" customHeight="1" x14ac:dyDescent="0.3">
      <c r="B15" s="438"/>
      <c r="C15" s="231"/>
      <c r="D15" s="114"/>
      <c r="E15" s="158"/>
      <c r="G15" s="576"/>
      <c r="H15" s="576"/>
      <c r="I15" s="576"/>
      <c r="J15" s="576"/>
      <c r="K15" s="576"/>
      <c r="L15" s="576"/>
      <c r="M15" s="576"/>
      <c r="N15" s="576"/>
      <c r="O15" s="576"/>
      <c r="P15" s="576"/>
      <c r="Q15" s="576"/>
      <c r="R15" s="576"/>
      <c r="S15" s="576"/>
      <c r="T15" s="57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4</v>
      </c>
      <c r="D18" s="161">
        <v>0.28999999999999998</v>
      </c>
      <c r="E18" s="162">
        <f>D18*C18</f>
        <v>1.1599999999999999</v>
      </c>
      <c r="G18" s="219"/>
      <c r="H18" s="220" t="s">
        <v>18</v>
      </c>
      <c r="I18" s="221">
        <f>D37</f>
        <v>-498366.68783960841</v>
      </c>
      <c r="J18" s="222"/>
      <c r="K18" s="220" t="s">
        <v>220</v>
      </c>
      <c r="L18" s="223">
        <f>SUM(F34:J34)</f>
        <v>425000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4184916.9184445492</v>
      </c>
      <c r="J19" s="127"/>
      <c r="K19" s="125" t="s">
        <v>223</v>
      </c>
      <c r="L19" s="225">
        <f>SUM(F36:J36)</f>
        <v>60000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9.3972645454814181</v>
      </c>
      <c r="J20" s="127"/>
      <c r="K20" s="125" t="s">
        <v>225</v>
      </c>
      <c r="L20" s="225">
        <f>NPV($D$33,F39:T39)</f>
        <v>4683283.6062841592</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6.6607495824895722</v>
      </c>
      <c r="J21" s="226"/>
      <c r="K21" s="436" t="s">
        <v>228</v>
      </c>
      <c r="L21" s="439">
        <f>NPV($D$33,F39:J39)</f>
        <v>2811010.8141875281</v>
      </c>
      <c r="N21" s="570" t="s">
        <v>229</v>
      </c>
      <c r="O21" s="570"/>
      <c r="P21" s="570"/>
      <c r="Q21" s="570"/>
      <c r="R21" s="570"/>
      <c r="S21" s="164"/>
      <c r="T21" s="165"/>
    </row>
    <row r="22" spans="2:20" ht="13.5" customHeight="1" x14ac:dyDescent="0.3">
      <c r="B22" s="160" t="s">
        <v>230</v>
      </c>
      <c r="C22" s="182">
        <v>2</v>
      </c>
      <c r="D22" s="161">
        <v>0.17</v>
      </c>
      <c r="E22" s="162">
        <f>D22*C22</f>
        <v>0.34</v>
      </c>
      <c r="L22" s="218"/>
    </row>
    <row r="23" spans="2:20" ht="13.5" customHeight="1" x14ac:dyDescent="0.3">
      <c r="B23" s="117" t="s">
        <v>229</v>
      </c>
      <c r="C23" s="117"/>
      <c r="D23" s="164">
        <f>SUM(D18:D22)</f>
        <v>0.99999999999999989</v>
      </c>
      <c r="E23" s="165">
        <f>SUM(E18:E22)</f>
        <v>2.94</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28"/>
      <c r="O28" s="228"/>
      <c r="P28" s="228"/>
      <c r="Q28" s="228"/>
      <c r="R28" s="228"/>
      <c r="S28" s="228"/>
      <c r="T28" s="229"/>
    </row>
    <row r="29" spans="2:20" ht="13.5" thickBot="1" x14ac:dyDescent="0.35">
      <c r="B29" s="120"/>
      <c r="C29" s="232"/>
      <c r="D29" s="121"/>
      <c r="E29" s="121"/>
      <c r="F29" s="291">
        <v>0.9</v>
      </c>
      <c r="G29" s="291">
        <v>0.1</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382500</v>
      </c>
      <c r="G34" s="140">
        <f t="shared" si="0"/>
        <v>42500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573750</v>
      </c>
      <c r="G35" s="140">
        <f>G34*(1+'Inputs and assumptions'!$C$7)</f>
        <v>63750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15000</v>
      </c>
      <c r="H36" s="142">
        <f t="shared" si="1"/>
        <v>15000</v>
      </c>
      <c r="I36" s="142">
        <f t="shared" si="1"/>
        <v>15000</v>
      </c>
      <c r="J36" s="142">
        <f t="shared" si="1"/>
        <v>15000</v>
      </c>
      <c r="K36" s="142">
        <f t="shared" si="1"/>
        <v>15000</v>
      </c>
      <c r="L36" s="142">
        <f t="shared" si="1"/>
        <v>15000</v>
      </c>
      <c r="M36" s="142">
        <f t="shared" si="1"/>
        <v>15000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-498366.68783960841</v>
      </c>
      <c r="E37" s="248"/>
      <c r="F37" s="144">
        <f t="shared" ref="F37:T37" si="2">-F34-F36</f>
        <v>-382500</v>
      </c>
      <c r="G37" s="144">
        <f t="shared" si="2"/>
        <v>-57500</v>
      </c>
      <c r="H37" s="144">
        <f t="shared" si="2"/>
        <v>-15000</v>
      </c>
      <c r="I37" s="144">
        <f t="shared" si="2"/>
        <v>-15000</v>
      </c>
      <c r="J37" s="144">
        <f t="shared" si="2"/>
        <v>-15000</v>
      </c>
      <c r="K37" s="144">
        <f t="shared" si="2"/>
        <v>-15000</v>
      </c>
      <c r="L37" s="144">
        <f t="shared" si="2"/>
        <v>-15000</v>
      </c>
      <c r="M37" s="144">
        <f t="shared" si="2"/>
        <v>-15000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573750</v>
      </c>
      <c r="G38" s="142">
        <f t="shared" ref="G38:T38" si="3">G35+G36</f>
        <v>78750</v>
      </c>
      <c r="H38" s="142">
        <f t="shared" si="3"/>
        <v>15000</v>
      </c>
      <c r="I38" s="142">
        <f t="shared" si="3"/>
        <v>15000</v>
      </c>
      <c r="J38" s="142">
        <f t="shared" si="3"/>
        <v>15000</v>
      </c>
      <c r="K38" s="142">
        <f t="shared" si="3"/>
        <v>15000</v>
      </c>
      <c r="L38" s="142">
        <f t="shared" si="3"/>
        <v>15000</v>
      </c>
      <c r="M38" s="142">
        <f t="shared" si="3"/>
        <v>15000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790500</v>
      </c>
      <c r="H39" s="140">
        <f t="shared" si="4"/>
        <v>790500</v>
      </c>
      <c r="I39" s="140">
        <f t="shared" si="4"/>
        <v>790500</v>
      </c>
      <c r="J39" s="140">
        <f t="shared" si="4"/>
        <v>790500</v>
      </c>
      <c r="K39" s="140">
        <f t="shared" si="4"/>
        <v>790500</v>
      </c>
      <c r="L39" s="140">
        <f t="shared" si="4"/>
        <v>790500</v>
      </c>
      <c r="M39" s="140">
        <f t="shared" si="4"/>
        <v>790500</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4184916.9184445492</v>
      </c>
      <c r="E40" s="112"/>
      <c r="F40" s="140">
        <f t="shared" ref="F40:T40" si="5">F39+F37</f>
        <v>-382500</v>
      </c>
      <c r="G40" s="140">
        <f t="shared" si="5"/>
        <v>733000</v>
      </c>
      <c r="H40" s="140">
        <f t="shared" si="5"/>
        <v>775500</v>
      </c>
      <c r="I40" s="140">
        <f t="shared" si="5"/>
        <v>775500</v>
      </c>
      <c r="J40" s="140">
        <f t="shared" si="5"/>
        <v>775500</v>
      </c>
      <c r="K40" s="140">
        <f t="shared" si="5"/>
        <v>775500</v>
      </c>
      <c r="L40" s="140">
        <f t="shared" si="5"/>
        <v>775500</v>
      </c>
      <c r="M40" s="140">
        <f t="shared" si="5"/>
        <v>775500</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8">
        <f>C74*'Inputs and assumptions'!D17</f>
        <v>0</v>
      </c>
      <c r="E74" s="393"/>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193" t="s">
        <v>52</v>
      </c>
      <c r="C75" s="240"/>
      <c r="D75" s="388">
        <f>C75*'Inputs and assumptions'!D18</f>
        <v>0</v>
      </c>
      <c r="E75" s="393"/>
      <c r="F75" s="175">
        <v>0</v>
      </c>
      <c r="G75" s="175">
        <v>0</v>
      </c>
      <c r="H75" s="175">
        <v>0</v>
      </c>
      <c r="I75" s="175">
        <v>0</v>
      </c>
      <c r="J75" s="175">
        <v>0</v>
      </c>
      <c r="K75" s="175">
        <v>0</v>
      </c>
      <c r="L75" s="175">
        <v>0</v>
      </c>
      <c r="M75" s="175">
        <v>0</v>
      </c>
      <c r="N75" s="175">
        <v>0</v>
      </c>
      <c r="O75" s="175">
        <v>0</v>
      </c>
      <c r="P75" s="175">
        <v>0</v>
      </c>
      <c r="Q75" s="175">
        <v>0</v>
      </c>
      <c r="R75" s="175">
        <v>0</v>
      </c>
      <c r="S75" s="175">
        <v>0</v>
      </c>
      <c r="T75" s="395">
        <v>0</v>
      </c>
    </row>
    <row r="76" spans="2:20" x14ac:dyDescent="0.3">
      <c r="B76" s="193" t="s">
        <v>53</v>
      </c>
      <c r="C76" s="240"/>
      <c r="D76" s="388">
        <f>C76*'Inputs and assumptions'!D19</f>
        <v>0</v>
      </c>
      <c r="E76" s="393"/>
      <c r="F76" s="175">
        <v>0</v>
      </c>
      <c r="G76" s="175">
        <v>0</v>
      </c>
      <c r="H76" s="175">
        <v>0</v>
      </c>
      <c r="I76" s="175">
        <v>0</v>
      </c>
      <c r="J76" s="175">
        <v>0</v>
      </c>
      <c r="K76" s="175">
        <v>0</v>
      </c>
      <c r="L76" s="175">
        <v>0</v>
      </c>
      <c r="M76" s="175">
        <v>0</v>
      </c>
      <c r="N76" s="175">
        <v>0</v>
      </c>
      <c r="O76" s="175">
        <v>0</v>
      </c>
      <c r="P76" s="175">
        <v>0</v>
      </c>
      <c r="Q76" s="175">
        <v>0</v>
      </c>
      <c r="R76" s="175">
        <v>0</v>
      </c>
      <c r="S76" s="175">
        <v>0</v>
      </c>
      <c r="T76" s="395">
        <v>0</v>
      </c>
    </row>
    <row r="77" spans="2:20" x14ac:dyDescent="0.3">
      <c r="B77" s="193" t="s">
        <v>54</v>
      </c>
      <c r="C77" s="240"/>
      <c r="D77" s="388">
        <f>C77*'Inputs and assumptions'!D20</f>
        <v>0</v>
      </c>
      <c r="E77" s="393"/>
      <c r="F77" s="175">
        <v>0</v>
      </c>
      <c r="G77" s="175">
        <v>0</v>
      </c>
      <c r="H77" s="175">
        <v>0</v>
      </c>
      <c r="I77" s="175">
        <v>0</v>
      </c>
      <c r="J77" s="175">
        <v>0</v>
      </c>
      <c r="K77" s="175">
        <v>0</v>
      </c>
      <c r="L77" s="175">
        <v>0</v>
      </c>
      <c r="M77" s="175">
        <v>0</v>
      </c>
      <c r="N77" s="175">
        <v>0</v>
      </c>
      <c r="O77" s="175">
        <v>0</v>
      </c>
      <c r="P77" s="175">
        <v>0</v>
      </c>
      <c r="Q77" s="175">
        <v>0</v>
      </c>
      <c r="R77" s="175">
        <v>0</v>
      </c>
      <c r="S77" s="175">
        <v>0</v>
      </c>
      <c r="T77" s="395">
        <v>0</v>
      </c>
    </row>
    <row r="78" spans="2:20" x14ac:dyDescent="0.3">
      <c r="B78" s="193"/>
      <c r="E78" s="393"/>
      <c r="F78" s="215"/>
      <c r="G78" s="215"/>
      <c r="H78" s="215"/>
      <c r="I78" s="215"/>
      <c r="J78" s="215"/>
      <c r="K78" s="215"/>
      <c r="L78" s="215"/>
      <c r="M78" s="215"/>
      <c r="N78" s="215"/>
      <c r="O78" s="215"/>
      <c r="P78" s="215"/>
      <c r="Q78" s="215"/>
      <c r="R78" s="215"/>
      <c r="S78" s="215"/>
      <c r="T78" s="394"/>
    </row>
    <row r="79" spans="2:20" x14ac:dyDescent="0.3">
      <c r="B79" s="191" t="s">
        <v>55</v>
      </c>
      <c r="C79" s="239" t="s">
        <v>236</v>
      </c>
      <c r="D79" s="386"/>
      <c r="E79" s="393"/>
      <c r="F79" s="215"/>
      <c r="G79" s="215"/>
      <c r="H79" s="215"/>
      <c r="I79" s="215"/>
      <c r="J79" s="215"/>
      <c r="K79" s="215"/>
      <c r="L79" s="215"/>
      <c r="M79" s="215"/>
      <c r="N79" s="215"/>
      <c r="O79" s="215"/>
      <c r="P79" s="215"/>
      <c r="Q79" s="215"/>
      <c r="R79" s="215"/>
      <c r="S79" s="215"/>
      <c r="T79" s="394"/>
    </row>
    <row r="80" spans="2:20" x14ac:dyDescent="0.3">
      <c r="B80" s="193" t="s">
        <v>56</v>
      </c>
      <c r="C80" s="240"/>
      <c r="D80" s="388">
        <f>C80*'Inputs and assumptions'!D23</f>
        <v>0</v>
      </c>
      <c r="E80" s="393"/>
      <c r="F80" s="175">
        <v>0</v>
      </c>
      <c r="G80" s="175">
        <v>0</v>
      </c>
      <c r="H80" s="175">
        <v>0</v>
      </c>
      <c r="I80" s="175">
        <v>0</v>
      </c>
      <c r="J80" s="175">
        <v>0</v>
      </c>
      <c r="K80" s="175">
        <v>0</v>
      </c>
      <c r="L80" s="175">
        <v>0</v>
      </c>
      <c r="M80" s="175">
        <v>0</v>
      </c>
      <c r="N80" s="175">
        <v>0</v>
      </c>
      <c r="O80" s="175">
        <v>0</v>
      </c>
      <c r="P80" s="175">
        <v>0</v>
      </c>
      <c r="Q80" s="175">
        <v>0</v>
      </c>
      <c r="R80" s="175">
        <v>0</v>
      </c>
      <c r="S80" s="175">
        <v>0</v>
      </c>
      <c r="T80" s="395">
        <v>0</v>
      </c>
    </row>
    <row r="81" spans="2:20" x14ac:dyDescent="0.3">
      <c r="B81" s="193" t="s">
        <v>57</v>
      </c>
      <c r="C81" s="240"/>
      <c r="D81" s="388">
        <f>C81*'Inputs and assumptions'!D24</f>
        <v>0</v>
      </c>
      <c r="E81" s="393"/>
      <c r="F81" s="175">
        <v>0</v>
      </c>
      <c r="G81" s="175">
        <v>0</v>
      </c>
      <c r="H81" s="175">
        <v>0</v>
      </c>
      <c r="I81" s="175">
        <v>0</v>
      </c>
      <c r="J81" s="175">
        <v>0</v>
      </c>
      <c r="K81" s="175">
        <v>0</v>
      </c>
      <c r="L81" s="175">
        <v>0</v>
      </c>
      <c r="M81" s="175">
        <v>0</v>
      </c>
      <c r="N81" s="175">
        <v>0</v>
      </c>
      <c r="O81" s="175">
        <v>0</v>
      </c>
      <c r="P81" s="175">
        <v>0</v>
      </c>
      <c r="Q81" s="175">
        <v>0</v>
      </c>
      <c r="R81" s="175">
        <v>0</v>
      </c>
      <c r="S81" s="175">
        <v>0</v>
      </c>
      <c r="T81" s="395">
        <v>0</v>
      </c>
    </row>
    <row r="82" spans="2:20" x14ac:dyDescent="0.3">
      <c r="B82" s="193" t="s">
        <v>58</v>
      </c>
      <c r="C82" s="240"/>
      <c r="D82" s="388">
        <f>C82*'Inputs and assumptions'!D25</f>
        <v>0</v>
      </c>
      <c r="E82" s="393"/>
      <c r="F82" s="175">
        <v>0</v>
      </c>
      <c r="G82" s="175">
        <v>0</v>
      </c>
      <c r="H82" s="175">
        <v>0</v>
      </c>
      <c r="I82" s="175">
        <v>0</v>
      </c>
      <c r="J82" s="175">
        <v>0</v>
      </c>
      <c r="K82" s="175">
        <v>0</v>
      </c>
      <c r="L82" s="175">
        <v>0</v>
      </c>
      <c r="M82" s="175">
        <v>0</v>
      </c>
      <c r="N82" s="175">
        <v>0</v>
      </c>
      <c r="O82" s="175">
        <v>0</v>
      </c>
      <c r="P82" s="175">
        <v>0</v>
      </c>
      <c r="Q82" s="175">
        <v>0</v>
      </c>
      <c r="R82" s="175">
        <v>0</v>
      </c>
      <c r="S82" s="175">
        <v>0</v>
      </c>
      <c r="T82" s="395">
        <v>0</v>
      </c>
    </row>
    <row r="83" spans="2:20" x14ac:dyDescent="0.3">
      <c r="B83" s="193" t="s">
        <v>59</v>
      </c>
      <c r="C83" s="240"/>
      <c r="D83" s="388">
        <f>C83*'Inputs and assumptions'!D26</f>
        <v>0</v>
      </c>
      <c r="E83" s="393"/>
      <c r="F83" s="175">
        <v>0</v>
      </c>
      <c r="G83" s="175">
        <v>0</v>
      </c>
      <c r="H83" s="175">
        <v>0</v>
      </c>
      <c r="I83" s="175">
        <v>0</v>
      </c>
      <c r="J83" s="175">
        <v>0</v>
      </c>
      <c r="K83" s="175">
        <v>0</v>
      </c>
      <c r="L83" s="175">
        <v>0</v>
      </c>
      <c r="M83" s="175">
        <v>0</v>
      </c>
      <c r="N83" s="175">
        <v>0</v>
      </c>
      <c r="O83" s="175">
        <v>0</v>
      </c>
      <c r="P83" s="175">
        <v>0</v>
      </c>
      <c r="Q83" s="175">
        <v>0</v>
      </c>
      <c r="R83" s="175">
        <v>0</v>
      </c>
      <c r="S83" s="175">
        <v>0</v>
      </c>
      <c r="T83" s="395">
        <v>0</v>
      </c>
    </row>
    <row r="84" spans="2:20" x14ac:dyDescent="0.3">
      <c r="B84" s="193" t="s">
        <v>60</v>
      </c>
      <c r="C84" s="240"/>
      <c r="D84" s="388">
        <f>C84*'Inputs and assumptions'!D27</f>
        <v>0</v>
      </c>
      <c r="E84" s="393"/>
      <c r="F84" s="175">
        <v>0</v>
      </c>
      <c r="G84" s="175">
        <v>0</v>
      </c>
      <c r="H84" s="175">
        <v>0</v>
      </c>
      <c r="I84" s="175">
        <v>0</v>
      </c>
      <c r="J84" s="175">
        <v>0</v>
      </c>
      <c r="K84" s="175">
        <v>0</v>
      </c>
      <c r="L84" s="175">
        <v>0</v>
      </c>
      <c r="M84" s="175">
        <v>0</v>
      </c>
      <c r="N84" s="175">
        <v>0</v>
      </c>
      <c r="O84" s="175">
        <v>0</v>
      </c>
      <c r="P84" s="175">
        <v>0</v>
      </c>
      <c r="Q84" s="175">
        <v>0</v>
      </c>
      <c r="R84" s="175">
        <v>0</v>
      </c>
      <c r="S84" s="175">
        <v>0</v>
      </c>
      <c r="T84" s="395">
        <v>0</v>
      </c>
    </row>
    <row r="85" spans="2:20" x14ac:dyDescent="0.3">
      <c r="B85" s="193" t="s">
        <v>61</v>
      </c>
      <c r="C85" s="240"/>
      <c r="D85" s="388">
        <f>C85*'Inputs and assumptions'!D28</f>
        <v>0</v>
      </c>
      <c r="E85" s="393"/>
      <c r="F85" s="175">
        <v>0</v>
      </c>
      <c r="G85" s="175">
        <v>0</v>
      </c>
      <c r="H85" s="175">
        <v>0</v>
      </c>
      <c r="I85" s="175">
        <v>0</v>
      </c>
      <c r="J85" s="175">
        <v>0</v>
      </c>
      <c r="K85" s="175">
        <v>0</v>
      </c>
      <c r="L85" s="175">
        <v>0</v>
      </c>
      <c r="M85" s="175">
        <v>0</v>
      </c>
      <c r="N85" s="175">
        <v>0</v>
      </c>
      <c r="O85" s="175">
        <v>0</v>
      </c>
      <c r="P85" s="175">
        <v>0</v>
      </c>
      <c r="Q85" s="175">
        <v>0</v>
      </c>
      <c r="R85" s="175">
        <v>0</v>
      </c>
      <c r="S85" s="175">
        <v>0</v>
      </c>
      <c r="T85" s="395">
        <v>0</v>
      </c>
    </row>
    <row r="86" spans="2:20" x14ac:dyDescent="0.3">
      <c r="B86" s="193"/>
      <c r="E86" s="393"/>
      <c r="F86" s="215"/>
      <c r="G86" s="215"/>
      <c r="H86" s="215"/>
      <c r="I86" s="215"/>
      <c r="J86" s="215"/>
      <c r="K86" s="215"/>
      <c r="L86" s="215"/>
      <c r="M86" s="215"/>
      <c r="N86" s="215"/>
      <c r="O86" s="215"/>
      <c r="P86" s="215"/>
      <c r="Q86" s="215"/>
      <c r="R86" s="215"/>
      <c r="S86" s="215"/>
      <c r="T86" s="394"/>
    </row>
    <row r="87" spans="2:20" x14ac:dyDescent="0.3">
      <c r="B87" s="191" t="s">
        <v>62</v>
      </c>
      <c r="C87" s="239" t="s">
        <v>236</v>
      </c>
      <c r="D87" s="386"/>
      <c r="E87" s="393"/>
      <c r="F87" s="215"/>
      <c r="G87" s="215"/>
      <c r="H87" s="215"/>
      <c r="I87" s="215"/>
      <c r="J87" s="215"/>
      <c r="K87" s="215"/>
      <c r="L87" s="215"/>
      <c r="M87" s="215"/>
      <c r="N87" s="215"/>
      <c r="O87" s="215"/>
      <c r="P87" s="215"/>
      <c r="Q87" s="215"/>
      <c r="R87" s="215"/>
      <c r="S87" s="215"/>
      <c r="T87" s="394"/>
    </row>
    <row r="88" spans="2:20" x14ac:dyDescent="0.3">
      <c r="B88" s="193" t="s">
        <v>63</v>
      </c>
      <c r="C88" s="240"/>
      <c r="D88" s="388">
        <f>C88*'Inputs and assumptions'!D31</f>
        <v>0</v>
      </c>
      <c r="E88" s="393"/>
      <c r="F88" s="175">
        <v>0</v>
      </c>
      <c r="G88" s="175">
        <v>0</v>
      </c>
      <c r="H88" s="175">
        <v>0</v>
      </c>
      <c r="I88" s="175">
        <v>0</v>
      </c>
      <c r="J88" s="175">
        <v>0</v>
      </c>
      <c r="K88" s="175">
        <v>0</v>
      </c>
      <c r="L88" s="175">
        <v>0</v>
      </c>
      <c r="M88" s="175">
        <v>0</v>
      </c>
      <c r="N88" s="175">
        <v>0</v>
      </c>
      <c r="O88" s="175">
        <v>0</v>
      </c>
      <c r="P88" s="175">
        <v>0</v>
      </c>
      <c r="Q88" s="175">
        <v>0</v>
      </c>
      <c r="R88" s="175">
        <v>0</v>
      </c>
      <c r="S88" s="175">
        <v>0</v>
      </c>
      <c r="T88" s="395">
        <v>0</v>
      </c>
    </row>
    <row r="89" spans="2:20" x14ac:dyDescent="0.3">
      <c r="B89" s="193" t="s">
        <v>64</v>
      </c>
      <c r="C89" s="240"/>
      <c r="D89" s="388">
        <f>C89*'Inputs and assumptions'!D32</f>
        <v>0</v>
      </c>
      <c r="E89" s="393"/>
      <c r="F89" s="175">
        <v>0</v>
      </c>
      <c r="G89" s="175">
        <v>0</v>
      </c>
      <c r="H89" s="175">
        <v>0</v>
      </c>
      <c r="I89" s="175">
        <v>0</v>
      </c>
      <c r="J89" s="175">
        <v>0</v>
      </c>
      <c r="K89" s="175">
        <v>0</v>
      </c>
      <c r="L89" s="175">
        <v>0</v>
      </c>
      <c r="M89" s="175">
        <v>0</v>
      </c>
      <c r="N89" s="175">
        <v>0</v>
      </c>
      <c r="O89" s="175">
        <v>0</v>
      </c>
      <c r="P89" s="175">
        <v>0</v>
      </c>
      <c r="Q89" s="175">
        <v>0</v>
      </c>
      <c r="R89" s="175">
        <v>0</v>
      </c>
      <c r="S89" s="175">
        <v>0</v>
      </c>
      <c r="T89" s="395">
        <v>0</v>
      </c>
    </row>
    <row r="90" spans="2:20" x14ac:dyDescent="0.3">
      <c r="B90" s="193"/>
      <c r="E90" s="393"/>
      <c r="F90" s="215"/>
      <c r="G90" s="215"/>
      <c r="H90" s="215"/>
      <c r="I90" s="215"/>
      <c r="J90" s="215"/>
      <c r="K90" s="215"/>
      <c r="L90" s="215"/>
      <c r="M90" s="215"/>
      <c r="N90" s="215"/>
      <c r="O90" s="215"/>
      <c r="P90" s="215"/>
      <c r="Q90" s="215"/>
      <c r="R90" s="215"/>
      <c r="S90" s="215"/>
      <c r="T90" s="394"/>
    </row>
    <row r="91" spans="2:20" x14ac:dyDescent="0.3">
      <c r="B91" s="191" t="s">
        <v>65</v>
      </c>
      <c r="C91" s="239" t="s">
        <v>236</v>
      </c>
      <c r="D91" s="386"/>
      <c r="E91" s="393"/>
      <c r="F91" s="215"/>
      <c r="G91" s="215"/>
      <c r="H91" s="215"/>
      <c r="I91" s="215"/>
      <c r="J91" s="215"/>
      <c r="K91" s="215"/>
      <c r="L91" s="215"/>
      <c r="M91" s="215"/>
      <c r="N91" s="215"/>
      <c r="O91" s="215"/>
      <c r="P91" s="215"/>
      <c r="Q91" s="215"/>
      <c r="R91" s="215"/>
      <c r="S91" s="215"/>
      <c r="T91" s="394"/>
    </row>
    <row r="92" spans="2:20" x14ac:dyDescent="0.3">
      <c r="B92" s="193" t="s">
        <v>66</v>
      </c>
      <c r="C92" s="240"/>
      <c r="D92" s="387">
        <f>C92*'Inputs and assumptions'!D35</f>
        <v>0</v>
      </c>
      <c r="E92" s="393"/>
      <c r="F92" s="175">
        <v>0</v>
      </c>
      <c r="G92" s="175">
        <v>0</v>
      </c>
      <c r="H92" s="175">
        <v>0</v>
      </c>
      <c r="I92" s="175">
        <v>0</v>
      </c>
      <c r="J92" s="175">
        <v>0</v>
      </c>
      <c r="K92" s="175">
        <v>0</v>
      </c>
      <c r="L92" s="175">
        <v>0</v>
      </c>
      <c r="M92" s="175">
        <v>0</v>
      </c>
      <c r="N92" s="175">
        <v>0</v>
      </c>
      <c r="O92" s="175">
        <v>0</v>
      </c>
      <c r="P92" s="175">
        <v>0</v>
      </c>
      <c r="Q92" s="175">
        <v>0</v>
      </c>
      <c r="R92" s="175">
        <v>0</v>
      </c>
      <c r="S92" s="175">
        <v>0</v>
      </c>
      <c r="T92" s="395">
        <v>0</v>
      </c>
    </row>
    <row r="93" spans="2:20" x14ac:dyDescent="0.3">
      <c r="B93" s="193" t="s">
        <v>67</v>
      </c>
      <c r="C93" s="240"/>
      <c r="D93" s="387">
        <f>C93*'Inputs and assumptions'!D36</f>
        <v>0</v>
      </c>
      <c r="E93" s="393"/>
      <c r="F93" s="175">
        <v>0</v>
      </c>
      <c r="G93" s="175">
        <v>0</v>
      </c>
      <c r="H93" s="175">
        <v>0</v>
      </c>
      <c r="I93" s="175">
        <v>0</v>
      </c>
      <c r="J93" s="175">
        <v>0</v>
      </c>
      <c r="K93" s="175">
        <v>0</v>
      </c>
      <c r="L93" s="175">
        <v>0</v>
      </c>
      <c r="M93" s="175">
        <v>0</v>
      </c>
      <c r="N93" s="175">
        <v>0</v>
      </c>
      <c r="O93" s="175">
        <v>0</v>
      </c>
      <c r="P93" s="175">
        <v>0</v>
      </c>
      <c r="Q93" s="175">
        <v>0</v>
      </c>
      <c r="R93" s="175">
        <v>0</v>
      </c>
      <c r="S93" s="175">
        <v>0</v>
      </c>
      <c r="T93" s="395">
        <v>0</v>
      </c>
    </row>
    <row r="94" spans="2:20" x14ac:dyDescent="0.3">
      <c r="B94" s="193" t="s">
        <v>68</v>
      </c>
      <c r="C94" s="240">
        <v>0.01</v>
      </c>
      <c r="D94" s="387">
        <f>C94*'Inputs and assumptions'!D37</f>
        <v>414000</v>
      </c>
      <c r="E94" s="393"/>
      <c r="F94" s="294">
        <f>$D94*F$28</f>
        <v>0</v>
      </c>
      <c r="G94" s="294">
        <f t="shared" ref="G94:T97" si="6">$D94*G$28</f>
        <v>414000</v>
      </c>
      <c r="H94" s="294">
        <f t="shared" si="6"/>
        <v>414000</v>
      </c>
      <c r="I94" s="294">
        <f t="shared" si="6"/>
        <v>414000</v>
      </c>
      <c r="J94" s="294">
        <f t="shared" si="6"/>
        <v>414000</v>
      </c>
      <c r="K94" s="294">
        <f t="shared" si="6"/>
        <v>414000</v>
      </c>
      <c r="L94" s="294">
        <f t="shared" si="6"/>
        <v>414000</v>
      </c>
      <c r="M94" s="294">
        <f t="shared" si="6"/>
        <v>414000</v>
      </c>
      <c r="N94" s="294">
        <f t="shared" si="6"/>
        <v>0</v>
      </c>
      <c r="O94" s="294">
        <f t="shared" si="6"/>
        <v>0</v>
      </c>
      <c r="P94" s="294">
        <f t="shared" si="6"/>
        <v>0</v>
      </c>
      <c r="Q94" s="294">
        <f t="shared" si="6"/>
        <v>0</v>
      </c>
      <c r="R94" s="294">
        <f t="shared" si="6"/>
        <v>0</v>
      </c>
      <c r="S94" s="294">
        <f t="shared" si="6"/>
        <v>0</v>
      </c>
      <c r="T94" s="399">
        <f t="shared" si="6"/>
        <v>0</v>
      </c>
    </row>
    <row r="95" spans="2:20" x14ac:dyDescent="0.3">
      <c r="B95" s="193" t="s">
        <v>69</v>
      </c>
      <c r="C95" s="240"/>
      <c r="D95" s="387">
        <f>C95*'Inputs and assumptions'!D38</f>
        <v>0</v>
      </c>
      <c r="E95" s="393"/>
      <c r="F95" s="294">
        <f t="shared" ref="F95:F97" si="7">$D95*F$28</f>
        <v>0</v>
      </c>
      <c r="G95" s="294">
        <f t="shared" si="6"/>
        <v>0</v>
      </c>
      <c r="H95" s="294">
        <f t="shared" si="6"/>
        <v>0</v>
      </c>
      <c r="I95" s="294">
        <f t="shared" si="6"/>
        <v>0</v>
      </c>
      <c r="J95" s="294">
        <f t="shared" si="6"/>
        <v>0</v>
      </c>
      <c r="K95" s="294">
        <f t="shared" si="6"/>
        <v>0</v>
      </c>
      <c r="L95" s="294">
        <f t="shared" si="6"/>
        <v>0</v>
      </c>
      <c r="M95" s="294">
        <f t="shared" si="6"/>
        <v>0</v>
      </c>
      <c r="N95" s="294">
        <f t="shared" si="6"/>
        <v>0</v>
      </c>
      <c r="O95" s="294">
        <f t="shared" si="6"/>
        <v>0</v>
      </c>
      <c r="P95" s="294">
        <f t="shared" si="6"/>
        <v>0</v>
      </c>
      <c r="Q95" s="294">
        <f t="shared" si="6"/>
        <v>0</v>
      </c>
      <c r="R95" s="294">
        <f t="shared" si="6"/>
        <v>0</v>
      </c>
      <c r="S95" s="294">
        <f t="shared" si="6"/>
        <v>0</v>
      </c>
      <c r="T95" s="399">
        <f t="shared" si="6"/>
        <v>0</v>
      </c>
    </row>
    <row r="96" spans="2:20" x14ac:dyDescent="0.3">
      <c r="B96" s="193" t="s">
        <v>70</v>
      </c>
      <c r="C96" s="240">
        <v>2.0000000000000001E-4</v>
      </c>
      <c r="D96" s="387">
        <f>C96*'Inputs and assumptions'!D39</f>
        <v>300000</v>
      </c>
      <c r="E96" s="393"/>
      <c r="F96" s="294">
        <f t="shared" si="7"/>
        <v>0</v>
      </c>
      <c r="G96" s="294">
        <f t="shared" si="6"/>
        <v>300000</v>
      </c>
      <c r="H96" s="294">
        <f t="shared" si="6"/>
        <v>300000</v>
      </c>
      <c r="I96" s="294">
        <f t="shared" si="6"/>
        <v>300000</v>
      </c>
      <c r="J96" s="294">
        <f t="shared" si="6"/>
        <v>300000</v>
      </c>
      <c r="K96" s="294">
        <f t="shared" si="6"/>
        <v>300000</v>
      </c>
      <c r="L96" s="294">
        <f t="shared" si="6"/>
        <v>300000</v>
      </c>
      <c r="M96" s="294">
        <f t="shared" si="6"/>
        <v>300000</v>
      </c>
      <c r="N96" s="294">
        <f t="shared" si="6"/>
        <v>0</v>
      </c>
      <c r="O96" s="294">
        <f t="shared" si="6"/>
        <v>0</v>
      </c>
      <c r="P96" s="294">
        <f t="shared" si="6"/>
        <v>0</v>
      </c>
      <c r="Q96" s="294">
        <f t="shared" si="6"/>
        <v>0</v>
      </c>
      <c r="R96" s="294">
        <f t="shared" si="6"/>
        <v>0</v>
      </c>
      <c r="S96" s="294">
        <f t="shared" si="6"/>
        <v>0</v>
      </c>
      <c r="T96" s="399">
        <f t="shared" si="6"/>
        <v>0</v>
      </c>
    </row>
    <row r="97" spans="2:20" x14ac:dyDescent="0.3">
      <c r="B97" s="193" t="s">
        <v>71</v>
      </c>
      <c r="C97" s="240">
        <v>1E-3</v>
      </c>
      <c r="D97" s="387">
        <f>C97*'Inputs and assumptions'!D40</f>
        <v>76500</v>
      </c>
      <c r="E97" s="393"/>
      <c r="F97" s="294">
        <f t="shared" si="7"/>
        <v>0</v>
      </c>
      <c r="G97" s="294">
        <f t="shared" si="6"/>
        <v>76500</v>
      </c>
      <c r="H97" s="294">
        <f t="shared" si="6"/>
        <v>76500</v>
      </c>
      <c r="I97" s="294">
        <f t="shared" si="6"/>
        <v>76500</v>
      </c>
      <c r="J97" s="294">
        <f t="shared" si="6"/>
        <v>76500</v>
      </c>
      <c r="K97" s="294">
        <f t="shared" si="6"/>
        <v>76500</v>
      </c>
      <c r="L97" s="294">
        <f t="shared" si="6"/>
        <v>76500</v>
      </c>
      <c r="M97" s="294">
        <f t="shared" si="6"/>
        <v>76500</v>
      </c>
      <c r="N97" s="294">
        <f t="shared" si="6"/>
        <v>0</v>
      </c>
      <c r="O97" s="294">
        <f t="shared" si="6"/>
        <v>0</v>
      </c>
      <c r="P97" s="294">
        <f t="shared" si="6"/>
        <v>0</v>
      </c>
      <c r="Q97" s="294">
        <f t="shared" si="6"/>
        <v>0</v>
      </c>
      <c r="R97" s="294">
        <f t="shared" si="6"/>
        <v>0</v>
      </c>
      <c r="S97" s="294">
        <f t="shared" si="6"/>
        <v>0</v>
      </c>
      <c r="T97" s="399">
        <f t="shared" si="6"/>
        <v>0</v>
      </c>
    </row>
    <row r="98" spans="2:20" ht="13.5" thickBot="1" x14ac:dyDescent="0.35">
      <c r="B98" s="194" t="s">
        <v>72</v>
      </c>
      <c r="C98" s="254"/>
      <c r="D98" s="480">
        <f>C98*'Inputs and assumptions'!D41</f>
        <v>0</v>
      </c>
      <c r="E98" s="362"/>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8">$D$102*F27</f>
        <v>0</v>
      </c>
      <c r="G102" s="140">
        <f t="shared" si="8"/>
        <v>0</v>
      </c>
      <c r="H102" s="140">
        <f t="shared" si="8"/>
        <v>0</v>
      </c>
      <c r="I102" s="140">
        <f t="shared" si="8"/>
        <v>0</v>
      </c>
      <c r="J102" s="140">
        <f t="shared" si="8"/>
        <v>0</v>
      </c>
      <c r="K102" s="140">
        <f t="shared" si="8"/>
        <v>0</v>
      </c>
      <c r="L102" s="140">
        <f t="shared" si="8"/>
        <v>0</v>
      </c>
      <c r="M102" s="140">
        <f t="shared" si="8"/>
        <v>0</v>
      </c>
      <c r="N102" s="140">
        <f t="shared" si="8"/>
        <v>0</v>
      </c>
      <c r="O102" s="140">
        <f t="shared" si="8"/>
        <v>0</v>
      </c>
      <c r="P102" s="140">
        <f t="shared" si="8"/>
        <v>0</v>
      </c>
      <c r="Q102" s="140">
        <f t="shared" si="8"/>
        <v>0</v>
      </c>
      <c r="R102" s="140">
        <f t="shared" si="8"/>
        <v>0</v>
      </c>
      <c r="S102" s="140">
        <f t="shared" si="8"/>
        <v>0</v>
      </c>
      <c r="T102" s="141">
        <f t="shared" si="8"/>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382500</v>
      </c>
      <c r="G107" s="294">
        <f>$E$111*G$29</f>
        <v>42500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15000</v>
      </c>
      <c r="H108" s="175">
        <v>15000</v>
      </c>
      <c r="I108" s="175">
        <v>15000</v>
      </c>
      <c r="J108" s="175">
        <v>15000</v>
      </c>
      <c r="K108" s="175">
        <v>15000</v>
      </c>
      <c r="L108" s="175">
        <v>15000</v>
      </c>
      <c r="M108" s="175">
        <v>15000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425000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311</v>
      </c>
      <c r="C113" s="605"/>
      <c r="D113" s="605"/>
      <c r="E113" s="606"/>
      <c r="F113" s="290"/>
      <c r="G113" s="290"/>
      <c r="H113" s="290"/>
      <c r="I113" s="290"/>
      <c r="J113" s="290"/>
      <c r="K113" s="290"/>
      <c r="L113" s="181"/>
      <c r="M113" s="181"/>
      <c r="N113" s="181"/>
      <c r="O113" s="181"/>
      <c r="P113" s="181"/>
      <c r="Q113" s="181"/>
      <c r="R113" s="181"/>
      <c r="S113" s="181"/>
      <c r="T113" s="181"/>
    </row>
    <row r="114" spans="2:20" ht="15" customHeight="1" x14ac:dyDescent="0.3">
      <c r="B114" s="607"/>
      <c r="C114" s="608"/>
      <c r="D114" s="608"/>
      <c r="E114" s="609"/>
      <c r="F114" s="290"/>
      <c r="G114" s="290"/>
      <c r="H114" s="290"/>
      <c r="I114" s="290"/>
      <c r="J114" s="290"/>
      <c r="K114" s="290"/>
      <c r="L114" s="181"/>
      <c r="M114" s="181"/>
      <c r="N114" s="181"/>
      <c r="O114" s="181"/>
      <c r="P114" s="181"/>
      <c r="Q114" s="181"/>
      <c r="R114" s="181"/>
      <c r="S114" s="181"/>
      <c r="T114" s="181"/>
    </row>
    <row r="115" spans="2:20" ht="15" customHeight="1" x14ac:dyDescent="0.3">
      <c r="B115" s="607"/>
      <c r="C115" s="608"/>
      <c r="D115" s="608"/>
      <c r="E115" s="609"/>
      <c r="F115" s="290"/>
      <c r="G115" s="290"/>
      <c r="H115" s="290"/>
      <c r="I115" s="290"/>
      <c r="J115" s="290"/>
      <c r="K115" s="290"/>
      <c r="L115" s="181"/>
      <c r="M115" s="181"/>
      <c r="N115" s="181"/>
      <c r="O115" s="181"/>
      <c r="P115" s="181"/>
      <c r="Q115" s="181"/>
      <c r="R115" s="181"/>
      <c r="S115" s="181"/>
      <c r="T115" s="181"/>
    </row>
    <row r="116" spans="2:20" ht="15" customHeight="1" x14ac:dyDescent="0.3">
      <c r="B116" s="607"/>
      <c r="C116" s="608"/>
      <c r="D116" s="608"/>
      <c r="E116" s="609"/>
      <c r="F116" s="290"/>
      <c r="G116" s="290"/>
      <c r="H116" s="290"/>
      <c r="I116" s="290"/>
      <c r="J116" s="290"/>
      <c r="K116" s="290"/>
      <c r="L116" s="181"/>
      <c r="M116" s="181"/>
      <c r="N116" s="181"/>
      <c r="O116" s="181"/>
      <c r="P116" s="181"/>
      <c r="Q116" s="181"/>
      <c r="R116" s="181"/>
      <c r="S116" s="181"/>
      <c r="T116" s="181"/>
    </row>
    <row r="117" spans="2:20" ht="15" customHeight="1" x14ac:dyDescent="0.3">
      <c r="B117" s="607"/>
      <c r="C117" s="608"/>
      <c r="D117" s="608"/>
      <c r="E117" s="609"/>
      <c r="F117" s="290"/>
      <c r="G117" s="290"/>
      <c r="H117" s="290"/>
      <c r="I117" s="290"/>
      <c r="J117" s="290"/>
      <c r="K117" s="290"/>
      <c r="L117" s="181"/>
      <c r="M117" s="181"/>
      <c r="N117" s="181"/>
      <c r="O117" s="181"/>
      <c r="P117" s="181"/>
      <c r="Q117" s="181"/>
      <c r="R117" s="181"/>
      <c r="S117" s="181"/>
      <c r="T117" s="181"/>
    </row>
    <row r="118" spans="2:20" ht="15" customHeight="1" x14ac:dyDescent="0.3">
      <c r="B118" s="607"/>
      <c r="C118" s="608"/>
      <c r="D118" s="608"/>
      <c r="E118" s="609"/>
      <c r="F118" s="290"/>
      <c r="G118" s="290"/>
      <c r="H118" s="290"/>
      <c r="I118" s="290"/>
      <c r="J118" s="290"/>
      <c r="K118" s="290"/>
      <c r="L118" s="181"/>
      <c r="M118" s="181"/>
      <c r="N118" s="181"/>
      <c r="O118" s="181"/>
      <c r="P118" s="181"/>
      <c r="Q118" s="181"/>
      <c r="R118" s="181"/>
      <c r="S118" s="181"/>
      <c r="T118" s="181"/>
    </row>
    <row r="119" spans="2:20" ht="15" customHeight="1" x14ac:dyDescent="0.3">
      <c r="B119" s="607"/>
      <c r="C119" s="608"/>
      <c r="D119" s="608"/>
      <c r="E119" s="609"/>
      <c r="F119" s="290"/>
      <c r="G119" s="290"/>
      <c r="H119" s="290"/>
      <c r="I119" s="290"/>
      <c r="J119" s="290"/>
      <c r="K119" s="290"/>
      <c r="L119" s="181"/>
      <c r="M119" s="181"/>
      <c r="N119" s="181"/>
      <c r="O119" s="181"/>
      <c r="P119" s="181"/>
      <c r="Q119" s="181"/>
      <c r="R119" s="181"/>
      <c r="S119" s="181"/>
      <c r="T119" s="181"/>
    </row>
    <row r="120" spans="2:20" ht="15" customHeight="1" x14ac:dyDescent="0.3">
      <c r="B120" s="607"/>
      <c r="C120" s="608"/>
      <c r="D120" s="608"/>
      <c r="E120" s="609"/>
      <c r="F120" s="290"/>
      <c r="G120" s="290"/>
      <c r="H120" s="290"/>
      <c r="I120" s="290"/>
      <c r="J120" s="290"/>
      <c r="K120" s="290"/>
      <c r="L120" s="181"/>
      <c r="M120" s="181"/>
      <c r="N120" s="181"/>
      <c r="O120" s="181"/>
      <c r="P120" s="181"/>
      <c r="Q120" s="181"/>
      <c r="R120" s="181"/>
      <c r="S120" s="181"/>
      <c r="T120" s="181"/>
    </row>
    <row r="121" spans="2:20" ht="15" customHeight="1" x14ac:dyDescent="0.3">
      <c r="B121" s="607"/>
      <c r="C121" s="608"/>
      <c r="D121" s="608"/>
      <c r="E121" s="609"/>
      <c r="F121" s="290"/>
      <c r="G121" s="290"/>
      <c r="H121" s="290"/>
      <c r="I121" s="290"/>
      <c r="J121" s="290"/>
      <c r="K121" s="290"/>
      <c r="L121" s="181"/>
      <c r="M121" s="181"/>
      <c r="N121" s="181"/>
      <c r="O121" s="181"/>
      <c r="P121" s="181"/>
      <c r="Q121" s="181"/>
      <c r="R121" s="181"/>
      <c r="S121" s="181"/>
      <c r="T121" s="181"/>
    </row>
    <row r="122" spans="2:20" ht="15.75" customHeight="1" thickBot="1" x14ac:dyDescent="0.35">
      <c r="B122" s="610"/>
      <c r="C122" s="611"/>
      <c r="D122" s="611"/>
      <c r="E122" s="612"/>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FC30EA52-3820-4F5D-89C3-FE985B2BD262}">
          <x14:formula1>
            <xm:f>'Inputs and assumptions'!$J$17:$J$18</xm:f>
          </x14:formula1>
          <xm:sqref>E43</xm:sqref>
        </x14:dataValidation>
        <x14:dataValidation type="list" allowBlank="1" showInputMessage="1" showErrorMessage="1" xr:uid="{3901F8F6-730D-466C-8BD8-6EC8206CCF16}">
          <x14:formula1>
            <xm:f>'Inputs and assumptions'!$H$27:$H$29</xm:f>
          </x14:formula1>
          <xm:sqref>E11</xm:sqref>
        </x14:dataValidation>
        <x14:dataValidation type="list" allowBlank="1" showInputMessage="1" showErrorMessage="1" xr:uid="{E3B6231B-3498-4B11-B06D-BDC13ABE8962}">
          <x14:formula1>
            <xm:f>'Inputs and assumptions'!$H$23:$H$24</xm:f>
          </x14:formula1>
          <xm:sqref>E10</xm:sqref>
        </x14:dataValidation>
        <x14:dataValidation type="list" allowBlank="1" showInputMessage="1" showErrorMessage="1" xr:uid="{A5142853-BD68-4674-A046-E9B1FBC65B44}">
          <x14:formula1>
            <xm:f>'Inputs and assumptions'!$G$16:$G$20</xm:f>
          </x14:formula1>
          <xm:sqref>E7</xm:sqref>
        </x14:dataValidation>
        <x14:dataValidation type="list" allowBlank="1" showInputMessage="1" showErrorMessage="1" xr:uid="{3B86E78F-BD29-44B0-A986-DA9264DF6658}">
          <x14:formula1>
            <xm:f>'Inputs and assumptions'!$H$16:$H$20</xm:f>
          </x14:formula1>
          <xm:sqref>E8</xm:sqref>
        </x14:dataValidation>
        <x14:dataValidation type="list" allowBlank="1" showInputMessage="1" showErrorMessage="1" xr:uid="{C0B2E159-FCDC-41E2-87F3-826579630A47}">
          <x14:formula1>
            <xm:f>'Inputs and assumptions'!$H$31:$H$34</xm:f>
          </x14:formula1>
          <xm:sqref>E12</xm:sqref>
        </x14:dataValidation>
        <x14:dataValidation type="list" allowBlank="1" showInputMessage="1" showErrorMessage="1" xr:uid="{87AE7216-7CEC-41DD-B658-0937310570F6}">
          <x14:formula1>
            <xm:f>'Inputs and assumptions'!$H$36:$H$40</xm:f>
          </x14:formula1>
          <xm:sqref>E13</xm:sqref>
        </x14:dataValidation>
        <x14:dataValidation type="list" allowBlank="1" showInputMessage="1" showErrorMessage="1" xr:uid="{FFF81C4C-720C-4BB3-BE32-6206CA03598B}">
          <x14:formula1>
            <xm:f>'Inputs and assumptions'!$J$21:$J$24</xm:f>
          </x14:formula1>
          <xm:sqref>E14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F26F3-25AA-46E8-B2EB-CB863167E17D}">
  <sheetPr>
    <tabColor rgb="FF00B050"/>
  </sheetPr>
  <dimension ref="A1:K41"/>
  <sheetViews>
    <sheetView zoomScale="119" zoomScaleNormal="85" workbookViewId="0"/>
  </sheetViews>
  <sheetFormatPr defaultRowHeight="14.5" x14ac:dyDescent="0.35"/>
  <cols>
    <col min="1" max="1" width="1.26953125" customWidth="1"/>
    <col min="2" max="2" width="52.453125" bestFit="1" customWidth="1"/>
    <col min="3" max="3" width="83.54296875" customWidth="1"/>
    <col min="4" max="4" width="22.7265625" customWidth="1"/>
    <col min="5" max="5" width="9.1796875" customWidth="1"/>
    <col min="6" max="6" width="9.1796875" hidden="1" customWidth="1"/>
    <col min="7" max="7" width="11.453125" hidden="1" customWidth="1"/>
    <col min="8" max="8" width="37.453125" hidden="1" customWidth="1"/>
    <col min="9" max="9" width="9.1796875" hidden="1" customWidth="1"/>
    <col min="10" max="10" width="20.7265625" hidden="1" customWidth="1"/>
    <col min="11" max="11" width="9.1796875" hidden="1" customWidth="1"/>
    <col min="12" max="12" width="9.1796875" customWidth="1"/>
  </cols>
  <sheetData>
    <row r="1" spans="1:11" ht="23.5" x14ac:dyDescent="0.55000000000000004">
      <c r="B1" s="512" t="s">
        <v>103</v>
      </c>
    </row>
    <row r="2" spans="1:11" x14ac:dyDescent="0.35">
      <c r="B2" t="s">
        <v>104</v>
      </c>
    </row>
    <row r="4" spans="1:11" ht="21.75" customHeight="1" x14ac:dyDescent="0.35">
      <c r="B4" s="527" t="s">
        <v>105</v>
      </c>
      <c r="C4" s="528" t="s">
        <v>106</v>
      </c>
    </row>
    <row r="5" spans="1:11" x14ac:dyDescent="0.35">
      <c r="B5" s="522" t="s">
        <v>107</v>
      </c>
      <c r="C5" s="523">
        <v>3.44E-2</v>
      </c>
    </row>
    <row r="6" spans="1:11" x14ac:dyDescent="0.35">
      <c r="B6" s="522" t="s">
        <v>108</v>
      </c>
      <c r="C6" s="525">
        <v>0.5</v>
      </c>
    </row>
    <row r="7" spans="1:11" x14ac:dyDescent="0.35">
      <c r="B7" s="522" t="s">
        <v>109</v>
      </c>
      <c r="C7" s="524">
        <v>0.5</v>
      </c>
    </row>
    <row r="8" spans="1:11" x14ac:dyDescent="0.35">
      <c r="B8" s="522" t="s">
        <v>110</v>
      </c>
      <c r="C8" s="525">
        <v>0.75</v>
      </c>
    </row>
    <row r="9" spans="1:11" x14ac:dyDescent="0.35">
      <c r="B9" s="522" t="s">
        <v>111</v>
      </c>
      <c r="C9" s="525">
        <v>1</v>
      </c>
    </row>
    <row r="10" spans="1:11" x14ac:dyDescent="0.35">
      <c r="B10" s="522" t="s">
        <v>112</v>
      </c>
      <c r="C10" s="525">
        <v>0.5</v>
      </c>
    </row>
    <row r="11" spans="1:11" x14ac:dyDescent="0.35">
      <c r="C11" s="529"/>
    </row>
    <row r="12" spans="1:11" ht="15" thickBot="1" x14ac:dyDescent="0.4"/>
    <row r="13" spans="1:11" ht="17.25" customHeight="1" x14ac:dyDescent="0.5">
      <c r="A13" s="513"/>
      <c r="B13" s="554" t="s">
        <v>113</v>
      </c>
      <c r="C13" s="515"/>
      <c r="D13" s="516"/>
      <c r="H13" s="409" t="s">
        <v>114</v>
      </c>
    </row>
    <row r="14" spans="1:11" ht="17.25" customHeight="1" thickBot="1" x14ac:dyDescent="0.65">
      <c r="A14" s="514"/>
      <c r="B14" s="555"/>
      <c r="C14" s="517"/>
      <c r="D14" s="518"/>
    </row>
    <row r="15" spans="1:11" ht="31.5" thickBot="1" x14ac:dyDescent="0.55000000000000004">
      <c r="A15" s="177"/>
      <c r="B15" s="519" t="s">
        <v>115</v>
      </c>
      <c r="C15" s="520" t="s">
        <v>116</v>
      </c>
      <c r="D15" s="521" t="s">
        <v>117</v>
      </c>
    </row>
    <row r="16" spans="1:11" s="179" customFormat="1" ht="18" customHeight="1" x14ac:dyDescent="0.35">
      <c r="A16" s="178"/>
      <c r="B16" s="203" t="s">
        <v>50</v>
      </c>
      <c r="C16" s="204"/>
      <c r="D16" s="205"/>
      <c r="F16" s="401"/>
      <c r="G16" s="431" t="s">
        <v>2</v>
      </c>
      <c r="H16" s="431" t="s">
        <v>3</v>
      </c>
      <c r="I16" s="402"/>
      <c r="J16" s="431" t="s">
        <v>118</v>
      </c>
      <c r="K16" s="403"/>
    </row>
    <row r="17" spans="1:11" s="179" customFormat="1" ht="18" customHeight="1" x14ac:dyDescent="0.35">
      <c r="A17" s="178"/>
      <c r="B17" s="206" t="s">
        <v>51</v>
      </c>
      <c r="C17" s="530" t="s">
        <v>119</v>
      </c>
      <c r="D17" s="207">
        <v>36494944.973720297</v>
      </c>
      <c r="F17" s="404"/>
      <c r="G17" s="425" t="s">
        <v>120</v>
      </c>
      <c r="H17" s="426" t="s">
        <v>121</v>
      </c>
      <c r="J17" s="259" t="s">
        <v>122</v>
      </c>
      <c r="K17" s="405"/>
    </row>
    <row r="18" spans="1:11" s="179" customFormat="1" ht="18" customHeight="1" x14ac:dyDescent="0.35">
      <c r="A18" s="178"/>
      <c r="B18" s="206" t="s">
        <v>52</v>
      </c>
      <c r="C18" s="530" t="s">
        <v>119</v>
      </c>
      <c r="D18" s="207">
        <v>26246595.948073052</v>
      </c>
      <c r="F18" s="404"/>
      <c r="G18" s="427" t="s">
        <v>123</v>
      </c>
      <c r="H18" s="428" t="s">
        <v>124</v>
      </c>
      <c r="J18" s="260" t="s">
        <v>125</v>
      </c>
      <c r="K18" s="405"/>
    </row>
    <row r="19" spans="1:11" s="179" customFormat="1" ht="18" customHeight="1" x14ac:dyDescent="0.35">
      <c r="A19" s="178"/>
      <c r="B19" s="206" t="s">
        <v>53</v>
      </c>
      <c r="C19" s="530" t="s">
        <v>119</v>
      </c>
      <c r="D19" s="207">
        <v>5094987.1079823673</v>
      </c>
      <c r="F19" s="404"/>
      <c r="G19" s="427" t="s">
        <v>126</v>
      </c>
      <c r="H19" s="428" t="s">
        <v>127</v>
      </c>
      <c r="K19" s="405"/>
    </row>
    <row r="20" spans="1:11" s="179" customFormat="1" ht="18" customHeight="1" x14ac:dyDescent="0.35">
      <c r="A20" s="178"/>
      <c r="B20" s="206" t="s">
        <v>54</v>
      </c>
      <c r="C20" s="530" t="s">
        <v>119</v>
      </c>
      <c r="D20" s="207">
        <v>31449153.31753676</v>
      </c>
      <c r="F20" s="404"/>
      <c r="G20" s="429" t="s">
        <v>128</v>
      </c>
      <c r="H20" s="430" t="s">
        <v>129</v>
      </c>
      <c r="K20" s="405"/>
    </row>
    <row r="21" spans="1:11" s="179" customFormat="1" ht="18" customHeight="1" x14ac:dyDescent="0.35">
      <c r="A21" s="178"/>
      <c r="B21" s="206"/>
      <c r="C21" s="530"/>
      <c r="D21" s="208"/>
      <c r="F21" s="404"/>
      <c r="J21" s="432" t="s">
        <v>130</v>
      </c>
      <c r="K21" s="405"/>
    </row>
    <row r="22" spans="1:11" s="179" customFormat="1" ht="18" customHeight="1" x14ac:dyDescent="0.35">
      <c r="A22" s="178"/>
      <c r="B22" s="209" t="s">
        <v>55</v>
      </c>
      <c r="C22" s="531"/>
      <c r="D22" s="210"/>
      <c r="F22" s="404"/>
      <c r="H22" s="432" t="s">
        <v>131</v>
      </c>
      <c r="J22" s="321" t="s">
        <v>132</v>
      </c>
      <c r="K22" s="405"/>
    </row>
    <row r="23" spans="1:11" s="179" customFormat="1" ht="18" customHeight="1" x14ac:dyDescent="0.35">
      <c r="A23" s="178"/>
      <c r="B23" s="206" t="s">
        <v>56</v>
      </c>
      <c r="C23" s="530" t="s">
        <v>133</v>
      </c>
      <c r="D23" s="207">
        <v>27800000</v>
      </c>
      <c r="F23" s="404"/>
      <c r="H23" s="249" t="s">
        <v>134</v>
      </c>
      <c r="J23" s="322" t="s">
        <v>135</v>
      </c>
      <c r="K23" s="405"/>
    </row>
    <row r="24" spans="1:11" s="179" customFormat="1" ht="18" customHeight="1" x14ac:dyDescent="0.35">
      <c r="A24" s="178"/>
      <c r="B24" s="206" t="s">
        <v>57</v>
      </c>
      <c r="C24" s="530" t="s">
        <v>136</v>
      </c>
      <c r="D24" s="207">
        <v>47000000</v>
      </c>
      <c r="F24" s="404"/>
      <c r="H24" s="250" t="s">
        <v>137</v>
      </c>
      <c r="J24" s="323" t="s">
        <v>138</v>
      </c>
      <c r="K24" s="405"/>
    </row>
    <row r="25" spans="1:11" s="179" customFormat="1" ht="18" customHeight="1" x14ac:dyDescent="0.35">
      <c r="A25" s="178"/>
      <c r="B25" s="206" t="s">
        <v>58</v>
      </c>
      <c r="C25" s="530" t="s">
        <v>139</v>
      </c>
      <c r="D25" s="207">
        <f>C5*D26</f>
        <v>10492000</v>
      </c>
      <c r="F25" s="404"/>
      <c r="K25" s="405"/>
    </row>
    <row r="26" spans="1:11" s="179" customFormat="1" ht="18" customHeight="1" x14ac:dyDescent="0.35">
      <c r="A26" s="178"/>
      <c r="B26" s="206" t="s">
        <v>59</v>
      </c>
      <c r="C26" s="530" t="s">
        <v>140</v>
      </c>
      <c r="D26" s="207">
        <v>305000000</v>
      </c>
      <c r="F26" s="404"/>
      <c r="H26" s="432" t="s">
        <v>141</v>
      </c>
      <c r="K26" s="405"/>
    </row>
    <row r="27" spans="1:11" s="179" customFormat="1" ht="18" customHeight="1" x14ac:dyDescent="0.35">
      <c r="A27" s="178"/>
      <c r="B27" s="206" t="s">
        <v>60</v>
      </c>
      <c r="C27" s="530" t="s">
        <v>142</v>
      </c>
      <c r="D27" s="207">
        <f>D26+D24</f>
        <v>352000000</v>
      </c>
      <c r="F27" s="404"/>
      <c r="H27" s="249" t="s">
        <v>143</v>
      </c>
      <c r="K27" s="405"/>
    </row>
    <row r="28" spans="1:11" s="179" customFormat="1" ht="18" customHeight="1" x14ac:dyDescent="0.35">
      <c r="A28" s="178"/>
      <c r="B28" s="206" t="s">
        <v>61</v>
      </c>
      <c r="C28" s="530" t="s">
        <v>144</v>
      </c>
      <c r="D28" s="207">
        <f>0.17*50000000</f>
        <v>8500000</v>
      </c>
      <c r="F28" s="404"/>
      <c r="H28" s="251" t="s">
        <v>145</v>
      </c>
      <c r="K28" s="405"/>
    </row>
    <row r="29" spans="1:11" s="179" customFormat="1" ht="18" customHeight="1" x14ac:dyDescent="0.35">
      <c r="A29" s="178"/>
      <c r="B29" s="206"/>
      <c r="C29" s="530"/>
      <c r="D29" s="208"/>
      <c r="F29" s="404"/>
      <c r="H29" s="250" t="s">
        <v>137</v>
      </c>
      <c r="K29" s="405"/>
    </row>
    <row r="30" spans="1:11" s="179" customFormat="1" ht="18" customHeight="1" x14ac:dyDescent="0.35">
      <c r="A30" s="178"/>
      <c r="B30" s="209" t="s">
        <v>62</v>
      </c>
      <c r="C30" s="531"/>
      <c r="D30" s="210"/>
      <c r="F30" s="404"/>
      <c r="K30" s="405"/>
    </row>
    <row r="31" spans="1:11" s="179" customFormat="1" ht="18" customHeight="1" x14ac:dyDescent="0.35">
      <c r="A31" s="178"/>
      <c r="B31" s="206" t="s">
        <v>63</v>
      </c>
      <c r="C31" s="530" t="s">
        <v>146</v>
      </c>
      <c r="D31" s="207">
        <v>131000000</v>
      </c>
      <c r="F31" s="404"/>
      <c r="H31" s="432" t="s">
        <v>147</v>
      </c>
      <c r="K31" s="405"/>
    </row>
    <row r="32" spans="1:11" s="179" customFormat="1" ht="18" customHeight="1" x14ac:dyDescent="0.35">
      <c r="A32" s="178"/>
      <c r="B32" s="206" t="s">
        <v>64</v>
      </c>
      <c r="C32" s="530" t="s">
        <v>148</v>
      </c>
      <c r="D32" s="207">
        <v>30000000</v>
      </c>
      <c r="F32" s="404"/>
      <c r="H32" s="249" t="s">
        <v>149</v>
      </c>
      <c r="K32" s="405"/>
    </row>
    <row r="33" spans="1:11" s="179" customFormat="1" ht="18" customHeight="1" x14ac:dyDescent="0.35">
      <c r="A33" s="178"/>
      <c r="B33" s="206"/>
      <c r="C33" s="530"/>
      <c r="D33" s="208"/>
      <c r="F33" s="404"/>
      <c r="H33" s="251" t="s">
        <v>150</v>
      </c>
      <c r="K33" s="405"/>
    </row>
    <row r="34" spans="1:11" s="179" customFormat="1" ht="18" customHeight="1" x14ac:dyDescent="0.35">
      <c r="A34" s="178"/>
      <c r="B34" s="209" t="s">
        <v>65</v>
      </c>
      <c r="C34" s="531"/>
      <c r="D34" s="211"/>
      <c r="F34" s="404"/>
      <c r="H34" s="250" t="s">
        <v>151</v>
      </c>
      <c r="K34" s="405"/>
    </row>
    <row r="35" spans="1:11" s="179" customFormat="1" ht="18" customHeight="1" x14ac:dyDescent="0.35">
      <c r="A35" s="178"/>
      <c r="B35" s="206" t="s">
        <v>66</v>
      </c>
      <c r="C35" s="530" t="s">
        <v>152</v>
      </c>
      <c r="D35" s="212">
        <v>126000000</v>
      </c>
      <c r="F35" s="404"/>
      <c r="K35" s="405"/>
    </row>
    <row r="36" spans="1:11" s="179" customFormat="1" ht="18" customHeight="1" x14ac:dyDescent="0.35">
      <c r="A36" s="178"/>
      <c r="B36" s="206" t="s">
        <v>67</v>
      </c>
      <c r="C36" s="530" t="s">
        <v>153</v>
      </c>
      <c r="D36" s="212">
        <v>0</v>
      </c>
      <c r="F36" s="404"/>
      <c r="H36" s="432" t="s">
        <v>10</v>
      </c>
      <c r="K36" s="405"/>
    </row>
    <row r="37" spans="1:11" s="179" customFormat="1" ht="18" customHeight="1" x14ac:dyDescent="0.35">
      <c r="A37" s="178"/>
      <c r="B37" s="206" t="s">
        <v>68</v>
      </c>
      <c r="C37" s="530" t="s">
        <v>154</v>
      </c>
      <c r="D37" s="212">
        <f>23*1800000</f>
        <v>41400000</v>
      </c>
      <c r="F37" s="404"/>
      <c r="H37" s="259" t="s">
        <v>155</v>
      </c>
      <c r="K37" s="405"/>
    </row>
    <row r="38" spans="1:11" s="179" customFormat="1" ht="18" customHeight="1" x14ac:dyDescent="0.35">
      <c r="A38" s="178"/>
      <c r="B38" s="206" t="s">
        <v>69</v>
      </c>
      <c r="C38" s="530" t="s">
        <v>153</v>
      </c>
      <c r="D38" s="212">
        <v>0</v>
      </c>
      <c r="F38" s="404"/>
      <c r="H38" s="320" t="s">
        <v>156</v>
      </c>
      <c r="K38" s="405"/>
    </row>
    <row r="39" spans="1:11" s="179" customFormat="1" ht="26" x14ac:dyDescent="0.35">
      <c r="A39" s="178"/>
      <c r="B39" s="206" t="s">
        <v>70</v>
      </c>
      <c r="C39" s="530" t="s">
        <v>157</v>
      </c>
      <c r="D39" s="212">
        <v>1500000000</v>
      </c>
      <c r="F39" s="404"/>
      <c r="H39" s="320" t="s">
        <v>158</v>
      </c>
      <c r="K39" s="405"/>
    </row>
    <row r="40" spans="1:11" s="179" customFormat="1" ht="18" customHeight="1" x14ac:dyDescent="0.35">
      <c r="A40" s="178"/>
      <c r="B40" s="206" t="s">
        <v>71</v>
      </c>
      <c r="C40" s="530" t="s">
        <v>159</v>
      </c>
      <c r="D40" s="212">
        <v>76500000</v>
      </c>
      <c r="F40" s="404"/>
      <c r="H40" s="260" t="s">
        <v>160</v>
      </c>
      <c r="K40" s="405"/>
    </row>
    <row r="41" spans="1:11" s="179" customFormat="1" ht="18" customHeight="1" thickBot="1" x14ac:dyDescent="0.4">
      <c r="A41" s="178"/>
      <c r="B41" s="213" t="s">
        <v>72</v>
      </c>
      <c r="C41" s="532" t="s">
        <v>161</v>
      </c>
      <c r="D41" s="214">
        <f>22*1800000</f>
        <v>39600000</v>
      </c>
      <c r="F41" s="406"/>
      <c r="G41" s="407"/>
      <c r="H41" s="407"/>
      <c r="I41" s="407"/>
      <c r="J41" s="407"/>
      <c r="K41" s="408"/>
    </row>
  </sheetData>
  <mergeCells count="1">
    <mergeCell ref="B13:B14"/>
  </mergeCells>
  <pageMargins left="0.7" right="0.7" top="0.75" bottom="0.75" header="0.3" footer="0.3"/>
  <customProperties>
    <customPr name="EpmWorksheetKeyString_GUID" r:id="rId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D39ED-26CA-4274-9346-F972DAD8195E}">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312</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313</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2</v>
      </c>
      <c r="G7" s="595" t="s">
        <v>314</v>
      </c>
      <c r="H7" s="595"/>
      <c r="I7" s="595"/>
      <c r="J7" s="595"/>
      <c r="K7" s="595"/>
      <c r="L7" s="595"/>
      <c r="M7" s="595"/>
      <c r="N7" s="595"/>
      <c r="O7" s="595"/>
      <c r="P7" s="595"/>
      <c r="Q7" s="595"/>
      <c r="R7" s="595"/>
      <c r="S7" s="595"/>
      <c r="T7" s="595"/>
    </row>
    <row r="8" spans="1:23" s="170" customFormat="1" ht="15.75" customHeight="1" x14ac:dyDescent="0.35">
      <c r="B8" s="328" t="s">
        <v>3</v>
      </c>
      <c r="C8" s="230"/>
      <c r="E8" s="329" t="s">
        <v>3</v>
      </c>
      <c r="G8" s="595"/>
      <c r="H8" s="595"/>
      <c r="I8" s="595"/>
      <c r="J8" s="595"/>
      <c r="K8" s="595"/>
      <c r="L8" s="595"/>
      <c r="M8" s="595"/>
      <c r="N8" s="595"/>
      <c r="O8" s="595"/>
      <c r="P8" s="595"/>
      <c r="Q8" s="595"/>
      <c r="R8" s="595"/>
      <c r="S8" s="595"/>
      <c r="T8" s="595"/>
    </row>
    <row r="9" spans="1:23" s="170" customFormat="1" ht="15.75" customHeight="1" x14ac:dyDescent="0.35">
      <c r="B9" s="328" t="s">
        <v>4</v>
      </c>
      <c r="C9" s="230"/>
      <c r="E9" s="330" t="s">
        <v>5</v>
      </c>
      <c r="G9" s="595"/>
      <c r="H9" s="595"/>
      <c r="I9" s="595"/>
      <c r="J9" s="595"/>
      <c r="K9" s="595"/>
      <c r="L9" s="595"/>
      <c r="M9" s="595"/>
      <c r="N9" s="595"/>
      <c r="O9" s="595"/>
      <c r="P9" s="595"/>
      <c r="Q9" s="595"/>
      <c r="R9" s="595"/>
      <c r="S9" s="595"/>
      <c r="T9" s="595"/>
    </row>
    <row r="10" spans="1:23" s="170" customFormat="1" ht="15.75" customHeight="1" x14ac:dyDescent="0.35">
      <c r="B10" s="328" t="s">
        <v>6</v>
      </c>
      <c r="C10" s="230"/>
      <c r="E10" s="330" t="s">
        <v>131</v>
      </c>
      <c r="G10" s="595"/>
      <c r="H10" s="595"/>
      <c r="I10" s="595"/>
      <c r="J10" s="595"/>
      <c r="K10" s="595"/>
      <c r="L10" s="595"/>
      <c r="M10" s="595"/>
      <c r="N10" s="595"/>
      <c r="O10" s="595"/>
      <c r="P10" s="595"/>
      <c r="Q10" s="595"/>
      <c r="R10" s="595"/>
      <c r="S10" s="595"/>
      <c r="T10" s="595"/>
    </row>
    <row r="11" spans="1:23" s="170" customFormat="1" ht="15.75" customHeight="1" x14ac:dyDescent="0.35">
      <c r="B11" s="328" t="s">
        <v>7</v>
      </c>
      <c r="C11" s="230"/>
      <c r="E11" s="330" t="s">
        <v>141</v>
      </c>
      <c r="G11" s="595"/>
      <c r="H11" s="595"/>
      <c r="I11" s="595"/>
      <c r="J11" s="595"/>
      <c r="K11" s="595"/>
      <c r="L11" s="595"/>
      <c r="M11" s="595"/>
      <c r="N11" s="595"/>
      <c r="O11" s="595"/>
      <c r="P11" s="595"/>
      <c r="Q11" s="595"/>
      <c r="R11" s="595"/>
      <c r="S11" s="595"/>
      <c r="T11" s="595"/>
    </row>
    <row r="12" spans="1:23" x14ac:dyDescent="0.3">
      <c r="B12" s="331" t="s">
        <v>9</v>
      </c>
      <c r="C12" s="231"/>
      <c r="D12" s="114"/>
      <c r="E12" s="330" t="s">
        <v>147</v>
      </c>
      <c r="G12" s="595"/>
      <c r="H12" s="595"/>
      <c r="I12" s="595"/>
      <c r="J12" s="595"/>
      <c r="K12" s="595"/>
      <c r="L12" s="595"/>
      <c r="M12" s="595"/>
      <c r="N12" s="595"/>
      <c r="O12" s="595"/>
      <c r="P12" s="595"/>
      <c r="Q12" s="595"/>
      <c r="R12" s="595"/>
      <c r="S12" s="595"/>
      <c r="T12" s="595"/>
    </row>
    <row r="13" spans="1:23" x14ac:dyDescent="0.3">
      <c r="B13" s="331" t="s">
        <v>10</v>
      </c>
      <c r="C13" s="231"/>
      <c r="D13" s="114"/>
      <c r="E13" s="330" t="s">
        <v>10</v>
      </c>
      <c r="G13" s="595"/>
      <c r="H13" s="595"/>
      <c r="I13" s="595"/>
      <c r="J13" s="595"/>
      <c r="K13" s="595"/>
      <c r="L13" s="595"/>
      <c r="M13" s="595"/>
      <c r="N13" s="595"/>
      <c r="O13" s="595"/>
      <c r="P13" s="595"/>
      <c r="Q13" s="595"/>
      <c r="R13" s="595"/>
      <c r="S13" s="595"/>
      <c r="T13" s="595"/>
    </row>
    <row r="14" spans="1:23" ht="13.5" thickBot="1" x14ac:dyDescent="0.35">
      <c r="B14" s="332" t="s">
        <v>11</v>
      </c>
      <c r="C14" s="333"/>
      <c r="D14" s="334"/>
      <c r="E14" s="335" t="s">
        <v>130</v>
      </c>
      <c r="G14" s="595"/>
      <c r="H14" s="595"/>
      <c r="I14" s="595"/>
      <c r="J14" s="595"/>
      <c r="K14" s="595"/>
      <c r="L14" s="595"/>
      <c r="M14" s="595"/>
      <c r="N14" s="595"/>
      <c r="O14" s="595"/>
      <c r="P14" s="595"/>
      <c r="Q14" s="595"/>
      <c r="R14" s="595"/>
      <c r="S14" s="595"/>
      <c r="T14" s="595"/>
    </row>
    <row r="15" spans="1:23" x14ac:dyDescent="0.3">
      <c r="B15" s="438"/>
      <c r="C15" s="231"/>
      <c r="D15" s="114"/>
      <c r="E15" s="158"/>
      <c r="G15" s="595"/>
      <c r="H15" s="595"/>
      <c r="I15" s="595"/>
      <c r="J15" s="595"/>
      <c r="K15" s="595"/>
      <c r="L15" s="595"/>
      <c r="M15" s="595"/>
      <c r="N15" s="595"/>
      <c r="O15" s="595"/>
      <c r="P15" s="595"/>
      <c r="Q15" s="595"/>
      <c r="R15" s="595"/>
      <c r="S15" s="595"/>
      <c r="T15" s="595"/>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c r="D18" s="161">
        <v>0.28999999999999998</v>
      </c>
      <c r="E18" s="162">
        <f>D18*C18</f>
        <v>0</v>
      </c>
      <c r="G18" s="219"/>
      <c r="H18" s="220" t="s">
        <v>18</v>
      </c>
      <c r="I18" s="221">
        <f>D37</f>
        <v>-1472963.8150115646</v>
      </c>
      <c r="J18" s="222"/>
      <c r="K18" s="220" t="s">
        <v>220</v>
      </c>
      <c r="L18" s="223">
        <f>SUM(F34:J34)</f>
        <v>1375000</v>
      </c>
      <c r="N18" s="584" t="s">
        <v>221</v>
      </c>
      <c r="O18" s="584"/>
      <c r="P18" s="584"/>
      <c r="Q18" s="584"/>
      <c r="R18" s="314"/>
      <c r="S18" s="161"/>
      <c r="T18" s="315" t="s">
        <v>222</v>
      </c>
    </row>
    <row r="19" spans="2:20" ht="13.5" customHeight="1" x14ac:dyDescent="0.3">
      <c r="B19" s="160" t="s">
        <v>19</v>
      </c>
      <c r="C19" s="182"/>
      <c r="D19" s="161">
        <v>0.18</v>
      </c>
      <c r="E19" s="162">
        <f>D19*C19</f>
        <v>0</v>
      </c>
      <c r="G19" s="224"/>
      <c r="H19" s="125" t="s">
        <v>20</v>
      </c>
      <c r="I19" s="126">
        <f>D40</f>
        <v>4569034.8605517959</v>
      </c>
      <c r="J19" s="127"/>
      <c r="K19" s="125" t="s">
        <v>223</v>
      </c>
      <c r="L19" s="225">
        <f>SUM(F36:J36)</f>
        <v>100000</v>
      </c>
      <c r="N19" s="585" t="s">
        <v>224</v>
      </c>
      <c r="O19" s="585"/>
      <c r="P19" s="585"/>
      <c r="Q19" s="585"/>
      <c r="R19" s="314"/>
      <c r="S19" s="161"/>
      <c r="T19" s="315" t="s">
        <v>222</v>
      </c>
    </row>
    <row r="20" spans="2:20" ht="13.5" customHeight="1" x14ac:dyDescent="0.3">
      <c r="B20" s="160" t="s">
        <v>21</v>
      </c>
      <c r="C20" s="182"/>
      <c r="D20" s="161">
        <v>0.18</v>
      </c>
      <c r="E20" s="162">
        <f>D20*C20</f>
        <v>0</v>
      </c>
      <c r="G20" s="224"/>
      <c r="H20" s="125" t="s">
        <v>22</v>
      </c>
      <c r="I20" s="217">
        <f>IFERROR(ABS((I19-I18)/I18),"N/A")</f>
        <v>4.101932860798704</v>
      </c>
      <c r="J20" s="127"/>
      <c r="K20" s="125" t="s">
        <v>225</v>
      </c>
      <c r="L20" s="225">
        <f>NPV($D$33,F39:T39)</f>
        <v>6041998.6755633606</v>
      </c>
      <c r="N20" s="316" t="s">
        <v>226</v>
      </c>
      <c r="O20" s="316"/>
      <c r="P20" s="316"/>
      <c r="Q20" s="316"/>
      <c r="R20" s="317"/>
      <c r="S20" s="318"/>
      <c r="T20" s="315" t="s">
        <v>222</v>
      </c>
    </row>
    <row r="21" spans="2:20" ht="13.5" customHeight="1" thickBot="1" x14ac:dyDescent="0.35">
      <c r="B21" s="160" t="s">
        <v>23</v>
      </c>
      <c r="C21" s="182"/>
      <c r="D21" s="161">
        <v>0.18</v>
      </c>
      <c r="E21" s="162">
        <f>D21*C21</f>
        <v>0</v>
      </c>
      <c r="G21" s="194"/>
      <c r="H21" s="257" t="s">
        <v>166</v>
      </c>
      <c r="I21" s="258">
        <f>IFERROR(NPV($D$33,F39:T39)/NPV($D$33,F38:T38),"N/A")</f>
        <v>2.8294590977667355</v>
      </c>
      <c r="J21" s="226"/>
      <c r="K21" s="436" t="s">
        <v>228</v>
      </c>
      <c r="L21" s="439">
        <f>NPV($D$33,F39:J39)</f>
        <v>3626541.7694383408</v>
      </c>
      <c r="N21" s="570" t="s">
        <v>229</v>
      </c>
      <c r="O21" s="570"/>
      <c r="P21" s="570"/>
      <c r="Q21" s="570"/>
      <c r="R21" s="570"/>
      <c r="S21" s="164"/>
      <c r="T21" s="165"/>
    </row>
    <row r="22" spans="2:20" ht="13.5" customHeight="1" x14ac:dyDescent="0.3">
      <c r="B22" s="160" t="s">
        <v>230</v>
      </c>
      <c r="C22" s="182"/>
      <c r="D22" s="161">
        <v>0.17</v>
      </c>
      <c r="E22" s="162">
        <f>D22*C22</f>
        <v>0</v>
      </c>
      <c r="L22" s="218"/>
    </row>
    <row r="23" spans="2:20" ht="13.5" customHeight="1" x14ac:dyDescent="0.3">
      <c r="B23" s="117" t="s">
        <v>229</v>
      </c>
      <c r="C23" s="117"/>
      <c r="D23" s="164">
        <f>SUM(D18:D22)</f>
        <v>0.99999999999999989</v>
      </c>
      <c r="E23" s="165">
        <f>SUM(E18:E22)</f>
        <v>0</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c r="H28" s="265"/>
      <c r="I28" s="265"/>
      <c r="J28" s="265"/>
      <c r="K28" s="265"/>
      <c r="L28" s="265"/>
      <c r="M28" s="265"/>
      <c r="N28" s="228"/>
      <c r="O28" s="228"/>
      <c r="P28" s="228"/>
      <c r="Q28" s="228"/>
      <c r="R28" s="228"/>
      <c r="S28" s="228"/>
      <c r="T28" s="229"/>
    </row>
    <row r="29" spans="2:20" ht="13.5" thickBot="1" x14ac:dyDescent="0.35">
      <c r="B29" s="120"/>
      <c r="C29" s="232"/>
      <c r="D29" s="121"/>
      <c r="E29" s="121"/>
      <c r="F29" s="291"/>
      <c r="G29" s="29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354" t="s">
        <v>41</v>
      </c>
      <c r="C33" s="355"/>
      <c r="D33" s="356">
        <f>'Inputs and assumptions'!C5</f>
        <v>3.44E-2</v>
      </c>
      <c r="E33" s="357"/>
      <c r="F33" s="358" t="str">
        <f>F26</f>
        <v>Year 1</v>
      </c>
      <c r="G33" s="358" t="s">
        <v>232</v>
      </c>
      <c r="H33" s="358" t="s">
        <v>26</v>
      </c>
      <c r="I33" s="358" t="s">
        <v>27</v>
      </c>
      <c r="J33" s="358" t="s">
        <v>28</v>
      </c>
      <c r="K33" s="358" t="s">
        <v>29</v>
      </c>
      <c r="L33" s="358" t="s">
        <v>30</v>
      </c>
      <c r="M33" s="358" t="s">
        <v>31</v>
      </c>
      <c r="N33" s="358" t="s">
        <v>32</v>
      </c>
      <c r="O33" s="358" t="s">
        <v>33</v>
      </c>
      <c r="P33" s="358" t="s">
        <v>34</v>
      </c>
      <c r="Q33" s="358" t="s">
        <v>35</v>
      </c>
      <c r="R33" s="358" t="s">
        <v>36</v>
      </c>
      <c r="S33" s="358" t="s">
        <v>37</v>
      </c>
      <c r="T33" s="359" t="s">
        <v>38</v>
      </c>
    </row>
    <row r="34" spans="2:20" x14ac:dyDescent="0.3">
      <c r="B34" s="360" t="s">
        <v>42</v>
      </c>
      <c r="C34" s="112"/>
      <c r="D34" s="112"/>
      <c r="E34" s="112"/>
      <c r="F34" s="140">
        <f>'PR043'!F34+'PR105'!F34</f>
        <v>1237500</v>
      </c>
      <c r="G34" s="140">
        <f>'PR043'!G34+'PR105'!G34</f>
        <v>137500</v>
      </c>
      <c r="H34" s="140">
        <f>'PR043'!H34+'PR105'!H34</f>
        <v>0</v>
      </c>
      <c r="I34" s="140">
        <f>'PR043'!I34+'PR105'!I34</f>
        <v>0</v>
      </c>
      <c r="J34" s="140">
        <f>'PR043'!J34+'PR105'!J34</f>
        <v>0</v>
      </c>
      <c r="K34" s="140">
        <f>'PR043'!K34+'PR105'!K34</f>
        <v>0</v>
      </c>
      <c r="L34" s="140">
        <f>'PR043'!L34+'PR105'!L34</f>
        <v>0</v>
      </c>
      <c r="M34" s="140">
        <f>'PR043'!M34+'PR105'!M34</f>
        <v>0</v>
      </c>
      <c r="N34" s="140">
        <f>'PR043'!N34+'PR105'!N34</f>
        <v>0</v>
      </c>
      <c r="O34" s="140">
        <f>'PR043'!O34+'PR105'!O34</f>
        <v>0</v>
      </c>
      <c r="P34" s="140">
        <f>'PR043'!P34+'PR105'!P34</f>
        <v>0</v>
      </c>
      <c r="Q34" s="140">
        <f>'PR043'!Q34+'PR105'!Q34</f>
        <v>0</v>
      </c>
      <c r="R34" s="140">
        <f>'PR043'!R34+'PR105'!R34</f>
        <v>0</v>
      </c>
      <c r="S34" s="140">
        <f>'PR043'!S34+'PR105'!S34</f>
        <v>0</v>
      </c>
      <c r="T34" s="361">
        <f>'PR043'!T34+'PR105'!T34</f>
        <v>0</v>
      </c>
    </row>
    <row r="35" spans="2:20" x14ac:dyDescent="0.3">
      <c r="B35" s="360" t="s">
        <v>234</v>
      </c>
      <c r="C35" s="112"/>
      <c r="D35" s="112"/>
      <c r="E35" s="112"/>
      <c r="F35" s="140">
        <f>F34*(1+'Inputs and assumptions'!$C$7)</f>
        <v>1856250</v>
      </c>
      <c r="G35" s="140">
        <f>G34*(1+'Inputs and assumptions'!$C$7)</f>
        <v>206250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361">
        <f>T34*(1+'Inputs and assumptions'!$C$7)</f>
        <v>0</v>
      </c>
    </row>
    <row r="36" spans="2:20" ht="13.5" thickBot="1" x14ac:dyDescent="0.35">
      <c r="B36" s="362" t="s">
        <v>43</v>
      </c>
      <c r="C36" s="363"/>
      <c r="D36" s="363"/>
      <c r="E36" s="363"/>
      <c r="F36" s="364">
        <f>'PR043'!F36+'PR105'!F36</f>
        <v>0</v>
      </c>
      <c r="G36" s="364">
        <f>'PR043'!G36+'PR105'!G36</f>
        <v>25000</v>
      </c>
      <c r="H36" s="364">
        <f>'PR043'!H36+'PR105'!H36</f>
        <v>25000</v>
      </c>
      <c r="I36" s="364">
        <f>'PR043'!I36+'PR105'!I36</f>
        <v>25000</v>
      </c>
      <c r="J36" s="364">
        <f>'PR043'!J36+'PR105'!J36</f>
        <v>25000</v>
      </c>
      <c r="K36" s="364">
        <f>'PR043'!K36+'PR105'!K36</f>
        <v>25000</v>
      </c>
      <c r="L36" s="364">
        <f>'PR043'!L36+'PR105'!L36</f>
        <v>25000</v>
      </c>
      <c r="M36" s="364">
        <f>'PR043'!M36+'PR105'!M36</f>
        <v>25000</v>
      </c>
      <c r="N36" s="364">
        <f>'PR043'!N36+'PR105'!N36</f>
        <v>0</v>
      </c>
      <c r="O36" s="364">
        <f>'PR043'!O36+'PR105'!O36</f>
        <v>0</v>
      </c>
      <c r="P36" s="364">
        <f>'PR043'!P36+'PR105'!P36</f>
        <v>0</v>
      </c>
      <c r="Q36" s="364">
        <f>'PR043'!Q36+'PR105'!Q36</f>
        <v>0</v>
      </c>
      <c r="R36" s="364">
        <f>'PR043'!R36+'PR105'!R36</f>
        <v>0</v>
      </c>
      <c r="S36" s="364">
        <f>'PR043'!S36+'PR105'!S36</f>
        <v>0</v>
      </c>
      <c r="T36" s="365">
        <f>'PR043'!T36+'PR105'!T36</f>
        <v>0</v>
      </c>
    </row>
    <row r="37" spans="2:20" x14ac:dyDescent="0.3">
      <c r="B37" s="360" t="s">
        <v>44</v>
      </c>
      <c r="C37" s="112"/>
      <c r="D37" s="353">
        <f>NPV($D$33,F37:T37)</f>
        <v>-1472963.8150115646</v>
      </c>
      <c r="F37" s="140">
        <f>'PR043'!F37+'PR105'!F37</f>
        <v>-1237500</v>
      </c>
      <c r="G37" s="140">
        <f>'PR043'!G37+'PR105'!G37</f>
        <v>-162500</v>
      </c>
      <c r="H37" s="140">
        <f>'PR043'!H37+'PR105'!H37</f>
        <v>-25000</v>
      </c>
      <c r="I37" s="140">
        <f>'PR043'!I37+'PR105'!I37</f>
        <v>-25000</v>
      </c>
      <c r="J37" s="140">
        <f>'PR043'!J37+'PR105'!J37</f>
        <v>-25000</v>
      </c>
      <c r="K37" s="140">
        <f>'PR043'!K37+'PR105'!K37</f>
        <v>-25000</v>
      </c>
      <c r="L37" s="140">
        <f>'PR043'!L37+'PR105'!L37</f>
        <v>-25000</v>
      </c>
      <c r="M37" s="140">
        <f>'PR043'!M37+'PR105'!M37</f>
        <v>-25000</v>
      </c>
      <c r="N37" s="140">
        <f>'PR043'!N37+'PR105'!N37</f>
        <v>0</v>
      </c>
      <c r="O37" s="140">
        <f>'PR043'!O37+'PR105'!O37</f>
        <v>0</v>
      </c>
      <c r="P37" s="140">
        <f>'PR043'!P37+'PR105'!P37</f>
        <v>0</v>
      </c>
      <c r="Q37" s="140">
        <f>'PR043'!Q37+'PR105'!Q37</f>
        <v>0</v>
      </c>
      <c r="R37" s="140">
        <f>'PR043'!R37+'PR105'!R37</f>
        <v>0</v>
      </c>
      <c r="S37" s="140">
        <f>'PR043'!S37+'PR105'!S37</f>
        <v>0</v>
      </c>
      <c r="T37" s="361">
        <f>'PR043'!T37+'PR105'!T37</f>
        <v>0</v>
      </c>
    </row>
    <row r="38" spans="2:20" ht="13.5" thickBot="1" x14ac:dyDescent="0.35">
      <c r="B38" s="362" t="s">
        <v>235</v>
      </c>
      <c r="C38" s="363"/>
      <c r="D38" s="366"/>
      <c r="E38" s="367"/>
      <c r="F38" s="364">
        <f>'PR043'!F38+'PR105'!F38</f>
        <v>1856250</v>
      </c>
      <c r="G38" s="364">
        <f>'PR043'!G38+'PR105'!G38</f>
        <v>231250</v>
      </c>
      <c r="H38" s="364">
        <f>'PR043'!H38+'PR105'!H38</f>
        <v>25000</v>
      </c>
      <c r="I38" s="364">
        <f>'PR043'!I38+'PR105'!I38</f>
        <v>25000</v>
      </c>
      <c r="J38" s="364">
        <f>'PR043'!J38+'PR105'!J38</f>
        <v>25000</v>
      </c>
      <c r="K38" s="364">
        <f>'PR043'!K38+'PR105'!K38</f>
        <v>25000</v>
      </c>
      <c r="L38" s="364">
        <f>'PR043'!L38+'PR105'!L38</f>
        <v>25000</v>
      </c>
      <c r="M38" s="364">
        <f>'PR043'!M38+'PR105'!M38</f>
        <v>25000</v>
      </c>
      <c r="N38" s="364">
        <f>'PR043'!N38+'PR105'!N38</f>
        <v>0</v>
      </c>
      <c r="O38" s="364">
        <f>'PR043'!O38+'PR105'!O38</f>
        <v>0</v>
      </c>
      <c r="P38" s="364">
        <f>'PR043'!P38+'PR105'!P38</f>
        <v>0</v>
      </c>
      <c r="Q38" s="364">
        <f>'PR043'!Q38+'PR105'!Q38</f>
        <v>0</v>
      </c>
      <c r="R38" s="364">
        <f>'PR043'!R38+'PR105'!R38</f>
        <v>0</v>
      </c>
      <c r="S38" s="364">
        <f>'PR043'!S38+'PR105'!S38</f>
        <v>0</v>
      </c>
      <c r="T38" s="365">
        <f>'PR043'!T38+'PR105'!T38</f>
        <v>0</v>
      </c>
    </row>
    <row r="39" spans="2:20" x14ac:dyDescent="0.3">
      <c r="B39" s="360" t="s">
        <v>45</v>
      </c>
      <c r="C39" s="112"/>
      <c r="D39" s="134"/>
      <c r="E39" s="112"/>
      <c r="F39" s="140">
        <f>'PR043'!F39+'PR105'!F39</f>
        <v>0</v>
      </c>
      <c r="G39" s="140">
        <f>'PR043'!G39+'PR105'!G39</f>
        <v>1019840</v>
      </c>
      <c r="H39" s="140">
        <f>'PR043'!H39+'PR105'!H39</f>
        <v>1019840</v>
      </c>
      <c r="I39" s="140">
        <f>'PR043'!I39+'PR105'!I39</f>
        <v>1019840</v>
      </c>
      <c r="J39" s="140">
        <f>'PR043'!J39+'PR105'!J39</f>
        <v>1019840</v>
      </c>
      <c r="K39" s="140">
        <f>'PR043'!K39+'PR105'!K39</f>
        <v>1019840</v>
      </c>
      <c r="L39" s="140">
        <f>'PR043'!L39+'PR105'!L39</f>
        <v>1019840</v>
      </c>
      <c r="M39" s="140">
        <f>'PR043'!M39+'PR105'!M39</f>
        <v>1019840</v>
      </c>
      <c r="N39" s="140">
        <f>'PR043'!N39+'PR105'!N39</f>
        <v>0</v>
      </c>
      <c r="O39" s="140">
        <f>'PR043'!O39+'PR105'!O39</f>
        <v>0</v>
      </c>
      <c r="P39" s="140">
        <f>'PR043'!P39+'PR105'!P39</f>
        <v>0</v>
      </c>
      <c r="Q39" s="140">
        <f>'PR043'!Q39+'PR105'!Q39</f>
        <v>0</v>
      </c>
      <c r="R39" s="140">
        <f>'PR043'!R39+'PR105'!R39</f>
        <v>0</v>
      </c>
      <c r="S39" s="140">
        <f>'PR043'!S39+'PR105'!S39</f>
        <v>0</v>
      </c>
      <c r="T39" s="361">
        <f>'PR043'!T39+'PR105'!T39</f>
        <v>0</v>
      </c>
    </row>
    <row r="40" spans="2:20" x14ac:dyDescent="0.3">
      <c r="B40" s="360" t="s">
        <v>46</v>
      </c>
      <c r="C40" s="112"/>
      <c r="D40" s="134">
        <f>NPV($D$33,F40:T40)</f>
        <v>4569034.8605517959</v>
      </c>
      <c r="E40" s="112"/>
      <c r="F40" s="140">
        <f>'PR043'!F40+'PR105'!F40</f>
        <v>-1237500</v>
      </c>
      <c r="G40" s="140">
        <f>'PR043'!G40+'PR105'!G40</f>
        <v>857340</v>
      </c>
      <c r="H40" s="140">
        <f>'PR043'!H40+'PR105'!H40</f>
        <v>994840</v>
      </c>
      <c r="I40" s="140">
        <f>'PR043'!I40+'PR105'!I40</f>
        <v>994840</v>
      </c>
      <c r="J40" s="140">
        <f>'PR043'!J40+'PR105'!J40</f>
        <v>994840</v>
      </c>
      <c r="K40" s="140">
        <f>'PR043'!K40+'PR105'!K40</f>
        <v>994840</v>
      </c>
      <c r="L40" s="140">
        <f>'PR043'!L40+'PR105'!L40</f>
        <v>994840</v>
      </c>
      <c r="M40" s="140">
        <f>'PR043'!M40+'PR105'!M40</f>
        <v>994840</v>
      </c>
      <c r="N40" s="140">
        <f>'PR043'!N40+'PR105'!N40</f>
        <v>0</v>
      </c>
      <c r="O40" s="140">
        <f>'PR043'!O40+'PR105'!O40</f>
        <v>0</v>
      </c>
      <c r="P40" s="140">
        <f>'PR043'!P40+'PR105'!P40</f>
        <v>0</v>
      </c>
      <c r="Q40" s="140">
        <f>'PR043'!Q40+'PR105'!Q40</f>
        <v>0</v>
      </c>
      <c r="R40" s="140">
        <f>'PR043'!R40+'PR105'!R40</f>
        <v>0</v>
      </c>
      <c r="S40" s="140">
        <f>'PR043'!S40+'PR105'!S40</f>
        <v>0</v>
      </c>
      <c r="T40" s="361">
        <f>'PR043'!T40+'PR105'!T40</f>
        <v>0</v>
      </c>
    </row>
    <row r="41" spans="2:20" ht="13.5" thickBot="1" x14ac:dyDescent="0.35">
      <c r="B41" s="362"/>
      <c r="C41" s="363"/>
      <c r="D41" s="363"/>
      <c r="E41" s="368"/>
      <c r="F41" s="369"/>
      <c r="G41" s="370"/>
      <c r="H41" s="370"/>
      <c r="I41" s="370"/>
      <c r="J41" s="370"/>
      <c r="K41" s="370"/>
      <c r="L41" s="370"/>
      <c r="M41" s="370"/>
      <c r="N41" s="370"/>
      <c r="O41" s="370"/>
      <c r="P41" s="370"/>
      <c r="Q41" s="370"/>
      <c r="R41" s="370"/>
      <c r="S41" s="370"/>
      <c r="T41" s="371"/>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8">
        <f>C74*'Inputs and assumptions'!D17</f>
        <v>0</v>
      </c>
      <c r="E74" s="393"/>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193" t="s">
        <v>52</v>
      </c>
      <c r="C75" s="240"/>
      <c r="D75" s="388">
        <f>C75*'Inputs and assumptions'!D18</f>
        <v>0</v>
      </c>
      <c r="E75" s="393"/>
      <c r="F75" s="175">
        <v>0</v>
      </c>
      <c r="G75" s="175">
        <v>0</v>
      </c>
      <c r="H75" s="175">
        <v>0</v>
      </c>
      <c r="I75" s="175">
        <v>0</v>
      </c>
      <c r="J75" s="175">
        <v>0</v>
      </c>
      <c r="K75" s="175">
        <v>0</v>
      </c>
      <c r="L75" s="175">
        <v>0</v>
      </c>
      <c r="M75" s="175">
        <v>0</v>
      </c>
      <c r="N75" s="175">
        <v>0</v>
      </c>
      <c r="O75" s="175">
        <v>0</v>
      </c>
      <c r="P75" s="175">
        <v>0</v>
      </c>
      <c r="Q75" s="175">
        <v>0</v>
      </c>
      <c r="R75" s="175">
        <v>0</v>
      </c>
      <c r="S75" s="175">
        <v>0</v>
      </c>
      <c r="T75" s="395">
        <v>0</v>
      </c>
    </row>
    <row r="76" spans="2:20" x14ac:dyDescent="0.3">
      <c r="B76" s="193" t="s">
        <v>53</v>
      </c>
      <c r="C76" s="240"/>
      <c r="D76" s="388">
        <f>C76*'Inputs and assumptions'!D19</f>
        <v>0</v>
      </c>
      <c r="E76" s="393"/>
      <c r="F76" s="175">
        <v>0</v>
      </c>
      <c r="G76" s="175">
        <v>0</v>
      </c>
      <c r="H76" s="175">
        <v>0</v>
      </c>
      <c r="I76" s="175">
        <v>0</v>
      </c>
      <c r="J76" s="175">
        <v>0</v>
      </c>
      <c r="K76" s="175">
        <v>0</v>
      </c>
      <c r="L76" s="175">
        <v>0</v>
      </c>
      <c r="M76" s="175">
        <v>0</v>
      </c>
      <c r="N76" s="175">
        <v>0</v>
      </c>
      <c r="O76" s="175">
        <v>0</v>
      </c>
      <c r="P76" s="175">
        <v>0</v>
      </c>
      <c r="Q76" s="175">
        <v>0</v>
      </c>
      <c r="R76" s="175">
        <v>0</v>
      </c>
      <c r="S76" s="175">
        <v>0</v>
      </c>
      <c r="T76" s="395">
        <v>0</v>
      </c>
    </row>
    <row r="77" spans="2:20" x14ac:dyDescent="0.3">
      <c r="B77" s="193" t="s">
        <v>54</v>
      </c>
      <c r="C77" s="240"/>
      <c r="D77" s="388">
        <f>C77*'Inputs and assumptions'!D20</f>
        <v>0</v>
      </c>
      <c r="E77" s="393"/>
      <c r="F77" s="175">
        <v>0</v>
      </c>
      <c r="G77" s="175">
        <v>0</v>
      </c>
      <c r="H77" s="175">
        <v>0</v>
      </c>
      <c r="I77" s="175">
        <v>0</v>
      </c>
      <c r="J77" s="175">
        <v>0</v>
      </c>
      <c r="K77" s="175">
        <v>0</v>
      </c>
      <c r="L77" s="175">
        <v>0</v>
      </c>
      <c r="M77" s="175">
        <v>0</v>
      </c>
      <c r="N77" s="175">
        <v>0</v>
      </c>
      <c r="O77" s="175">
        <v>0</v>
      </c>
      <c r="P77" s="175">
        <v>0</v>
      </c>
      <c r="Q77" s="175">
        <v>0</v>
      </c>
      <c r="R77" s="175">
        <v>0</v>
      </c>
      <c r="S77" s="175">
        <v>0</v>
      </c>
      <c r="T77" s="395">
        <v>0</v>
      </c>
    </row>
    <row r="78" spans="2:20" x14ac:dyDescent="0.3">
      <c r="B78" s="193"/>
      <c r="E78" s="393"/>
      <c r="F78" s="215"/>
      <c r="G78" s="215"/>
      <c r="H78" s="215"/>
      <c r="I78" s="215"/>
      <c r="J78" s="215"/>
      <c r="K78" s="215"/>
      <c r="L78" s="215"/>
      <c r="M78" s="215"/>
      <c r="N78" s="215"/>
      <c r="O78" s="215"/>
      <c r="P78" s="215"/>
      <c r="Q78" s="215"/>
      <c r="R78" s="215"/>
      <c r="S78" s="215"/>
      <c r="T78" s="394"/>
    </row>
    <row r="79" spans="2:20" x14ac:dyDescent="0.3">
      <c r="B79" s="191" t="s">
        <v>55</v>
      </c>
      <c r="C79" s="239" t="s">
        <v>236</v>
      </c>
      <c r="D79" s="386"/>
      <c r="E79" s="393"/>
      <c r="F79" s="215"/>
      <c r="G79" s="215"/>
      <c r="H79" s="215"/>
      <c r="I79" s="215"/>
      <c r="J79" s="215"/>
      <c r="K79" s="215"/>
      <c r="L79" s="215"/>
      <c r="M79" s="215"/>
      <c r="N79" s="215"/>
      <c r="O79" s="215"/>
      <c r="P79" s="215"/>
      <c r="Q79" s="215"/>
      <c r="R79" s="215"/>
      <c r="S79" s="215"/>
      <c r="T79" s="394"/>
    </row>
    <row r="80" spans="2:20" x14ac:dyDescent="0.3">
      <c r="B80" s="193" t="s">
        <v>56</v>
      </c>
      <c r="C80" s="240"/>
      <c r="D80" s="388">
        <f>C80*'Inputs and assumptions'!D23</f>
        <v>0</v>
      </c>
      <c r="E80" s="393"/>
      <c r="F80" s="175">
        <v>0</v>
      </c>
      <c r="G80" s="175">
        <v>0</v>
      </c>
      <c r="H80" s="175">
        <v>0</v>
      </c>
      <c r="I80" s="175">
        <v>0</v>
      </c>
      <c r="J80" s="175">
        <v>0</v>
      </c>
      <c r="K80" s="175">
        <v>0</v>
      </c>
      <c r="L80" s="175">
        <v>0</v>
      </c>
      <c r="M80" s="175">
        <v>0</v>
      </c>
      <c r="N80" s="175">
        <v>0</v>
      </c>
      <c r="O80" s="175">
        <v>0</v>
      </c>
      <c r="P80" s="175">
        <v>0</v>
      </c>
      <c r="Q80" s="175">
        <v>0</v>
      </c>
      <c r="R80" s="175">
        <v>0</v>
      </c>
      <c r="S80" s="175">
        <v>0</v>
      </c>
      <c r="T80" s="395">
        <v>0</v>
      </c>
    </row>
    <row r="81" spans="2:20" x14ac:dyDescent="0.3">
      <c r="B81" s="193" t="s">
        <v>57</v>
      </c>
      <c r="C81" s="240"/>
      <c r="D81" s="388">
        <f>C81*'Inputs and assumptions'!D24</f>
        <v>0</v>
      </c>
      <c r="E81" s="393"/>
      <c r="F81" s="175">
        <v>0</v>
      </c>
      <c r="G81" s="175">
        <v>0</v>
      </c>
      <c r="H81" s="175">
        <v>0</v>
      </c>
      <c r="I81" s="175">
        <v>0</v>
      </c>
      <c r="J81" s="175">
        <v>0</v>
      </c>
      <c r="K81" s="175">
        <v>0</v>
      </c>
      <c r="L81" s="175">
        <v>0</v>
      </c>
      <c r="M81" s="175">
        <v>0</v>
      </c>
      <c r="N81" s="175">
        <v>0</v>
      </c>
      <c r="O81" s="175">
        <v>0</v>
      </c>
      <c r="P81" s="175">
        <v>0</v>
      </c>
      <c r="Q81" s="175">
        <v>0</v>
      </c>
      <c r="R81" s="175">
        <v>0</v>
      </c>
      <c r="S81" s="175">
        <v>0</v>
      </c>
      <c r="T81" s="395">
        <v>0</v>
      </c>
    </row>
    <row r="82" spans="2:20" x14ac:dyDescent="0.3">
      <c r="B82" s="193" t="s">
        <v>58</v>
      </c>
      <c r="C82" s="240"/>
      <c r="D82" s="388">
        <f>C82*'Inputs and assumptions'!D25</f>
        <v>0</v>
      </c>
      <c r="E82" s="393"/>
      <c r="F82" s="175">
        <v>0</v>
      </c>
      <c r="G82" s="175">
        <v>0</v>
      </c>
      <c r="H82" s="175">
        <v>0</v>
      </c>
      <c r="I82" s="175">
        <v>0</v>
      </c>
      <c r="J82" s="175">
        <v>0</v>
      </c>
      <c r="K82" s="175">
        <v>0</v>
      </c>
      <c r="L82" s="175">
        <v>0</v>
      </c>
      <c r="M82" s="175">
        <v>0</v>
      </c>
      <c r="N82" s="175">
        <v>0</v>
      </c>
      <c r="O82" s="175">
        <v>0</v>
      </c>
      <c r="P82" s="175">
        <v>0</v>
      </c>
      <c r="Q82" s="175">
        <v>0</v>
      </c>
      <c r="R82" s="175">
        <v>0</v>
      </c>
      <c r="S82" s="175">
        <v>0</v>
      </c>
      <c r="T82" s="395">
        <v>0</v>
      </c>
    </row>
    <row r="83" spans="2:20" x14ac:dyDescent="0.3">
      <c r="B83" s="193" t="s">
        <v>59</v>
      </c>
      <c r="C83" s="240"/>
      <c r="D83" s="388">
        <f>C83*'Inputs and assumptions'!D26</f>
        <v>0</v>
      </c>
      <c r="E83" s="393"/>
      <c r="F83" s="175">
        <v>0</v>
      </c>
      <c r="G83" s="175">
        <v>0</v>
      </c>
      <c r="H83" s="175">
        <v>0</v>
      </c>
      <c r="I83" s="175">
        <v>0</v>
      </c>
      <c r="J83" s="175">
        <v>0</v>
      </c>
      <c r="K83" s="175">
        <v>0</v>
      </c>
      <c r="L83" s="175">
        <v>0</v>
      </c>
      <c r="M83" s="175">
        <v>0</v>
      </c>
      <c r="N83" s="175">
        <v>0</v>
      </c>
      <c r="O83" s="175">
        <v>0</v>
      </c>
      <c r="P83" s="175">
        <v>0</v>
      </c>
      <c r="Q83" s="175">
        <v>0</v>
      </c>
      <c r="R83" s="175">
        <v>0</v>
      </c>
      <c r="S83" s="175">
        <v>0</v>
      </c>
      <c r="T83" s="395">
        <v>0</v>
      </c>
    </row>
    <row r="84" spans="2:20" x14ac:dyDescent="0.3">
      <c r="B84" s="193" t="s">
        <v>60</v>
      </c>
      <c r="C84" s="240"/>
      <c r="D84" s="388">
        <f>C84*'Inputs and assumptions'!D27</f>
        <v>0</v>
      </c>
      <c r="E84" s="393"/>
      <c r="F84" s="175">
        <v>0</v>
      </c>
      <c r="G84" s="175">
        <v>0</v>
      </c>
      <c r="H84" s="175">
        <v>0</v>
      </c>
      <c r="I84" s="175">
        <v>0</v>
      </c>
      <c r="J84" s="175">
        <v>0</v>
      </c>
      <c r="K84" s="175">
        <v>0</v>
      </c>
      <c r="L84" s="175">
        <v>0</v>
      </c>
      <c r="M84" s="175">
        <v>0</v>
      </c>
      <c r="N84" s="175">
        <v>0</v>
      </c>
      <c r="O84" s="175">
        <v>0</v>
      </c>
      <c r="P84" s="175">
        <v>0</v>
      </c>
      <c r="Q84" s="175">
        <v>0</v>
      </c>
      <c r="R84" s="175">
        <v>0</v>
      </c>
      <c r="S84" s="175">
        <v>0</v>
      </c>
      <c r="T84" s="395">
        <v>0</v>
      </c>
    </row>
    <row r="85" spans="2:20" x14ac:dyDescent="0.3">
      <c r="B85" s="193" t="s">
        <v>61</v>
      </c>
      <c r="C85" s="240"/>
      <c r="D85" s="388">
        <f>C85*'Inputs and assumptions'!D28</f>
        <v>0</v>
      </c>
      <c r="E85" s="393"/>
      <c r="F85" s="175">
        <v>0</v>
      </c>
      <c r="G85" s="175">
        <v>0</v>
      </c>
      <c r="H85" s="175">
        <v>0</v>
      </c>
      <c r="I85" s="175">
        <v>0</v>
      </c>
      <c r="J85" s="175">
        <v>0</v>
      </c>
      <c r="K85" s="175">
        <v>0</v>
      </c>
      <c r="L85" s="175">
        <v>0</v>
      </c>
      <c r="M85" s="175">
        <v>0</v>
      </c>
      <c r="N85" s="175">
        <v>0</v>
      </c>
      <c r="O85" s="175">
        <v>0</v>
      </c>
      <c r="P85" s="175">
        <v>0</v>
      </c>
      <c r="Q85" s="175">
        <v>0</v>
      </c>
      <c r="R85" s="175">
        <v>0</v>
      </c>
      <c r="S85" s="175">
        <v>0</v>
      </c>
      <c r="T85" s="395">
        <v>0</v>
      </c>
    </row>
    <row r="86" spans="2:20" x14ac:dyDescent="0.3">
      <c r="B86" s="193"/>
      <c r="E86" s="393"/>
      <c r="F86" s="215"/>
      <c r="G86" s="215"/>
      <c r="H86" s="215"/>
      <c r="I86" s="215"/>
      <c r="J86" s="215"/>
      <c r="K86" s="215"/>
      <c r="L86" s="215"/>
      <c r="M86" s="215"/>
      <c r="N86" s="215"/>
      <c r="O86" s="215"/>
      <c r="P86" s="215"/>
      <c r="Q86" s="215"/>
      <c r="R86" s="215"/>
      <c r="S86" s="215"/>
      <c r="T86" s="394"/>
    </row>
    <row r="87" spans="2:20" x14ac:dyDescent="0.3">
      <c r="B87" s="191" t="s">
        <v>62</v>
      </c>
      <c r="C87" s="239" t="s">
        <v>236</v>
      </c>
      <c r="D87" s="386"/>
      <c r="E87" s="393"/>
      <c r="F87" s="215"/>
      <c r="G87" s="215"/>
      <c r="H87" s="215"/>
      <c r="I87" s="215"/>
      <c r="J87" s="215"/>
      <c r="K87" s="215"/>
      <c r="L87" s="215"/>
      <c r="M87" s="215"/>
      <c r="N87" s="215"/>
      <c r="O87" s="215"/>
      <c r="P87" s="215"/>
      <c r="Q87" s="215"/>
      <c r="R87" s="215"/>
      <c r="S87" s="215"/>
      <c r="T87" s="394"/>
    </row>
    <row r="88" spans="2:20" x14ac:dyDescent="0.3">
      <c r="B88" s="193" t="s">
        <v>63</v>
      </c>
      <c r="C88" s="240"/>
      <c r="D88" s="388">
        <f>C88*'Inputs and assumptions'!D31</f>
        <v>0</v>
      </c>
      <c r="E88" s="393"/>
      <c r="F88" s="175">
        <v>0</v>
      </c>
      <c r="G88" s="175">
        <v>0</v>
      </c>
      <c r="H88" s="175">
        <v>0</v>
      </c>
      <c r="I88" s="175">
        <v>0</v>
      </c>
      <c r="J88" s="175">
        <v>0</v>
      </c>
      <c r="K88" s="175">
        <v>0</v>
      </c>
      <c r="L88" s="175">
        <v>0</v>
      </c>
      <c r="M88" s="175">
        <v>0</v>
      </c>
      <c r="N88" s="175">
        <v>0</v>
      </c>
      <c r="O88" s="175">
        <v>0</v>
      </c>
      <c r="P88" s="175">
        <v>0</v>
      </c>
      <c r="Q88" s="175">
        <v>0</v>
      </c>
      <c r="R88" s="175">
        <v>0</v>
      </c>
      <c r="S88" s="175">
        <v>0</v>
      </c>
      <c r="T88" s="395">
        <v>0</v>
      </c>
    </row>
    <row r="89" spans="2:20" x14ac:dyDescent="0.3">
      <c r="B89" s="193" t="s">
        <v>64</v>
      </c>
      <c r="C89" s="240"/>
      <c r="D89" s="388">
        <f>C89*'Inputs and assumptions'!D32</f>
        <v>0</v>
      </c>
      <c r="E89" s="393"/>
      <c r="F89" s="175">
        <v>0</v>
      </c>
      <c r="G89" s="175">
        <v>0</v>
      </c>
      <c r="H89" s="175">
        <v>0</v>
      </c>
      <c r="I89" s="175">
        <v>0</v>
      </c>
      <c r="J89" s="175">
        <v>0</v>
      </c>
      <c r="K89" s="175">
        <v>0</v>
      </c>
      <c r="L89" s="175">
        <v>0</v>
      </c>
      <c r="M89" s="175">
        <v>0</v>
      </c>
      <c r="N89" s="175">
        <v>0</v>
      </c>
      <c r="O89" s="175">
        <v>0</v>
      </c>
      <c r="P89" s="175">
        <v>0</v>
      </c>
      <c r="Q89" s="175">
        <v>0</v>
      </c>
      <c r="R89" s="175">
        <v>0</v>
      </c>
      <c r="S89" s="175">
        <v>0</v>
      </c>
      <c r="T89" s="395">
        <v>0</v>
      </c>
    </row>
    <row r="90" spans="2:20" x14ac:dyDescent="0.3">
      <c r="B90" s="193"/>
      <c r="E90" s="393"/>
      <c r="F90" s="215"/>
      <c r="G90" s="215"/>
      <c r="H90" s="215"/>
      <c r="I90" s="215"/>
      <c r="J90" s="215"/>
      <c r="K90" s="215"/>
      <c r="L90" s="215"/>
      <c r="M90" s="215"/>
      <c r="N90" s="215"/>
      <c r="O90" s="215"/>
      <c r="P90" s="215"/>
      <c r="Q90" s="215"/>
      <c r="R90" s="215"/>
      <c r="S90" s="215"/>
      <c r="T90" s="394"/>
    </row>
    <row r="91" spans="2:20" x14ac:dyDescent="0.3">
      <c r="B91" s="191" t="s">
        <v>65</v>
      </c>
      <c r="C91" s="239" t="s">
        <v>236</v>
      </c>
      <c r="D91" s="386"/>
      <c r="E91" s="393"/>
      <c r="F91" s="215"/>
      <c r="G91" s="215"/>
      <c r="H91" s="215"/>
      <c r="I91" s="215"/>
      <c r="J91" s="215"/>
      <c r="K91" s="215"/>
      <c r="L91" s="215"/>
      <c r="M91" s="215"/>
      <c r="N91" s="215"/>
      <c r="O91" s="215"/>
      <c r="P91" s="215"/>
      <c r="Q91" s="215"/>
      <c r="R91" s="215"/>
      <c r="S91" s="215"/>
      <c r="T91" s="394"/>
    </row>
    <row r="92" spans="2:20" x14ac:dyDescent="0.3">
      <c r="B92" s="193" t="s">
        <v>66</v>
      </c>
      <c r="C92" s="240"/>
      <c r="D92" s="387">
        <f>C92*'Inputs and assumptions'!D35</f>
        <v>0</v>
      </c>
      <c r="E92" s="393"/>
      <c r="F92" s="175">
        <v>0</v>
      </c>
      <c r="G92" s="175">
        <v>0</v>
      </c>
      <c r="H92" s="175">
        <v>0</v>
      </c>
      <c r="I92" s="175">
        <v>0</v>
      </c>
      <c r="J92" s="175">
        <v>0</v>
      </c>
      <c r="K92" s="175">
        <v>0</v>
      </c>
      <c r="L92" s="175">
        <v>0</v>
      </c>
      <c r="M92" s="175">
        <v>0</v>
      </c>
      <c r="N92" s="175">
        <v>0</v>
      </c>
      <c r="O92" s="175">
        <v>0</v>
      </c>
      <c r="P92" s="175">
        <v>0</v>
      </c>
      <c r="Q92" s="175">
        <v>0</v>
      </c>
      <c r="R92" s="175">
        <v>0</v>
      </c>
      <c r="S92" s="175">
        <v>0</v>
      </c>
      <c r="T92" s="395">
        <v>0</v>
      </c>
    </row>
    <row r="93" spans="2:20" x14ac:dyDescent="0.3">
      <c r="B93" s="193" t="s">
        <v>67</v>
      </c>
      <c r="C93" s="240"/>
      <c r="D93" s="387">
        <f>C93*'Inputs and assumptions'!D36</f>
        <v>0</v>
      </c>
      <c r="E93" s="393"/>
      <c r="F93" s="175">
        <v>0</v>
      </c>
      <c r="G93" s="175">
        <v>0</v>
      </c>
      <c r="H93" s="175">
        <v>0</v>
      </c>
      <c r="I93" s="175">
        <v>0</v>
      </c>
      <c r="J93" s="175">
        <v>0</v>
      </c>
      <c r="K93" s="175">
        <v>0</v>
      </c>
      <c r="L93" s="175">
        <v>0</v>
      </c>
      <c r="M93" s="175">
        <v>0</v>
      </c>
      <c r="N93" s="175">
        <v>0</v>
      </c>
      <c r="O93" s="175">
        <v>0</v>
      </c>
      <c r="P93" s="175">
        <v>0</v>
      </c>
      <c r="Q93" s="175">
        <v>0</v>
      </c>
      <c r="R93" s="175">
        <v>0</v>
      </c>
      <c r="S93" s="175">
        <v>0</v>
      </c>
      <c r="T93" s="395">
        <v>0</v>
      </c>
    </row>
    <row r="94" spans="2:20" x14ac:dyDescent="0.3">
      <c r="B94" s="193" t="s">
        <v>68</v>
      </c>
      <c r="C94" s="240"/>
      <c r="D94" s="387">
        <f>C94*'Inputs and assumptions'!D37</f>
        <v>0</v>
      </c>
      <c r="E94" s="393"/>
      <c r="F94" s="294">
        <f>$D94*F$28</f>
        <v>0</v>
      </c>
      <c r="G94" s="294">
        <f t="shared" ref="G94:T97" si="0">$D94*G$28</f>
        <v>0</v>
      </c>
      <c r="H94" s="294">
        <f t="shared" si="0"/>
        <v>0</v>
      </c>
      <c r="I94" s="294">
        <f t="shared" si="0"/>
        <v>0</v>
      </c>
      <c r="J94" s="294">
        <f t="shared" si="0"/>
        <v>0</v>
      </c>
      <c r="K94" s="294">
        <f t="shared" si="0"/>
        <v>0</v>
      </c>
      <c r="L94" s="294">
        <f t="shared" si="0"/>
        <v>0</v>
      </c>
      <c r="M94" s="294">
        <f t="shared" si="0"/>
        <v>0</v>
      </c>
      <c r="N94" s="294">
        <f t="shared" si="0"/>
        <v>0</v>
      </c>
      <c r="O94" s="294">
        <f t="shared" si="0"/>
        <v>0</v>
      </c>
      <c r="P94" s="294">
        <f t="shared" si="0"/>
        <v>0</v>
      </c>
      <c r="Q94" s="294">
        <f t="shared" si="0"/>
        <v>0</v>
      </c>
      <c r="R94" s="294">
        <f t="shared" si="0"/>
        <v>0</v>
      </c>
      <c r="S94" s="294">
        <f t="shared" si="0"/>
        <v>0</v>
      </c>
      <c r="T94" s="399">
        <f t="shared" si="0"/>
        <v>0</v>
      </c>
    </row>
    <row r="95" spans="2:20" x14ac:dyDescent="0.3">
      <c r="B95" s="193" t="s">
        <v>69</v>
      </c>
      <c r="C95" s="240"/>
      <c r="D95" s="387">
        <f>C95*'Inputs and assumptions'!D38</f>
        <v>0</v>
      </c>
      <c r="E95" s="393"/>
      <c r="F95" s="294">
        <f t="shared" ref="F95:F97" si="1">$D95*F$28</f>
        <v>0</v>
      </c>
      <c r="G95" s="294">
        <f t="shared" si="0"/>
        <v>0</v>
      </c>
      <c r="H95" s="294">
        <f t="shared" si="0"/>
        <v>0</v>
      </c>
      <c r="I95" s="294">
        <f t="shared" si="0"/>
        <v>0</v>
      </c>
      <c r="J95" s="294">
        <f t="shared" si="0"/>
        <v>0</v>
      </c>
      <c r="K95" s="294">
        <f t="shared" si="0"/>
        <v>0</v>
      </c>
      <c r="L95" s="294">
        <f t="shared" si="0"/>
        <v>0</v>
      </c>
      <c r="M95" s="294">
        <f t="shared" si="0"/>
        <v>0</v>
      </c>
      <c r="N95" s="294">
        <f t="shared" si="0"/>
        <v>0</v>
      </c>
      <c r="O95" s="294">
        <f t="shared" si="0"/>
        <v>0</v>
      </c>
      <c r="P95" s="294">
        <f t="shared" si="0"/>
        <v>0</v>
      </c>
      <c r="Q95" s="294">
        <f t="shared" si="0"/>
        <v>0</v>
      </c>
      <c r="R95" s="294">
        <f t="shared" si="0"/>
        <v>0</v>
      </c>
      <c r="S95" s="294">
        <f t="shared" si="0"/>
        <v>0</v>
      </c>
      <c r="T95" s="399">
        <f t="shared" si="0"/>
        <v>0</v>
      </c>
    </row>
    <row r="96" spans="2:20" x14ac:dyDescent="0.3">
      <c r="B96" s="193" t="s">
        <v>70</v>
      </c>
      <c r="C96" s="240"/>
      <c r="D96" s="387">
        <f>C96*'Inputs and assumptions'!D39</f>
        <v>0</v>
      </c>
      <c r="E96" s="393"/>
      <c r="F96" s="294">
        <f t="shared" si="1"/>
        <v>0</v>
      </c>
      <c r="G96" s="294">
        <f t="shared" si="0"/>
        <v>0</v>
      </c>
      <c r="H96" s="294">
        <f t="shared" si="0"/>
        <v>0</v>
      </c>
      <c r="I96" s="294">
        <f t="shared" si="0"/>
        <v>0</v>
      </c>
      <c r="J96" s="294">
        <f t="shared" si="0"/>
        <v>0</v>
      </c>
      <c r="K96" s="294">
        <f t="shared" si="0"/>
        <v>0</v>
      </c>
      <c r="L96" s="294">
        <f t="shared" si="0"/>
        <v>0</v>
      </c>
      <c r="M96" s="294">
        <f t="shared" si="0"/>
        <v>0</v>
      </c>
      <c r="N96" s="294">
        <f t="shared" si="0"/>
        <v>0</v>
      </c>
      <c r="O96" s="294">
        <f t="shared" si="0"/>
        <v>0</v>
      </c>
      <c r="P96" s="294">
        <f t="shared" si="0"/>
        <v>0</v>
      </c>
      <c r="Q96" s="294">
        <f t="shared" si="0"/>
        <v>0</v>
      </c>
      <c r="R96" s="294">
        <f t="shared" si="0"/>
        <v>0</v>
      </c>
      <c r="S96" s="294">
        <f t="shared" si="0"/>
        <v>0</v>
      </c>
      <c r="T96" s="399">
        <f t="shared" si="0"/>
        <v>0</v>
      </c>
    </row>
    <row r="97" spans="2:20" x14ac:dyDescent="0.3">
      <c r="B97" s="193" t="s">
        <v>71</v>
      </c>
      <c r="C97" s="240"/>
      <c r="D97" s="387">
        <f>C97*'Inputs and assumptions'!D40</f>
        <v>0</v>
      </c>
      <c r="E97" s="393"/>
      <c r="F97" s="294">
        <f t="shared" si="1"/>
        <v>0</v>
      </c>
      <c r="G97" s="294">
        <f t="shared" si="0"/>
        <v>0</v>
      </c>
      <c r="H97" s="294">
        <f t="shared" si="0"/>
        <v>0</v>
      </c>
      <c r="I97" s="294">
        <f t="shared" si="0"/>
        <v>0</v>
      </c>
      <c r="J97" s="294">
        <f t="shared" si="0"/>
        <v>0</v>
      </c>
      <c r="K97" s="294">
        <f t="shared" si="0"/>
        <v>0</v>
      </c>
      <c r="L97" s="294">
        <f t="shared" si="0"/>
        <v>0</v>
      </c>
      <c r="M97" s="294">
        <f t="shared" si="0"/>
        <v>0</v>
      </c>
      <c r="N97" s="294">
        <f t="shared" si="0"/>
        <v>0</v>
      </c>
      <c r="O97" s="294">
        <f t="shared" si="0"/>
        <v>0</v>
      </c>
      <c r="P97" s="294">
        <f t="shared" si="0"/>
        <v>0</v>
      </c>
      <c r="Q97" s="294">
        <f t="shared" si="0"/>
        <v>0</v>
      </c>
      <c r="R97" s="294">
        <f t="shared" si="0"/>
        <v>0</v>
      </c>
      <c r="S97" s="294">
        <f t="shared" si="0"/>
        <v>0</v>
      </c>
      <c r="T97" s="399">
        <f t="shared" si="0"/>
        <v>0</v>
      </c>
    </row>
    <row r="98" spans="2:20" ht="13.5" thickBot="1" x14ac:dyDescent="0.35">
      <c r="B98" s="194" t="s">
        <v>72</v>
      </c>
      <c r="C98" s="254"/>
      <c r="D98" s="480">
        <f>C98*'Inputs and assumptions'!D41</f>
        <v>0</v>
      </c>
      <c r="E98" s="362"/>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2">$D$102*F27</f>
        <v>0</v>
      </c>
      <c r="G102" s="140">
        <f t="shared" si="2"/>
        <v>0</v>
      </c>
      <c r="H102" s="140">
        <f t="shared" si="2"/>
        <v>0</v>
      </c>
      <c r="I102" s="140">
        <f t="shared" si="2"/>
        <v>0</v>
      </c>
      <c r="J102" s="140">
        <f t="shared" si="2"/>
        <v>0</v>
      </c>
      <c r="K102" s="140">
        <f t="shared" si="2"/>
        <v>0</v>
      </c>
      <c r="L102" s="140">
        <f t="shared" si="2"/>
        <v>0</v>
      </c>
      <c r="M102" s="140">
        <f t="shared" si="2"/>
        <v>0</v>
      </c>
      <c r="N102" s="140">
        <f t="shared" si="2"/>
        <v>0</v>
      </c>
      <c r="O102" s="140">
        <f t="shared" si="2"/>
        <v>0</v>
      </c>
      <c r="P102" s="140">
        <f t="shared" si="2"/>
        <v>0</v>
      </c>
      <c r="Q102" s="140">
        <f t="shared" si="2"/>
        <v>0</v>
      </c>
      <c r="R102" s="140">
        <f t="shared" si="2"/>
        <v>0</v>
      </c>
      <c r="S102" s="140">
        <f t="shared" si="2"/>
        <v>0</v>
      </c>
      <c r="T102" s="141">
        <f t="shared" si="2"/>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c r="G107" s="294"/>
      <c r="H107" s="175"/>
      <c r="I107" s="175"/>
      <c r="J107" s="175"/>
      <c r="K107" s="175"/>
      <c r="L107" s="175"/>
      <c r="M107" s="175"/>
      <c r="N107" s="175"/>
      <c r="O107" s="175"/>
      <c r="P107" s="175"/>
      <c r="Q107" s="175"/>
      <c r="R107" s="175"/>
      <c r="S107" s="175"/>
      <c r="T107" s="176"/>
    </row>
    <row r="108" spans="2:20" x14ac:dyDescent="0.3">
      <c r="B108" s="123" t="s">
        <v>79</v>
      </c>
      <c r="C108" s="112"/>
      <c r="F108" s="175"/>
      <c r="G108" s="175"/>
      <c r="H108" s="175"/>
      <c r="I108" s="175"/>
      <c r="J108" s="175"/>
      <c r="K108" s="175"/>
      <c r="L108" s="175"/>
      <c r="M108" s="175"/>
      <c r="N108" s="175"/>
      <c r="O108" s="175"/>
      <c r="P108" s="175"/>
      <c r="Q108" s="175"/>
      <c r="R108" s="175"/>
      <c r="S108" s="175"/>
      <c r="T108" s="176"/>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2"/>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622"/>
      <c r="C113" s="605"/>
      <c r="D113" s="605"/>
      <c r="E113" s="606"/>
      <c r="F113" s="290"/>
      <c r="G113" s="290"/>
      <c r="H113" s="290"/>
      <c r="I113" s="290"/>
      <c r="J113" s="290"/>
      <c r="K113" s="290"/>
      <c r="L113" s="181"/>
      <c r="M113" s="181"/>
      <c r="N113" s="181"/>
      <c r="O113" s="181"/>
      <c r="P113" s="181"/>
      <c r="Q113" s="181"/>
      <c r="R113" s="181"/>
      <c r="S113" s="181"/>
      <c r="T113" s="181"/>
    </row>
    <row r="114" spans="2:20" ht="15" customHeight="1" x14ac:dyDescent="0.3">
      <c r="B114" s="607"/>
      <c r="C114" s="608"/>
      <c r="D114" s="608"/>
      <c r="E114" s="609"/>
      <c r="F114" s="290"/>
      <c r="G114" s="290"/>
      <c r="H114" s="290"/>
      <c r="I114" s="290"/>
      <c r="J114" s="290"/>
      <c r="K114" s="290"/>
      <c r="L114" s="181"/>
      <c r="M114" s="181"/>
      <c r="N114" s="181"/>
      <c r="O114" s="181"/>
      <c r="P114" s="181"/>
      <c r="Q114" s="181"/>
      <c r="R114" s="181"/>
      <c r="S114" s="181"/>
      <c r="T114" s="181"/>
    </row>
    <row r="115" spans="2:20" ht="15" customHeight="1" x14ac:dyDescent="0.3">
      <c r="B115" s="607"/>
      <c r="C115" s="608"/>
      <c r="D115" s="608"/>
      <c r="E115" s="609"/>
      <c r="F115" s="290"/>
      <c r="G115" s="290"/>
      <c r="H115" s="290"/>
      <c r="I115" s="290"/>
      <c r="J115" s="290"/>
      <c r="K115" s="290"/>
      <c r="L115" s="181"/>
      <c r="M115" s="181"/>
      <c r="N115" s="181"/>
      <c r="O115" s="181"/>
      <c r="P115" s="181"/>
      <c r="Q115" s="181"/>
      <c r="R115" s="181"/>
      <c r="S115" s="181"/>
      <c r="T115" s="181"/>
    </row>
    <row r="116" spans="2:20" ht="15" customHeight="1" x14ac:dyDescent="0.3">
      <c r="B116" s="607"/>
      <c r="C116" s="608"/>
      <c r="D116" s="608"/>
      <c r="E116" s="609"/>
      <c r="F116" s="290"/>
      <c r="G116" s="290"/>
      <c r="H116" s="290"/>
      <c r="I116" s="290"/>
      <c r="J116" s="290"/>
      <c r="K116" s="290"/>
      <c r="L116" s="181"/>
      <c r="M116" s="181"/>
      <c r="N116" s="181"/>
      <c r="O116" s="181"/>
      <c r="P116" s="181"/>
      <c r="Q116" s="181"/>
      <c r="R116" s="181"/>
      <c r="S116" s="181"/>
      <c r="T116" s="181"/>
    </row>
    <row r="117" spans="2:20" ht="15" customHeight="1" x14ac:dyDescent="0.3">
      <c r="B117" s="607"/>
      <c r="C117" s="608"/>
      <c r="D117" s="608"/>
      <c r="E117" s="609"/>
      <c r="F117" s="290"/>
      <c r="G117" s="290"/>
      <c r="H117" s="290"/>
      <c r="I117" s="290"/>
      <c r="J117" s="290"/>
      <c r="K117" s="290"/>
      <c r="L117" s="181"/>
      <c r="M117" s="181"/>
      <c r="N117" s="181"/>
      <c r="O117" s="181"/>
      <c r="P117" s="181"/>
      <c r="Q117" s="181"/>
      <c r="R117" s="181"/>
      <c r="S117" s="181"/>
      <c r="T117" s="181"/>
    </row>
    <row r="118" spans="2:20" ht="15" customHeight="1" x14ac:dyDescent="0.3">
      <c r="B118" s="607"/>
      <c r="C118" s="608"/>
      <c r="D118" s="608"/>
      <c r="E118" s="609"/>
      <c r="F118" s="290"/>
      <c r="G118" s="290"/>
      <c r="H118" s="290"/>
      <c r="I118" s="290"/>
      <c r="J118" s="290"/>
      <c r="K118" s="290"/>
      <c r="L118" s="181"/>
      <c r="M118" s="181"/>
      <c r="N118" s="181"/>
      <c r="O118" s="181"/>
      <c r="P118" s="181"/>
      <c r="Q118" s="181"/>
      <c r="R118" s="181"/>
      <c r="S118" s="181"/>
      <c r="T118" s="181"/>
    </row>
    <row r="119" spans="2:20" ht="15" customHeight="1" x14ac:dyDescent="0.3">
      <c r="B119" s="607"/>
      <c r="C119" s="608"/>
      <c r="D119" s="608"/>
      <c r="E119" s="609"/>
      <c r="F119" s="290"/>
      <c r="G119" s="290"/>
      <c r="H119" s="290"/>
      <c r="I119" s="290"/>
      <c r="J119" s="290"/>
      <c r="K119" s="290"/>
      <c r="L119" s="181"/>
      <c r="M119" s="181"/>
      <c r="N119" s="181"/>
      <c r="O119" s="181"/>
      <c r="P119" s="181"/>
      <c r="Q119" s="181"/>
      <c r="R119" s="181"/>
      <c r="S119" s="181"/>
      <c r="T119" s="181"/>
    </row>
    <row r="120" spans="2:20" ht="15" customHeight="1" x14ac:dyDescent="0.3">
      <c r="B120" s="607"/>
      <c r="C120" s="608"/>
      <c r="D120" s="608"/>
      <c r="E120" s="609"/>
      <c r="F120" s="290"/>
      <c r="G120" s="290"/>
      <c r="H120" s="290"/>
      <c r="I120" s="290"/>
      <c r="J120" s="290"/>
      <c r="K120" s="290"/>
      <c r="L120" s="181"/>
      <c r="M120" s="181"/>
      <c r="N120" s="181"/>
      <c r="O120" s="181"/>
      <c r="P120" s="181"/>
      <c r="Q120" s="181"/>
      <c r="R120" s="181"/>
      <c r="S120" s="181"/>
      <c r="T120" s="181"/>
    </row>
    <row r="121" spans="2:20" ht="15" customHeight="1" x14ac:dyDescent="0.3">
      <c r="B121" s="607"/>
      <c r="C121" s="608"/>
      <c r="D121" s="608"/>
      <c r="E121" s="609"/>
      <c r="F121" s="290"/>
      <c r="G121" s="290"/>
      <c r="H121" s="290"/>
      <c r="I121" s="290"/>
      <c r="J121" s="290"/>
      <c r="K121" s="290"/>
      <c r="L121" s="181"/>
      <c r="M121" s="181"/>
      <c r="N121" s="181"/>
      <c r="O121" s="181"/>
      <c r="P121" s="181"/>
      <c r="Q121" s="181"/>
      <c r="R121" s="181"/>
      <c r="S121" s="181"/>
      <c r="T121" s="181"/>
    </row>
    <row r="122" spans="2:20" ht="15.75" customHeight="1" thickBot="1" x14ac:dyDescent="0.35">
      <c r="B122" s="610"/>
      <c r="C122" s="611"/>
      <c r="D122" s="611"/>
      <c r="E122" s="612"/>
      <c r="F122" s="290"/>
      <c r="G122" s="290"/>
      <c r="H122" s="290"/>
      <c r="I122" s="290"/>
      <c r="J122" s="290"/>
      <c r="K122" s="290"/>
      <c r="L122" s="181"/>
      <c r="M122" s="181"/>
      <c r="N122" s="181"/>
      <c r="O122" s="181"/>
      <c r="P122" s="181"/>
      <c r="Q122" s="181"/>
      <c r="R122" s="181"/>
      <c r="S122" s="181"/>
      <c r="T122" s="181"/>
    </row>
  </sheetData>
  <mergeCells count="8">
    <mergeCell ref="G7:T15"/>
    <mergeCell ref="B100:D100"/>
    <mergeCell ref="B113:E122"/>
    <mergeCell ref="N17:R17"/>
    <mergeCell ref="N18:Q18"/>
    <mergeCell ref="N19:Q19"/>
    <mergeCell ref="N21:R21"/>
    <mergeCell ref="B43:D43"/>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4D1A6391-A8EF-4BE7-805B-9E88A56D69F9}">
          <x14:formula1>
            <xm:f>'Inputs and assumptions'!$J$21:$J$24</xm:f>
          </x14:formula1>
          <xm:sqref>E14</xm:sqref>
        </x14:dataValidation>
        <x14:dataValidation type="list" allowBlank="1" showInputMessage="1" showErrorMessage="1" xr:uid="{C026D032-060E-43A3-AC7F-D7B4FA430B2B}">
          <x14:formula1>
            <xm:f>'Inputs and assumptions'!$H$36:$H$40</xm:f>
          </x14:formula1>
          <xm:sqref>E13</xm:sqref>
        </x14:dataValidation>
        <x14:dataValidation type="list" allowBlank="1" showInputMessage="1" showErrorMessage="1" xr:uid="{E03DE919-502F-4C88-A05D-6F767B9044E3}">
          <x14:formula1>
            <xm:f>'Inputs and assumptions'!$H$31:$H$34</xm:f>
          </x14:formula1>
          <xm:sqref>E12</xm:sqref>
        </x14:dataValidation>
        <x14:dataValidation type="list" allowBlank="1" showInputMessage="1" showErrorMessage="1" xr:uid="{DA871D5F-C5D8-43C9-A563-F1D94FA54896}">
          <x14:formula1>
            <xm:f>'Inputs and assumptions'!$H$16:$H$20</xm:f>
          </x14:formula1>
          <xm:sqref>E8</xm:sqref>
        </x14:dataValidation>
        <x14:dataValidation type="list" allowBlank="1" showInputMessage="1" showErrorMessage="1" xr:uid="{96693964-EE0D-4633-9006-B014028D6BD9}">
          <x14:formula1>
            <xm:f>'Inputs and assumptions'!$G$16:$G$20</xm:f>
          </x14:formula1>
          <xm:sqref>E7</xm:sqref>
        </x14:dataValidation>
        <x14:dataValidation type="list" allowBlank="1" showInputMessage="1" showErrorMessage="1" xr:uid="{BC39184C-30F7-4DBE-A373-06951CDEDC4D}">
          <x14:formula1>
            <xm:f>'Inputs and assumptions'!$H$23:$H$24</xm:f>
          </x14:formula1>
          <xm:sqref>E10</xm:sqref>
        </x14:dataValidation>
        <x14:dataValidation type="list" allowBlank="1" showInputMessage="1" showErrorMessage="1" xr:uid="{C12CF08E-D5CB-4595-8BC8-D3615AC6C17D}">
          <x14:formula1>
            <xm:f>'Inputs and assumptions'!$H$27:$H$29</xm:f>
          </x14:formula1>
          <xm:sqref>E11</xm:sqref>
        </x14:dataValidation>
        <x14:dataValidation type="list" allowBlank="1" showInputMessage="1" showErrorMessage="1" xr:uid="{8DE84492-71E9-4D07-B80F-1BB89EB3D76D}">
          <x14:formula1>
            <xm:f>'Inputs and assumptions'!$J$17:$J$18</xm:f>
          </x14:formula1>
          <xm:sqref>E43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AD6-4C67-4FAB-B3C9-CFB2E35BFEE6}">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315</v>
      </c>
      <c r="C2" s="183"/>
      <c r="D2" s="116"/>
      <c r="E2" s="183"/>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147" t="s">
        <v>189</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123</v>
      </c>
      <c r="G7" s="586" t="s">
        <v>316</v>
      </c>
      <c r="H7" s="586"/>
      <c r="I7" s="586"/>
      <c r="J7" s="586"/>
      <c r="K7" s="586"/>
      <c r="L7" s="586"/>
      <c r="M7" s="586"/>
      <c r="N7" s="586"/>
      <c r="O7" s="586"/>
      <c r="P7" s="586"/>
      <c r="Q7" s="586"/>
      <c r="R7" s="586"/>
      <c r="S7" s="586"/>
      <c r="T7" s="586"/>
    </row>
    <row r="8" spans="1:23" s="170" customFormat="1" ht="15.75" customHeight="1" x14ac:dyDescent="0.35">
      <c r="B8" s="328" t="s">
        <v>3</v>
      </c>
      <c r="C8" s="230"/>
      <c r="E8" s="329" t="s">
        <v>124</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317</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3" ht="45.7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-515295.44505908532</v>
      </c>
      <c r="J18" s="222"/>
      <c r="K18" s="220" t="s">
        <v>220</v>
      </c>
      <c r="L18" s="223">
        <f>SUM(F34:J34)</f>
        <v>450000</v>
      </c>
      <c r="N18" s="584" t="s">
        <v>221</v>
      </c>
      <c r="O18" s="584"/>
      <c r="P18" s="584"/>
      <c r="Q18" s="584"/>
      <c r="R18" s="314"/>
      <c r="S18" s="161"/>
      <c r="T18" s="315" t="s">
        <v>227</v>
      </c>
    </row>
    <row r="19" spans="2:20" ht="13.5" customHeight="1" x14ac:dyDescent="0.3">
      <c r="B19" s="160" t="s">
        <v>19</v>
      </c>
      <c r="C19" s="182">
        <v>2</v>
      </c>
      <c r="D19" s="161">
        <v>0.18</v>
      </c>
      <c r="E19" s="162">
        <f>D19*C19</f>
        <v>0.36</v>
      </c>
      <c r="G19" s="224"/>
      <c r="H19" s="125" t="s">
        <v>20</v>
      </c>
      <c r="I19" s="126">
        <f>D40</f>
        <v>6226338.6821269142</v>
      </c>
      <c r="J19" s="127"/>
      <c r="K19" s="125" t="s">
        <v>223</v>
      </c>
      <c r="L19" s="225">
        <f>SUM(F36:J36)</f>
        <v>35000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13.083046224895281</v>
      </c>
      <c r="J20" s="127"/>
      <c r="K20" s="125" t="s">
        <v>225</v>
      </c>
      <c r="L20" s="225">
        <f>NPV($D$33,F39:T39)</f>
        <v>6741634.1271860022</v>
      </c>
      <c r="N20" s="316" t="s">
        <v>226</v>
      </c>
      <c r="O20" s="316"/>
      <c r="P20" s="316"/>
      <c r="Q20" s="316"/>
      <c r="R20" s="317"/>
      <c r="S20" s="318"/>
      <c r="T20" s="319" t="s">
        <v>222</v>
      </c>
    </row>
    <row r="21" spans="2:20" ht="13.5" customHeight="1" thickBot="1" x14ac:dyDescent="0.35">
      <c r="B21" s="160" t="s">
        <v>23</v>
      </c>
      <c r="C21" s="182">
        <v>2</v>
      </c>
      <c r="D21" s="161">
        <v>0.18</v>
      </c>
      <c r="E21" s="162">
        <f>D21*C21</f>
        <v>0.36</v>
      </c>
      <c r="G21" s="194"/>
      <c r="H21" s="257" t="s">
        <v>166</v>
      </c>
      <c r="I21" s="258">
        <f>(NPV($D$33,F39:T39))/NPV($D$33,F38:T38)</f>
        <v>9.3348475242173325</v>
      </c>
      <c r="J21" s="226"/>
      <c r="K21" s="436" t="s">
        <v>228</v>
      </c>
      <c r="L21" s="439">
        <f>NPV($D$33,F39:J39)</f>
        <v>2062320.4421496426</v>
      </c>
      <c r="N21" s="570" t="s">
        <v>229</v>
      </c>
      <c r="O21" s="570"/>
      <c r="P21" s="570"/>
      <c r="Q21" s="570"/>
      <c r="R21" s="570"/>
      <c r="S21" s="164"/>
      <c r="T21" s="165"/>
    </row>
    <row r="22" spans="2:20" ht="13.5" customHeight="1" x14ac:dyDescent="0.3">
      <c r="B22" s="160" t="s">
        <v>230</v>
      </c>
      <c r="C22" s="182">
        <v>2</v>
      </c>
      <c r="D22" s="161">
        <v>0.17</v>
      </c>
      <c r="E22" s="162">
        <f>D22*C22</f>
        <v>0.34</v>
      </c>
      <c r="L22" s="218"/>
    </row>
    <row r="23" spans="2:20" ht="13.5" customHeight="1" x14ac:dyDescent="0.3">
      <c r="B23" s="117" t="s">
        <v>229</v>
      </c>
      <c r="C23" s="117"/>
      <c r="D23" s="164">
        <f>SUM(D18:D22)</f>
        <v>0.99999999999999989</v>
      </c>
      <c r="E23" s="165">
        <f>SUM(E18:E22)</f>
        <v>2.36</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20</v>
      </c>
      <c r="E27" s="112"/>
      <c r="F27" s="227">
        <v>5</v>
      </c>
      <c r="G27" s="228">
        <v>5</v>
      </c>
      <c r="H27" s="228">
        <v>5</v>
      </c>
      <c r="I27" s="228">
        <v>5</v>
      </c>
      <c r="J27" s="228"/>
      <c r="K27" s="228"/>
      <c r="L27" s="228"/>
      <c r="M27" s="228"/>
      <c r="N27" s="228"/>
      <c r="O27" s="228"/>
      <c r="P27" s="228"/>
      <c r="Q27" s="228"/>
      <c r="R27" s="228"/>
      <c r="S27" s="228"/>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112500</v>
      </c>
      <c r="G34" s="140">
        <f t="shared" si="0"/>
        <v>112500</v>
      </c>
      <c r="H34" s="140">
        <f t="shared" si="0"/>
        <v>112500</v>
      </c>
      <c r="I34" s="140">
        <f t="shared" si="0"/>
        <v>112500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168750</v>
      </c>
      <c r="G35" s="140">
        <f>G34*(1+'Inputs and assumptions'!$C$7)</f>
        <v>168750</v>
      </c>
      <c r="H35" s="140">
        <f>H34*(1+'Inputs and assumptions'!$C$7)</f>
        <v>168750</v>
      </c>
      <c r="I35" s="140">
        <f>I34*(1+'Inputs and assumptions'!$C$7)</f>
        <v>168750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2500</v>
      </c>
      <c r="G36" s="142">
        <f t="shared" si="1"/>
        <v>5000</v>
      </c>
      <c r="H36" s="142">
        <f t="shared" si="1"/>
        <v>7500</v>
      </c>
      <c r="I36" s="142">
        <f t="shared" si="1"/>
        <v>10000</v>
      </c>
      <c r="J36" s="142">
        <f t="shared" si="1"/>
        <v>10000</v>
      </c>
      <c r="K36" s="142">
        <f t="shared" si="1"/>
        <v>10000</v>
      </c>
      <c r="L36" s="142">
        <f t="shared" si="1"/>
        <v>10000</v>
      </c>
      <c r="M36" s="142">
        <f t="shared" si="1"/>
        <v>10000</v>
      </c>
      <c r="N36" s="142">
        <f t="shared" si="1"/>
        <v>10000</v>
      </c>
      <c r="O36" s="142">
        <f t="shared" si="1"/>
        <v>10000</v>
      </c>
      <c r="P36" s="142">
        <f t="shared" si="1"/>
        <v>10000</v>
      </c>
      <c r="Q36" s="142">
        <f t="shared" si="1"/>
        <v>10000</v>
      </c>
      <c r="R36" s="142">
        <f t="shared" si="1"/>
        <v>10000</v>
      </c>
      <c r="S36" s="142">
        <f t="shared" si="1"/>
        <v>10000</v>
      </c>
      <c r="T36" s="143">
        <f t="shared" si="1"/>
        <v>10000</v>
      </c>
    </row>
    <row r="37" spans="2:20" x14ac:dyDescent="0.3">
      <c r="B37" s="122" t="s">
        <v>44</v>
      </c>
      <c r="C37" s="133"/>
      <c r="D37" s="247">
        <f>NPV($D$33,F37:T37)</f>
        <v>-515295.44505908532</v>
      </c>
      <c r="E37" s="248"/>
      <c r="F37" s="144">
        <f t="shared" ref="F37:T37" si="2">-F34-F36</f>
        <v>-115000</v>
      </c>
      <c r="G37" s="144">
        <f t="shared" si="2"/>
        <v>-117500</v>
      </c>
      <c r="H37" s="144">
        <f t="shared" si="2"/>
        <v>-120000</v>
      </c>
      <c r="I37" s="144">
        <f t="shared" si="2"/>
        <v>-122500</v>
      </c>
      <c r="J37" s="144">
        <f t="shared" si="2"/>
        <v>-10000</v>
      </c>
      <c r="K37" s="144">
        <f t="shared" si="2"/>
        <v>-10000</v>
      </c>
      <c r="L37" s="144">
        <f t="shared" si="2"/>
        <v>-10000</v>
      </c>
      <c r="M37" s="144">
        <f t="shared" si="2"/>
        <v>-10000</v>
      </c>
      <c r="N37" s="144">
        <f t="shared" si="2"/>
        <v>-10000</v>
      </c>
      <c r="O37" s="144">
        <f t="shared" si="2"/>
        <v>-10000</v>
      </c>
      <c r="P37" s="144">
        <f t="shared" si="2"/>
        <v>-10000</v>
      </c>
      <c r="Q37" s="144">
        <f t="shared" si="2"/>
        <v>-10000</v>
      </c>
      <c r="R37" s="144">
        <f t="shared" si="2"/>
        <v>-10000</v>
      </c>
      <c r="S37" s="144">
        <f t="shared" si="2"/>
        <v>-10000</v>
      </c>
      <c r="T37" s="145">
        <f t="shared" si="2"/>
        <v>-10000</v>
      </c>
    </row>
    <row r="38" spans="2:20" ht="13.5" thickBot="1" x14ac:dyDescent="0.35">
      <c r="B38" s="124" t="s">
        <v>235</v>
      </c>
      <c r="C38" s="135"/>
      <c r="D38" s="132"/>
      <c r="E38" s="121"/>
      <c r="F38" s="142">
        <f>F35+F36</f>
        <v>171250</v>
      </c>
      <c r="G38" s="142">
        <f t="shared" ref="G38:T38" si="3">G35+G36</f>
        <v>173750</v>
      </c>
      <c r="H38" s="142">
        <f t="shared" si="3"/>
        <v>176250</v>
      </c>
      <c r="I38" s="142">
        <f t="shared" si="3"/>
        <v>178750</v>
      </c>
      <c r="J38" s="142">
        <f t="shared" si="3"/>
        <v>10000</v>
      </c>
      <c r="K38" s="142">
        <f t="shared" si="3"/>
        <v>10000</v>
      </c>
      <c r="L38" s="142">
        <f t="shared" si="3"/>
        <v>10000</v>
      </c>
      <c r="M38" s="142">
        <f t="shared" si="3"/>
        <v>10000</v>
      </c>
      <c r="N38" s="142">
        <f t="shared" si="3"/>
        <v>10000</v>
      </c>
      <c r="O38" s="142">
        <f t="shared" si="3"/>
        <v>10000</v>
      </c>
      <c r="P38" s="142">
        <f t="shared" si="3"/>
        <v>10000</v>
      </c>
      <c r="Q38" s="142">
        <f t="shared" si="3"/>
        <v>10000</v>
      </c>
      <c r="R38" s="142">
        <f t="shared" si="3"/>
        <v>10000</v>
      </c>
      <c r="S38" s="142">
        <f t="shared" si="3"/>
        <v>10000</v>
      </c>
      <c r="T38" s="143">
        <f t="shared" si="3"/>
        <v>10000</v>
      </c>
    </row>
    <row r="39" spans="2:20" x14ac:dyDescent="0.3">
      <c r="B39" s="123" t="s">
        <v>45</v>
      </c>
      <c r="C39" s="112"/>
      <c r="D39" s="134"/>
      <c r="E39" s="112"/>
      <c r="F39" s="140">
        <f t="shared" ref="F39:T39" si="4">IF($E$43="Per Unit",SUM(F45:F71),SUM(F73:F98))</f>
        <v>166075</v>
      </c>
      <c r="G39" s="140">
        <f t="shared" si="4"/>
        <v>332150</v>
      </c>
      <c r="H39" s="140">
        <f t="shared" si="4"/>
        <v>498225</v>
      </c>
      <c r="I39" s="140">
        <f t="shared" si="4"/>
        <v>664300</v>
      </c>
      <c r="J39" s="140">
        <f t="shared" si="4"/>
        <v>664300</v>
      </c>
      <c r="K39" s="140">
        <f t="shared" si="4"/>
        <v>664300</v>
      </c>
      <c r="L39" s="140">
        <f t="shared" si="4"/>
        <v>664300</v>
      </c>
      <c r="M39" s="140">
        <f t="shared" si="4"/>
        <v>664300</v>
      </c>
      <c r="N39" s="140">
        <f t="shared" si="4"/>
        <v>664300</v>
      </c>
      <c r="O39" s="140">
        <f t="shared" si="4"/>
        <v>664300</v>
      </c>
      <c r="P39" s="140">
        <f t="shared" si="4"/>
        <v>664300</v>
      </c>
      <c r="Q39" s="140">
        <f t="shared" si="4"/>
        <v>664300</v>
      </c>
      <c r="R39" s="140">
        <f t="shared" si="4"/>
        <v>664300</v>
      </c>
      <c r="S39" s="140">
        <f t="shared" si="4"/>
        <v>664300</v>
      </c>
      <c r="T39" s="141">
        <f t="shared" si="4"/>
        <v>664300</v>
      </c>
    </row>
    <row r="40" spans="2:20" x14ac:dyDescent="0.3">
      <c r="B40" s="123" t="s">
        <v>46</v>
      </c>
      <c r="C40" s="112"/>
      <c r="D40" s="134">
        <f>NPV($D$33,F40:T40)</f>
        <v>6226338.6821269142</v>
      </c>
      <c r="E40" s="112"/>
      <c r="F40" s="140">
        <f t="shared" ref="F40:T40" si="5">F39+F37</f>
        <v>51075</v>
      </c>
      <c r="G40" s="140">
        <f t="shared" si="5"/>
        <v>214650</v>
      </c>
      <c r="H40" s="140">
        <f t="shared" si="5"/>
        <v>378225</v>
      </c>
      <c r="I40" s="140">
        <f t="shared" si="5"/>
        <v>541800</v>
      </c>
      <c r="J40" s="140">
        <f t="shared" si="5"/>
        <v>654300</v>
      </c>
      <c r="K40" s="140">
        <f t="shared" si="5"/>
        <v>654300</v>
      </c>
      <c r="L40" s="140">
        <f t="shared" si="5"/>
        <v>654300</v>
      </c>
      <c r="M40" s="140">
        <f t="shared" si="5"/>
        <v>654300</v>
      </c>
      <c r="N40" s="140">
        <f t="shared" si="5"/>
        <v>654300</v>
      </c>
      <c r="O40" s="140">
        <f t="shared" si="5"/>
        <v>654300</v>
      </c>
      <c r="P40" s="140">
        <f t="shared" si="5"/>
        <v>654300</v>
      </c>
      <c r="Q40" s="140">
        <f t="shared" si="5"/>
        <v>654300</v>
      </c>
      <c r="R40" s="140">
        <f t="shared" si="5"/>
        <v>654300</v>
      </c>
      <c r="S40" s="140">
        <f t="shared" si="5"/>
        <v>654300</v>
      </c>
      <c r="T40" s="141">
        <f t="shared" si="5"/>
        <v>654300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33215</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C46*'Inputs and assumptions'!D17/$D$27</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C47*'Inputs and assumptions'!D18/$D$27</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C48*'Inputs and assumptions'!D19/$D$27</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C49*'Inputs and assumptions'!D20/$D$27</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344"/>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345"/>
      <c r="E51" s="112"/>
      <c r="F51" s="199"/>
      <c r="G51" s="199"/>
      <c r="H51" s="199"/>
      <c r="I51" s="199"/>
      <c r="J51" s="199"/>
      <c r="K51" s="199"/>
      <c r="L51" s="199"/>
      <c r="M51" s="199"/>
      <c r="N51" s="199"/>
      <c r="O51" s="199"/>
      <c r="P51" s="199"/>
      <c r="Q51" s="199"/>
      <c r="R51" s="199"/>
      <c r="S51" s="199"/>
      <c r="T51" s="200"/>
    </row>
    <row r="52" spans="2:20" x14ac:dyDescent="0.3">
      <c r="B52" s="184" t="s">
        <v>56</v>
      </c>
      <c r="C52" s="240">
        <v>1E-3</v>
      </c>
      <c r="D52" s="261">
        <f>C52*'Inputs and assumptions'!D23/$D$27</f>
        <v>1390</v>
      </c>
      <c r="E52" s="112"/>
      <c r="F52" s="140">
        <f>$D52*SUM($E$27:F$27)</f>
        <v>6950</v>
      </c>
      <c r="G52" s="140">
        <f>$D52*SUM($E$27:G$27)</f>
        <v>13900</v>
      </c>
      <c r="H52" s="140">
        <f>$D52*SUM($E$27:H$27)</f>
        <v>20850</v>
      </c>
      <c r="I52" s="140">
        <f>$D52*SUM($E$27:I$27)</f>
        <v>27800</v>
      </c>
      <c r="J52" s="140">
        <f>$D52*SUM($E$27:J$27)</f>
        <v>27800</v>
      </c>
      <c r="K52" s="140">
        <f>$D52*SUM($E$27:K$27)</f>
        <v>27800</v>
      </c>
      <c r="L52" s="140">
        <f>$D52*SUM($E$27:L$27)</f>
        <v>27800</v>
      </c>
      <c r="M52" s="140">
        <f>$D52*SUM($E$27:M$27)</f>
        <v>27800</v>
      </c>
      <c r="N52" s="140">
        <f>$D52*SUM($E$27:N$27)</f>
        <v>27800</v>
      </c>
      <c r="O52" s="140">
        <f>$D52*SUM($E$27:O$27)</f>
        <v>27800</v>
      </c>
      <c r="P52" s="140">
        <f>$D52*SUM($E$27:P$27)</f>
        <v>27800</v>
      </c>
      <c r="Q52" s="140">
        <f>$D52*SUM($E$27:Q$27)</f>
        <v>27800</v>
      </c>
      <c r="R52" s="140">
        <f>$D52*SUM($E$27:R$27)</f>
        <v>27800</v>
      </c>
      <c r="S52" s="140">
        <f>$D52*SUM($E$27:S$27)</f>
        <v>27800</v>
      </c>
      <c r="T52" s="141">
        <f>$D52*SUM($E$27:T$27)</f>
        <v>27800</v>
      </c>
    </row>
    <row r="53" spans="2:20" x14ac:dyDescent="0.3">
      <c r="B53" s="184" t="s">
        <v>57</v>
      </c>
      <c r="C53" s="240">
        <v>1E-3</v>
      </c>
      <c r="D53" s="261">
        <f>C53*'Inputs and assumptions'!D24/$D$27</f>
        <v>2350</v>
      </c>
      <c r="E53" s="112"/>
      <c r="F53" s="140">
        <f>$D53*SUM($E$27:F$27)</f>
        <v>11750</v>
      </c>
      <c r="G53" s="140">
        <f>$D53*SUM($E$27:G$27)</f>
        <v>23500</v>
      </c>
      <c r="H53" s="140">
        <f>$D53*SUM($E$27:H$27)</f>
        <v>35250</v>
      </c>
      <c r="I53" s="140">
        <f>$D53*SUM($E$27:I$27)</f>
        <v>47000</v>
      </c>
      <c r="J53" s="140">
        <f>$D53*SUM($E$27:J$27)</f>
        <v>47000</v>
      </c>
      <c r="K53" s="140">
        <f>$D53*SUM($E$27:K$27)</f>
        <v>47000</v>
      </c>
      <c r="L53" s="140">
        <f>$D53*SUM($E$27:L$27)</f>
        <v>47000</v>
      </c>
      <c r="M53" s="140">
        <f>$D53*SUM($E$27:M$27)</f>
        <v>47000</v>
      </c>
      <c r="N53" s="140">
        <f>$D53*SUM($E$27:N$27)</f>
        <v>47000</v>
      </c>
      <c r="O53" s="140">
        <f>$D53*SUM($E$27:O$27)</f>
        <v>47000</v>
      </c>
      <c r="P53" s="140">
        <f>$D53*SUM($E$27:P$27)</f>
        <v>47000</v>
      </c>
      <c r="Q53" s="140">
        <f>$D53*SUM($E$27:Q$27)</f>
        <v>47000</v>
      </c>
      <c r="R53" s="140">
        <f>$D53*SUM($E$27:R$27)</f>
        <v>47000</v>
      </c>
      <c r="S53" s="140">
        <f>$D53*SUM($E$27:S$27)</f>
        <v>47000</v>
      </c>
      <c r="T53" s="141">
        <f>$D53*SUM($E$27:T$27)</f>
        <v>47000</v>
      </c>
    </row>
    <row r="54" spans="2:20" x14ac:dyDescent="0.3">
      <c r="B54" s="184" t="s">
        <v>58</v>
      </c>
      <c r="C54" s="240"/>
      <c r="D54" s="261">
        <f>C54*'Inputs and assumptions'!D25/$D$27</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C55*'Inputs and assumptions'!D26/$D$27</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C56*'Inputs and assumptions'!D27/$D$27</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C57*'Inputs and assumptions'!D28/$D$27</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344"/>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345"/>
      <c r="E59" s="112"/>
      <c r="F59" s="199"/>
      <c r="G59" s="199"/>
      <c r="H59" s="199"/>
      <c r="I59" s="199"/>
      <c r="J59" s="199"/>
      <c r="K59" s="199"/>
      <c r="L59" s="199"/>
      <c r="M59" s="199"/>
      <c r="N59" s="199"/>
      <c r="O59" s="199"/>
      <c r="P59" s="199"/>
      <c r="Q59" s="199"/>
      <c r="R59" s="199"/>
      <c r="S59" s="199"/>
      <c r="T59" s="200"/>
    </row>
    <row r="60" spans="2:20" x14ac:dyDescent="0.3">
      <c r="B60" s="184" t="s">
        <v>63</v>
      </c>
      <c r="C60" s="240"/>
      <c r="D60" s="261">
        <f>C60*'Inputs and assumptions'!D31/$D$27</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1E-3</v>
      </c>
      <c r="D61" s="261">
        <f>C61*'Inputs and assumptions'!D32/$D$27</f>
        <v>1500</v>
      </c>
      <c r="E61" s="112"/>
      <c r="F61" s="140">
        <f>$D61*SUM($E$27:F$27)</f>
        <v>7500</v>
      </c>
      <c r="G61" s="140">
        <f>$D61*SUM($E$27:G$27)</f>
        <v>15000</v>
      </c>
      <c r="H61" s="140">
        <f>$D61*SUM($E$27:H$27)</f>
        <v>22500</v>
      </c>
      <c r="I61" s="140">
        <f>$D61*SUM($E$27:I$27)</f>
        <v>30000</v>
      </c>
      <c r="J61" s="140">
        <f>$D61*SUM($E$27:J$27)</f>
        <v>30000</v>
      </c>
      <c r="K61" s="140">
        <f>$D61*SUM($E$27:K$27)</f>
        <v>30000</v>
      </c>
      <c r="L61" s="140">
        <f>$D61*SUM($E$27:L$27)</f>
        <v>30000</v>
      </c>
      <c r="M61" s="140">
        <f>$D61*SUM($E$27:M$27)</f>
        <v>30000</v>
      </c>
      <c r="N61" s="140">
        <f>$D61*SUM($E$27:N$27)</f>
        <v>30000</v>
      </c>
      <c r="O61" s="140">
        <f>$D61*SUM($E$27:O$27)</f>
        <v>30000</v>
      </c>
      <c r="P61" s="140">
        <f>$D61*SUM($E$27:P$27)</f>
        <v>30000</v>
      </c>
      <c r="Q61" s="140">
        <f>$D61*SUM($E$27:Q$27)</f>
        <v>30000</v>
      </c>
      <c r="R61" s="140">
        <f>$D61*SUM($E$27:R$27)</f>
        <v>30000</v>
      </c>
      <c r="S61" s="140">
        <f>$D61*SUM($E$27:S$27)</f>
        <v>30000</v>
      </c>
      <c r="T61" s="141">
        <f>$D61*SUM($E$27:T$27)</f>
        <v>30000</v>
      </c>
    </row>
    <row r="62" spans="2:20" x14ac:dyDescent="0.3">
      <c r="B62" s="184"/>
      <c r="D62" s="344"/>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345"/>
      <c r="E63" s="112"/>
      <c r="F63" s="199"/>
      <c r="G63" s="199"/>
      <c r="H63" s="199"/>
      <c r="I63" s="199"/>
      <c r="J63" s="199"/>
      <c r="K63" s="199"/>
      <c r="L63" s="199"/>
      <c r="M63" s="199"/>
      <c r="N63" s="199"/>
      <c r="O63" s="199"/>
      <c r="P63" s="199"/>
      <c r="Q63" s="199"/>
      <c r="R63" s="199"/>
      <c r="S63" s="199"/>
      <c r="T63" s="200"/>
    </row>
    <row r="64" spans="2:20" x14ac:dyDescent="0.3">
      <c r="B64" s="184" t="s">
        <v>66</v>
      </c>
      <c r="C64" s="240">
        <v>1E-3</v>
      </c>
      <c r="D64" s="261">
        <f>C64*'Inputs and assumptions'!D35/$D$27</f>
        <v>6300</v>
      </c>
      <c r="E64" s="112"/>
      <c r="F64" s="140">
        <f>$D64*SUM($E$27:F$27)</f>
        <v>31500</v>
      </c>
      <c r="G64" s="140">
        <f>$D64*SUM($E$27:G$27)</f>
        <v>63000</v>
      </c>
      <c r="H64" s="140">
        <f>$D64*SUM($E$27:H$27)</f>
        <v>94500</v>
      </c>
      <c r="I64" s="140">
        <f>$D64*SUM($E$27:I$27)</f>
        <v>126000</v>
      </c>
      <c r="J64" s="140">
        <f>$D64*SUM($E$27:J$27)</f>
        <v>126000</v>
      </c>
      <c r="K64" s="140">
        <f>$D64*SUM($E$27:K$27)</f>
        <v>126000</v>
      </c>
      <c r="L64" s="140">
        <f>$D64*SUM($E$27:L$27)</f>
        <v>126000</v>
      </c>
      <c r="M64" s="140">
        <f>$D64*SUM($E$27:M$27)</f>
        <v>126000</v>
      </c>
      <c r="N64" s="140">
        <f>$D64*SUM($E$27:N$27)</f>
        <v>126000</v>
      </c>
      <c r="O64" s="140">
        <f>$D64*SUM($E$27:O$27)</f>
        <v>126000</v>
      </c>
      <c r="P64" s="140">
        <f>$D64*SUM($E$27:P$27)</f>
        <v>126000</v>
      </c>
      <c r="Q64" s="140">
        <f>$D64*SUM($E$27:Q$27)</f>
        <v>126000</v>
      </c>
      <c r="R64" s="140">
        <f>$D64*SUM($E$27:R$27)</f>
        <v>126000</v>
      </c>
      <c r="S64" s="140">
        <f>$D64*SUM($E$27:S$27)</f>
        <v>126000</v>
      </c>
      <c r="T64" s="141">
        <f>$D64*SUM($E$27:T$27)</f>
        <v>126000</v>
      </c>
    </row>
    <row r="65" spans="2:20" x14ac:dyDescent="0.3">
      <c r="B65" s="184" t="s">
        <v>67</v>
      </c>
      <c r="C65" s="240"/>
      <c r="D65" s="261">
        <f>C65*'Inputs and assumptions'!D36/$D$27</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v>5.0000000000000001E-3</v>
      </c>
      <c r="D66" s="261">
        <f>C66*'Inputs and assumptions'!D37/$D$27</f>
        <v>10350</v>
      </c>
      <c r="E66" s="112"/>
      <c r="F66" s="140">
        <f>$D66*SUM($E$27:F$27)</f>
        <v>51750</v>
      </c>
      <c r="G66" s="140">
        <f>$D66*SUM($E$27:G$27)</f>
        <v>103500</v>
      </c>
      <c r="H66" s="140">
        <f>$D66*SUM($E$27:H$27)</f>
        <v>155250</v>
      </c>
      <c r="I66" s="140">
        <f>$D66*SUM($E$27:I$27)</f>
        <v>207000</v>
      </c>
      <c r="J66" s="140">
        <f>$D66*SUM($E$27:J$27)</f>
        <v>207000</v>
      </c>
      <c r="K66" s="140">
        <f>$D66*SUM($E$27:K$27)</f>
        <v>207000</v>
      </c>
      <c r="L66" s="140">
        <f>$D66*SUM($E$27:L$27)</f>
        <v>207000</v>
      </c>
      <c r="M66" s="140">
        <f>$D66*SUM($E$27:M$27)</f>
        <v>207000</v>
      </c>
      <c r="N66" s="140">
        <f>$D66*SUM($E$27:N$27)</f>
        <v>207000</v>
      </c>
      <c r="O66" s="140">
        <f>$D66*SUM($E$27:O$27)</f>
        <v>207000</v>
      </c>
      <c r="P66" s="140">
        <f>$D66*SUM($E$27:P$27)</f>
        <v>207000</v>
      </c>
      <c r="Q66" s="140">
        <f>$D66*SUM($E$27:Q$27)</f>
        <v>207000</v>
      </c>
      <c r="R66" s="140">
        <f>$D66*SUM($E$27:R$27)</f>
        <v>207000</v>
      </c>
      <c r="S66" s="140">
        <f>$D66*SUM($E$27:S$27)</f>
        <v>207000</v>
      </c>
      <c r="T66" s="141">
        <f>$D66*SUM($E$27:T$27)</f>
        <v>207000</v>
      </c>
    </row>
    <row r="67" spans="2:20" x14ac:dyDescent="0.3">
      <c r="B67" s="184" t="s">
        <v>69</v>
      </c>
      <c r="C67" s="240"/>
      <c r="D67" s="261">
        <f>C67*'Inputs and assumptions'!D38/$D$27</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v>1E-4</v>
      </c>
      <c r="D68" s="261">
        <f>C68*'Inputs and assumptions'!D39/$D$27</f>
        <v>7500</v>
      </c>
      <c r="E68" s="112"/>
      <c r="F68" s="140">
        <f>$D68*SUM($E$27:F$27)</f>
        <v>37500</v>
      </c>
      <c r="G68" s="140">
        <f>$D68*SUM($E$27:G$27)</f>
        <v>75000</v>
      </c>
      <c r="H68" s="140">
        <f>$D68*SUM($E$27:H$27)</f>
        <v>112500</v>
      </c>
      <c r="I68" s="140">
        <f>$D68*SUM($E$27:I$27)</f>
        <v>150000</v>
      </c>
      <c r="J68" s="140">
        <f>$D68*SUM($E$27:J$27)</f>
        <v>150000</v>
      </c>
      <c r="K68" s="140">
        <f>$D68*SUM($E$27:K$27)</f>
        <v>150000</v>
      </c>
      <c r="L68" s="140">
        <f>$D68*SUM($E$27:L$27)</f>
        <v>150000</v>
      </c>
      <c r="M68" s="140">
        <f>$D68*SUM($E$27:M$27)</f>
        <v>150000</v>
      </c>
      <c r="N68" s="140">
        <f>$D68*SUM($E$27:N$27)</f>
        <v>150000</v>
      </c>
      <c r="O68" s="140">
        <f>$D68*SUM($E$27:O$27)</f>
        <v>150000</v>
      </c>
      <c r="P68" s="140">
        <f>$D68*SUM($E$27:P$27)</f>
        <v>150000</v>
      </c>
      <c r="Q68" s="140">
        <f>$D68*SUM($E$27:Q$27)</f>
        <v>150000</v>
      </c>
      <c r="R68" s="140">
        <f>$D68*SUM($E$27:R$27)</f>
        <v>150000</v>
      </c>
      <c r="S68" s="140">
        <f>$D68*SUM($E$27:S$27)</f>
        <v>150000</v>
      </c>
      <c r="T68" s="141">
        <f>$D68*SUM($E$27:T$27)</f>
        <v>150000</v>
      </c>
    </row>
    <row r="69" spans="2:20" x14ac:dyDescent="0.3">
      <c r="B69" s="184" t="s">
        <v>71</v>
      </c>
      <c r="C69" s="240">
        <v>1E-3</v>
      </c>
      <c r="D69" s="261">
        <f>C69*'Inputs and assumptions'!D40/$D$27</f>
        <v>3825</v>
      </c>
      <c r="E69" s="112"/>
      <c r="F69" s="140">
        <f>$D69*SUM($E$27:F$27)</f>
        <v>19125</v>
      </c>
      <c r="G69" s="140">
        <f>$D69*SUM($E$27:G$27)</f>
        <v>38250</v>
      </c>
      <c r="H69" s="140">
        <f>$D69*SUM($E$27:H$27)</f>
        <v>57375</v>
      </c>
      <c r="I69" s="140">
        <f>$D69*SUM($E$27:I$27)</f>
        <v>76500</v>
      </c>
      <c r="J69" s="140">
        <f>$D69*SUM($E$27:J$27)</f>
        <v>76500</v>
      </c>
      <c r="K69" s="140">
        <f>$D69*SUM($E$27:K$27)</f>
        <v>76500</v>
      </c>
      <c r="L69" s="140">
        <f>$D69*SUM($E$27:L$27)</f>
        <v>76500</v>
      </c>
      <c r="M69" s="140">
        <f>$D69*SUM($E$27:M$27)</f>
        <v>76500</v>
      </c>
      <c r="N69" s="140">
        <f>$D69*SUM($E$27:N$27)</f>
        <v>76500</v>
      </c>
      <c r="O69" s="140">
        <f>$D69*SUM($E$27:O$27)</f>
        <v>76500</v>
      </c>
      <c r="P69" s="140">
        <f>$D69*SUM($E$27:P$27)</f>
        <v>76500</v>
      </c>
      <c r="Q69" s="140">
        <f>$D69*SUM($E$27:Q$27)</f>
        <v>76500</v>
      </c>
      <c r="R69" s="140">
        <f>$D69*SUM($E$27:R$27)</f>
        <v>76500</v>
      </c>
      <c r="S69" s="140">
        <f>$D69*SUM($E$27:S$27)</f>
        <v>76500</v>
      </c>
      <c r="T69" s="141">
        <f>$D69*SUM($E$27:T$27)</f>
        <v>76500</v>
      </c>
    </row>
    <row r="70" spans="2:20" x14ac:dyDescent="0.3">
      <c r="B70" s="184" t="s">
        <v>72</v>
      </c>
      <c r="C70" s="240"/>
      <c r="D70" s="261">
        <f>C70*'Inputs and assumptions'!D41/$D$27</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41" t="s">
        <v>122</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22500</v>
      </c>
      <c r="E102" s="112"/>
      <c r="F102" s="306">
        <f t="shared" ref="F102:T102" si="6">$D$102*F27</f>
        <v>112500</v>
      </c>
      <c r="G102" s="306">
        <f t="shared" si="6"/>
        <v>112500</v>
      </c>
      <c r="H102" s="306">
        <f t="shared" si="6"/>
        <v>112500</v>
      </c>
      <c r="I102" s="140">
        <f t="shared" si="6"/>
        <v>112500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500</v>
      </c>
      <c r="E103" s="112"/>
      <c r="F103" s="306">
        <f>$D103*SUM($E$27:F$27)</f>
        <v>2500</v>
      </c>
      <c r="G103" s="306">
        <f>$D103*SUM($E$27:G$27)</f>
        <v>5000</v>
      </c>
      <c r="H103" s="306">
        <f>$D103*SUM($E$27:H$27)</f>
        <v>7500</v>
      </c>
      <c r="I103" s="140">
        <f>$D103*SUM($E$27:I$27)</f>
        <v>10000</v>
      </c>
      <c r="J103" s="140">
        <f>$D103*SUM($E$27:J$27)</f>
        <v>10000</v>
      </c>
      <c r="K103" s="140">
        <f>$D103*SUM($E$27:K$27)</f>
        <v>10000</v>
      </c>
      <c r="L103" s="140">
        <f>$D103*SUM($E$27:L$27)</f>
        <v>10000</v>
      </c>
      <c r="M103" s="140">
        <f>$D103*SUM($E$27:M$27)</f>
        <v>10000</v>
      </c>
      <c r="N103" s="140">
        <f>$D103*SUM($E$27:N$27)</f>
        <v>10000</v>
      </c>
      <c r="O103" s="140">
        <f>$D103*SUM($E$27:O$27)</f>
        <v>10000</v>
      </c>
      <c r="P103" s="140">
        <f>$D103*SUM($E$27:P$27)</f>
        <v>10000</v>
      </c>
      <c r="Q103" s="140">
        <f>$D103*SUM($E$27:Q$27)</f>
        <v>10000</v>
      </c>
      <c r="R103" s="140">
        <f>$D103*SUM($E$27:R$27)</f>
        <v>10000</v>
      </c>
      <c r="S103" s="140">
        <f>$D103*SUM($E$27:S$27)</f>
        <v>10000</v>
      </c>
      <c r="T103" s="141">
        <f>$D103*SUM($E$27:T$27)</f>
        <v>10000</v>
      </c>
    </row>
    <row r="104" spans="2:20" x14ac:dyDescent="0.3">
      <c r="B104" s="123"/>
      <c r="C104" s="112"/>
      <c r="D104" s="151"/>
      <c r="E104" s="112"/>
      <c r="F104" s="346"/>
      <c r="G104" s="346"/>
      <c r="H104" s="346"/>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22500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318</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R70 F103:H103" formulaRange="1"/>
  </ignoredErrors>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C5813B3C-3E6B-4643-AB7E-DAD495F9E729}">
          <x14:formula1>
            <xm:f>'Inputs and assumptions'!$H$17:$H$20</xm:f>
          </x14:formula1>
          <xm:sqref>E8</xm:sqref>
        </x14:dataValidation>
        <x14:dataValidation type="list" allowBlank="1" showInputMessage="1" showErrorMessage="1" xr:uid="{B6D422AA-2337-4955-B9D7-9E0358BE4FCE}">
          <x14:formula1>
            <xm:f>'Inputs and assumptions'!$G$17:$G$20</xm:f>
          </x14:formula1>
          <xm:sqref>E7</xm:sqref>
        </x14:dataValidation>
        <x14:dataValidation type="list" allowBlank="1" showInputMessage="1" showErrorMessage="1" xr:uid="{B2571395-DB2D-462B-8F60-EFC523366BE9}">
          <x14:formula1>
            <xm:f>'Inputs and assumptions'!$H$23:$H$24</xm:f>
          </x14:formula1>
          <xm:sqref>E10</xm:sqref>
        </x14:dataValidation>
        <x14:dataValidation type="list" allowBlank="1" showInputMessage="1" showErrorMessage="1" xr:uid="{C78CFEAC-DF9F-49A2-A867-29E38B07C80B}">
          <x14:formula1>
            <xm:f>'Inputs and assumptions'!$H$27:$H$29</xm:f>
          </x14:formula1>
          <xm:sqref>E11</xm:sqref>
        </x14:dataValidation>
        <x14:dataValidation type="list" allowBlank="1" showInputMessage="1" showErrorMessage="1" xr:uid="{CAE9BD4E-607F-476F-BF9F-E47C5C0A3658}">
          <x14:formula1>
            <xm:f>'Inputs and assumptions'!$H$31:$H$34</xm:f>
          </x14:formula1>
          <xm:sqref>E12</xm:sqref>
        </x14:dataValidation>
        <x14:dataValidation type="list" allowBlank="1" showInputMessage="1" showErrorMessage="1" xr:uid="{72B990A4-0FB9-422E-9033-A60685392565}">
          <x14:formula1>
            <xm:f>'Inputs and assumptions'!$H$36:$H$40</xm:f>
          </x14:formula1>
          <xm:sqref>E13</xm:sqref>
        </x14:dataValidation>
        <x14:dataValidation type="list" allowBlank="1" showInputMessage="1" showErrorMessage="1" xr:uid="{A9DEE4C3-BD40-4CA3-A26E-F9D3DD92DF05}">
          <x14:formula1>
            <xm:f>'Inputs and assumptions'!$J$21:$J$24</xm:f>
          </x14:formula1>
          <xm:sqref>E14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FEC6-8B62-4AD5-BFE2-5A4BF5031176}">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319</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190</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320</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298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-3635324.8205550718</v>
      </c>
      <c r="J18" s="222"/>
      <c r="K18" s="220" t="s">
        <v>220</v>
      </c>
      <c r="L18" s="223">
        <f>SUM(F34:J34)</f>
        <v>3375000</v>
      </c>
      <c r="N18" s="584" t="s">
        <v>221</v>
      </c>
      <c r="O18" s="584"/>
      <c r="P18" s="584"/>
      <c r="Q18" s="584"/>
      <c r="R18" s="314"/>
      <c r="S18" s="161"/>
      <c r="T18" s="315" t="s">
        <v>222</v>
      </c>
    </row>
    <row r="19" spans="2:20" ht="13.5" customHeight="1" x14ac:dyDescent="0.3">
      <c r="B19" s="160" t="s">
        <v>19</v>
      </c>
      <c r="C19" s="182">
        <v>5</v>
      </c>
      <c r="D19" s="161">
        <v>0.18</v>
      </c>
      <c r="E19" s="162">
        <f>D19*C19</f>
        <v>0.89999999999999991</v>
      </c>
      <c r="G19" s="224"/>
      <c r="H19" s="125" t="s">
        <v>20</v>
      </c>
      <c r="I19" s="126">
        <f>D40</f>
        <v>-1066082.8197879144</v>
      </c>
      <c r="J19" s="127"/>
      <c r="K19" s="125" t="s">
        <v>223</v>
      </c>
      <c r="L19" s="225">
        <f>SUM(F36:J36)</f>
        <v>262500</v>
      </c>
      <c r="N19" s="585" t="s">
        <v>224</v>
      </c>
      <c r="O19" s="585"/>
      <c r="P19" s="585"/>
      <c r="Q19" s="585"/>
      <c r="R19" s="314"/>
      <c r="S19" s="161"/>
      <c r="T19" s="315" t="s">
        <v>222</v>
      </c>
    </row>
    <row r="20" spans="2:20" ht="13.5" customHeight="1" x14ac:dyDescent="0.3">
      <c r="B20" s="160" t="s">
        <v>21</v>
      </c>
      <c r="C20" s="182">
        <v>2</v>
      </c>
      <c r="D20" s="161">
        <v>0.18</v>
      </c>
      <c r="E20" s="162">
        <f>D20*C20</f>
        <v>0.36</v>
      </c>
      <c r="G20" s="224"/>
      <c r="H20" s="125" t="s">
        <v>22</v>
      </c>
      <c r="I20" s="217">
        <f>IFERROR(ABS((I19-I18)/I18),"N/A")</f>
        <v>0.70674344868441885</v>
      </c>
      <c r="J20" s="127"/>
      <c r="K20" s="125" t="s">
        <v>225</v>
      </c>
      <c r="L20" s="225">
        <f>NPV($D$33,F39:T39)</f>
        <v>2569242.0007671588</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0.49082720334046104</v>
      </c>
      <c r="J21" s="226"/>
      <c r="K21" s="436" t="s">
        <v>228</v>
      </c>
      <c r="L21" s="439">
        <f>NPV($D$33,F39:J39)</f>
        <v>1362114.0200600855</v>
      </c>
      <c r="N21" s="570" t="s">
        <v>229</v>
      </c>
      <c r="O21" s="570"/>
      <c r="P21" s="570"/>
      <c r="Q21" s="570"/>
      <c r="R21" s="570"/>
      <c r="S21" s="164"/>
      <c r="T21" s="165"/>
    </row>
    <row r="22" spans="2:20" ht="13.5" customHeight="1" x14ac:dyDescent="0.3">
      <c r="B22" s="160" t="s">
        <v>230</v>
      </c>
      <c r="C22" s="182">
        <v>2</v>
      </c>
      <c r="D22" s="161">
        <v>0.17</v>
      </c>
      <c r="E22" s="162">
        <f>D22*C22</f>
        <v>0.34</v>
      </c>
      <c r="L22" s="218"/>
    </row>
    <row r="23" spans="2:20" ht="13.5" customHeight="1" x14ac:dyDescent="0.3">
      <c r="B23" s="117" t="s">
        <v>229</v>
      </c>
      <c r="C23" s="117"/>
      <c r="D23" s="164">
        <f>SUM(D18:D22)</f>
        <v>0.99999999999999989</v>
      </c>
      <c r="E23" s="165">
        <f>SUM(E18:E22)</f>
        <v>2.7199999999999998</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0.5</v>
      </c>
      <c r="H28" s="265">
        <v>1</v>
      </c>
      <c r="I28" s="265">
        <v>1</v>
      </c>
      <c r="J28" s="265">
        <v>1</v>
      </c>
      <c r="K28" s="265">
        <v>1</v>
      </c>
      <c r="L28" s="265">
        <v>1</v>
      </c>
      <c r="M28" s="265">
        <v>1</v>
      </c>
      <c r="N28" s="265">
        <v>0.5</v>
      </c>
      <c r="O28" s="228"/>
      <c r="P28" s="228"/>
      <c r="Q28" s="228"/>
      <c r="R28" s="228"/>
      <c r="S28" s="228"/>
      <c r="T28" s="229"/>
    </row>
    <row r="29" spans="2:20" ht="13.5" thickBot="1" x14ac:dyDescent="0.35">
      <c r="B29" s="120"/>
      <c r="C29" s="232"/>
      <c r="D29" s="121"/>
      <c r="E29" s="121"/>
      <c r="F29" s="291">
        <v>0.6</v>
      </c>
      <c r="G29" s="291">
        <v>0.2</v>
      </c>
      <c r="H29" s="291">
        <v>0.2</v>
      </c>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2025000</v>
      </c>
      <c r="G34" s="140">
        <f t="shared" si="0"/>
        <v>675000</v>
      </c>
      <c r="H34" s="140">
        <f t="shared" si="0"/>
        <v>675000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3037500</v>
      </c>
      <c r="G35" s="140">
        <f>G34*(1+'Inputs and assumptions'!$C$7)</f>
        <v>1012500</v>
      </c>
      <c r="H35" s="140">
        <f>H34*(1+'Inputs and assumptions'!$C$7)</f>
        <v>1012500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37500</v>
      </c>
      <c r="H36" s="142">
        <f t="shared" si="1"/>
        <v>75000</v>
      </c>
      <c r="I36" s="142">
        <f t="shared" si="1"/>
        <v>75000</v>
      </c>
      <c r="J36" s="142">
        <f t="shared" si="1"/>
        <v>75000</v>
      </c>
      <c r="K36" s="142">
        <f t="shared" si="1"/>
        <v>75000</v>
      </c>
      <c r="L36" s="142">
        <f t="shared" si="1"/>
        <v>75000</v>
      </c>
      <c r="M36" s="142">
        <f t="shared" si="1"/>
        <v>75000</v>
      </c>
      <c r="N36" s="142">
        <f t="shared" si="1"/>
        <v>37500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-3635324.8205550718</v>
      </c>
      <c r="E37" s="248"/>
      <c r="F37" s="144">
        <f t="shared" ref="F37:T37" si="2">-F34-F36</f>
        <v>-2025000</v>
      </c>
      <c r="G37" s="144">
        <f t="shared" si="2"/>
        <v>-712500</v>
      </c>
      <c r="H37" s="144">
        <f t="shared" si="2"/>
        <v>-750000</v>
      </c>
      <c r="I37" s="144">
        <f t="shared" si="2"/>
        <v>-75000</v>
      </c>
      <c r="J37" s="144">
        <f t="shared" si="2"/>
        <v>-75000</v>
      </c>
      <c r="K37" s="144">
        <f t="shared" si="2"/>
        <v>-75000</v>
      </c>
      <c r="L37" s="144">
        <f t="shared" si="2"/>
        <v>-75000</v>
      </c>
      <c r="M37" s="144">
        <f t="shared" si="2"/>
        <v>-75000</v>
      </c>
      <c r="N37" s="144">
        <f t="shared" si="2"/>
        <v>-37500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3037500</v>
      </c>
      <c r="G38" s="142">
        <f t="shared" ref="G38:T38" si="3">G35+G36</f>
        <v>1050000</v>
      </c>
      <c r="H38" s="142">
        <f t="shared" si="3"/>
        <v>1087500</v>
      </c>
      <c r="I38" s="142">
        <f t="shared" si="3"/>
        <v>75000</v>
      </c>
      <c r="J38" s="142">
        <f t="shared" si="3"/>
        <v>75000</v>
      </c>
      <c r="K38" s="142">
        <f t="shared" si="3"/>
        <v>75000</v>
      </c>
      <c r="L38" s="142">
        <f t="shared" si="3"/>
        <v>75000</v>
      </c>
      <c r="M38" s="142">
        <f t="shared" si="3"/>
        <v>75000</v>
      </c>
      <c r="N38" s="142">
        <f t="shared" si="3"/>
        <v>37500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220500</v>
      </c>
      <c r="H39" s="140">
        <f t="shared" si="4"/>
        <v>441000</v>
      </c>
      <c r="I39" s="140">
        <f t="shared" si="4"/>
        <v>441000</v>
      </c>
      <c r="J39" s="140">
        <f t="shared" si="4"/>
        <v>441000</v>
      </c>
      <c r="K39" s="140">
        <f t="shared" si="4"/>
        <v>441000</v>
      </c>
      <c r="L39" s="140">
        <f t="shared" si="4"/>
        <v>441000</v>
      </c>
      <c r="M39" s="140">
        <f t="shared" si="4"/>
        <v>441000</v>
      </c>
      <c r="N39" s="140">
        <f t="shared" si="4"/>
        <v>220500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-1066082.8197879144</v>
      </c>
      <c r="E40" s="112"/>
      <c r="F40" s="140">
        <f t="shared" ref="F40:T40" si="5">F39+F37</f>
        <v>-2025000</v>
      </c>
      <c r="G40" s="140">
        <f t="shared" si="5"/>
        <v>-492000</v>
      </c>
      <c r="H40" s="140">
        <f t="shared" si="5"/>
        <v>-309000</v>
      </c>
      <c r="I40" s="140">
        <f t="shared" si="5"/>
        <v>366000</v>
      </c>
      <c r="J40" s="140">
        <f t="shared" si="5"/>
        <v>366000</v>
      </c>
      <c r="K40" s="140">
        <f t="shared" si="5"/>
        <v>366000</v>
      </c>
      <c r="L40" s="140">
        <f t="shared" si="5"/>
        <v>366000</v>
      </c>
      <c r="M40" s="140">
        <f t="shared" si="5"/>
        <v>366000</v>
      </c>
      <c r="N40" s="140">
        <f t="shared" si="5"/>
        <v>183000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v>3.5000000000000001E-3</v>
      </c>
      <c r="D92" s="267">
        <f>C92*'Inputs and assumptions'!D35</f>
        <v>441000</v>
      </c>
      <c r="F92" s="294">
        <f>$D92*F$28</f>
        <v>0</v>
      </c>
      <c r="G92" s="294">
        <f t="shared" ref="G92:T92" si="6">$D92*G$28</f>
        <v>220500</v>
      </c>
      <c r="H92" s="294">
        <f t="shared" si="6"/>
        <v>441000</v>
      </c>
      <c r="I92" s="294">
        <f t="shared" si="6"/>
        <v>441000</v>
      </c>
      <c r="J92" s="294">
        <f t="shared" si="6"/>
        <v>441000</v>
      </c>
      <c r="K92" s="294">
        <f t="shared" si="6"/>
        <v>441000</v>
      </c>
      <c r="L92" s="294">
        <f t="shared" si="6"/>
        <v>441000</v>
      </c>
      <c r="M92" s="294">
        <f t="shared" si="6"/>
        <v>441000</v>
      </c>
      <c r="N92" s="294">
        <f t="shared" si="6"/>
        <v>220500</v>
      </c>
      <c r="O92" s="294">
        <f t="shared" si="6"/>
        <v>0</v>
      </c>
      <c r="P92" s="294">
        <f t="shared" si="6"/>
        <v>0</v>
      </c>
      <c r="Q92" s="294">
        <f t="shared" si="6"/>
        <v>0</v>
      </c>
      <c r="R92" s="294">
        <f t="shared" si="6"/>
        <v>0</v>
      </c>
      <c r="S92" s="294">
        <f t="shared" si="6"/>
        <v>0</v>
      </c>
      <c r="T92" s="295">
        <f t="shared" si="6"/>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7">$D$102*F27</f>
        <v>0</v>
      </c>
      <c r="G102" s="140">
        <f t="shared" si="7"/>
        <v>0</v>
      </c>
      <c r="H102" s="140">
        <f t="shared" si="7"/>
        <v>0</v>
      </c>
      <c r="I102" s="140">
        <f t="shared" si="7"/>
        <v>0</v>
      </c>
      <c r="J102" s="140">
        <f t="shared" si="7"/>
        <v>0</v>
      </c>
      <c r="K102" s="140">
        <f t="shared" si="7"/>
        <v>0</v>
      </c>
      <c r="L102" s="140">
        <f t="shared" si="7"/>
        <v>0</v>
      </c>
      <c r="M102" s="140">
        <f t="shared" si="7"/>
        <v>0</v>
      </c>
      <c r="N102" s="140">
        <f t="shared" si="7"/>
        <v>0</v>
      </c>
      <c r="O102" s="140">
        <f t="shared" si="7"/>
        <v>0</v>
      </c>
      <c r="P102" s="140">
        <f t="shared" si="7"/>
        <v>0</v>
      </c>
      <c r="Q102" s="140">
        <f t="shared" si="7"/>
        <v>0</v>
      </c>
      <c r="R102" s="140">
        <f t="shared" si="7"/>
        <v>0</v>
      </c>
      <c r="S102" s="140">
        <f t="shared" si="7"/>
        <v>0</v>
      </c>
      <c r="T102" s="141">
        <f t="shared" si="7"/>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2025000</v>
      </c>
      <c r="G107" s="294">
        <f t="shared" ref="G107:I107" si="8">$E$111*G$29</f>
        <v>675000</v>
      </c>
      <c r="H107" s="294">
        <f t="shared" si="8"/>
        <v>675000</v>
      </c>
      <c r="I107" s="294">
        <f t="shared" si="8"/>
        <v>0</v>
      </c>
      <c r="J107" s="294">
        <v>0</v>
      </c>
      <c r="K107" s="294">
        <v>0</v>
      </c>
      <c r="L107" s="294">
        <v>0</v>
      </c>
      <c r="M107" s="294">
        <v>0</v>
      </c>
      <c r="N107" s="294">
        <v>0</v>
      </c>
      <c r="O107" s="294">
        <v>0</v>
      </c>
      <c r="P107" s="175">
        <v>0</v>
      </c>
      <c r="Q107" s="175">
        <v>0</v>
      </c>
      <c r="R107" s="175">
        <v>0</v>
      </c>
      <c r="S107" s="175">
        <v>0</v>
      </c>
      <c r="T107" s="176">
        <v>0</v>
      </c>
    </row>
    <row r="108" spans="2:20" x14ac:dyDescent="0.3">
      <c r="B108" s="123" t="s">
        <v>79</v>
      </c>
      <c r="C108" s="112"/>
      <c r="F108" s="294">
        <v>0</v>
      </c>
      <c r="G108" s="294">
        <f>75000*G$28</f>
        <v>37500</v>
      </c>
      <c r="H108" s="294">
        <f t="shared" ref="H108:N108" si="9">75000*H$28</f>
        <v>75000</v>
      </c>
      <c r="I108" s="294">
        <f t="shared" si="9"/>
        <v>75000</v>
      </c>
      <c r="J108" s="294">
        <f t="shared" si="9"/>
        <v>75000</v>
      </c>
      <c r="K108" s="294">
        <f t="shared" si="9"/>
        <v>75000</v>
      </c>
      <c r="L108" s="294">
        <f t="shared" si="9"/>
        <v>75000</v>
      </c>
      <c r="M108" s="294">
        <f t="shared" si="9"/>
        <v>75000</v>
      </c>
      <c r="N108" s="294">
        <f t="shared" si="9"/>
        <v>37500</v>
      </c>
      <c r="O108" s="294">
        <f>75000*O$28</f>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3375000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321</v>
      </c>
      <c r="C113" s="573"/>
      <c r="D113" s="573"/>
      <c r="E113" s="574"/>
      <c r="F113" s="303"/>
      <c r="G113" s="303"/>
      <c r="H113" s="303"/>
      <c r="I113" s="303"/>
      <c r="J113" s="303"/>
      <c r="K113" s="303"/>
      <c r="L113" s="181"/>
      <c r="M113" s="181"/>
      <c r="N113" s="181"/>
      <c r="O113" s="181"/>
      <c r="P113" s="181"/>
      <c r="Q113" s="181"/>
      <c r="R113" s="181"/>
      <c r="S113" s="181"/>
      <c r="T113" s="181"/>
    </row>
    <row r="114" spans="2:20" ht="15" customHeight="1" x14ac:dyDescent="0.3">
      <c r="B114" s="575"/>
      <c r="C114" s="576"/>
      <c r="D114" s="576"/>
      <c r="E114" s="577"/>
      <c r="F114" s="303"/>
      <c r="G114" s="303"/>
      <c r="H114" s="303"/>
      <c r="I114" s="303"/>
      <c r="J114" s="303"/>
      <c r="K114" s="303"/>
      <c r="L114" s="181"/>
      <c r="M114" s="181"/>
      <c r="N114" s="181"/>
      <c r="O114" s="181"/>
      <c r="P114" s="181"/>
      <c r="Q114" s="181"/>
      <c r="R114" s="181"/>
      <c r="S114" s="181"/>
      <c r="T114" s="181"/>
    </row>
    <row r="115" spans="2:20" ht="15" customHeight="1" x14ac:dyDescent="0.3">
      <c r="B115" s="575"/>
      <c r="C115" s="576"/>
      <c r="D115" s="576"/>
      <c r="E115" s="577"/>
      <c r="F115" s="303"/>
      <c r="G115" s="303"/>
      <c r="H115" s="303"/>
      <c r="I115" s="303"/>
      <c r="J115" s="303"/>
      <c r="K115" s="303"/>
      <c r="L115" s="181"/>
      <c r="M115" s="181"/>
      <c r="N115" s="181"/>
      <c r="O115" s="181"/>
      <c r="P115" s="181"/>
      <c r="Q115" s="181"/>
      <c r="R115" s="181"/>
      <c r="S115" s="181"/>
      <c r="T115" s="181"/>
    </row>
    <row r="116" spans="2:20" ht="15" customHeight="1" x14ac:dyDescent="0.3">
      <c r="B116" s="575"/>
      <c r="C116" s="576"/>
      <c r="D116" s="576"/>
      <c r="E116" s="577"/>
      <c r="F116" s="303"/>
      <c r="G116" s="303"/>
      <c r="H116" s="303"/>
      <c r="I116" s="303"/>
      <c r="J116" s="303"/>
      <c r="K116" s="303"/>
      <c r="L116" s="181"/>
      <c r="M116" s="181"/>
      <c r="N116" s="181"/>
      <c r="O116" s="181"/>
      <c r="P116" s="181"/>
      <c r="Q116" s="181"/>
      <c r="R116" s="181"/>
      <c r="S116" s="181"/>
      <c r="T116" s="181"/>
    </row>
    <row r="117" spans="2:20" ht="15" customHeight="1" x14ac:dyDescent="0.3">
      <c r="B117" s="575"/>
      <c r="C117" s="576"/>
      <c r="D117" s="576"/>
      <c r="E117" s="577"/>
      <c r="F117" s="303"/>
      <c r="G117" s="303"/>
      <c r="H117" s="303"/>
      <c r="I117" s="303"/>
      <c r="J117" s="303"/>
      <c r="K117" s="303"/>
      <c r="L117" s="181"/>
      <c r="M117" s="181"/>
      <c r="N117" s="181"/>
      <c r="O117" s="181"/>
      <c r="P117" s="181"/>
      <c r="Q117" s="181"/>
      <c r="R117" s="181"/>
      <c r="S117" s="181"/>
      <c r="T117" s="181"/>
    </row>
    <row r="118" spans="2:20" ht="15" customHeight="1" x14ac:dyDescent="0.3">
      <c r="B118" s="575"/>
      <c r="C118" s="576"/>
      <c r="D118" s="576"/>
      <c r="E118" s="577"/>
      <c r="F118" s="303"/>
      <c r="G118" s="303"/>
      <c r="H118" s="303"/>
      <c r="I118" s="303"/>
      <c r="J118" s="303"/>
      <c r="K118" s="303"/>
      <c r="L118" s="181"/>
      <c r="M118" s="181"/>
      <c r="N118" s="181"/>
      <c r="O118" s="181"/>
      <c r="P118" s="181"/>
      <c r="Q118" s="181"/>
      <c r="R118" s="181"/>
      <c r="S118" s="181"/>
      <c r="T118" s="181"/>
    </row>
    <row r="119" spans="2:20" ht="15" customHeight="1" x14ac:dyDescent="0.3">
      <c r="B119" s="575"/>
      <c r="C119" s="576"/>
      <c r="D119" s="576"/>
      <c r="E119" s="577"/>
      <c r="F119" s="303"/>
      <c r="G119" s="303"/>
      <c r="H119" s="303"/>
      <c r="I119" s="303"/>
      <c r="J119" s="303"/>
      <c r="K119" s="303"/>
      <c r="L119" s="181"/>
      <c r="M119" s="181"/>
      <c r="N119" s="181"/>
      <c r="O119" s="181"/>
      <c r="P119" s="181"/>
      <c r="Q119" s="181"/>
      <c r="R119" s="181"/>
      <c r="S119" s="181"/>
      <c r="T119" s="181"/>
    </row>
    <row r="120" spans="2:20" ht="15" customHeight="1" x14ac:dyDescent="0.3">
      <c r="B120" s="575"/>
      <c r="C120" s="576"/>
      <c r="D120" s="576"/>
      <c r="E120" s="577"/>
      <c r="F120" s="303"/>
      <c r="G120" s="303"/>
      <c r="H120" s="303"/>
      <c r="I120" s="303"/>
      <c r="J120" s="303"/>
      <c r="K120" s="303"/>
      <c r="L120" s="181"/>
      <c r="M120" s="181"/>
      <c r="N120" s="181"/>
      <c r="O120" s="181"/>
      <c r="P120" s="181"/>
      <c r="Q120" s="181"/>
      <c r="R120" s="181"/>
      <c r="S120" s="181"/>
      <c r="T120" s="181"/>
    </row>
    <row r="121" spans="2:20" ht="15" customHeight="1" x14ac:dyDescent="0.3">
      <c r="B121" s="575"/>
      <c r="C121" s="576"/>
      <c r="D121" s="576"/>
      <c r="E121" s="577"/>
      <c r="F121" s="303"/>
      <c r="G121" s="303"/>
      <c r="H121" s="303"/>
      <c r="I121" s="303"/>
      <c r="J121" s="303"/>
      <c r="K121" s="303"/>
      <c r="L121" s="181"/>
      <c r="M121" s="181"/>
      <c r="N121" s="181"/>
      <c r="O121" s="181"/>
      <c r="P121" s="181"/>
      <c r="Q121" s="181"/>
      <c r="R121" s="181"/>
      <c r="S121" s="181"/>
      <c r="T121" s="181"/>
    </row>
    <row r="122" spans="2:20" ht="15.75" customHeight="1" thickBot="1" x14ac:dyDescent="0.35">
      <c r="B122" s="578"/>
      <c r="C122" s="579"/>
      <c r="D122" s="579"/>
      <c r="E122" s="580"/>
      <c r="F122" s="303"/>
      <c r="G122" s="303"/>
      <c r="H122" s="303"/>
      <c r="I122" s="303"/>
      <c r="J122" s="303"/>
      <c r="K122" s="303"/>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8750D66C-564C-4A83-84D4-6FCD81D2C743}">
          <x14:formula1>
            <xm:f>'Inputs and assumptions'!$J$17:$J$18</xm:f>
          </x14:formula1>
          <xm:sqref>E43</xm:sqref>
        </x14:dataValidation>
        <x14:dataValidation type="list" allowBlank="1" showInputMessage="1" showErrorMessage="1" xr:uid="{18449869-B4C0-4742-A8FF-BF67FD6CCD4D}">
          <x14:formula1>
            <xm:f>'Inputs and assumptions'!$H$27:$H$29</xm:f>
          </x14:formula1>
          <xm:sqref>E11</xm:sqref>
        </x14:dataValidation>
        <x14:dataValidation type="list" allowBlank="1" showInputMessage="1" showErrorMessage="1" xr:uid="{BCF19B42-3937-4A2B-8F73-6DF925FA8E9A}">
          <x14:formula1>
            <xm:f>'Inputs and assumptions'!$H$23:$H$24</xm:f>
          </x14:formula1>
          <xm:sqref>E10</xm:sqref>
        </x14:dataValidation>
        <x14:dataValidation type="list" allowBlank="1" showInputMessage="1" showErrorMessage="1" xr:uid="{B62815DE-6775-4FF1-96AE-644D10796BEA}">
          <x14:formula1>
            <xm:f>'Inputs and assumptions'!$G$16:$G$20</xm:f>
          </x14:formula1>
          <xm:sqref>E7</xm:sqref>
        </x14:dataValidation>
        <x14:dataValidation type="list" allowBlank="1" showInputMessage="1" showErrorMessage="1" xr:uid="{99F3A06D-D16F-4C22-B6B7-B9390DC7937D}">
          <x14:formula1>
            <xm:f>'Inputs and assumptions'!$H$16:$H$20</xm:f>
          </x14:formula1>
          <xm:sqref>E8</xm:sqref>
        </x14:dataValidation>
        <x14:dataValidation type="list" allowBlank="1" showInputMessage="1" showErrorMessage="1" xr:uid="{517AA371-AB21-45AE-A9C1-A32DE1A91D32}">
          <x14:formula1>
            <xm:f>'Inputs and assumptions'!$H$31:$H$34</xm:f>
          </x14:formula1>
          <xm:sqref>E12</xm:sqref>
        </x14:dataValidation>
        <x14:dataValidation type="list" allowBlank="1" showInputMessage="1" showErrorMessage="1" xr:uid="{58C0884E-A580-4917-A885-80684D274AD6}">
          <x14:formula1>
            <xm:f>'Inputs and assumptions'!$H$36:$H$40</xm:f>
          </x14:formula1>
          <xm:sqref>E13</xm:sqref>
        </x14:dataValidation>
        <x14:dataValidation type="list" allowBlank="1" showInputMessage="1" showErrorMessage="1" xr:uid="{4037C30F-842B-441F-8C2A-938D5CD6342C}">
          <x14:formula1>
            <xm:f>'Inputs and assumptions'!$J$21:$J$24</xm:f>
          </x14:formula1>
          <xm:sqref>E14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9286A-C6FD-4C15-B21A-F00FE5F31DA9}">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322</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323</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2</v>
      </c>
      <c r="G7" s="595" t="s">
        <v>324</v>
      </c>
      <c r="H7" s="595"/>
      <c r="I7" s="595"/>
      <c r="J7" s="595"/>
      <c r="K7" s="595"/>
      <c r="L7" s="595"/>
      <c r="M7" s="595"/>
      <c r="N7" s="595"/>
      <c r="O7" s="595"/>
      <c r="P7" s="595"/>
      <c r="Q7" s="595"/>
      <c r="R7" s="595"/>
      <c r="S7" s="595"/>
      <c r="T7" s="595"/>
    </row>
    <row r="8" spans="1:23" s="170" customFormat="1" ht="15.75" customHeight="1" x14ac:dyDescent="0.35">
      <c r="B8" s="328" t="s">
        <v>3</v>
      </c>
      <c r="C8" s="230"/>
      <c r="E8" s="329" t="s">
        <v>3</v>
      </c>
      <c r="G8" s="595"/>
      <c r="H8" s="595"/>
      <c r="I8" s="595"/>
      <c r="J8" s="595"/>
      <c r="K8" s="595"/>
      <c r="L8" s="595"/>
      <c r="M8" s="595"/>
      <c r="N8" s="595"/>
      <c r="O8" s="595"/>
      <c r="P8" s="595"/>
      <c r="Q8" s="595"/>
      <c r="R8" s="595"/>
      <c r="S8" s="595"/>
      <c r="T8" s="595"/>
    </row>
    <row r="9" spans="1:23" s="170" customFormat="1" ht="15.75" customHeight="1" x14ac:dyDescent="0.35">
      <c r="B9" s="328" t="s">
        <v>4</v>
      </c>
      <c r="C9" s="230"/>
      <c r="E9" s="330" t="s">
        <v>5</v>
      </c>
      <c r="G9" s="595"/>
      <c r="H9" s="595"/>
      <c r="I9" s="595"/>
      <c r="J9" s="595"/>
      <c r="K9" s="595"/>
      <c r="L9" s="595"/>
      <c r="M9" s="595"/>
      <c r="N9" s="595"/>
      <c r="O9" s="595"/>
      <c r="P9" s="595"/>
      <c r="Q9" s="595"/>
      <c r="R9" s="595"/>
      <c r="S9" s="595"/>
      <c r="T9" s="595"/>
    </row>
    <row r="10" spans="1:23" s="170" customFormat="1" ht="15.75" customHeight="1" x14ac:dyDescent="0.35">
      <c r="B10" s="328" t="s">
        <v>6</v>
      </c>
      <c r="C10" s="230"/>
      <c r="E10" s="330" t="s">
        <v>131</v>
      </c>
      <c r="G10" s="595"/>
      <c r="H10" s="595"/>
      <c r="I10" s="595"/>
      <c r="J10" s="595"/>
      <c r="K10" s="595"/>
      <c r="L10" s="595"/>
      <c r="M10" s="595"/>
      <c r="N10" s="595"/>
      <c r="O10" s="595"/>
      <c r="P10" s="595"/>
      <c r="Q10" s="595"/>
      <c r="R10" s="595"/>
      <c r="S10" s="595"/>
      <c r="T10" s="595"/>
    </row>
    <row r="11" spans="1:23" s="170" customFormat="1" ht="15.75" customHeight="1" x14ac:dyDescent="0.35">
      <c r="B11" s="328" t="s">
        <v>7</v>
      </c>
      <c r="C11" s="230"/>
      <c r="E11" s="330" t="s">
        <v>141</v>
      </c>
      <c r="G11" s="595"/>
      <c r="H11" s="595"/>
      <c r="I11" s="595"/>
      <c r="J11" s="595"/>
      <c r="K11" s="595"/>
      <c r="L11" s="595"/>
      <c r="M11" s="595"/>
      <c r="N11" s="595"/>
      <c r="O11" s="595"/>
      <c r="P11" s="595"/>
      <c r="Q11" s="595"/>
      <c r="R11" s="595"/>
      <c r="S11" s="595"/>
      <c r="T11" s="595"/>
    </row>
    <row r="12" spans="1:23" x14ac:dyDescent="0.3">
      <c r="B12" s="331" t="s">
        <v>9</v>
      </c>
      <c r="C12" s="231"/>
      <c r="D12" s="114"/>
      <c r="E12" s="330" t="s">
        <v>147</v>
      </c>
      <c r="G12" s="595"/>
      <c r="H12" s="595"/>
      <c r="I12" s="595"/>
      <c r="J12" s="595"/>
      <c r="K12" s="595"/>
      <c r="L12" s="595"/>
      <c r="M12" s="595"/>
      <c r="N12" s="595"/>
      <c r="O12" s="595"/>
      <c r="P12" s="595"/>
      <c r="Q12" s="595"/>
      <c r="R12" s="595"/>
      <c r="S12" s="595"/>
      <c r="T12" s="595"/>
    </row>
    <row r="13" spans="1:23" x14ac:dyDescent="0.3">
      <c r="B13" s="331" t="s">
        <v>10</v>
      </c>
      <c r="C13" s="231"/>
      <c r="D13" s="114"/>
      <c r="E13" s="330" t="s">
        <v>10</v>
      </c>
      <c r="G13" s="595"/>
      <c r="H13" s="595"/>
      <c r="I13" s="595"/>
      <c r="J13" s="595"/>
      <c r="K13" s="595"/>
      <c r="L13" s="595"/>
      <c r="M13" s="595"/>
      <c r="N13" s="595"/>
      <c r="O13" s="595"/>
      <c r="P13" s="595"/>
      <c r="Q13" s="595"/>
      <c r="R13" s="595"/>
      <c r="S13" s="595"/>
      <c r="T13" s="595"/>
    </row>
    <row r="14" spans="1:23" ht="13.5" thickBot="1" x14ac:dyDescent="0.35">
      <c r="B14" s="332" t="s">
        <v>11</v>
      </c>
      <c r="C14" s="333"/>
      <c r="D14" s="334"/>
      <c r="E14" s="335" t="s">
        <v>130</v>
      </c>
      <c r="G14" s="595"/>
      <c r="H14" s="595"/>
      <c r="I14" s="595"/>
      <c r="J14" s="595"/>
      <c r="K14" s="595"/>
      <c r="L14" s="595"/>
      <c r="M14" s="595"/>
      <c r="N14" s="595"/>
      <c r="O14" s="595"/>
      <c r="P14" s="595"/>
      <c r="Q14" s="595"/>
      <c r="R14" s="595"/>
      <c r="S14" s="595"/>
      <c r="T14" s="595"/>
    </row>
    <row r="15" spans="1:23" x14ac:dyDescent="0.3">
      <c r="B15" s="438"/>
      <c r="C15" s="231"/>
      <c r="D15" s="114"/>
      <c r="E15" s="158"/>
      <c r="G15" s="595"/>
      <c r="H15" s="595"/>
      <c r="I15" s="595"/>
      <c r="J15" s="595"/>
      <c r="K15" s="595"/>
      <c r="L15" s="595"/>
      <c r="M15" s="595"/>
      <c r="N15" s="595"/>
      <c r="O15" s="595"/>
      <c r="P15" s="595"/>
      <c r="Q15" s="595"/>
      <c r="R15" s="595"/>
      <c r="S15" s="595"/>
      <c r="T15" s="595"/>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c r="D18" s="161">
        <v>0.28999999999999998</v>
      </c>
      <c r="E18" s="162">
        <f>D18*C18</f>
        <v>0</v>
      </c>
      <c r="G18" s="219"/>
      <c r="H18" s="220" t="s">
        <v>18</v>
      </c>
      <c r="I18" s="221">
        <f>D37</f>
        <v>-4150620.2656141571</v>
      </c>
      <c r="J18" s="222"/>
      <c r="K18" s="220" t="s">
        <v>220</v>
      </c>
      <c r="L18" s="223">
        <f>SUM(F34:J34)</f>
        <v>3825000</v>
      </c>
      <c r="N18" s="584" t="s">
        <v>221</v>
      </c>
      <c r="O18" s="584"/>
      <c r="P18" s="584"/>
      <c r="Q18" s="584"/>
      <c r="R18" s="314"/>
      <c r="S18" s="161"/>
      <c r="T18" s="315" t="s">
        <v>222</v>
      </c>
    </row>
    <row r="19" spans="2:20" ht="13.5" customHeight="1" x14ac:dyDescent="0.3">
      <c r="B19" s="160" t="s">
        <v>19</v>
      </c>
      <c r="C19" s="182"/>
      <c r="D19" s="161">
        <v>0.18</v>
      </c>
      <c r="E19" s="162">
        <f>D19*C19</f>
        <v>0</v>
      </c>
      <c r="G19" s="224"/>
      <c r="H19" s="125" t="s">
        <v>20</v>
      </c>
      <c r="I19" s="126">
        <f>D40</f>
        <v>5160255.8623390002</v>
      </c>
      <c r="J19" s="127"/>
      <c r="K19" s="125" t="s">
        <v>223</v>
      </c>
      <c r="L19" s="225">
        <f>SUM(F36:J36)</f>
        <v>297500</v>
      </c>
      <c r="N19" s="585" t="s">
        <v>224</v>
      </c>
      <c r="O19" s="585"/>
      <c r="P19" s="585"/>
      <c r="Q19" s="585"/>
      <c r="R19" s="314"/>
      <c r="S19" s="161"/>
      <c r="T19" s="315" t="s">
        <v>222</v>
      </c>
    </row>
    <row r="20" spans="2:20" ht="13.5" customHeight="1" x14ac:dyDescent="0.3">
      <c r="B20" s="160" t="s">
        <v>21</v>
      </c>
      <c r="C20" s="182"/>
      <c r="D20" s="161">
        <v>0.18</v>
      </c>
      <c r="E20" s="162">
        <f>D20*C20</f>
        <v>0</v>
      </c>
      <c r="G20" s="224"/>
      <c r="H20" s="125" t="s">
        <v>22</v>
      </c>
      <c r="I20" s="217">
        <f>IFERROR(ABS((I19-I18)/I18),"N/A")</f>
        <v>2.2432493295253182</v>
      </c>
      <c r="J20" s="127"/>
      <c r="K20" s="125" t="s">
        <v>225</v>
      </c>
      <c r="L20" s="225">
        <f>NPV($D$33,F39:T39)</f>
        <v>9310876.1279531587</v>
      </c>
      <c r="N20" s="316" t="s">
        <v>226</v>
      </c>
      <c r="O20" s="316"/>
      <c r="P20" s="316"/>
      <c r="Q20" s="316"/>
      <c r="R20" s="317"/>
      <c r="S20" s="318"/>
      <c r="T20" s="315" t="s">
        <v>222</v>
      </c>
    </row>
    <row r="21" spans="2:20" ht="13.5" customHeight="1" thickBot="1" x14ac:dyDescent="0.35">
      <c r="B21" s="160" t="s">
        <v>23</v>
      </c>
      <c r="C21" s="182"/>
      <c r="D21" s="161">
        <v>0.18</v>
      </c>
      <c r="E21" s="162">
        <f>D21*C21</f>
        <v>0</v>
      </c>
      <c r="G21" s="194"/>
      <c r="H21" s="257" t="s">
        <v>166</v>
      </c>
      <c r="I21" s="258">
        <f>IFERROR(NPV($D$33,F39:T39)/NPV($D$33,F38:T38),"N/A")</f>
        <v>1.5630890605558232</v>
      </c>
      <c r="J21" s="226"/>
      <c r="K21" s="436" t="s">
        <v>228</v>
      </c>
      <c r="L21" s="439">
        <f>NPV($D$33,F39:J39)</f>
        <v>3424434.4622097285</v>
      </c>
      <c r="N21" s="570" t="s">
        <v>229</v>
      </c>
      <c r="O21" s="570"/>
      <c r="P21" s="570"/>
      <c r="Q21" s="570"/>
      <c r="R21" s="570"/>
      <c r="S21" s="164"/>
      <c r="T21" s="165"/>
    </row>
    <row r="22" spans="2:20" ht="13.5" customHeight="1" x14ac:dyDescent="0.3">
      <c r="B22" s="160" t="s">
        <v>230</v>
      </c>
      <c r="C22" s="182"/>
      <c r="D22" s="161">
        <v>0.17</v>
      </c>
      <c r="E22" s="162">
        <f>D22*C22</f>
        <v>0</v>
      </c>
      <c r="L22" s="218"/>
    </row>
    <row r="23" spans="2:20" ht="13.5" customHeight="1" x14ac:dyDescent="0.3">
      <c r="B23" s="117" t="s">
        <v>229</v>
      </c>
      <c r="C23" s="117"/>
      <c r="D23" s="164">
        <f>SUM(D18:D22)</f>
        <v>0.99999999999999989</v>
      </c>
      <c r="E23" s="165">
        <f>SUM(E18:E22)</f>
        <v>0</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c r="G28" s="265"/>
      <c r="H28" s="265"/>
      <c r="I28" s="265"/>
      <c r="J28" s="265"/>
      <c r="K28" s="265"/>
      <c r="L28" s="265"/>
      <c r="M28" s="265"/>
      <c r="N28" s="265"/>
      <c r="O28" s="228"/>
      <c r="P28" s="228"/>
      <c r="Q28" s="228"/>
      <c r="R28" s="228"/>
      <c r="S28" s="228"/>
      <c r="T28" s="229"/>
    </row>
    <row r="29" spans="2:20" ht="13.5" thickBot="1" x14ac:dyDescent="0.35">
      <c r="B29" s="120"/>
      <c r="C29" s="232"/>
      <c r="D29" s="121"/>
      <c r="E29" s="121"/>
      <c r="F29" s="291"/>
      <c r="G29" s="291"/>
      <c r="H29" s="29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354" t="s">
        <v>41</v>
      </c>
      <c r="C33" s="355"/>
      <c r="D33" s="356">
        <f>'Inputs and assumptions'!C5</f>
        <v>3.44E-2</v>
      </c>
      <c r="E33" s="357"/>
      <c r="F33" s="358" t="str">
        <f>F26</f>
        <v>Year 1</v>
      </c>
      <c r="G33" s="358" t="s">
        <v>232</v>
      </c>
      <c r="H33" s="358" t="s">
        <v>26</v>
      </c>
      <c r="I33" s="358" t="s">
        <v>27</v>
      </c>
      <c r="J33" s="358" t="s">
        <v>28</v>
      </c>
      <c r="K33" s="358" t="s">
        <v>29</v>
      </c>
      <c r="L33" s="358" t="s">
        <v>30</v>
      </c>
      <c r="M33" s="358" t="s">
        <v>31</v>
      </c>
      <c r="N33" s="358" t="s">
        <v>32</v>
      </c>
      <c r="O33" s="358" t="s">
        <v>33</v>
      </c>
      <c r="P33" s="358" t="s">
        <v>34</v>
      </c>
      <c r="Q33" s="358" t="s">
        <v>35</v>
      </c>
      <c r="R33" s="358" t="s">
        <v>36</v>
      </c>
      <c r="S33" s="358" t="s">
        <v>37</v>
      </c>
      <c r="T33" s="359" t="s">
        <v>38</v>
      </c>
    </row>
    <row r="34" spans="2:20" x14ac:dyDescent="0.3">
      <c r="B34" s="360" t="s">
        <v>42</v>
      </c>
      <c r="C34" s="112"/>
      <c r="D34" s="112"/>
      <c r="E34" s="112"/>
      <c r="F34" s="140">
        <f>'PR049'!F34+'PR084'!F34</f>
        <v>2137500</v>
      </c>
      <c r="G34" s="140">
        <f>'PR049'!G34+'PR084'!G34</f>
        <v>787500</v>
      </c>
      <c r="H34" s="140">
        <f>'PR049'!H34+'PR084'!H34</f>
        <v>787500</v>
      </c>
      <c r="I34" s="140">
        <f>'PR049'!I34+'PR084'!I34</f>
        <v>112500</v>
      </c>
      <c r="J34" s="140">
        <f>'PR049'!J34+'PR084'!J34</f>
        <v>0</v>
      </c>
      <c r="K34" s="140">
        <f>'PR049'!K34+'PR084'!K34</f>
        <v>0</v>
      </c>
      <c r="L34" s="140">
        <f>'PR049'!L34+'PR084'!L34</f>
        <v>0</v>
      </c>
      <c r="M34" s="140">
        <f>'PR049'!M34+'PR084'!M34</f>
        <v>0</v>
      </c>
      <c r="N34" s="140">
        <f>'PR049'!N34+'PR084'!N34</f>
        <v>0</v>
      </c>
      <c r="O34" s="140">
        <f>'PR049'!O34+'PR084'!O34</f>
        <v>0</v>
      </c>
      <c r="P34" s="140">
        <f>'PR049'!P34+'PR084'!P34</f>
        <v>0</v>
      </c>
      <c r="Q34" s="140">
        <f>'PR049'!Q34+'PR084'!Q34</f>
        <v>0</v>
      </c>
      <c r="R34" s="140">
        <f>'PR049'!R34+'PR084'!R34</f>
        <v>0</v>
      </c>
      <c r="S34" s="140">
        <f>'PR049'!S34+'PR084'!S34</f>
        <v>0</v>
      </c>
      <c r="T34" s="361">
        <f>'PR049'!T34+'PR084'!T34</f>
        <v>0</v>
      </c>
    </row>
    <row r="35" spans="2:20" x14ac:dyDescent="0.3">
      <c r="B35" s="360" t="s">
        <v>234</v>
      </c>
      <c r="C35" s="112"/>
      <c r="D35" s="112"/>
      <c r="E35" s="112"/>
      <c r="F35" s="140">
        <f>F34*(1+'Inputs and assumptions'!$C$7)</f>
        <v>3206250</v>
      </c>
      <c r="G35" s="140">
        <f>G34*(1+'Inputs and assumptions'!$C$7)</f>
        <v>1181250</v>
      </c>
      <c r="H35" s="140">
        <f>H34*(1+'Inputs and assumptions'!$C$7)</f>
        <v>1181250</v>
      </c>
      <c r="I35" s="140">
        <f>I34*(1+'Inputs and assumptions'!$C$7)</f>
        <v>168750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361">
        <f>T34*(1+'Inputs and assumptions'!$C$7)</f>
        <v>0</v>
      </c>
    </row>
    <row r="36" spans="2:20" ht="13.5" thickBot="1" x14ac:dyDescent="0.35">
      <c r="B36" s="362" t="s">
        <v>43</v>
      </c>
      <c r="C36" s="363"/>
      <c r="D36" s="363"/>
      <c r="E36" s="363"/>
      <c r="F36" s="364">
        <f>'PR049'!F36+'PR084'!F36</f>
        <v>2500</v>
      </c>
      <c r="G36" s="364">
        <f>'PR049'!G36+'PR084'!G36</f>
        <v>42500</v>
      </c>
      <c r="H36" s="364">
        <f>'PR049'!H36+'PR084'!H36</f>
        <v>82500</v>
      </c>
      <c r="I36" s="364">
        <f>'PR049'!I36+'PR084'!I36</f>
        <v>85000</v>
      </c>
      <c r="J36" s="364">
        <f>'PR049'!J36+'PR084'!J36</f>
        <v>85000</v>
      </c>
      <c r="K36" s="364">
        <f>'PR049'!K36+'PR084'!K36</f>
        <v>85000</v>
      </c>
      <c r="L36" s="364">
        <f>'PR049'!L36+'PR084'!L36</f>
        <v>85000</v>
      </c>
      <c r="M36" s="364">
        <f>'PR049'!M36+'PR084'!M36</f>
        <v>85000</v>
      </c>
      <c r="N36" s="364">
        <f>'PR049'!N36+'PR084'!N36</f>
        <v>47500</v>
      </c>
      <c r="O36" s="364">
        <f>'PR049'!O36+'PR084'!O36</f>
        <v>10000</v>
      </c>
      <c r="P36" s="364">
        <f>'PR049'!P36+'PR084'!P36</f>
        <v>10000</v>
      </c>
      <c r="Q36" s="364">
        <f>'PR049'!Q36+'PR084'!Q36</f>
        <v>10000</v>
      </c>
      <c r="R36" s="364">
        <f>'PR049'!R36+'PR084'!R36</f>
        <v>10000</v>
      </c>
      <c r="S36" s="364">
        <f>'PR049'!S36+'PR084'!S36</f>
        <v>10000</v>
      </c>
      <c r="T36" s="365">
        <f>'PR049'!T36+'PR084'!T36</f>
        <v>10000</v>
      </c>
    </row>
    <row r="37" spans="2:20" x14ac:dyDescent="0.3">
      <c r="B37" s="360" t="s">
        <v>44</v>
      </c>
      <c r="C37" s="112"/>
      <c r="D37" s="353">
        <f>NPV($D$33,F37:T37)</f>
        <v>-4150620.2656141571</v>
      </c>
      <c r="F37" s="140">
        <f>'PR049'!F37+'PR084'!F37</f>
        <v>-2140000</v>
      </c>
      <c r="G37" s="140">
        <f>'PR049'!G37+'PR084'!G37</f>
        <v>-830000</v>
      </c>
      <c r="H37" s="140">
        <f>'PR049'!H37+'PR084'!H37</f>
        <v>-870000</v>
      </c>
      <c r="I37" s="140">
        <f>'PR049'!I37+'PR084'!I37</f>
        <v>-197500</v>
      </c>
      <c r="J37" s="140">
        <f>'PR049'!J37+'PR084'!J37</f>
        <v>-85000</v>
      </c>
      <c r="K37" s="140">
        <f>'PR049'!K37+'PR084'!K37</f>
        <v>-85000</v>
      </c>
      <c r="L37" s="140">
        <f>'PR049'!L37+'PR084'!L37</f>
        <v>-85000</v>
      </c>
      <c r="M37" s="140">
        <f>'PR049'!M37+'PR084'!M37</f>
        <v>-85000</v>
      </c>
      <c r="N37" s="140">
        <f>'PR049'!N37+'PR084'!N37</f>
        <v>-47500</v>
      </c>
      <c r="O37" s="140">
        <f>'PR049'!O37+'PR084'!O37</f>
        <v>-10000</v>
      </c>
      <c r="P37" s="140">
        <f>'PR049'!P37+'PR084'!P37</f>
        <v>-10000</v>
      </c>
      <c r="Q37" s="140">
        <f>'PR049'!Q37+'PR084'!Q37</f>
        <v>-10000</v>
      </c>
      <c r="R37" s="140">
        <f>'PR049'!R37+'PR084'!R37</f>
        <v>-10000</v>
      </c>
      <c r="S37" s="140">
        <f>'PR049'!S37+'PR084'!S37</f>
        <v>-10000</v>
      </c>
      <c r="T37" s="361">
        <f>'PR049'!T37+'PR084'!T37</f>
        <v>-10000</v>
      </c>
    </row>
    <row r="38" spans="2:20" ht="13.5" thickBot="1" x14ac:dyDescent="0.35">
      <c r="B38" s="362" t="s">
        <v>235</v>
      </c>
      <c r="C38" s="363"/>
      <c r="D38" s="366"/>
      <c r="E38" s="367"/>
      <c r="F38" s="364">
        <f>'PR049'!F38+'PR084'!F38</f>
        <v>3208750</v>
      </c>
      <c r="G38" s="364">
        <f>'PR049'!G38+'PR084'!G38</f>
        <v>1223750</v>
      </c>
      <c r="H38" s="364">
        <f>'PR049'!H38+'PR084'!H38</f>
        <v>1263750</v>
      </c>
      <c r="I38" s="364">
        <f>'PR049'!I38+'PR084'!I38</f>
        <v>253750</v>
      </c>
      <c r="J38" s="364">
        <f>'PR049'!J38+'PR084'!J38</f>
        <v>85000</v>
      </c>
      <c r="K38" s="364">
        <f>'PR049'!K38+'PR084'!K38</f>
        <v>85000</v>
      </c>
      <c r="L38" s="364">
        <f>'PR049'!L38+'PR084'!L38</f>
        <v>85000</v>
      </c>
      <c r="M38" s="364">
        <f>'PR049'!M38+'PR084'!M38</f>
        <v>85000</v>
      </c>
      <c r="N38" s="364">
        <f>'PR049'!N38+'PR084'!N38</f>
        <v>47500</v>
      </c>
      <c r="O38" s="364">
        <f>'PR049'!O38+'PR084'!O38</f>
        <v>10000</v>
      </c>
      <c r="P38" s="364">
        <f>'PR049'!P38+'PR084'!P38</f>
        <v>10000</v>
      </c>
      <c r="Q38" s="364">
        <f>'PR049'!Q38+'PR084'!Q38</f>
        <v>10000</v>
      </c>
      <c r="R38" s="364">
        <f>'PR049'!R38+'PR084'!R38</f>
        <v>10000</v>
      </c>
      <c r="S38" s="364">
        <f>'PR049'!S38+'PR084'!S38</f>
        <v>10000</v>
      </c>
      <c r="T38" s="365">
        <f>'PR049'!T38+'PR084'!T38</f>
        <v>10000</v>
      </c>
    </row>
    <row r="39" spans="2:20" x14ac:dyDescent="0.3">
      <c r="B39" s="360" t="s">
        <v>45</v>
      </c>
      <c r="C39" s="112"/>
      <c r="D39" s="134"/>
      <c r="E39" s="112"/>
      <c r="F39" s="140">
        <f>'PR049'!F39+'PR084'!F39</f>
        <v>166075</v>
      </c>
      <c r="G39" s="140">
        <f>'PR049'!G39+'PR084'!G39</f>
        <v>552650</v>
      </c>
      <c r="H39" s="140">
        <f>'PR049'!H39+'PR084'!H39</f>
        <v>939225</v>
      </c>
      <c r="I39" s="140">
        <f>'PR049'!I39+'PR084'!I39</f>
        <v>1105300</v>
      </c>
      <c r="J39" s="140">
        <f>'PR049'!J39+'PR084'!J39</f>
        <v>1105300</v>
      </c>
      <c r="K39" s="140">
        <f>'PR049'!K39+'PR084'!K39</f>
        <v>1105300</v>
      </c>
      <c r="L39" s="140">
        <f>'PR049'!L39+'PR084'!L39</f>
        <v>1105300</v>
      </c>
      <c r="M39" s="140">
        <f>'PR049'!M39+'PR084'!M39</f>
        <v>1105300</v>
      </c>
      <c r="N39" s="140">
        <f>'PR049'!N39+'PR084'!N39</f>
        <v>884800</v>
      </c>
      <c r="O39" s="140">
        <f>'PR049'!O39+'PR084'!O39</f>
        <v>664300</v>
      </c>
      <c r="P39" s="140">
        <f>'PR049'!P39+'PR084'!P39</f>
        <v>664300</v>
      </c>
      <c r="Q39" s="140">
        <f>'PR049'!Q39+'PR084'!Q39</f>
        <v>664300</v>
      </c>
      <c r="R39" s="140">
        <f>'PR049'!R39+'PR084'!R39</f>
        <v>664300</v>
      </c>
      <c r="S39" s="140">
        <f>'PR049'!S39+'PR084'!S39</f>
        <v>664300</v>
      </c>
      <c r="T39" s="361">
        <f>'PR049'!T39+'PR084'!T39</f>
        <v>664300</v>
      </c>
    </row>
    <row r="40" spans="2:20" x14ac:dyDescent="0.3">
      <c r="B40" s="360" t="s">
        <v>46</v>
      </c>
      <c r="C40" s="112"/>
      <c r="D40" s="134">
        <f>NPV($D$33,F40:T40)</f>
        <v>5160255.8623390002</v>
      </c>
      <c r="E40" s="112"/>
      <c r="F40" s="140">
        <f>'PR049'!F40+'PR084'!F40</f>
        <v>-1973925</v>
      </c>
      <c r="G40" s="140">
        <f>'PR049'!G40+'PR084'!G40</f>
        <v>-277350</v>
      </c>
      <c r="H40" s="140">
        <f>'PR049'!H40+'PR084'!H40</f>
        <v>69225</v>
      </c>
      <c r="I40" s="140">
        <f>'PR049'!I40+'PR084'!I40</f>
        <v>907800</v>
      </c>
      <c r="J40" s="140">
        <f>'PR049'!J40+'PR084'!J40</f>
        <v>1020300</v>
      </c>
      <c r="K40" s="140">
        <f>'PR049'!K40+'PR084'!K40</f>
        <v>1020300</v>
      </c>
      <c r="L40" s="140">
        <f>'PR049'!L40+'PR084'!L40</f>
        <v>1020300</v>
      </c>
      <c r="M40" s="140">
        <f>'PR049'!M40+'PR084'!M40</f>
        <v>1020300</v>
      </c>
      <c r="N40" s="140">
        <f>'PR049'!N40+'PR084'!N40</f>
        <v>837300</v>
      </c>
      <c r="O40" s="140">
        <f>'PR049'!O40+'PR084'!O40</f>
        <v>654300</v>
      </c>
      <c r="P40" s="140">
        <f>'PR049'!P40+'PR084'!P40</f>
        <v>654300</v>
      </c>
      <c r="Q40" s="140">
        <f>'PR049'!Q40+'PR084'!Q40</f>
        <v>654300</v>
      </c>
      <c r="R40" s="140">
        <f>'PR049'!R40+'PR084'!R40</f>
        <v>654300</v>
      </c>
      <c r="S40" s="140">
        <f>'PR049'!S40+'PR084'!S40</f>
        <v>654300</v>
      </c>
      <c r="T40" s="361">
        <f>'PR049'!T40+'PR084'!T40</f>
        <v>654300</v>
      </c>
    </row>
    <row r="41" spans="2:20" ht="13.5" thickBot="1" x14ac:dyDescent="0.35">
      <c r="B41" s="362"/>
      <c r="C41" s="363"/>
      <c r="D41" s="363"/>
      <c r="E41" s="368"/>
      <c r="F41" s="369"/>
      <c r="G41" s="370"/>
      <c r="H41" s="370"/>
      <c r="I41" s="370"/>
      <c r="J41" s="370"/>
      <c r="K41" s="370"/>
      <c r="L41" s="370"/>
      <c r="M41" s="370"/>
      <c r="N41" s="370"/>
      <c r="O41" s="370"/>
      <c r="P41" s="370"/>
      <c r="Q41" s="370"/>
      <c r="R41" s="370"/>
      <c r="S41" s="370"/>
      <c r="T41" s="371"/>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7">
        <f>C92*'Inputs and assumptions'!D35</f>
        <v>0</v>
      </c>
      <c r="F92" s="294">
        <f>$D92*F$28</f>
        <v>0</v>
      </c>
      <c r="G92" s="294">
        <f t="shared" ref="G92:T92" si="0">$D92*G$28</f>
        <v>0</v>
      </c>
      <c r="H92" s="294">
        <f t="shared" si="0"/>
        <v>0</v>
      </c>
      <c r="I92" s="294">
        <f t="shared" si="0"/>
        <v>0</v>
      </c>
      <c r="J92" s="294">
        <f t="shared" si="0"/>
        <v>0</v>
      </c>
      <c r="K92" s="294">
        <f t="shared" si="0"/>
        <v>0</v>
      </c>
      <c r="L92" s="294">
        <f t="shared" si="0"/>
        <v>0</v>
      </c>
      <c r="M92" s="294">
        <f t="shared" si="0"/>
        <v>0</v>
      </c>
      <c r="N92" s="294">
        <f t="shared" si="0"/>
        <v>0</v>
      </c>
      <c r="O92" s="294">
        <f t="shared" si="0"/>
        <v>0</v>
      </c>
      <c r="P92" s="294">
        <f t="shared" si="0"/>
        <v>0</v>
      </c>
      <c r="Q92" s="294">
        <f t="shared" si="0"/>
        <v>0</v>
      </c>
      <c r="R92" s="294">
        <f t="shared" si="0"/>
        <v>0</v>
      </c>
      <c r="S92" s="294">
        <f t="shared" si="0"/>
        <v>0</v>
      </c>
      <c r="T92" s="295">
        <f t="shared" si="0"/>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1">$D$102*F27</f>
        <v>0</v>
      </c>
      <c r="G102" s="140">
        <f t="shared" si="1"/>
        <v>0</v>
      </c>
      <c r="H102" s="140">
        <f t="shared" si="1"/>
        <v>0</v>
      </c>
      <c r="I102" s="140">
        <f t="shared" si="1"/>
        <v>0</v>
      </c>
      <c r="J102" s="140">
        <f t="shared" si="1"/>
        <v>0</v>
      </c>
      <c r="K102" s="140">
        <f t="shared" si="1"/>
        <v>0</v>
      </c>
      <c r="L102" s="140">
        <f t="shared" si="1"/>
        <v>0</v>
      </c>
      <c r="M102" s="140">
        <f t="shared" si="1"/>
        <v>0</v>
      </c>
      <c r="N102" s="140">
        <f t="shared" si="1"/>
        <v>0</v>
      </c>
      <c r="O102" s="140">
        <f t="shared" si="1"/>
        <v>0</v>
      </c>
      <c r="P102" s="140">
        <f t="shared" si="1"/>
        <v>0</v>
      </c>
      <c r="Q102" s="140">
        <f t="shared" si="1"/>
        <v>0</v>
      </c>
      <c r="R102" s="140">
        <f t="shared" si="1"/>
        <v>0</v>
      </c>
      <c r="S102" s="140">
        <f t="shared" si="1"/>
        <v>0</v>
      </c>
      <c r="T102" s="141">
        <f t="shared" si="1"/>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0</v>
      </c>
      <c r="G107" s="294">
        <f t="shared" ref="G107:I107" si="2">$E$111*G$29</f>
        <v>0</v>
      </c>
      <c r="H107" s="294">
        <f t="shared" si="2"/>
        <v>0</v>
      </c>
      <c r="I107" s="294">
        <f t="shared" si="2"/>
        <v>0</v>
      </c>
      <c r="J107" s="294">
        <v>0</v>
      </c>
      <c r="K107" s="294">
        <v>0</v>
      </c>
      <c r="L107" s="294">
        <v>0</v>
      </c>
      <c r="M107" s="294">
        <v>0</v>
      </c>
      <c r="N107" s="294">
        <v>0</v>
      </c>
      <c r="O107" s="294">
        <v>0</v>
      </c>
      <c r="P107" s="175">
        <v>0</v>
      </c>
      <c r="Q107" s="175">
        <v>0</v>
      </c>
      <c r="R107" s="175">
        <v>0</v>
      </c>
      <c r="S107" s="175">
        <v>0</v>
      </c>
      <c r="T107" s="176">
        <v>0</v>
      </c>
    </row>
    <row r="108" spans="2:20" x14ac:dyDescent="0.3">
      <c r="B108" s="123" t="s">
        <v>79</v>
      </c>
      <c r="C108" s="112"/>
      <c r="F108" s="294">
        <v>0</v>
      </c>
      <c r="G108" s="294">
        <f>75000*G$28</f>
        <v>0</v>
      </c>
      <c r="H108" s="294">
        <f t="shared" ref="H108:N108" si="3">75000*H$28</f>
        <v>0</v>
      </c>
      <c r="I108" s="294">
        <f t="shared" si="3"/>
        <v>0</v>
      </c>
      <c r="J108" s="294">
        <f t="shared" si="3"/>
        <v>0</v>
      </c>
      <c r="K108" s="294">
        <f t="shared" si="3"/>
        <v>0</v>
      </c>
      <c r="L108" s="294">
        <f t="shared" si="3"/>
        <v>0</v>
      </c>
      <c r="M108" s="294">
        <f t="shared" si="3"/>
        <v>0</v>
      </c>
      <c r="N108" s="294">
        <f t="shared" si="3"/>
        <v>0</v>
      </c>
      <c r="O108" s="294">
        <f>75000*O$28</f>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c r="C113" s="573"/>
      <c r="D113" s="573"/>
      <c r="E113" s="574"/>
      <c r="F113" s="303"/>
      <c r="G113" s="303"/>
      <c r="H113" s="303"/>
      <c r="I113" s="303"/>
      <c r="J113" s="303"/>
      <c r="K113" s="303"/>
      <c r="L113" s="181"/>
      <c r="M113" s="181"/>
      <c r="N113" s="181"/>
      <c r="O113" s="181"/>
      <c r="P113" s="181"/>
      <c r="Q113" s="181"/>
      <c r="R113" s="181"/>
      <c r="S113" s="181"/>
      <c r="T113" s="181"/>
    </row>
    <row r="114" spans="2:20" ht="15" customHeight="1" x14ac:dyDescent="0.3">
      <c r="B114" s="575"/>
      <c r="C114" s="576"/>
      <c r="D114" s="576"/>
      <c r="E114" s="577"/>
      <c r="F114" s="303"/>
      <c r="G114" s="303"/>
      <c r="H114" s="303"/>
      <c r="I114" s="303"/>
      <c r="J114" s="303"/>
      <c r="K114" s="303"/>
      <c r="L114" s="181"/>
      <c r="M114" s="181"/>
      <c r="N114" s="181"/>
      <c r="O114" s="181"/>
      <c r="P114" s="181"/>
      <c r="Q114" s="181"/>
      <c r="R114" s="181"/>
      <c r="S114" s="181"/>
      <c r="T114" s="181"/>
    </row>
    <row r="115" spans="2:20" ht="15" customHeight="1" x14ac:dyDescent="0.3">
      <c r="B115" s="575"/>
      <c r="C115" s="576"/>
      <c r="D115" s="576"/>
      <c r="E115" s="577"/>
      <c r="F115" s="303"/>
      <c r="G115" s="303"/>
      <c r="H115" s="303"/>
      <c r="I115" s="303"/>
      <c r="J115" s="303"/>
      <c r="K115" s="303"/>
      <c r="L115" s="181"/>
      <c r="M115" s="181"/>
      <c r="N115" s="181"/>
      <c r="O115" s="181"/>
      <c r="P115" s="181"/>
      <c r="Q115" s="181"/>
      <c r="R115" s="181"/>
      <c r="S115" s="181"/>
      <c r="T115" s="181"/>
    </row>
    <row r="116" spans="2:20" ht="15" customHeight="1" x14ac:dyDescent="0.3">
      <c r="B116" s="575"/>
      <c r="C116" s="576"/>
      <c r="D116" s="576"/>
      <c r="E116" s="577"/>
      <c r="F116" s="303"/>
      <c r="G116" s="303"/>
      <c r="H116" s="303"/>
      <c r="I116" s="303"/>
      <c r="J116" s="303"/>
      <c r="K116" s="303"/>
      <c r="L116" s="181"/>
      <c r="M116" s="181"/>
      <c r="N116" s="181"/>
      <c r="O116" s="181"/>
      <c r="P116" s="181"/>
      <c r="Q116" s="181"/>
      <c r="R116" s="181"/>
      <c r="S116" s="181"/>
      <c r="T116" s="181"/>
    </row>
    <row r="117" spans="2:20" ht="15" customHeight="1" x14ac:dyDescent="0.3">
      <c r="B117" s="575"/>
      <c r="C117" s="576"/>
      <c r="D117" s="576"/>
      <c r="E117" s="577"/>
      <c r="F117" s="303"/>
      <c r="G117" s="303"/>
      <c r="H117" s="303"/>
      <c r="I117" s="303"/>
      <c r="J117" s="303"/>
      <c r="K117" s="303"/>
      <c r="L117" s="181"/>
      <c r="M117" s="181"/>
      <c r="N117" s="181"/>
      <c r="O117" s="181"/>
      <c r="P117" s="181"/>
      <c r="Q117" s="181"/>
      <c r="R117" s="181"/>
      <c r="S117" s="181"/>
      <c r="T117" s="181"/>
    </row>
    <row r="118" spans="2:20" ht="15" customHeight="1" x14ac:dyDescent="0.3">
      <c r="B118" s="575"/>
      <c r="C118" s="576"/>
      <c r="D118" s="576"/>
      <c r="E118" s="577"/>
      <c r="F118" s="303"/>
      <c r="G118" s="303"/>
      <c r="H118" s="303"/>
      <c r="I118" s="303"/>
      <c r="J118" s="303"/>
      <c r="K118" s="303"/>
      <c r="L118" s="181"/>
      <c r="M118" s="181"/>
      <c r="N118" s="181"/>
      <c r="O118" s="181"/>
      <c r="P118" s="181"/>
      <c r="Q118" s="181"/>
      <c r="R118" s="181"/>
      <c r="S118" s="181"/>
      <c r="T118" s="181"/>
    </row>
    <row r="119" spans="2:20" ht="15" customHeight="1" x14ac:dyDescent="0.3">
      <c r="B119" s="575"/>
      <c r="C119" s="576"/>
      <c r="D119" s="576"/>
      <c r="E119" s="577"/>
      <c r="F119" s="303"/>
      <c r="G119" s="303"/>
      <c r="H119" s="303"/>
      <c r="I119" s="303"/>
      <c r="J119" s="303"/>
      <c r="K119" s="303"/>
      <c r="L119" s="181"/>
      <c r="M119" s="181"/>
      <c r="N119" s="181"/>
      <c r="O119" s="181"/>
      <c r="P119" s="181"/>
      <c r="Q119" s="181"/>
      <c r="R119" s="181"/>
      <c r="S119" s="181"/>
      <c r="T119" s="181"/>
    </row>
    <row r="120" spans="2:20" ht="15" customHeight="1" x14ac:dyDescent="0.3">
      <c r="B120" s="575"/>
      <c r="C120" s="576"/>
      <c r="D120" s="576"/>
      <c r="E120" s="577"/>
      <c r="F120" s="303"/>
      <c r="G120" s="303"/>
      <c r="H120" s="303"/>
      <c r="I120" s="303"/>
      <c r="J120" s="303"/>
      <c r="K120" s="303"/>
      <c r="L120" s="181"/>
      <c r="M120" s="181"/>
      <c r="N120" s="181"/>
      <c r="O120" s="181"/>
      <c r="P120" s="181"/>
      <c r="Q120" s="181"/>
      <c r="R120" s="181"/>
      <c r="S120" s="181"/>
      <c r="T120" s="181"/>
    </row>
    <row r="121" spans="2:20" ht="15" customHeight="1" x14ac:dyDescent="0.3">
      <c r="B121" s="575"/>
      <c r="C121" s="576"/>
      <c r="D121" s="576"/>
      <c r="E121" s="577"/>
      <c r="F121" s="303"/>
      <c r="G121" s="303"/>
      <c r="H121" s="303"/>
      <c r="I121" s="303"/>
      <c r="J121" s="303"/>
      <c r="K121" s="303"/>
      <c r="L121" s="181"/>
      <c r="M121" s="181"/>
      <c r="N121" s="181"/>
      <c r="O121" s="181"/>
      <c r="P121" s="181"/>
      <c r="Q121" s="181"/>
      <c r="R121" s="181"/>
      <c r="S121" s="181"/>
      <c r="T121" s="181"/>
    </row>
    <row r="122" spans="2:20" ht="15.75" customHeight="1" thickBot="1" x14ac:dyDescent="0.35">
      <c r="B122" s="578"/>
      <c r="C122" s="579"/>
      <c r="D122" s="579"/>
      <c r="E122" s="580"/>
      <c r="F122" s="303"/>
      <c r="G122" s="303"/>
      <c r="H122" s="303"/>
      <c r="I122" s="303"/>
      <c r="J122" s="303"/>
      <c r="K122" s="303"/>
      <c r="L122" s="181"/>
      <c r="M122" s="181"/>
      <c r="N122" s="181"/>
      <c r="O122" s="181"/>
      <c r="P122" s="181"/>
      <c r="Q122" s="181"/>
      <c r="R122" s="181"/>
      <c r="S122" s="181"/>
      <c r="T122" s="181"/>
    </row>
  </sheetData>
  <mergeCells count="8">
    <mergeCell ref="G7:T15"/>
    <mergeCell ref="B100:D100"/>
    <mergeCell ref="B113:E122"/>
    <mergeCell ref="N17:R17"/>
    <mergeCell ref="N18:Q18"/>
    <mergeCell ref="N19:Q19"/>
    <mergeCell ref="N21:R21"/>
    <mergeCell ref="B43:D43"/>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CA2A9374-0BD8-4C8C-96F2-2BA63EEADCD6}">
          <x14:formula1>
            <xm:f>'Inputs and assumptions'!$J$21:$J$24</xm:f>
          </x14:formula1>
          <xm:sqref>E14</xm:sqref>
        </x14:dataValidation>
        <x14:dataValidation type="list" allowBlank="1" showInputMessage="1" showErrorMessage="1" xr:uid="{0E8431F0-B0C8-4EDF-8592-7B542F67D003}">
          <x14:formula1>
            <xm:f>'Inputs and assumptions'!$H$36:$H$40</xm:f>
          </x14:formula1>
          <xm:sqref>E13</xm:sqref>
        </x14:dataValidation>
        <x14:dataValidation type="list" allowBlank="1" showInputMessage="1" showErrorMessage="1" xr:uid="{B94EAC93-D056-423E-BBC8-04152B2C5D5C}">
          <x14:formula1>
            <xm:f>'Inputs and assumptions'!$H$31:$H$34</xm:f>
          </x14:formula1>
          <xm:sqref>E12</xm:sqref>
        </x14:dataValidation>
        <x14:dataValidation type="list" allowBlank="1" showInputMessage="1" showErrorMessage="1" xr:uid="{CF286E0E-B7E9-4A02-B13E-4658553C653C}">
          <x14:formula1>
            <xm:f>'Inputs and assumptions'!$H$16:$H$20</xm:f>
          </x14:formula1>
          <xm:sqref>E8</xm:sqref>
        </x14:dataValidation>
        <x14:dataValidation type="list" allowBlank="1" showInputMessage="1" showErrorMessage="1" xr:uid="{DC6C47E4-2426-4985-95E1-915B3C08CD04}">
          <x14:formula1>
            <xm:f>'Inputs and assumptions'!$G$16:$G$20</xm:f>
          </x14:formula1>
          <xm:sqref>E7</xm:sqref>
        </x14:dataValidation>
        <x14:dataValidation type="list" allowBlank="1" showInputMessage="1" showErrorMessage="1" xr:uid="{1554ACB8-3520-4095-BA9D-6B5B74ADF449}">
          <x14:formula1>
            <xm:f>'Inputs and assumptions'!$H$23:$H$24</xm:f>
          </x14:formula1>
          <xm:sqref>E10</xm:sqref>
        </x14:dataValidation>
        <x14:dataValidation type="list" allowBlank="1" showInputMessage="1" showErrorMessage="1" xr:uid="{4540F9F8-61B3-4C72-BFCF-270271DF5F9B}">
          <x14:formula1>
            <xm:f>'Inputs and assumptions'!$H$27:$H$29</xm:f>
          </x14:formula1>
          <xm:sqref>E11</xm:sqref>
        </x14:dataValidation>
        <x14:dataValidation type="list" allowBlank="1" showInputMessage="1" showErrorMessage="1" xr:uid="{5A084CD7-A925-4C91-9566-7F1E09D038C5}">
          <x14:formula1>
            <xm:f>'Inputs and assumptions'!$J$17:$J$18</xm:f>
          </x14:formula1>
          <xm:sqref>E43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0E6C0-C1A1-43B1-B334-FB222A2E9377}">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325</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191</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277" t="s">
        <v>1</v>
      </c>
      <c r="H6" s="277"/>
      <c r="I6" s="277"/>
      <c r="J6" s="277"/>
      <c r="K6" s="278"/>
      <c r="L6" s="278"/>
      <c r="M6" s="278"/>
      <c r="N6" s="278"/>
      <c r="O6" s="278"/>
      <c r="P6" s="278"/>
      <c r="Q6" s="278"/>
      <c r="R6" s="278"/>
      <c r="S6" s="278"/>
      <c r="T6" s="278"/>
    </row>
    <row r="7" spans="1:23" s="170" customFormat="1" ht="15.75" customHeight="1" x14ac:dyDescent="0.35">
      <c r="B7" s="324" t="s">
        <v>2</v>
      </c>
      <c r="C7" s="325"/>
      <c r="D7" s="326"/>
      <c r="E7" s="327" t="s">
        <v>123</v>
      </c>
      <c r="G7" s="586" t="s">
        <v>326</v>
      </c>
      <c r="H7" s="586"/>
      <c r="I7" s="586"/>
      <c r="J7" s="586"/>
      <c r="K7" s="586"/>
      <c r="L7" s="586"/>
      <c r="M7" s="586"/>
      <c r="N7" s="586"/>
      <c r="O7" s="586"/>
      <c r="P7" s="586"/>
      <c r="Q7" s="586"/>
      <c r="R7" s="586"/>
      <c r="S7" s="586"/>
      <c r="T7" s="586"/>
    </row>
    <row r="8" spans="1:23" s="170" customFormat="1" ht="15.75" customHeight="1" x14ac:dyDescent="0.35">
      <c r="B8" s="328" t="s">
        <v>3</v>
      </c>
      <c r="C8" s="230"/>
      <c r="E8" s="329" t="s">
        <v>124</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158</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-2109629.5685635372</v>
      </c>
      <c r="J18" s="222"/>
      <c r="K18" s="220" t="s">
        <v>220</v>
      </c>
      <c r="L18" s="223">
        <f>SUM(F34:J34)</f>
        <v>2259000</v>
      </c>
      <c r="N18" s="584" t="s">
        <v>221</v>
      </c>
      <c r="O18" s="584"/>
      <c r="P18" s="584"/>
      <c r="Q18" s="584"/>
      <c r="R18" s="314"/>
      <c r="S18" s="161"/>
      <c r="T18" s="315" t="s">
        <v>222</v>
      </c>
    </row>
    <row r="19" spans="2:20" ht="13.5" customHeight="1" x14ac:dyDescent="0.3">
      <c r="B19" s="160" t="s">
        <v>19</v>
      </c>
      <c r="C19" s="182">
        <v>2</v>
      </c>
      <c r="D19" s="161">
        <v>0.18</v>
      </c>
      <c r="E19" s="162">
        <f>D19*C19</f>
        <v>0.36</v>
      </c>
      <c r="G19" s="224"/>
      <c r="H19" s="125" t="s">
        <v>20</v>
      </c>
      <c r="I19" s="126">
        <f>D40</f>
        <v>2694402.720628344</v>
      </c>
      <c r="J19" s="127"/>
      <c r="K19" s="125" t="s">
        <v>223</v>
      </c>
      <c r="L19" s="225">
        <f>SUM(F36:J36)</f>
        <v>5000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2.277192337829709</v>
      </c>
      <c r="J20" s="127"/>
      <c r="K20" s="125" t="s">
        <v>225</v>
      </c>
      <c r="L20" s="225">
        <f>NPV($D$33,F39:T39)</f>
        <v>4804032.2891918831</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1.5276486130593103</v>
      </c>
      <c r="J21" s="226"/>
      <c r="K21" s="436" t="s">
        <v>228</v>
      </c>
      <c r="L21" s="439">
        <f>NPV($D$33,F39:J39)</f>
        <v>514250.51260428369</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2.5300000000000002</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0</v>
      </c>
      <c r="H28" s="265">
        <v>0</v>
      </c>
      <c r="I28" s="265">
        <v>0</v>
      </c>
      <c r="J28" s="265">
        <v>1</v>
      </c>
      <c r="K28" s="265">
        <v>1</v>
      </c>
      <c r="L28" s="265">
        <v>1</v>
      </c>
      <c r="M28" s="265">
        <v>1</v>
      </c>
      <c r="N28" s="265">
        <v>1</v>
      </c>
      <c r="O28" s="265">
        <v>1</v>
      </c>
      <c r="P28" s="265">
        <v>1</v>
      </c>
      <c r="Q28" s="265">
        <v>1</v>
      </c>
      <c r="R28" s="265">
        <v>1</v>
      </c>
      <c r="S28" s="265">
        <v>1</v>
      </c>
      <c r="T28" s="266">
        <v>1</v>
      </c>
    </row>
    <row r="29" spans="2:20" ht="13.5" thickBot="1" x14ac:dyDescent="0.35">
      <c r="B29" s="120"/>
      <c r="C29" s="232"/>
      <c r="D29" s="121"/>
      <c r="E29" s="121"/>
      <c r="F29" s="291">
        <v>0.2</v>
      </c>
      <c r="G29" s="291">
        <v>0.25</v>
      </c>
      <c r="H29" s="291">
        <v>0.3</v>
      </c>
      <c r="I29" s="291">
        <v>0.25</v>
      </c>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451800</v>
      </c>
      <c r="G34" s="140">
        <f t="shared" si="0"/>
        <v>564750</v>
      </c>
      <c r="H34" s="140">
        <f t="shared" si="0"/>
        <v>677700</v>
      </c>
      <c r="I34" s="140">
        <f t="shared" si="0"/>
        <v>564750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677700</v>
      </c>
      <c r="G35" s="140">
        <f>G34*(1+'Inputs and assumptions'!$C$7)</f>
        <v>847125</v>
      </c>
      <c r="H35" s="140">
        <f>H34*(1+'Inputs and assumptions'!$C$7)</f>
        <v>1016550</v>
      </c>
      <c r="I35" s="140">
        <f>I34*(1+'Inputs and assumptions'!$C$7)</f>
        <v>847125</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5000</v>
      </c>
      <c r="K36" s="142">
        <f t="shared" si="1"/>
        <v>5000</v>
      </c>
      <c r="L36" s="142">
        <f t="shared" si="1"/>
        <v>5000</v>
      </c>
      <c r="M36" s="142">
        <f t="shared" si="1"/>
        <v>5000</v>
      </c>
      <c r="N36" s="142">
        <f t="shared" si="1"/>
        <v>5000</v>
      </c>
      <c r="O36" s="142">
        <f t="shared" si="1"/>
        <v>5000</v>
      </c>
      <c r="P36" s="142">
        <f t="shared" si="1"/>
        <v>5000</v>
      </c>
      <c r="Q36" s="142">
        <f t="shared" si="1"/>
        <v>5000</v>
      </c>
      <c r="R36" s="142">
        <f t="shared" si="1"/>
        <v>5000</v>
      </c>
      <c r="S36" s="142">
        <f t="shared" si="1"/>
        <v>5000</v>
      </c>
      <c r="T36" s="143">
        <f t="shared" si="1"/>
        <v>5000</v>
      </c>
    </row>
    <row r="37" spans="2:20" x14ac:dyDescent="0.3">
      <c r="B37" s="122" t="s">
        <v>44</v>
      </c>
      <c r="C37" s="133"/>
      <c r="D37" s="247">
        <f>NPV($D$33,F37:T37)</f>
        <v>-2109629.5685635372</v>
      </c>
      <c r="E37" s="248"/>
      <c r="F37" s="144">
        <f t="shared" ref="F37:T37" si="2">-F34-F36</f>
        <v>-451800</v>
      </c>
      <c r="G37" s="144">
        <f t="shared" si="2"/>
        <v>-564750</v>
      </c>
      <c r="H37" s="144">
        <f t="shared" si="2"/>
        <v>-677700</v>
      </c>
      <c r="I37" s="144">
        <f t="shared" si="2"/>
        <v>-564750</v>
      </c>
      <c r="J37" s="144">
        <f t="shared" si="2"/>
        <v>-5000</v>
      </c>
      <c r="K37" s="144">
        <f t="shared" si="2"/>
        <v>-5000</v>
      </c>
      <c r="L37" s="144">
        <f t="shared" si="2"/>
        <v>-5000</v>
      </c>
      <c r="M37" s="144">
        <f t="shared" si="2"/>
        <v>-5000</v>
      </c>
      <c r="N37" s="144">
        <f t="shared" si="2"/>
        <v>-5000</v>
      </c>
      <c r="O37" s="144">
        <f t="shared" si="2"/>
        <v>-5000</v>
      </c>
      <c r="P37" s="144">
        <f t="shared" si="2"/>
        <v>-5000</v>
      </c>
      <c r="Q37" s="144">
        <f t="shared" si="2"/>
        <v>-5000</v>
      </c>
      <c r="R37" s="144">
        <f t="shared" si="2"/>
        <v>-5000</v>
      </c>
      <c r="S37" s="144">
        <f t="shared" si="2"/>
        <v>-5000</v>
      </c>
      <c r="T37" s="145">
        <f t="shared" si="2"/>
        <v>-5000</v>
      </c>
    </row>
    <row r="38" spans="2:20" ht="13.5" thickBot="1" x14ac:dyDescent="0.35">
      <c r="B38" s="124" t="s">
        <v>235</v>
      </c>
      <c r="C38" s="135"/>
      <c r="D38" s="132"/>
      <c r="E38" s="121"/>
      <c r="F38" s="142">
        <f>F35+F36</f>
        <v>677700</v>
      </c>
      <c r="G38" s="142">
        <f t="shared" ref="G38:T38" si="3">G35+G36</f>
        <v>847125</v>
      </c>
      <c r="H38" s="142">
        <f t="shared" si="3"/>
        <v>1016550</v>
      </c>
      <c r="I38" s="142">
        <f t="shared" si="3"/>
        <v>847125</v>
      </c>
      <c r="J38" s="142">
        <f t="shared" si="3"/>
        <v>5000</v>
      </c>
      <c r="K38" s="142">
        <f t="shared" si="3"/>
        <v>5000</v>
      </c>
      <c r="L38" s="142">
        <f t="shared" si="3"/>
        <v>5000</v>
      </c>
      <c r="M38" s="142">
        <f t="shared" si="3"/>
        <v>5000</v>
      </c>
      <c r="N38" s="142">
        <f t="shared" si="3"/>
        <v>5000</v>
      </c>
      <c r="O38" s="142">
        <f t="shared" si="3"/>
        <v>5000</v>
      </c>
      <c r="P38" s="142">
        <f t="shared" si="3"/>
        <v>5000</v>
      </c>
      <c r="Q38" s="142">
        <f t="shared" si="3"/>
        <v>5000</v>
      </c>
      <c r="R38" s="142">
        <f t="shared" si="3"/>
        <v>5000</v>
      </c>
      <c r="S38" s="142">
        <f t="shared" si="3"/>
        <v>5000</v>
      </c>
      <c r="T38" s="143">
        <f t="shared" si="3"/>
        <v>5000</v>
      </c>
    </row>
    <row r="39" spans="2:20" x14ac:dyDescent="0.3">
      <c r="B39" s="123" t="s">
        <v>45</v>
      </c>
      <c r="C39" s="112"/>
      <c r="D39" s="134"/>
      <c r="E39" s="112"/>
      <c r="F39" s="140">
        <f t="shared" ref="F39:T39" si="4">IF($E$43="Per Unit",SUM(F45:F71),SUM(F73:F98))</f>
        <v>0</v>
      </c>
      <c r="G39" s="140">
        <f t="shared" si="4"/>
        <v>0</v>
      </c>
      <c r="H39" s="140">
        <f t="shared" si="4"/>
        <v>0</v>
      </c>
      <c r="I39" s="140">
        <f t="shared" si="4"/>
        <v>0</v>
      </c>
      <c r="J39" s="140">
        <f t="shared" si="4"/>
        <v>609000</v>
      </c>
      <c r="K39" s="140">
        <f t="shared" si="4"/>
        <v>609000</v>
      </c>
      <c r="L39" s="140">
        <f t="shared" si="4"/>
        <v>609000</v>
      </c>
      <c r="M39" s="140">
        <f t="shared" si="4"/>
        <v>609000</v>
      </c>
      <c r="N39" s="140">
        <f t="shared" si="4"/>
        <v>609000</v>
      </c>
      <c r="O39" s="140">
        <f t="shared" si="4"/>
        <v>609000</v>
      </c>
      <c r="P39" s="140">
        <f t="shared" si="4"/>
        <v>609000</v>
      </c>
      <c r="Q39" s="140">
        <f t="shared" si="4"/>
        <v>609000</v>
      </c>
      <c r="R39" s="140">
        <f t="shared" si="4"/>
        <v>609000</v>
      </c>
      <c r="S39" s="140">
        <f t="shared" si="4"/>
        <v>609000</v>
      </c>
      <c r="T39" s="141">
        <f t="shared" si="4"/>
        <v>609000</v>
      </c>
    </row>
    <row r="40" spans="2:20" x14ac:dyDescent="0.3">
      <c r="B40" s="123" t="s">
        <v>46</v>
      </c>
      <c r="C40" s="112"/>
      <c r="D40" s="134">
        <f>NPV($D$33,F40:T40)</f>
        <v>2694402.720628344</v>
      </c>
      <c r="E40" s="112"/>
      <c r="F40" s="140">
        <f t="shared" ref="F40:T40" si="5">F39+F37</f>
        <v>-451800</v>
      </c>
      <c r="G40" s="140">
        <f t="shared" si="5"/>
        <v>-564750</v>
      </c>
      <c r="H40" s="140">
        <f t="shared" si="5"/>
        <v>-677700</v>
      </c>
      <c r="I40" s="140">
        <f t="shared" si="5"/>
        <v>-564750</v>
      </c>
      <c r="J40" s="140">
        <f t="shared" si="5"/>
        <v>604000</v>
      </c>
      <c r="K40" s="140">
        <f t="shared" si="5"/>
        <v>604000</v>
      </c>
      <c r="L40" s="140">
        <f t="shared" si="5"/>
        <v>604000</v>
      </c>
      <c r="M40" s="140">
        <f t="shared" si="5"/>
        <v>604000</v>
      </c>
      <c r="N40" s="140">
        <f t="shared" si="5"/>
        <v>604000</v>
      </c>
      <c r="O40" s="140">
        <f t="shared" si="5"/>
        <v>604000</v>
      </c>
      <c r="P40" s="140">
        <f t="shared" si="5"/>
        <v>604000</v>
      </c>
      <c r="Q40" s="140">
        <f t="shared" si="5"/>
        <v>604000</v>
      </c>
      <c r="R40" s="140">
        <f t="shared" si="5"/>
        <v>604000</v>
      </c>
      <c r="S40" s="140">
        <f t="shared" si="5"/>
        <v>604000</v>
      </c>
      <c r="T40" s="141">
        <f t="shared" si="5"/>
        <v>604000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7">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7">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7">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7">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7">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7">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272"/>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71"/>
      <c r="E59" s="112"/>
      <c r="F59" s="199"/>
      <c r="G59" s="199"/>
      <c r="H59" s="199"/>
      <c r="I59" s="199"/>
      <c r="J59" s="199"/>
      <c r="K59" s="199"/>
      <c r="L59" s="199"/>
      <c r="M59" s="199"/>
      <c r="N59" s="199"/>
      <c r="O59" s="199"/>
      <c r="P59" s="199"/>
      <c r="Q59" s="199"/>
      <c r="R59" s="199"/>
      <c r="S59" s="199"/>
      <c r="T59" s="200"/>
    </row>
    <row r="60" spans="2:20" x14ac:dyDescent="0.3">
      <c r="B60" s="184" t="s">
        <v>63</v>
      </c>
      <c r="C60" s="240"/>
      <c r="D60" s="267">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7">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272"/>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71"/>
      <c r="E63" s="112"/>
      <c r="F63" s="199"/>
      <c r="G63" s="199"/>
      <c r="H63" s="199"/>
      <c r="I63" s="199"/>
      <c r="J63" s="199"/>
      <c r="K63" s="199"/>
      <c r="L63" s="199"/>
      <c r="M63" s="199"/>
      <c r="N63" s="199"/>
      <c r="O63" s="199"/>
      <c r="P63" s="199"/>
      <c r="Q63" s="199"/>
      <c r="R63" s="199"/>
      <c r="S63" s="199"/>
      <c r="T63" s="200"/>
    </row>
    <row r="64" spans="2:20" x14ac:dyDescent="0.3">
      <c r="B64" s="184" t="s">
        <v>66</v>
      </c>
      <c r="C64" s="240"/>
      <c r="D64" s="267">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7">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7">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7">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7">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7">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7">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v>1E-3</v>
      </c>
      <c r="D84" s="267">
        <f>C84*'Inputs and assumptions'!D27</f>
        <v>352000</v>
      </c>
      <c r="F84" s="175">
        <v>0</v>
      </c>
      <c r="G84" s="175">
        <v>0</v>
      </c>
      <c r="H84" s="175">
        <v>0</v>
      </c>
      <c r="I84" s="175">
        <v>0</v>
      </c>
      <c r="J84" s="294">
        <f>$D84*J$28</f>
        <v>352000</v>
      </c>
      <c r="K84" s="294">
        <f t="shared" ref="K84:T84" si="6">$D84*K$28</f>
        <v>352000</v>
      </c>
      <c r="L84" s="294">
        <f t="shared" si="6"/>
        <v>352000</v>
      </c>
      <c r="M84" s="294">
        <f t="shared" si="6"/>
        <v>352000</v>
      </c>
      <c r="N84" s="294">
        <f t="shared" si="6"/>
        <v>352000</v>
      </c>
      <c r="O84" s="294">
        <f t="shared" si="6"/>
        <v>352000</v>
      </c>
      <c r="P84" s="294">
        <f t="shared" si="6"/>
        <v>352000</v>
      </c>
      <c r="Q84" s="294">
        <f t="shared" si="6"/>
        <v>352000</v>
      </c>
      <c r="R84" s="294">
        <f t="shared" si="6"/>
        <v>352000</v>
      </c>
      <c r="S84" s="294">
        <f t="shared" si="6"/>
        <v>352000</v>
      </c>
      <c r="T84" s="295">
        <f t="shared" si="6"/>
        <v>352000</v>
      </c>
    </row>
    <row r="85" spans="2:20" x14ac:dyDescent="0.3">
      <c r="B85" s="193" t="s">
        <v>61</v>
      </c>
      <c r="C85" s="240"/>
      <c r="D85" s="261">
        <f>C85*'Inputs and assumptions'!D28</f>
        <v>0</v>
      </c>
      <c r="F85" s="175">
        <v>0</v>
      </c>
      <c r="G85" s="175">
        <v>0</v>
      </c>
      <c r="H85" s="175">
        <v>0</v>
      </c>
      <c r="I85" s="175">
        <v>0</v>
      </c>
      <c r="J85" s="294">
        <v>0</v>
      </c>
      <c r="K85" s="294">
        <v>0</v>
      </c>
      <c r="L85" s="294">
        <v>0</v>
      </c>
      <c r="M85" s="294">
        <v>0</v>
      </c>
      <c r="N85" s="294">
        <v>0</v>
      </c>
      <c r="O85" s="294">
        <v>0</v>
      </c>
      <c r="P85" s="294">
        <v>0</v>
      </c>
      <c r="Q85" s="294">
        <v>0</v>
      </c>
      <c r="R85" s="294">
        <v>0</v>
      </c>
      <c r="S85" s="294">
        <v>0</v>
      </c>
      <c r="T85" s="295">
        <v>0</v>
      </c>
    </row>
    <row r="86" spans="2:20" x14ac:dyDescent="0.3">
      <c r="B86" s="193"/>
      <c r="D86" s="151"/>
      <c r="F86" s="215"/>
      <c r="G86" s="215"/>
      <c r="H86" s="215"/>
      <c r="I86" s="215"/>
      <c r="J86" s="296"/>
      <c r="K86" s="296"/>
      <c r="L86" s="296"/>
      <c r="M86" s="296"/>
      <c r="N86" s="296"/>
      <c r="O86" s="296"/>
      <c r="P86" s="296"/>
      <c r="Q86" s="296"/>
      <c r="R86" s="296"/>
      <c r="S86" s="296"/>
      <c r="T86" s="297"/>
    </row>
    <row r="87" spans="2:20" x14ac:dyDescent="0.3">
      <c r="B87" s="191" t="s">
        <v>62</v>
      </c>
      <c r="C87" s="239" t="s">
        <v>236</v>
      </c>
      <c r="D87" s="202"/>
      <c r="F87" s="215"/>
      <c r="G87" s="215"/>
      <c r="H87" s="215"/>
      <c r="I87" s="215"/>
      <c r="J87" s="296"/>
      <c r="K87" s="296"/>
      <c r="L87" s="296"/>
      <c r="M87" s="296"/>
      <c r="N87" s="296"/>
      <c r="O87" s="296"/>
      <c r="P87" s="296"/>
      <c r="Q87" s="296"/>
      <c r="R87" s="296"/>
      <c r="S87" s="296"/>
      <c r="T87" s="297"/>
    </row>
    <row r="88" spans="2:20" x14ac:dyDescent="0.3">
      <c r="B88" s="193" t="s">
        <v>63</v>
      </c>
      <c r="C88" s="240">
        <v>1E-3</v>
      </c>
      <c r="D88" s="267">
        <f>C88*'Inputs and assumptions'!D31</f>
        <v>131000</v>
      </c>
      <c r="F88" s="175">
        <v>0</v>
      </c>
      <c r="G88" s="175">
        <v>0</v>
      </c>
      <c r="H88" s="175">
        <v>0</v>
      </c>
      <c r="I88" s="175">
        <v>0</v>
      </c>
      <c r="J88" s="294">
        <f>$D88*J$28</f>
        <v>131000</v>
      </c>
      <c r="K88" s="294">
        <f t="shared" ref="K88:T88" si="7">$D88*K$28</f>
        <v>131000</v>
      </c>
      <c r="L88" s="294">
        <f t="shared" si="7"/>
        <v>131000</v>
      </c>
      <c r="M88" s="294">
        <f t="shared" si="7"/>
        <v>131000</v>
      </c>
      <c r="N88" s="294">
        <f t="shared" si="7"/>
        <v>131000</v>
      </c>
      <c r="O88" s="294">
        <f t="shared" si="7"/>
        <v>131000</v>
      </c>
      <c r="P88" s="294">
        <f t="shared" si="7"/>
        <v>131000</v>
      </c>
      <c r="Q88" s="294">
        <f t="shared" si="7"/>
        <v>131000</v>
      </c>
      <c r="R88" s="294">
        <f t="shared" si="7"/>
        <v>131000</v>
      </c>
      <c r="S88" s="294">
        <f t="shared" si="7"/>
        <v>131000</v>
      </c>
      <c r="T88" s="295">
        <f t="shared" si="7"/>
        <v>131000</v>
      </c>
    </row>
    <row r="89" spans="2:20" x14ac:dyDescent="0.3">
      <c r="B89" s="193" t="s">
        <v>64</v>
      </c>
      <c r="C89" s="240"/>
      <c r="D89" s="261">
        <f>C89*'Inputs and assumptions'!D32</f>
        <v>0</v>
      </c>
      <c r="F89" s="175">
        <v>0</v>
      </c>
      <c r="G89" s="175">
        <v>0</v>
      </c>
      <c r="H89" s="175">
        <v>0</v>
      </c>
      <c r="I89" s="175">
        <v>0</v>
      </c>
      <c r="J89" s="294">
        <v>0</v>
      </c>
      <c r="K89" s="294">
        <v>0</v>
      </c>
      <c r="L89" s="294">
        <v>0</v>
      </c>
      <c r="M89" s="294">
        <v>0</v>
      </c>
      <c r="N89" s="294">
        <v>0</v>
      </c>
      <c r="O89" s="294">
        <v>0</v>
      </c>
      <c r="P89" s="294">
        <v>0</v>
      </c>
      <c r="Q89" s="294">
        <v>0</v>
      </c>
      <c r="R89" s="294">
        <v>0</v>
      </c>
      <c r="S89" s="294">
        <v>0</v>
      </c>
      <c r="T89" s="295">
        <v>0</v>
      </c>
    </row>
    <row r="90" spans="2:20" x14ac:dyDescent="0.3">
      <c r="B90" s="193"/>
      <c r="D90" s="151"/>
      <c r="F90" s="215"/>
      <c r="G90" s="215"/>
      <c r="H90" s="215"/>
      <c r="I90" s="215"/>
      <c r="J90" s="296"/>
      <c r="K90" s="296"/>
      <c r="L90" s="296"/>
      <c r="M90" s="296"/>
      <c r="N90" s="296"/>
      <c r="O90" s="296"/>
      <c r="P90" s="296"/>
      <c r="Q90" s="296"/>
      <c r="R90" s="296"/>
      <c r="S90" s="296"/>
      <c r="T90" s="297"/>
    </row>
    <row r="91" spans="2:20" x14ac:dyDescent="0.3">
      <c r="B91" s="191" t="s">
        <v>65</v>
      </c>
      <c r="C91" s="239" t="s">
        <v>236</v>
      </c>
      <c r="D91" s="202"/>
      <c r="F91" s="215"/>
      <c r="G91" s="215"/>
      <c r="H91" s="215"/>
      <c r="I91" s="215"/>
      <c r="J91" s="296"/>
      <c r="K91" s="296"/>
      <c r="L91" s="296"/>
      <c r="M91" s="296"/>
      <c r="N91" s="296"/>
      <c r="O91" s="296"/>
      <c r="P91" s="296"/>
      <c r="Q91" s="296"/>
      <c r="R91" s="296"/>
      <c r="S91" s="296"/>
      <c r="T91" s="297"/>
    </row>
    <row r="92" spans="2:20" x14ac:dyDescent="0.3">
      <c r="B92" s="193" t="s">
        <v>66</v>
      </c>
      <c r="C92" s="240">
        <v>1E-3</v>
      </c>
      <c r="D92" s="267">
        <f>C92*'Inputs and assumptions'!D35</f>
        <v>126000</v>
      </c>
      <c r="F92" s="175">
        <v>0</v>
      </c>
      <c r="G92" s="175">
        <v>0</v>
      </c>
      <c r="H92" s="175">
        <v>0</v>
      </c>
      <c r="I92" s="175">
        <v>0</v>
      </c>
      <c r="J92" s="294">
        <f>$D92*J$28</f>
        <v>126000</v>
      </c>
      <c r="K92" s="294">
        <f t="shared" ref="K92:T92" si="8">$D92*K$28</f>
        <v>126000</v>
      </c>
      <c r="L92" s="294">
        <f t="shared" si="8"/>
        <v>126000</v>
      </c>
      <c r="M92" s="294">
        <f t="shared" si="8"/>
        <v>126000</v>
      </c>
      <c r="N92" s="294">
        <f t="shared" si="8"/>
        <v>126000</v>
      </c>
      <c r="O92" s="294">
        <f t="shared" si="8"/>
        <v>126000</v>
      </c>
      <c r="P92" s="294">
        <f t="shared" si="8"/>
        <v>126000</v>
      </c>
      <c r="Q92" s="294">
        <f t="shared" si="8"/>
        <v>126000</v>
      </c>
      <c r="R92" s="294">
        <f t="shared" si="8"/>
        <v>126000</v>
      </c>
      <c r="S92" s="294">
        <f t="shared" si="8"/>
        <v>126000</v>
      </c>
      <c r="T92" s="295">
        <f t="shared" si="8"/>
        <v>126000</v>
      </c>
    </row>
    <row r="93" spans="2:20" x14ac:dyDescent="0.3">
      <c r="B93" s="193" t="s">
        <v>67</v>
      </c>
      <c r="C93" s="240"/>
      <c r="D93" s="261">
        <f>C93*'Inputs and assumptions'!D36</f>
        <v>0</v>
      </c>
      <c r="F93" s="175">
        <v>0</v>
      </c>
      <c r="G93" s="175">
        <v>0</v>
      </c>
      <c r="H93" s="175">
        <v>0</v>
      </c>
      <c r="I93" s="175">
        <v>0</v>
      </c>
      <c r="J93" s="294">
        <v>0</v>
      </c>
      <c r="K93" s="294">
        <v>0</v>
      </c>
      <c r="L93" s="294">
        <v>0</v>
      </c>
      <c r="M93" s="294">
        <v>0</v>
      </c>
      <c r="N93" s="294">
        <v>0</v>
      </c>
      <c r="O93" s="294">
        <v>0</v>
      </c>
      <c r="P93" s="294">
        <v>0</v>
      </c>
      <c r="Q93" s="294">
        <v>0</v>
      </c>
      <c r="R93" s="294">
        <v>0</v>
      </c>
      <c r="S93" s="294">
        <v>0</v>
      </c>
      <c r="T93" s="295">
        <v>0</v>
      </c>
    </row>
    <row r="94" spans="2:20" x14ac:dyDescent="0.3">
      <c r="B94" s="193" t="s">
        <v>68</v>
      </c>
      <c r="C94" s="240"/>
      <c r="D94" s="261">
        <f>C94*'Inputs and assumptions'!D37</f>
        <v>0</v>
      </c>
      <c r="F94" s="175">
        <v>0</v>
      </c>
      <c r="G94" s="175">
        <v>0</v>
      </c>
      <c r="H94" s="175">
        <v>0</v>
      </c>
      <c r="I94" s="175">
        <v>0</v>
      </c>
      <c r="J94" s="294">
        <v>0</v>
      </c>
      <c r="K94" s="294">
        <v>0</v>
      </c>
      <c r="L94" s="294">
        <v>0</v>
      </c>
      <c r="M94" s="294">
        <v>0</v>
      </c>
      <c r="N94" s="294">
        <v>0</v>
      </c>
      <c r="O94" s="294">
        <v>0</v>
      </c>
      <c r="P94" s="294">
        <v>0</v>
      </c>
      <c r="Q94" s="294">
        <v>0</v>
      </c>
      <c r="R94" s="294">
        <v>0</v>
      </c>
      <c r="S94" s="294">
        <v>0</v>
      </c>
      <c r="T94" s="295">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264"/>
      <c r="E102" s="112"/>
      <c r="F102" s="140">
        <f t="shared" ref="F102:T102" si="9">$D$102*F27</f>
        <v>0</v>
      </c>
      <c r="G102" s="140">
        <f t="shared" si="9"/>
        <v>0</v>
      </c>
      <c r="H102" s="140">
        <f t="shared" si="9"/>
        <v>0</v>
      </c>
      <c r="I102" s="140">
        <f t="shared" si="9"/>
        <v>0</v>
      </c>
      <c r="J102" s="140">
        <f t="shared" si="9"/>
        <v>0</v>
      </c>
      <c r="K102" s="140">
        <f t="shared" si="9"/>
        <v>0</v>
      </c>
      <c r="L102" s="140">
        <f t="shared" si="9"/>
        <v>0</v>
      </c>
      <c r="M102" s="140">
        <f t="shared" si="9"/>
        <v>0</v>
      </c>
      <c r="N102" s="140">
        <f t="shared" si="9"/>
        <v>0</v>
      </c>
      <c r="O102" s="140">
        <f t="shared" si="9"/>
        <v>0</v>
      </c>
      <c r="P102" s="140">
        <f t="shared" si="9"/>
        <v>0</v>
      </c>
      <c r="Q102" s="140">
        <f t="shared" si="9"/>
        <v>0</v>
      </c>
      <c r="R102" s="140">
        <f t="shared" si="9"/>
        <v>0</v>
      </c>
      <c r="S102" s="140">
        <f t="shared" si="9"/>
        <v>0</v>
      </c>
      <c r="T102" s="141">
        <f t="shared" si="9"/>
        <v>0</v>
      </c>
    </row>
    <row r="103" spans="2:20" x14ac:dyDescent="0.3">
      <c r="B103" s="123" t="s">
        <v>77</v>
      </c>
      <c r="C103" s="112"/>
      <c r="D103" s="264"/>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451800</v>
      </c>
      <c r="G107" s="294">
        <f t="shared" ref="G107:I107" si="10">$E$111*G29</f>
        <v>564750</v>
      </c>
      <c r="H107" s="294">
        <f t="shared" si="10"/>
        <v>677700</v>
      </c>
      <c r="I107" s="294">
        <f t="shared" si="10"/>
        <v>564750</v>
      </c>
      <c r="J107" s="175"/>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5000</v>
      </c>
      <c r="K108" s="175">
        <v>5000</v>
      </c>
      <c r="L108" s="175">
        <v>5000</v>
      </c>
      <c r="M108" s="175">
        <v>5000</v>
      </c>
      <c r="N108" s="175">
        <v>5000</v>
      </c>
      <c r="O108" s="175">
        <v>5000</v>
      </c>
      <c r="P108" s="175">
        <v>5000</v>
      </c>
      <c r="Q108" s="175">
        <v>5000</v>
      </c>
      <c r="R108" s="175">
        <v>5000</v>
      </c>
      <c r="S108" s="175">
        <v>5000</v>
      </c>
      <c r="T108" s="192">
        <v>5000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2259000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96" t="s">
        <v>327</v>
      </c>
      <c r="C113" s="597"/>
      <c r="D113" s="597"/>
      <c r="E113" s="598"/>
      <c r="F113" s="290"/>
      <c r="G113" s="290"/>
      <c r="H113" s="290"/>
      <c r="I113" s="290"/>
      <c r="J113" s="290"/>
      <c r="K113" s="290"/>
      <c r="L113" s="181"/>
      <c r="M113" s="181"/>
      <c r="N113" s="181"/>
      <c r="O113" s="181"/>
      <c r="P113" s="181"/>
      <c r="Q113" s="181"/>
      <c r="R113" s="181"/>
      <c r="S113" s="181"/>
      <c r="T113" s="181"/>
    </row>
    <row r="114" spans="2:20" ht="15" customHeight="1" x14ac:dyDescent="0.3">
      <c r="B114" s="599"/>
      <c r="C114" s="600"/>
      <c r="D114" s="600"/>
      <c r="E114" s="601"/>
      <c r="F114" s="290"/>
      <c r="G114" s="290"/>
      <c r="H114" s="290"/>
      <c r="I114" s="290"/>
      <c r="J114" s="290"/>
      <c r="K114" s="290"/>
      <c r="L114" s="181"/>
      <c r="M114" s="181"/>
      <c r="N114" s="181"/>
      <c r="O114" s="181"/>
      <c r="P114" s="181"/>
      <c r="Q114" s="181"/>
      <c r="R114" s="181"/>
      <c r="S114" s="181"/>
      <c r="T114" s="181"/>
    </row>
    <row r="115" spans="2:20" ht="15" customHeight="1" x14ac:dyDescent="0.3">
      <c r="B115" s="599"/>
      <c r="C115" s="600"/>
      <c r="D115" s="600"/>
      <c r="E115" s="601"/>
      <c r="F115" s="290"/>
      <c r="G115" s="290"/>
      <c r="H115" s="290"/>
      <c r="I115" s="290"/>
      <c r="J115" s="290"/>
      <c r="K115" s="290"/>
      <c r="L115" s="181"/>
      <c r="M115" s="181"/>
      <c r="N115" s="181"/>
      <c r="O115" s="181"/>
      <c r="P115" s="181"/>
      <c r="Q115" s="181"/>
      <c r="R115" s="181"/>
      <c r="S115" s="181"/>
      <c r="T115" s="181"/>
    </row>
    <row r="116" spans="2:20" ht="15" customHeight="1" x14ac:dyDescent="0.3">
      <c r="B116" s="599"/>
      <c r="C116" s="600"/>
      <c r="D116" s="600"/>
      <c r="E116" s="601"/>
      <c r="F116" s="290"/>
      <c r="G116" s="290"/>
      <c r="H116" s="290"/>
      <c r="I116" s="290"/>
      <c r="J116" s="290"/>
      <c r="K116" s="290"/>
      <c r="L116" s="181"/>
      <c r="M116" s="181"/>
      <c r="N116" s="181"/>
      <c r="O116" s="181"/>
      <c r="P116" s="181"/>
      <c r="Q116" s="181"/>
      <c r="R116" s="181"/>
      <c r="S116" s="181"/>
      <c r="T116" s="181"/>
    </row>
    <row r="117" spans="2:20" ht="15" customHeight="1" x14ac:dyDescent="0.3">
      <c r="B117" s="599"/>
      <c r="C117" s="600"/>
      <c r="D117" s="600"/>
      <c r="E117" s="601"/>
      <c r="F117" s="290"/>
      <c r="G117" s="290"/>
      <c r="H117" s="290"/>
      <c r="I117" s="290"/>
      <c r="J117" s="290"/>
      <c r="K117" s="290"/>
      <c r="L117" s="181"/>
      <c r="M117" s="181"/>
      <c r="N117" s="181"/>
      <c r="O117" s="181"/>
      <c r="P117" s="181"/>
      <c r="Q117" s="181"/>
      <c r="R117" s="181"/>
      <c r="S117" s="181"/>
      <c r="T117" s="181"/>
    </row>
    <row r="118" spans="2:20" ht="15" customHeight="1" x14ac:dyDescent="0.3">
      <c r="B118" s="599"/>
      <c r="C118" s="600"/>
      <c r="D118" s="600"/>
      <c r="E118" s="601"/>
      <c r="F118" s="290"/>
      <c r="G118" s="290"/>
      <c r="H118" s="290"/>
      <c r="I118" s="290"/>
      <c r="J118" s="290"/>
      <c r="K118" s="290"/>
      <c r="L118" s="181"/>
      <c r="M118" s="181"/>
      <c r="N118" s="181"/>
      <c r="O118" s="181"/>
      <c r="P118" s="181"/>
      <c r="Q118" s="181"/>
      <c r="R118" s="181"/>
      <c r="S118" s="181"/>
      <c r="T118" s="181"/>
    </row>
    <row r="119" spans="2:20" ht="15" customHeight="1" x14ac:dyDescent="0.3">
      <c r="B119" s="599"/>
      <c r="C119" s="600"/>
      <c r="D119" s="600"/>
      <c r="E119" s="601"/>
      <c r="F119" s="290"/>
      <c r="G119" s="290"/>
      <c r="H119" s="290"/>
      <c r="I119" s="290"/>
      <c r="J119" s="290"/>
      <c r="K119" s="290"/>
      <c r="L119" s="181"/>
      <c r="M119" s="181"/>
      <c r="N119" s="181"/>
      <c r="O119" s="181"/>
      <c r="P119" s="181"/>
      <c r="Q119" s="181"/>
      <c r="R119" s="181"/>
      <c r="S119" s="181"/>
      <c r="T119" s="181"/>
    </row>
    <row r="120" spans="2:20" ht="15" customHeight="1" x14ac:dyDescent="0.3">
      <c r="B120" s="599"/>
      <c r="C120" s="600"/>
      <c r="D120" s="600"/>
      <c r="E120" s="601"/>
      <c r="F120" s="290"/>
      <c r="G120" s="290"/>
      <c r="H120" s="290"/>
      <c r="I120" s="290"/>
      <c r="J120" s="290"/>
      <c r="K120" s="290"/>
      <c r="L120" s="181"/>
      <c r="M120" s="181"/>
      <c r="N120" s="181"/>
      <c r="O120" s="181"/>
      <c r="P120" s="181"/>
      <c r="Q120" s="181"/>
      <c r="R120" s="181"/>
      <c r="S120" s="181"/>
      <c r="T120" s="181"/>
    </row>
    <row r="121" spans="2:20" ht="15" customHeight="1" x14ac:dyDescent="0.3">
      <c r="B121" s="599"/>
      <c r="C121" s="600"/>
      <c r="D121" s="600"/>
      <c r="E121" s="601"/>
      <c r="F121" s="290"/>
      <c r="G121" s="290"/>
      <c r="H121" s="290"/>
      <c r="I121" s="290"/>
      <c r="J121" s="290"/>
      <c r="K121" s="290"/>
      <c r="L121" s="181"/>
      <c r="M121" s="181"/>
      <c r="N121" s="181"/>
      <c r="O121" s="181"/>
      <c r="P121" s="181"/>
      <c r="Q121" s="181"/>
      <c r="R121" s="181"/>
      <c r="S121" s="181"/>
      <c r="T121" s="181"/>
    </row>
    <row r="122" spans="2:20" ht="15.75" customHeight="1" thickBot="1" x14ac:dyDescent="0.35">
      <c r="B122" s="602"/>
      <c r="C122" s="603"/>
      <c r="D122" s="603"/>
      <c r="E122" s="60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B832117A-66A8-4619-BB82-F1F12367FC06}">
          <x14:formula1>
            <xm:f>'Inputs and assumptions'!$H$16:$H$20</xm:f>
          </x14:formula1>
          <xm:sqref>E8</xm:sqref>
        </x14:dataValidation>
        <x14:dataValidation type="list" allowBlank="1" showInputMessage="1" showErrorMessage="1" xr:uid="{3A79F747-AF01-4B88-9E96-89272602EA18}">
          <x14:formula1>
            <xm:f>'Inputs and assumptions'!$G$16:$G$20</xm:f>
          </x14:formula1>
          <xm:sqref>E7</xm:sqref>
        </x14:dataValidation>
        <x14:dataValidation type="list" allowBlank="1" showInputMessage="1" showErrorMessage="1" xr:uid="{1F0557CF-D7AF-46D1-8E63-C8BD794931CD}">
          <x14:formula1>
            <xm:f>'Inputs and assumptions'!$H$23:$H$24</xm:f>
          </x14:formula1>
          <xm:sqref>E10</xm:sqref>
        </x14:dataValidation>
        <x14:dataValidation type="list" allowBlank="1" showInputMessage="1" showErrorMessage="1" xr:uid="{49CBD262-8E96-40D1-9487-18C9EACD6C24}">
          <x14:formula1>
            <xm:f>'Inputs and assumptions'!$H$27:$H$29</xm:f>
          </x14:formula1>
          <xm:sqref>E11</xm:sqref>
        </x14:dataValidation>
        <x14:dataValidation type="list" allowBlank="1" showInputMessage="1" showErrorMessage="1" xr:uid="{9D4212A3-CA25-4270-B4B1-0E4CE26A7FA2}">
          <x14:formula1>
            <xm:f>'Inputs and assumptions'!$J$17:$J$18</xm:f>
          </x14:formula1>
          <xm:sqref>E43</xm:sqref>
        </x14:dataValidation>
        <x14:dataValidation type="list" allowBlank="1" showInputMessage="1" showErrorMessage="1" xr:uid="{3EF886EB-618E-4720-A163-B43A2368C101}">
          <x14:formula1>
            <xm:f>'Inputs and assumptions'!$H$31:$H$34</xm:f>
          </x14:formula1>
          <xm:sqref>E12</xm:sqref>
        </x14:dataValidation>
        <x14:dataValidation type="list" allowBlank="1" showInputMessage="1" showErrorMessage="1" xr:uid="{93BEC60E-7794-4D7E-A512-EE6F50DEB148}">
          <x14:formula1>
            <xm:f>'Inputs and assumptions'!$H$36:$H$40</xm:f>
          </x14:formula1>
          <xm:sqref>E13</xm:sqref>
        </x14:dataValidation>
        <x14:dataValidation type="list" allowBlank="1" showInputMessage="1" showErrorMessage="1" xr:uid="{C5DDFFF1-307D-496B-9AD5-2D48A83BB139}">
          <x14:formula1>
            <xm:f>'Inputs and assumptions'!$J$21:$J$24</xm:f>
          </x14:formula1>
          <xm:sqref>E14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63E6E-F6AA-49E2-A03F-14F997520D19}">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328</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192</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120</v>
      </c>
      <c r="G7" s="586" t="s">
        <v>329</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258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row>
    <row r="12" spans="1:23" x14ac:dyDescent="0.3">
      <c r="B12" s="331" t="s">
        <v>9</v>
      </c>
      <c r="C12" s="231"/>
      <c r="D12" s="114"/>
      <c r="E12" s="330" t="s">
        <v>150</v>
      </c>
      <c r="G12" s="586"/>
      <c r="H12" s="586"/>
      <c r="I12" s="586"/>
      <c r="J12" s="586"/>
      <c r="K12" s="586"/>
      <c r="L12" s="586"/>
      <c r="M12" s="586"/>
      <c r="N12" s="586"/>
      <c r="O12" s="586"/>
      <c r="P12" s="586"/>
      <c r="Q12" s="586"/>
      <c r="R12" s="586"/>
      <c r="S12" s="586"/>
      <c r="T12" s="586"/>
    </row>
    <row r="13" spans="1:23" x14ac:dyDescent="0.3">
      <c r="B13" s="331" t="s">
        <v>10</v>
      </c>
      <c r="C13" s="231"/>
      <c r="D13" s="114"/>
      <c r="E13" s="330" t="s">
        <v>155</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ht="45"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-1972713.690330537</v>
      </c>
      <c r="J18" s="222"/>
      <c r="K18" s="220" t="s">
        <v>220</v>
      </c>
      <c r="L18" s="223">
        <f>SUM(F34:J34)</f>
        <v>1900000</v>
      </c>
      <c r="N18" s="584" t="s">
        <v>221</v>
      </c>
      <c r="O18" s="584"/>
      <c r="P18" s="584"/>
      <c r="Q18" s="584"/>
      <c r="R18" s="314"/>
      <c r="S18" s="161"/>
      <c r="T18" s="315" t="s">
        <v>222</v>
      </c>
    </row>
    <row r="19" spans="2:20" ht="13.5" customHeight="1" x14ac:dyDescent="0.3">
      <c r="B19" s="160" t="s">
        <v>19</v>
      </c>
      <c r="C19" s="182">
        <v>4</v>
      </c>
      <c r="D19" s="161">
        <v>0.18</v>
      </c>
      <c r="E19" s="162">
        <f>D19*C19</f>
        <v>0.72</v>
      </c>
      <c r="G19" s="224"/>
      <c r="H19" s="125" t="s">
        <v>20</v>
      </c>
      <c r="I19" s="126">
        <f>D40</f>
        <v>4591557.9324189806</v>
      </c>
      <c r="J19" s="127"/>
      <c r="K19" s="125" t="s">
        <v>223</v>
      </c>
      <c r="L19" s="225">
        <f>SUM(F36:J36)</f>
        <v>76000</v>
      </c>
      <c r="N19" s="585" t="s">
        <v>224</v>
      </c>
      <c r="O19" s="585"/>
      <c r="P19" s="585"/>
      <c r="Q19" s="585"/>
      <c r="R19" s="314"/>
      <c r="S19" s="161"/>
      <c r="T19" s="315" t="s">
        <v>227</v>
      </c>
    </row>
    <row r="20" spans="2:20" ht="13.5" customHeight="1" x14ac:dyDescent="0.3">
      <c r="B20" s="160" t="s">
        <v>21</v>
      </c>
      <c r="C20" s="182">
        <v>4</v>
      </c>
      <c r="D20" s="161">
        <v>0.18</v>
      </c>
      <c r="E20" s="162">
        <f>D20*C20</f>
        <v>0.72</v>
      </c>
      <c r="G20" s="224"/>
      <c r="H20" s="125" t="s">
        <v>22</v>
      </c>
      <c r="I20" s="217">
        <f>IFERROR(ABS((I19-I18)/I18),"N/A")</f>
        <v>3.3275338711973173</v>
      </c>
      <c r="J20" s="127"/>
      <c r="K20" s="125" t="s">
        <v>225</v>
      </c>
      <c r="L20" s="225">
        <f>NPV($D$33,F39:T39)</f>
        <v>6564271.6227495167</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2.2993195510284035</v>
      </c>
      <c r="J21" s="226"/>
      <c r="K21" s="436" t="s">
        <v>228</v>
      </c>
      <c r="L21" s="439">
        <f>NPV($D$33,F39:J39)</f>
        <v>2126566.3366244147</v>
      </c>
      <c r="N21" s="570" t="s">
        <v>229</v>
      </c>
      <c r="O21" s="570"/>
      <c r="P21" s="570"/>
      <c r="Q21" s="570"/>
      <c r="R21" s="570"/>
      <c r="S21" s="164"/>
      <c r="T21" s="165"/>
    </row>
    <row r="22" spans="2:20" ht="13.5" customHeight="1" x14ac:dyDescent="0.3">
      <c r="B22" s="160" t="s">
        <v>230</v>
      </c>
      <c r="C22" s="182">
        <v>2</v>
      </c>
      <c r="D22" s="161">
        <v>0.17</v>
      </c>
      <c r="E22" s="162">
        <f>D22*C22</f>
        <v>0.34</v>
      </c>
      <c r="L22" s="218"/>
    </row>
    <row r="23" spans="2:20" ht="13.5" customHeight="1" x14ac:dyDescent="0.3">
      <c r="B23" s="117" t="s">
        <v>229</v>
      </c>
      <c r="C23" s="117"/>
      <c r="D23" s="164">
        <f>SUM(D18:D22)</f>
        <v>0.99999999999999989</v>
      </c>
      <c r="E23" s="165">
        <f>SUM(E18:E22)</f>
        <v>2.7199999999999993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50</v>
      </c>
      <c r="E27" s="112"/>
      <c r="F27" s="227">
        <v>10</v>
      </c>
      <c r="G27" s="227">
        <v>20</v>
      </c>
      <c r="H27" s="227">
        <v>20</v>
      </c>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380000</v>
      </c>
      <c r="G34" s="140">
        <f t="shared" si="0"/>
        <v>760000</v>
      </c>
      <c r="H34" s="140">
        <f t="shared" si="0"/>
        <v>760000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570000</v>
      </c>
      <c r="G35" s="140">
        <f>G34*(1+'Inputs and assumptions'!$C$7)</f>
        <v>1140000</v>
      </c>
      <c r="H35" s="140">
        <f>H34*(1+'Inputs and assumptions'!$C$7)</f>
        <v>1140000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4000</v>
      </c>
      <c r="G36" s="142">
        <f t="shared" si="1"/>
        <v>12000</v>
      </c>
      <c r="H36" s="142">
        <f t="shared" si="1"/>
        <v>20000</v>
      </c>
      <c r="I36" s="142">
        <f t="shared" si="1"/>
        <v>20000</v>
      </c>
      <c r="J36" s="142">
        <f t="shared" si="1"/>
        <v>20000</v>
      </c>
      <c r="K36" s="142">
        <f t="shared" si="1"/>
        <v>20000</v>
      </c>
      <c r="L36" s="142">
        <f t="shared" si="1"/>
        <v>20000</v>
      </c>
      <c r="M36" s="142">
        <f t="shared" si="1"/>
        <v>20000</v>
      </c>
      <c r="N36" s="142">
        <f t="shared" si="1"/>
        <v>20000</v>
      </c>
      <c r="O36" s="142">
        <f t="shared" si="1"/>
        <v>20000</v>
      </c>
      <c r="P36" s="142">
        <f t="shared" si="1"/>
        <v>20000</v>
      </c>
      <c r="Q36" s="142">
        <f t="shared" si="1"/>
        <v>20000</v>
      </c>
      <c r="R36" s="142">
        <f t="shared" si="1"/>
        <v>20000</v>
      </c>
      <c r="S36" s="142">
        <f t="shared" si="1"/>
        <v>20000</v>
      </c>
      <c r="T36" s="143">
        <f t="shared" si="1"/>
        <v>20000</v>
      </c>
    </row>
    <row r="37" spans="2:20" x14ac:dyDescent="0.3">
      <c r="B37" s="122" t="s">
        <v>44</v>
      </c>
      <c r="C37" s="133"/>
      <c r="D37" s="247">
        <f>NPV($D$33,F37:T37)</f>
        <v>-1972713.690330537</v>
      </c>
      <c r="E37" s="248"/>
      <c r="F37" s="144">
        <f t="shared" ref="F37:T37" si="2">-F34-F36</f>
        <v>-384000</v>
      </c>
      <c r="G37" s="144">
        <f t="shared" si="2"/>
        <v>-772000</v>
      </c>
      <c r="H37" s="144">
        <f t="shared" si="2"/>
        <v>-780000</v>
      </c>
      <c r="I37" s="144">
        <f t="shared" si="2"/>
        <v>-20000</v>
      </c>
      <c r="J37" s="144">
        <f t="shared" si="2"/>
        <v>-20000</v>
      </c>
      <c r="K37" s="144">
        <f t="shared" si="2"/>
        <v>-20000</v>
      </c>
      <c r="L37" s="144">
        <f t="shared" si="2"/>
        <v>-20000</v>
      </c>
      <c r="M37" s="144">
        <f t="shared" si="2"/>
        <v>-20000</v>
      </c>
      <c r="N37" s="144">
        <f t="shared" si="2"/>
        <v>-20000</v>
      </c>
      <c r="O37" s="144">
        <f t="shared" si="2"/>
        <v>-20000</v>
      </c>
      <c r="P37" s="144">
        <f t="shared" si="2"/>
        <v>-20000</v>
      </c>
      <c r="Q37" s="144">
        <f t="shared" si="2"/>
        <v>-20000</v>
      </c>
      <c r="R37" s="144">
        <f t="shared" si="2"/>
        <v>-20000</v>
      </c>
      <c r="S37" s="144">
        <f t="shared" si="2"/>
        <v>-20000</v>
      </c>
      <c r="T37" s="145">
        <f t="shared" si="2"/>
        <v>-20000</v>
      </c>
    </row>
    <row r="38" spans="2:20" ht="13.5" thickBot="1" x14ac:dyDescent="0.35">
      <c r="B38" s="124" t="s">
        <v>235</v>
      </c>
      <c r="C38" s="135"/>
      <c r="D38" s="132"/>
      <c r="E38" s="121"/>
      <c r="F38" s="142">
        <f>F35+F36</f>
        <v>574000</v>
      </c>
      <c r="G38" s="142">
        <f t="shared" ref="G38:T38" si="3">G35+G36</f>
        <v>1152000</v>
      </c>
      <c r="H38" s="142">
        <f t="shared" si="3"/>
        <v>1160000</v>
      </c>
      <c r="I38" s="142">
        <f t="shared" si="3"/>
        <v>20000</v>
      </c>
      <c r="J38" s="142">
        <f t="shared" si="3"/>
        <v>20000</v>
      </c>
      <c r="K38" s="142">
        <f t="shared" si="3"/>
        <v>20000</v>
      </c>
      <c r="L38" s="142">
        <f t="shared" si="3"/>
        <v>20000</v>
      </c>
      <c r="M38" s="142">
        <f t="shared" si="3"/>
        <v>20000</v>
      </c>
      <c r="N38" s="142">
        <f t="shared" si="3"/>
        <v>20000</v>
      </c>
      <c r="O38" s="142">
        <f t="shared" si="3"/>
        <v>20000</v>
      </c>
      <c r="P38" s="142">
        <f t="shared" si="3"/>
        <v>20000</v>
      </c>
      <c r="Q38" s="142">
        <f t="shared" si="3"/>
        <v>20000</v>
      </c>
      <c r="R38" s="142">
        <f t="shared" si="3"/>
        <v>20000</v>
      </c>
      <c r="S38" s="142">
        <f t="shared" si="3"/>
        <v>20000</v>
      </c>
      <c r="T38" s="143">
        <f t="shared" si="3"/>
        <v>20000</v>
      </c>
    </row>
    <row r="39" spans="2:20" x14ac:dyDescent="0.3">
      <c r="B39" s="123" t="s">
        <v>45</v>
      </c>
      <c r="C39" s="112"/>
      <c r="D39" s="134"/>
      <c r="E39" s="112"/>
      <c r="F39" s="140">
        <f t="shared" ref="F39:T39" si="4">IF($E$43="Per Unit",SUM(F45:F71),SUM(F73:F98))</f>
        <v>126000</v>
      </c>
      <c r="G39" s="140">
        <f t="shared" si="4"/>
        <v>378000</v>
      </c>
      <c r="H39" s="140">
        <f t="shared" si="4"/>
        <v>630000</v>
      </c>
      <c r="I39" s="140">
        <f t="shared" si="4"/>
        <v>630000</v>
      </c>
      <c r="J39" s="140">
        <f t="shared" si="4"/>
        <v>630000</v>
      </c>
      <c r="K39" s="140">
        <f t="shared" si="4"/>
        <v>630000</v>
      </c>
      <c r="L39" s="140">
        <f t="shared" si="4"/>
        <v>630000</v>
      </c>
      <c r="M39" s="140">
        <f t="shared" si="4"/>
        <v>630000</v>
      </c>
      <c r="N39" s="140">
        <f t="shared" si="4"/>
        <v>630000</v>
      </c>
      <c r="O39" s="140">
        <f t="shared" si="4"/>
        <v>630000</v>
      </c>
      <c r="P39" s="140">
        <f t="shared" si="4"/>
        <v>630000</v>
      </c>
      <c r="Q39" s="140">
        <f t="shared" si="4"/>
        <v>630000</v>
      </c>
      <c r="R39" s="140">
        <f t="shared" si="4"/>
        <v>630000</v>
      </c>
      <c r="S39" s="140">
        <f t="shared" si="4"/>
        <v>630000</v>
      </c>
      <c r="T39" s="141">
        <f t="shared" si="4"/>
        <v>630000</v>
      </c>
    </row>
    <row r="40" spans="2:20" x14ac:dyDescent="0.3">
      <c r="B40" s="123" t="s">
        <v>46</v>
      </c>
      <c r="C40" s="112"/>
      <c r="D40" s="134">
        <f>NPV($D$33,F40:T40)</f>
        <v>4591557.9324189806</v>
      </c>
      <c r="E40" s="112"/>
      <c r="F40" s="140">
        <f t="shared" ref="F40:T40" si="5">F39+F37</f>
        <v>-258000</v>
      </c>
      <c r="G40" s="140">
        <f t="shared" si="5"/>
        <v>-394000</v>
      </c>
      <c r="H40" s="140">
        <f t="shared" si="5"/>
        <v>-150000</v>
      </c>
      <c r="I40" s="140">
        <f t="shared" si="5"/>
        <v>610000</v>
      </c>
      <c r="J40" s="140">
        <f t="shared" si="5"/>
        <v>610000</v>
      </c>
      <c r="K40" s="140">
        <f t="shared" si="5"/>
        <v>610000</v>
      </c>
      <c r="L40" s="140">
        <f t="shared" si="5"/>
        <v>610000</v>
      </c>
      <c r="M40" s="140">
        <f t="shared" si="5"/>
        <v>610000</v>
      </c>
      <c r="N40" s="140">
        <f t="shared" si="5"/>
        <v>610000</v>
      </c>
      <c r="O40" s="140">
        <f t="shared" si="5"/>
        <v>610000</v>
      </c>
      <c r="P40" s="140">
        <f t="shared" si="5"/>
        <v>610000</v>
      </c>
      <c r="Q40" s="140">
        <f t="shared" si="5"/>
        <v>610000</v>
      </c>
      <c r="R40" s="140">
        <f t="shared" si="5"/>
        <v>610000</v>
      </c>
      <c r="S40" s="140">
        <f t="shared" si="5"/>
        <v>610000</v>
      </c>
      <c r="T40" s="141">
        <f t="shared" si="5"/>
        <v>610000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12600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5.0000000000000001E-3</v>
      </c>
      <c r="D64" s="261">
        <f>IFERROR(C64*'Inputs and assumptions'!D35/$D$27,0)</f>
        <v>12600</v>
      </c>
      <c r="E64" s="112"/>
      <c r="F64" s="140">
        <f>$D64*SUM($E$27:F$27)</f>
        <v>126000</v>
      </c>
      <c r="G64" s="140">
        <f>$D64*SUM($E$27:G$27)</f>
        <v>378000</v>
      </c>
      <c r="H64" s="140">
        <f>$D64*SUM($E$27:H$27)</f>
        <v>630000</v>
      </c>
      <c r="I64" s="140">
        <f>$D64*SUM($E$27:I$27)</f>
        <v>630000</v>
      </c>
      <c r="J64" s="140">
        <f>$D64*SUM($E$27:J$27)</f>
        <v>630000</v>
      </c>
      <c r="K64" s="140">
        <f>$D64*SUM($E$27:K$27)</f>
        <v>630000</v>
      </c>
      <c r="L64" s="140">
        <f>$D64*SUM($E$27:L$27)</f>
        <v>630000</v>
      </c>
      <c r="M64" s="140">
        <f>$D64*SUM($E$27:M$27)</f>
        <v>630000</v>
      </c>
      <c r="N64" s="140">
        <f>$D64*SUM($E$27:N$27)</f>
        <v>630000</v>
      </c>
      <c r="O64" s="140">
        <f>$D64*SUM($E$27:O$27)</f>
        <v>630000</v>
      </c>
      <c r="P64" s="140">
        <f>$D64*SUM($E$27:P$27)</f>
        <v>630000</v>
      </c>
      <c r="Q64" s="140">
        <f>$D64*SUM($E$27:Q$27)</f>
        <v>630000</v>
      </c>
      <c r="R64" s="140">
        <f>$D64*SUM($E$27:R$27)</f>
        <v>630000</v>
      </c>
      <c r="S64" s="140">
        <f>$D64*SUM($E$27:S$27)</f>
        <v>630000</v>
      </c>
      <c r="T64" s="141">
        <f>$D64*SUM($E$27:T$27)</f>
        <v>630000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38000</v>
      </c>
      <c r="E102" s="112"/>
      <c r="F102" s="306">
        <f t="shared" ref="F102:T102" si="6">$D$102*F27</f>
        <v>380000</v>
      </c>
      <c r="G102" s="306">
        <f t="shared" si="6"/>
        <v>760000</v>
      </c>
      <c r="H102" s="140">
        <f t="shared" si="6"/>
        <v>760000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400</v>
      </c>
      <c r="E103" s="112"/>
      <c r="F103" s="306">
        <f>$D103*SUM($E$27:F$27)</f>
        <v>4000</v>
      </c>
      <c r="G103" s="306">
        <f>$D103*SUM($E$27:G$27)</f>
        <v>12000</v>
      </c>
      <c r="H103" s="140">
        <f>$D103*SUM($E$27:H$27)</f>
        <v>20000</v>
      </c>
      <c r="I103" s="140">
        <f>$D103*SUM($E$27:I$27)</f>
        <v>20000</v>
      </c>
      <c r="J103" s="140">
        <f>$D103*SUM($E$27:J$27)</f>
        <v>20000</v>
      </c>
      <c r="K103" s="140">
        <f>$D103*SUM($E$27:K$27)</f>
        <v>20000</v>
      </c>
      <c r="L103" s="140">
        <f>$D103*SUM($E$27:L$27)</f>
        <v>20000</v>
      </c>
      <c r="M103" s="140">
        <f>$D103*SUM($E$27:M$27)</f>
        <v>20000</v>
      </c>
      <c r="N103" s="140">
        <f>$D103*SUM($E$27:N$27)</f>
        <v>20000</v>
      </c>
      <c r="O103" s="140">
        <f>$D103*SUM($E$27:O$27)</f>
        <v>20000</v>
      </c>
      <c r="P103" s="140">
        <f>$D103*SUM($E$27:P$27)</f>
        <v>20000</v>
      </c>
      <c r="Q103" s="140">
        <f>$D103*SUM($E$27:Q$27)</f>
        <v>20000</v>
      </c>
      <c r="R103" s="140">
        <f>$D103*SUM($E$27:R$27)</f>
        <v>20000</v>
      </c>
      <c r="S103" s="140">
        <f>$D103*SUM($E$27:S$27)</f>
        <v>20000</v>
      </c>
      <c r="T103" s="141">
        <f>$D103*SUM($E$27:T$27)</f>
        <v>20000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38000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330</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G7:T15"/>
    <mergeCell ref="N18:Q18"/>
    <mergeCell ref="N19:Q19"/>
    <mergeCell ref="B113:E122"/>
    <mergeCell ref="N17:R17"/>
    <mergeCell ref="N21:R21"/>
    <mergeCell ref="B43:D43"/>
    <mergeCell ref="B100:D100"/>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G70 F103:G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3D3217F6-3F52-42DF-AC32-2BDBE247C3E0}">
          <x14:formula1>
            <xm:f>'Inputs and assumptions'!$J$17:$J$18</xm:f>
          </x14:formula1>
          <xm:sqref>E43</xm:sqref>
        </x14:dataValidation>
        <x14:dataValidation type="list" allowBlank="1" showInputMessage="1" showErrorMessage="1" xr:uid="{DF5B1926-E160-4438-BF4F-7A624F0D6B65}">
          <x14:formula1>
            <xm:f>'Inputs and assumptions'!$H$27:$H$29</xm:f>
          </x14:formula1>
          <xm:sqref>E11</xm:sqref>
        </x14:dataValidation>
        <x14:dataValidation type="list" allowBlank="1" showInputMessage="1" showErrorMessage="1" xr:uid="{F34EB839-F83C-4EBC-8EDE-1896795F86EF}">
          <x14:formula1>
            <xm:f>'Inputs and assumptions'!$H$23:$H$24</xm:f>
          </x14:formula1>
          <xm:sqref>E10</xm:sqref>
        </x14:dataValidation>
        <x14:dataValidation type="list" allowBlank="1" showInputMessage="1" showErrorMessage="1" xr:uid="{DBCCBF64-DAC6-4E0B-833A-6C7E10C9F1D0}">
          <x14:formula1>
            <xm:f>'Inputs and assumptions'!$G$16:$G$20</xm:f>
          </x14:formula1>
          <xm:sqref>E7</xm:sqref>
        </x14:dataValidation>
        <x14:dataValidation type="list" allowBlank="1" showInputMessage="1" showErrorMessage="1" xr:uid="{EC50BAFB-83B9-430B-91F7-CED083CC3131}">
          <x14:formula1>
            <xm:f>'Inputs and assumptions'!$H$16:$H$20</xm:f>
          </x14:formula1>
          <xm:sqref>E8</xm:sqref>
        </x14:dataValidation>
        <x14:dataValidation type="list" allowBlank="1" showInputMessage="1" showErrorMessage="1" xr:uid="{6EB58BC7-F2CA-479D-B912-E563973D4E32}">
          <x14:formula1>
            <xm:f>'Inputs and assumptions'!$H$31:$H$34</xm:f>
          </x14:formula1>
          <xm:sqref>E12</xm:sqref>
        </x14:dataValidation>
        <x14:dataValidation type="list" allowBlank="1" showInputMessage="1" showErrorMessage="1" xr:uid="{5A4C5115-E177-44D7-B46A-3516BC1EBF7C}">
          <x14:formula1>
            <xm:f>'Inputs and assumptions'!$H$36:$H$40</xm:f>
          </x14:formula1>
          <xm:sqref>E13</xm:sqref>
        </x14:dataValidation>
        <x14:dataValidation type="list" allowBlank="1" showInputMessage="1" showErrorMessage="1" xr:uid="{ED098217-8B1F-4532-ACAB-69D2EDAD0B99}">
          <x14:formula1>
            <xm:f>'Inputs and assumptions'!$J$21:$J$24</xm:f>
          </x14:formula1>
          <xm:sqref>E14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1BB65-719A-49CF-AB59-1548DE25D494}">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331</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193</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128</v>
      </c>
      <c r="G7" s="586" t="s">
        <v>332</v>
      </c>
      <c r="H7" s="586"/>
      <c r="I7" s="586"/>
      <c r="J7" s="586"/>
      <c r="K7" s="586"/>
      <c r="L7" s="586"/>
      <c r="M7" s="586"/>
      <c r="N7" s="586"/>
      <c r="O7" s="586"/>
      <c r="P7" s="586"/>
      <c r="Q7" s="586"/>
      <c r="R7" s="586"/>
      <c r="S7" s="586"/>
      <c r="T7" s="586"/>
    </row>
    <row r="8" spans="1:23" s="170" customFormat="1" ht="15.75" customHeight="1" x14ac:dyDescent="0.35">
      <c r="B8" s="328" t="s">
        <v>3</v>
      </c>
      <c r="C8" s="230"/>
      <c r="E8" s="329" t="s">
        <v>129</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333</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3" ht="21"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-1007267.5019708627</v>
      </c>
      <c r="J18" s="222"/>
      <c r="K18" s="220" t="s">
        <v>220</v>
      </c>
      <c r="L18" s="223">
        <f>SUM(F34:J34)</f>
        <v>950000.01</v>
      </c>
      <c r="N18" s="584" t="s">
        <v>221</v>
      </c>
      <c r="O18" s="584"/>
      <c r="P18" s="584"/>
      <c r="Q18" s="584"/>
      <c r="R18" s="314"/>
      <c r="S18" s="161"/>
      <c r="T18" s="315" t="s">
        <v>222</v>
      </c>
    </row>
    <row r="19" spans="2:20" ht="13.5" customHeight="1" x14ac:dyDescent="0.3">
      <c r="B19" s="160" t="s">
        <v>19</v>
      </c>
      <c r="C19" s="182">
        <v>3</v>
      </c>
      <c r="D19" s="161">
        <v>0.18</v>
      </c>
      <c r="E19" s="162">
        <f>D19*C19</f>
        <v>0.54</v>
      </c>
      <c r="G19" s="224"/>
      <c r="H19" s="125" t="s">
        <v>20</v>
      </c>
      <c r="I19" s="126">
        <f>D40</f>
        <v>2259369.8292780574</v>
      </c>
      <c r="J19" s="127"/>
      <c r="K19" s="125" t="s">
        <v>223</v>
      </c>
      <c r="L19" s="225">
        <f>SUM(F36:J36)</f>
        <v>43333.42</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3.2430683257995296</v>
      </c>
      <c r="J20" s="127"/>
      <c r="K20" s="125" t="s">
        <v>225</v>
      </c>
      <c r="L20" s="225">
        <f>NPV($D$33,F39:T39)</f>
        <v>3266637.3312489204</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2.2431227182163087</v>
      </c>
      <c r="J21" s="226"/>
      <c r="K21" s="436" t="s">
        <v>228</v>
      </c>
      <c r="L21" s="439">
        <f>NPV($D$33,F39:J39)</f>
        <v>1159911.1868306969</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2.8800000000000003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3</v>
      </c>
      <c r="E27" s="112"/>
      <c r="F27" s="227">
        <v>1</v>
      </c>
      <c r="G27" s="227">
        <v>2</v>
      </c>
      <c r="H27" s="227"/>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316666.67</v>
      </c>
      <c r="G34" s="140">
        <f t="shared" si="0"/>
        <v>633333.34</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475000.005</v>
      </c>
      <c r="G35" s="140">
        <f>G34*(1+'Inputs and assumptions'!$C$7)</f>
        <v>950000.01</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3333.34</v>
      </c>
      <c r="G36" s="142">
        <f t="shared" si="1"/>
        <v>10000.02</v>
      </c>
      <c r="H36" s="142">
        <f t="shared" si="1"/>
        <v>10000.02</v>
      </c>
      <c r="I36" s="142">
        <f t="shared" si="1"/>
        <v>10000.02</v>
      </c>
      <c r="J36" s="142">
        <f t="shared" si="1"/>
        <v>10000.02</v>
      </c>
      <c r="K36" s="142">
        <f t="shared" si="1"/>
        <v>10000.02</v>
      </c>
      <c r="L36" s="142">
        <f t="shared" si="1"/>
        <v>10000.02</v>
      </c>
      <c r="M36" s="142">
        <f t="shared" si="1"/>
        <v>10000.02</v>
      </c>
      <c r="N36" s="142">
        <f t="shared" si="1"/>
        <v>10000.02</v>
      </c>
      <c r="O36" s="142">
        <f t="shared" si="1"/>
        <v>10000.02</v>
      </c>
      <c r="P36" s="142">
        <f t="shared" si="1"/>
        <v>10000.02</v>
      </c>
      <c r="Q36" s="142">
        <f t="shared" si="1"/>
        <v>10000.02</v>
      </c>
      <c r="R36" s="142">
        <f t="shared" si="1"/>
        <v>10000.02</v>
      </c>
      <c r="S36" s="142">
        <f t="shared" si="1"/>
        <v>10000.02</v>
      </c>
      <c r="T36" s="143">
        <f t="shared" si="1"/>
        <v>10000.02</v>
      </c>
    </row>
    <row r="37" spans="2:20" x14ac:dyDescent="0.3">
      <c r="B37" s="122" t="s">
        <v>44</v>
      </c>
      <c r="C37" s="133"/>
      <c r="D37" s="247">
        <f>NPV($D$33,F37:T37)</f>
        <v>-1007267.5019708627</v>
      </c>
      <c r="E37" s="248"/>
      <c r="F37" s="144">
        <f t="shared" ref="F37:T37" si="2">-F34-F36</f>
        <v>-320000.01</v>
      </c>
      <c r="G37" s="144">
        <f t="shared" si="2"/>
        <v>-643333.36</v>
      </c>
      <c r="H37" s="144">
        <f t="shared" si="2"/>
        <v>-10000.02</v>
      </c>
      <c r="I37" s="144">
        <f t="shared" si="2"/>
        <v>-10000.02</v>
      </c>
      <c r="J37" s="144">
        <f t="shared" si="2"/>
        <v>-10000.02</v>
      </c>
      <c r="K37" s="144">
        <f t="shared" si="2"/>
        <v>-10000.02</v>
      </c>
      <c r="L37" s="144">
        <f t="shared" si="2"/>
        <v>-10000.02</v>
      </c>
      <c r="M37" s="144">
        <f t="shared" si="2"/>
        <v>-10000.02</v>
      </c>
      <c r="N37" s="144">
        <f t="shared" si="2"/>
        <v>-10000.02</v>
      </c>
      <c r="O37" s="144">
        <f t="shared" si="2"/>
        <v>-10000.02</v>
      </c>
      <c r="P37" s="144">
        <f t="shared" si="2"/>
        <v>-10000.02</v>
      </c>
      <c r="Q37" s="144">
        <f t="shared" si="2"/>
        <v>-10000.02</v>
      </c>
      <c r="R37" s="144">
        <f t="shared" si="2"/>
        <v>-10000.02</v>
      </c>
      <c r="S37" s="144">
        <f t="shared" si="2"/>
        <v>-10000.02</v>
      </c>
      <c r="T37" s="145">
        <f t="shared" si="2"/>
        <v>-10000.02</v>
      </c>
    </row>
    <row r="38" spans="2:20" ht="13.5" thickBot="1" x14ac:dyDescent="0.35">
      <c r="B38" s="124" t="s">
        <v>235</v>
      </c>
      <c r="C38" s="135"/>
      <c r="D38" s="132"/>
      <c r="E38" s="121"/>
      <c r="F38" s="142">
        <f>F35+F36</f>
        <v>478333.34500000003</v>
      </c>
      <c r="G38" s="142">
        <f t="shared" ref="G38:T38" si="3">G35+G36</f>
        <v>960000.03</v>
      </c>
      <c r="H38" s="142">
        <f t="shared" si="3"/>
        <v>10000.02</v>
      </c>
      <c r="I38" s="142">
        <f t="shared" si="3"/>
        <v>10000.02</v>
      </c>
      <c r="J38" s="142">
        <f t="shared" si="3"/>
        <v>10000.02</v>
      </c>
      <c r="K38" s="142">
        <f t="shared" si="3"/>
        <v>10000.02</v>
      </c>
      <c r="L38" s="142">
        <f t="shared" si="3"/>
        <v>10000.02</v>
      </c>
      <c r="M38" s="142">
        <f t="shared" si="3"/>
        <v>10000.02</v>
      </c>
      <c r="N38" s="142">
        <f t="shared" si="3"/>
        <v>10000.02</v>
      </c>
      <c r="O38" s="142">
        <f t="shared" si="3"/>
        <v>10000.02</v>
      </c>
      <c r="P38" s="142">
        <f t="shared" si="3"/>
        <v>10000.02</v>
      </c>
      <c r="Q38" s="142">
        <f t="shared" si="3"/>
        <v>10000.02</v>
      </c>
      <c r="R38" s="142">
        <f t="shared" si="3"/>
        <v>10000.02</v>
      </c>
      <c r="S38" s="142">
        <f t="shared" si="3"/>
        <v>10000.02</v>
      </c>
      <c r="T38" s="143">
        <f t="shared" si="3"/>
        <v>10000.02</v>
      </c>
    </row>
    <row r="39" spans="2:20" x14ac:dyDescent="0.3">
      <c r="B39" s="123" t="s">
        <v>45</v>
      </c>
      <c r="C39" s="112"/>
      <c r="D39" s="134"/>
      <c r="E39" s="112"/>
      <c r="F39" s="140">
        <f t="shared" ref="F39:T39" si="4">IF($E$43="Per Unit",SUM(F45:F71),SUM(F73:F98))</f>
        <v>99693.977360567544</v>
      </c>
      <c r="G39" s="140">
        <f t="shared" si="4"/>
        <v>299081.93208170263</v>
      </c>
      <c r="H39" s="140">
        <f t="shared" si="4"/>
        <v>299081.93208170263</v>
      </c>
      <c r="I39" s="140">
        <f t="shared" si="4"/>
        <v>299081.93208170263</v>
      </c>
      <c r="J39" s="140">
        <f t="shared" si="4"/>
        <v>299081.93208170263</v>
      </c>
      <c r="K39" s="140">
        <f t="shared" si="4"/>
        <v>299081.93208170263</v>
      </c>
      <c r="L39" s="140">
        <f t="shared" si="4"/>
        <v>299081.93208170263</v>
      </c>
      <c r="M39" s="140">
        <f t="shared" si="4"/>
        <v>299081.93208170263</v>
      </c>
      <c r="N39" s="140">
        <f t="shared" si="4"/>
        <v>299081.93208170263</v>
      </c>
      <c r="O39" s="140">
        <f t="shared" si="4"/>
        <v>299081.93208170263</v>
      </c>
      <c r="P39" s="140">
        <f t="shared" si="4"/>
        <v>299081.93208170263</v>
      </c>
      <c r="Q39" s="140">
        <f t="shared" si="4"/>
        <v>299081.93208170263</v>
      </c>
      <c r="R39" s="140">
        <f t="shared" si="4"/>
        <v>299081.93208170263</v>
      </c>
      <c r="S39" s="140">
        <f t="shared" si="4"/>
        <v>299081.93208170263</v>
      </c>
      <c r="T39" s="141">
        <f t="shared" si="4"/>
        <v>299081.93208170263</v>
      </c>
    </row>
    <row r="40" spans="2:20" x14ac:dyDescent="0.3">
      <c r="B40" s="123" t="s">
        <v>46</v>
      </c>
      <c r="C40" s="112"/>
      <c r="D40" s="134">
        <f>NPV($D$33,F40:T40)</f>
        <v>2259369.8292780574</v>
      </c>
      <c r="E40" s="112"/>
      <c r="F40" s="140">
        <f t="shared" ref="F40:T40" si="5">F39+F37</f>
        <v>-220306.03263943247</v>
      </c>
      <c r="G40" s="140">
        <f t="shared" si="5"/>
        <v>-344251.42791829736</v>
      </c>
      <c r="H40" s="140">
        <f t="shared" si="5"/>
        <v>289081.91208170261</v>
      </c>
      <c r="I40" s="140">
        <f t="shared" si="5"/>
        <v>289081.91208170261</v>
      </c>
      <c r="J40" s="140">
        <f t="shared" si="5"/>
        <v>289081.91208170261</v>
      </c>
      <c r="K40" s="140">
        <f t="shared" si="5"/>
        <v>289081.91208170261</v>
      </c>
      <c r="L40" s="140">
        <f t="shared" si="5"/>
        <v>289081.91208170261</v>
      </c>
      <c r="M40" s="140">
        <f t="shared" si="5"/>
        <v>289081.91208170261</v>
      </c>
      <c r="N40" s="140">
        <f t="shared" si="5"/>
        <v>289081.91208170261</v>
      </c>
      <c r="O40" s="140">
        <f t="shared" si="5"/>
        <v>289081.91208170261</v>
      </c>
      <c r="P40" s="140">
        <f t="shared" si="5"/>
        <v>289081.91208170261</v>
      </c>
      <c r="Q40" s="140">
        <f t="shared" si="5"/>
        <v>289081.91208170261</v>
      </c>
      <c r="R40" s="140">
        <f t="shared" si="5"/>
        <v>289081.91208170261</v>
      </c>
      <c r="S40" s="140">
        <f t="shared" si="5"/>
        <v>289081.91208170261</v>
      </c>
      <c r="T40" s="141">
        <f t="shared" si="5"/>
        <v>289081.91208170261</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99693.977360567544</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1E-3</v>
      </c>
      <c r="D46" s="261">
        <f>IFERROR(C46*'Inputs and assumptions'!D17/$D$27,0)</f>
        <v>12164.981657906765</v>
      </c>
      <c r="E46" s="112"/>
      <c r="F46" s="140">
        <f>$D46*SUM($E$27:F$27)</f>
        <v>12164.981657906765</v>
      </c>
      <c r="G46" s="140">
        <f>$D46*SUM($E$27:G$27)</f>
        <v>36494.944973720296</v>
      </c>
      <c r="H46" s="140">
        <f>$D46*SUM($E$27:H$27)</f>
        <v>36494.944973720296</v>
      </c>
      <c r="I46" s="140">
        <f>$D46*SUM($E$27:I$27)</f>
        <v>36494.944973720296</v>
      </c>
      <c r="J46" s="140">
        <f>$D46*SUM($E$27:J$27)</f>
        <v>36494.944973720296</v>
      </c>
      <c r="K46" s="140">
        <f>$D46*SUM($E$27:K$27)</f>
        <v>36494.944973720296</v>
      </c>
      <c r="L46" s="140">
        <f>$D46*SUM($E$27:L$27)</f>
        <v>36494.944973720296</v>
      </c>
      <c r="M46" s="140">
        <f>$D46*SUM($E$27:M$27)</f>
        <v>36494.944973720296</v>
      </c>
      <c r="N46" s="140">
        <f>$D46*SUM($E$27:N$27)</f>
        <v>36494.944973720296</v>
      </c>
      <c r="O46" s="140">
        <f>$D46*SUM($E$27:O$27)</f>
        <v>36494.944973720296</v>
      </c>
      <c r="P46" s="140">
        <f>$D46*SUM($E$27:P$27)</f>
        <v>36494.944973720296</v>
      </c>
      <c r="Q46" s="140">
        <f>$D46*SUM($E$27:Q$27)</f>
        <v>36494.944973720296</v>
      </c>
      <c r="R46" s="140">
        <f>$D46*SUM($E$27:R$27)</f>
        <v>36494.944973720296</v>
      </c>
      <c r="S46" s="140">
        <f>$D46*SUM($E$27:S$27)</f>
        <v>36494.944973720296</v>
      </c>
      <c r="T46" s="141">
        <f>$D46*SUM($E$27:T$27)</f>
        <v>36494.944973720296</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v>1E-3</v>
      </c>
      <c r="D48" s="261">
        <f>IFERROR(C48*'Inputs and assumptions'!D19/$D$27,0)</f>
        <v>1698.3290359941223</v>
      </c>
      <c r="E48" s="112"/>
      <c r="F48" s="140">
        <f>$D48*SUM($E$27:F$27)</f>
        <v>1698.3290359941223</v>
      </c>
      <c r="G48" s="140">
        <f>$D48*SUM($E$27:G$27)</f>
        <v>5094.987107982367</v>
      </c>
      <c r="H48" s="140">
        <f>$D48*SUM($E$27:H$27)</f>
        <v>5094.987107982367</v>
      </c>
      <c r="I48" s="140">
        <f>$D48*SUM($E$27:I$27)</f>
        <v>5094.987107982367</v>
      </c>
      <c r="J48" s="140">
        <f>$D48*SUM($E$27:J$27)</f>
        <v>5094.987107982367</v>
      </c>
      <c r="K48" s="140">
        <f>$D48*SUM($E$27:K$27)</f>
        <v>5094.987107982367</v>
      </c>
      <c r="L48" s="140">
        <f>$D48*SUM($E$27:L$27)</f>
        <v>5094.987107982367</v>
      </c>
      <c r="M48" s="140">
        <f>$D48*SUM($E$27:M$27)</f>
        <v>5094.987107982367</v>
      </c>
      <c r="N48" s="140">
        <f>$D48*SUM($E$27:N$27)</f>
        <v>5094.987107982367</v>
      </c>
      <c r="O48" s="140">
        <f>$D48*SUM($E$27:O$27)</f>
        <v>5094.987107982367</v>
      </c>
      <c r="P48" s="140">
        <f>$D48*SUM($E$27:P$27)</f>
        <v>5094.987107982367</v>
      </c>
      <c r="Q48" s="140">
        <f>$D48*SUM($E$27:Q$27)</f>
        <v>5094.987107982367</v>
      </c>
      <c r="R48" s="140">
        <f>$D48*SUM($E$27:R$27)</f>
        <v>5094.987107982367</v>
      </c>
      <c r="S48" s="140">
        <f>$D48*SUM($E$27:S$27)</f>
        <v>5094.987107982367</v>
      </c>
      <c r="T48" s="141">
        <f>$D48*SUM($E$27:T$27)</f>
        <v>5094.987107982367</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v>1E-3</v>
      </c>
      <c r="D54" s="261">
        <f>IFERROR(C54*'Inputs and assumptions'!D25/$D$27,0)</f>
        <v>3497.3333333333335</v>
      </c>
      <c r="E54" s="112"/>
      <c r="F54" s="140">
        <f>$D54*SUM($E$27:F$27)</f>
        <v>3497.3333333333335</v>
      </c>
      <c r="G54" s="140">
        <f>$D54*SUM($E$27:G$27)</f>
        <v>10492</v>
      </c>
      <c r="H54" s="140">
        <f>$D54*SUM($E$27:H$27)</f>
        <v>10492</v>
      </c>
      <c r="I54" s="140">
        <f>$D54*SUM($E$27:I$27)</f>
        <v>10492</v>
      </c>
      <c r="J54" s="140">
        <f>$D54*SUM($E$27:J$27)</f>
        <v>10492</v>
      </c>
      <c r="K54" s="140">
        <f>$D54*SUM($E$27:K$27)</f>
        <v>10492</v>
      </c>
      <c r="L54" s="140">
        <f>$D54*SUM($E$27:L$27)</f>
        <v>10492</v>
      </c>
      <c r="M54" s="140">
        <f>$D54*SUM($E$27:M$27)</f>
        <v>10492</v>
      </c>
      <c r="N54" s="140">
        <f>$D54*SUM($E$27:N$27)</f>
        <v>10492</v>
      </c>
      <c r="O54" s="140">
        <f>$D54*SUM($E$27:O$27)</f>
        <v>10492</v>
      </c>
      <c r="P54" s="140">
        <f>$D54*SUM($E$27:P$27)</f>
        <v>10492</v>
      </c>
      <c r="Q54" s="140">
        <f>$D54*SUM($E$27:Q$27)</f>
        <v>10492</v>
      </c>
      <c r="R54" s="140">
        <f>$D54*SUM($E$27:R$27)</f>
        <v>10492</v>
      </c>
      <c r="S54" s="140">
        <f>$D54*SUM($E$27:S$27)</f>
        <v>10492</v>
      </c>
      <c r="T54" s="141">
        <f>$D54*SUM($E$27:T$27)</f>
        <v>10492</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v>1E-3</v>
      </c>
      <c r="D57" s="261">
        <f>IFERROR(C57*'Inputs and assumptions'!D28/$D$27,0)</f>
        <v>2833.3333333333335</v>
      </c>
      <c r="E57" s="112"/>
      <c r="F57" s="140">
        <f>$D57*SUM($E$27:F$27)</f>
        <v>2833.3333333333335</v>
      </c>
      <c r="G57" s="140">
        <f>$D57*SUM($E$27:G$27)</f>
        <v>8500</v>
      </c>
      <c r="H57" s="140">
        <f>$D57*SUM($E$27:H$27)</f>
        <v>8500</v>
      </c>
      <c r="I57" s="140">
        <f>$D57*SUM($E$27:I$27)</f>
        <v>8500</v>
      </c>
      <c r="J57" s="140">
        <f>$D57*SUM($E$27:J$27)</f>
        <v>8500</v>
      </c>
      <c r="K57" s="140">
        <f>$D57*SUM($E$27:K$27)</f>
        <v>8500</v>
      </c>
      <c r="L57" s="140">
        <f>$D57*SUM($E$27:L$27)</f>
        <v>8500</v>
      </c>
      <c r="M57" s="140">
        <f>$D57*SUM($E$27:M$27)</f>
        <v>8500</v>
      </c>
      <c r="N57" s="140">
        <f>$D57*SUM($E$27:N$27)</f>
        <v>8500</v>
      </c>
      <c r="O57" s="140">
        <f>$D57*SUM($E$27:O$27)</f>
        <v>8500</v>
      </c>
      <c r="P57" s="140">
        <f>$D57*SUM($E$27:P$27)</f>
        <v>8500</v>
      </c>
      <c r="Q57" s="140">
        <f>$D57*SUM($E$27:Q$27)</f>
        <v>8500</v>
      </c>
      <c r="R57" s="140">
        <f>$D57*SUM($E$27:R$27)</f>
        <v>8500</v>
      </c>
      <c r="S57" s="140">
        <f>$D57*SUM($E$27:S$27)</f>
        <v>8500</v>
      </c>
      <c r="T57" s="141">
        <f>$D57*SUM($E$27:T$27)</f>
        <v>8500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1E-3</v>
      </c>
      <c r="D61" s="261">
        <f>IFERROR(C61*'Inputs and assumptions'!D32/$D$27,0)</f>
        <v>10000</v>
      </c>
      <c r="E61" s="112"/>
      <c r="F61" s="140">
        <f>$D61*SUM($E$27:F$27)</f>
        <v>10000</v>
      </c>
      <c r="G61" s="140">
        <f>$D61*SUM($E$27:G$27)</f>
        <v>30000</v>
      </c>
      <c r="H61" s="140">
        <f>$D61*SUM($E$27:H$27)</f>
        <v>30000</v>
      </c>
      <c r="I61" s="140">
        <f>$D61*SUM($E$27:I$27)</f>
        <v>30000</v>
      </c>
      <c r="J61" s="140">
        <f>$D61*SUM($E$27:J$27)</f>
        <v>30000</v>
      </c>
      <c r="K61" s="140">
        <f>$D61*SUM($E$27:K$27)</f>
        <v>30000</v>
      </c>
      <c r="L61" s="140">
        <f>$D61*SUM($E$27:L$27)</f>
        <v>30000</v>
      </c>
      <c r="M61" s="140">
        <f>$D61*SUM($E$27:M$27)</f>
        <v>30000</v>
      </c>
      <c r="N61" s="140">
        <f>$D61*SUM($E$27:N$27)</f>
        <v>30000</v>
      </c>
      <c r="O61" s="140">
        <f>$D61*SUM($E$27:O$27)</f>
        <v>30000</v>
      </c>
      <c r="P61" s="140">
        <f>$D61*SUM($E$27:P$27)</f>
        <v>30000</v>
      </c>
      <c r="Q61" s="140">
        <f>$D61*SUM($E$27:Q$27)</f>
        <v>30000</v>
      </c>
      <c r="R61" s="140">
        <f>$D61*SUM($E$27:R$27)</f>
        <v>30000</v>
      </c>
      <c r="S61" s="140">
        <f>$D61*SUM($E$27:S$27)</f>
        <v>30000</v>
      </c>
      <c r="T61" s="141">
        <f>$D61*SUM($E$27:T$27)</f>
        <v>30000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1E-3</v>
      </c>
      <c r="D64" s="261">
        <f>IFERROR(C64*'Inputs and assumptions'!D35/$D$27,0)</f>
        <v>42000</v>
      </c>
      <c r="E64" s="112"/>
      <c r="F64" s="140">
        <f>$D64*SUM($E$27:F$27)</f>
        <v>42000</v>
      </c>
      <c r="G64" s="140">
        <f>$D64*SUM($E$27:G$27)</f>
        <v>126000</v>
      </c>
      <c r="H64" s="140">
        <f>$D64*SUM($E$27:H$27)</f>
        <v>126000</v>
      </c>
      <c r="I64" s="140">
        <f>$D64*SUM($E$27:I$27)</f>
        <v>126000</v>
      </c>
      <c r="J64" s="140">
        <f>$D64*SUM($E$27:J$27)</f>
        <v>126000</v>
      </c>
      <c r="K64" s="140">
        <f>$D64*SUM($E$27:K$27)</f>
        <v>126000</v>
      </c>
      <c r="L64" s="140">
        <f>$D64*SUM($E$27:L$27)</f>
        <v>126000</v>
      </c>
      <c r="M64" s="140">
        <f>$D64*SUM($E$27:M$27)</f>
        <v>126000</v>
      </c>
      <c r="N64" s="140">
        <f>$D64*SUM($E$27:N$27)</f>
        <v>126000</v>
      </c>
      <c r="O64" s="140">
        <f>$D64*SUM($E$27:O$27)</f>
        <v>126000</v>
      </c>
      <c r="P64" s="140">
        <f>$D64*SUM($E$27:P$27)</f>
        <v>126000</v>
      </c>
      <c r="Q64" s="140">
        <f>$D64*SUM($E$27:Q$27)</f>
        <v>126000</v>
      </c>
      <c r="R64" s="140">
        <f>$D64*SUM($E$27:R$27)</f>
        <v>126000</v>
      </c>
      <c r="S64" s="140">
        <f>$D64*SUM($E$27:S$27)</f>
        <v>126000</v>
      </c>
      <c r="T64" s="141">
        <f>$D64*SUM($E$27:T$27)</f>
        <v>126000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75">
        <v>3.9999999999999998E-6</v>
      </c>
      <c r="D68" s="261">
        <f>IFERROR(C68*'Inputs and assumptions'!D39/$D$27,0)</f>
        <v>2000</v>
      </c>
      <c r="E68" s="112"/>
      <c r="F68" s="140">
        <f>$D68*SUM($E$27:F$27)</f>
        <v>2000</v>
      </c>
      <c r="G68" s="140">
        <f>$D68*SUM($E$27:G$27)</f>
        <v>6000</v>
      </c>
      <c r="H68" s="140">
        <f>$D68*SUM($E$27:H$27)</f>
        <v>6000</v>
      </c>
      <c r="I68" s="140">
        <f>$D68*SUM($E$27:I$27)</f>
        <v>6000</v>
      </c>
      <c r="J68" s="140">
        <f>$D68*SUM($E$27:J$27)</f>
        <v>6000</v>
      </c>
      <c r="K68" s="140">
        <f>$D68*SUM($E$27:K$27)</f>
        <v>6000</v>
      </c>
      <c r="L68" s="140">
        <f>$D68*SUM($E$27:L$27)</f>
        <v>6000</v>
      </c>
      <c r="M68" s="140">
        <f>$D68*SUM($E$27:M$27)</f>
        <v>6000</v>
      </c>
      <c r="N68" s="140">
        <f>$D68*SUM($E$27:N$27)</f>
        <v>6000</v>
      </c>
      <c r="O68" s="140">
        <f>$D68*SUM($E$27:O$27)</f>
        <v>6000</v>
      </c>
      <c r="P68" s="140">
        <f>$D68*SUM($E$27:P$27)</f>
        <v>6000</v>
      </c>
      <c r="Q68" s="140">
        <f>$D68*SUM($E$27:Q$27)</f>
        <v>6000</v>
      </c>
      <c r="R68" s="140">
        <f>$D68*SUM($E$27:R$27)</f>
        <v>6000</v>
      </c>
      <c r="S68" s="140">
        <f>$D68*SUM($E$27:S$27)</f>
        <v>6000</v>
      </c>
      <c r="T68" s="141">
        <f>$D68*SUM($E$27:T$27)</f>
        <v>6000</v>
      </c>
    </row>
    <row r="69" spans="2:20" x14ac:dyDescent="0.3">
      <c r="B69" s="184" t="s">
        <v>71</v>
      </c>
      <c r="C69" s="240">
        <v>1E-3</v>
      </c>
      <c r="D69" s="261">
        <f>IFERROR(C69*'Inputs and assumptions'!D40/$D$27,0)</f>
        <v>25500</v>
      </c>
      <c r="E69" s="112"/>
      <c r="F69" s="140">
        <f>$D69*SUM($E$27:F$27)</f>
        <v>25500</v>
      </c>
      <c r="G69" s="140">
        <f>$D69*SUM($E$27:G$27)</f>
        <v>76500</v>
      </c>
      <c r="H69" s="140">
        <f>$D69*SUM($E$27:H$27)</f>
        <v>76500</v>
      </c>
      <c r="I69" s="140">
        <f>$D69*SUM($E$27:I$27)</f>
        <v>76500</v>
      </c>
      <c r="J69" s="140">
        <f>$D69*SUM($E$27:J$27)</f>
        <v>76500</v>
      </c>
      <c r="K69" s="140">
        <f>$D69*SUM($E$27:K$27)</f>
        <v>76500</v>
      </c>
      <c r="L69" s="140">
        <f>$D69*SUM($E$27:L$27)</f>
        <v>76500</v>
      </c>
      <c r="M69" s="140">
        <f>$D69*SUM($E$27:M$27)</f>
        <v>76500</v>
      </c>
      <c r="N69" s="140">
        <f>$D69*SUM($E$27:N$27)</f>
        <v>76500</v>
      </c>
      <c r="O69" s="140">
        <f>$D69*SUM($E$27:O$27)</f>
        <v>76500</v>
      </c>
      <c r="P69" s="140">
        <f>$D69*SUM($E$27:P$27)</f>
        <v>76500</v>
      </c>
      <c r="Q69" s="140">
        <f>$D69*SUM($E$27:Q$27)</f>
        <v>76500</v>
      </c>
      <c r="R69" s="140">
        <f>$D69*SUM($E$27:R$27)</f>
        <v>76500</v>
      </c>
      <c r="S69" s="140">
        <f>$D69*SUM($E$27:S$27)</f>
        <v>76500</v>
      </c>
      <c r="T69" s="141">
        <f>$D69*SUM($E$27:T$27)</f>
        <v>76500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316666.67</v>
      </c>
      <c r="E102" s="112"/>
      <c r="F102" s="140">
        <f t="shared" ref="F102:T102" si="6">$D$102*F27</f>
        <v>316666.67</v>
      </c>
      <c r="G102" s="140">
        <f t="shared" si="6"/>
        <v>633333.34</v>
      </c>
      <c r="H102" s="140">
        <f t="shared" si="6"/>
        <v>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13">
        <v>3333.34</v>
      </c>
      <c r="E103" s="112"/>
      <c r="F103" s="140">
        <f>$D103*SUM($E$27:F$27)</f>
        <v>3333.34</v>
      </c>
      <c r="G103" s="140">
        <f>$D103*SUM($E$27:G$27)</f>
        <v>10000.02</v>
      </c>
      <c r="H103" s="140">
        <f>$D103*SUM($E$27:H$27)</f>
        <v>10000.02</v>
      </c>
      <c r="I103" s="140">
        <f>$D103*SUM($E$27:I$27)</f>
        <v>10000.02</v>
      </c>
      <c r="J103" s="140">
        <f>$D103*SUM($E$27:J$27)</f>
        <v>10000.02</v>
      </c>
      <c r="K103" s="140">
        <f>$D103*SUM($E$27:K$27)</f>
        <v>10000.02</v>
      </c>
      <c r="L103" s="140">
        <f>$D103*SUM($E$27:L$27)</f>
        <v>10000.02</v>
      </c>
      <c r="M103" s="140">
        <f>$D103*SUM($E$27:M$27)</f>
        <v>10000.02</v>
      </c>
      <c r="N103" s="140">
        <f>$D103*SUM($E$27:N$27)</f>
        <v>10000.02</v>
      </c>
      <c r="O103" s="140">
        <f>$D103*SUM($E$27:O$27)</f>
        <v>10000.02</v>
      </c>
      <c r="P103" s="140">
        <f>$D103*SUM($E$27:P$27)</f>
        <v>10000.02</v>
      </c>
      <c r="Q103" s="140">
        <f>$D103*SUM($E$27:Q$27)</f>
        <v>10000.02</v>
      </c>
      <c r="R103" s="140">
        <f>$D103*SUM($E$27:R$27)</f>
        <v>10000.02</v>
      </c>
      <c r="S103" s="140">
        <f>$D103*SUM($E$27:S$27)</f>
        <v>10000.02</v>
      </c>
      <c r="T103" s="141">
        <f>$D103*SUM($E$27:T$27)</f>
        <v>10000.02</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316666.67</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334</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F70 F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C5CDD4A1-891D-4E4B-8F8A-93090B4D6631}">
          <x14:formula1>
            <xm:f>'Inputs and assumptions'!$J$17:$J$18</xm:f>
          </x14:formula1>
          <xm:sqref>E43</xm:sqref>
        </x14:dataValidation>
        <x14:dataValidation type="list" allowBlank="1" showInputMessage="1" showErrorMessage="1" xr:uid="{D5BB87C0-C0A3-4986-800C-7F63AA55867B}">
          <x14:formula1>
            <xm:f>'Inputs and assumptions'!$H$27:$H$29</xm:f>
          </x14:formula1>
          <xm:sqref>E11</xm:sqref>
        </x14:dataValidation>
        <x14:dataValidation type="list" allowBlank="1" showInputMessage="1" showErrorMessage="1" xr:uid="{64498BE2-1034-40F0-A570-DE7F82A0420E}">
          <x14:formula1>
            <xm:f>'Inputs and assumptions'!$H$23:$H$24</xm:f>
          </x14:formula1>
          <xm:sqref>E10</xm:sqref>
        </x14:dataValidation>
        <x14:dataValidation type="list" allowBlank="1" showInputMessage="1" showErrorMessage="1" xr:uid="{39E581AF-EE27-433D-BFA9-DE127A31DAC8}">
          <x14:formula1>
            <xm:f>'Inputs and assumptions'!$G$16:$G$20</xm:f>
          </x14:formula1>
          <xm:sqref>E7</xm:sqref>
        </x14:dataValidation>
        <x14:dataValidation type="list" allowBlank="1" showInputMessage="1" showErrorMessage="1" xr:uid="{BA0ABBC6-4AA9-40F3-9D8D-6BCB1BA74E82}">
          <x14:formula1>
            <xm:f>'Inputs and assumptions'!$H$16:$H$20</xm:f>
          </x14:formula1>
          <xm:sqref>E8</xm:sqref>
        </x14:dataValidation>
        <x14:dataValidation type="list" allowBlank="1" showInputMessage="1" showErrorMessage="1" xr:uid="{3370FE55-C74B-426E-A8CF-F12E59913A7E}">
          <x14:formula1>
            <xm:f>'Inputs and assumptions'!$H$31:$H$34</xm:f>
          </x14:formula1>
          <xm:sqref>E12</xm:sqref>
        </x14:dataValidation>
        <x14:dataValidation type="list" allowBlank="1" showInputMessage="1" showErrorMessage="1" xr:uid="{27F22017-C8A1-4BDA-8BA6-45D3F8B0A671}">
          <x14:formula1>
            <xm:f>'Inputs and assumptions'!$H$36:$H$40</xm:f>
          </x14:formula1>
          <xm:sqref>E13</xm:sqref>
        </x14:dataValidation>
        <x14:dataValidation type="list" allowBlank="1" showInputMessage="1" showErrorMessage="1" xr:uid="{61883142-63B7-4AC5-88A4-6E1A764BCA3D}">
          <x14:formula1>
            <xm:f>'Inputs and assumptions'!$J$21:$J$24</xm:f>
          </x14:formula1>
          <xm:sqref>E14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DAD4-9AFC-42F4-BEE8-3B6EC59AC39F}">
  <sheetPr>
    <tabColor rgb="FF002060"/>
    <pageSetUpPr fitToPage="1"/>
  </sheetPr>
  <dimension ref="A1:W123"/>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335</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194</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3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123</v>
      </c>
      <c r="G7" s="623" t="s">
        <v>336</v>
      </c>
      <c r="H7" s="623"/>
      <c r="I7" s="623"/>
      <c r="J7" s="623"/>
      <c r="K7" s="623"/>
      <c r="L7" s="623"/>
      <c r="M7" s="623"/>
      <c r="N7" s="623"/>
      <c r="O7" s="623"/>
      <c r="P7" s="623"/>
      <c r="Q7" s="623"/>
      <c r="R7" s="623"/>
      <c r="S7" s="623"/>
      <c r="T7" s="623"/>
    </row>
    <row r="8" spans="1:23" s="170" customFormat="1" ht="15.75" customHeight="1" x14ac:dyDescent="0.35">
      <c r="B8" s="328" t="s">
        <v>3</v>
      </c>
      <c r="C8" s="230"/>
      <c r="E8" s="329" t="s">
        <v>124</v>
      </c>
      <c r="G8" s="623"/>
      <c r="H8" s="623"/>
      <c r="I8" s="623"/>
      <c r="J8" s="623"/>
      <c r="K8" s="623"/>
      <c r="L8" s="623"/>
      <c r="M8" s="623"/>
      <c r="N8" s="623"/>
      <c r="O8" s="623"/>
      <c r="P8" s="623"/>
      <c r="Q8" s="623"/>
      <c r="R8" s="623"/>
      <c r="S8" s="623"/>
      <c r="T8" s="623"/>
    </row>
    <row r="9" spans="1:23" s="170" customFormat="1" ht="15.75" customHeight="1" x14ac:dyDescent="0.35">
      <c r="B9" s="328" t="s">
        <v>4</v>
      </c>
      <c r="C9" s="230"/>
      <c r="E9" s="330" t="s">
        <v>258</v>
      </c>
      <c r="G9" s="623"/>
      <c r="H9" s="623"/>
      <c r="I9" s="623"/>
      <c r="J9" s="623"/>
      <c r="K9" s="623"/>
      <c r="L9" s="623"/>
      <c r="M9" s="623"/>
      <c r="N9" s="623"/>
      <c r="O9" s="623"/>
      <c r="P9" s="623"/>
      <c r="Q9" s="623"/>
      <c r="R9" s="623"/>
      <c r="S9" s="623"/>
      <c r="T9" s="623"/>
    </row>
    <row r="10" spans="1:23" s="170" customFormat="1" ht="15.75" customHeight="1" x14ac:dyDescent="0.35">
      <c r="B10" s="328" t="s">
        <v>6</v>
      </c>
      <c r="C10" s="230"/>
      <c r="E10" s="330" t="s">
        <v>134</v>
      </c>
      <c r="G10" s="623"/>
      <c r="H10" s="623"/>
      <c r="I10" s="623"/>
      <c r="J10" s="623"/>
      <c r="K10" s="623"/>
      <c r="L10" s="623"/>
      <c r="M10" s="623"/>
      <c r="N10" s="623"/>
      <c r="O10" s="623"/>
      <c r="P10" s="623"/>
      <c r="Q10" s="623"/>
      <c r="R10" s="623"/>
      <c r="S10" s="623"/>
      <c r="T10" s="623"/>
    </row>
    <row r="11" spans="1:23" s="170" customFormat="1" ht="15.75" customHeight="1" x14ac:dyDescent="0.35">
      <c r="B11" s="328" t="s">
        <v>7</v>
      </c>
      <c r="C11" s="230"/>
      <c r="E11" s="330" t="s">
        <v>143</v>
      </c>
      <c r="G11" s="623"/>
      <c r="H11" s="623"/>
      <c r="I11" s="623"/>
      <c r="J11" s="623"/>
      <c r="K11" s="623"/>
      <c r="L11" s="623"/>
      <c r="M11" s="623"/>
      <c r="N11" s="623"/>
      <c r="O11" s="623"/>
      <c r="P11" s="623"/>
      <c r="Q11" s="623"/>
      <c r="R11" s="623"/>
      <c r="S11" s="623"/>
      <c r="T11" s="623"/>
    </row>
    <row r="12" spans="1:23" x14ac:dyDescent="0.3">
      <c r="B12" s="331" t="s">
        <v>9</v>
      </c>
      <c r="C12" s="231"/>
      <c r="D12" s="114"/>
      <c r="E12" s="330" t="s">
        <v>149</v>
      </c>
      <c r="G12" s="623"/>
      <c r="H12" s="623"/>
      <c r="I12" s="623"/>
      <c r="J12" s="623"/>
      <c r="K12" s="623"/>
      <c r="L12" s="623"/>
      <c r="M12" s="623"/>
      <c r="N12" s="623"/>
      <c r="O12" s="623"/>
      <c r="P12" s="623"/>
      <c r="Q12" s="623"/>
      <c r="R12" s="623"/>
      <c r="S12" s="623"/>
      <c r="T12" s="623"/>
    </row>
    <row r="13" spans="1:23" x14ac:dyDescent="0.3">
      <c r="B13" s="331" t="s">
        <v>10</v>
      </c>
      <c r="C13" s="231"/>
      <c r="D13" s="114"/>
      <c r="E13" s="330" t="s">
        <v>160</v>
      </c>
      <c r="G13" s="623"/>
      <c r="H13" s="623"/>
      <c r="I13" s="623"/>
      <c r="J13" s="623"/>
      <c r="K13" s="623"/>
      <c r="L13" s="623"/>
      <c r="M13" s="623"/>
      <c r="N13" s="623"/>
      <c r="O13" s="623"/>
      <c r="P13" s="623"/>
      <c r="Q13" s="623"/>
      <c r="R13" s="623"/>
      <c r="S13" s="623"/>
      <c r="T13" s="623"/>
    </row>
    <row r="14" spans="1:23" ht="13.5" thickBot="1" x14ac:dyDescent="0.35">
      <c r="B14" s="332" t="s">
        <v>11</v>
      </c>
      <c r="C14" s="333"/>
      <c r="D14" s="334"/>
      <c r="E14" s="335" t="s">
        <v>138</v>
      </c>
      <c r="G14" s="623"/>
      <c r="H14" s="623"/>
      <c r="I14" s="623"/>
      <c r="J14" s="623"/>
      <c r="K14" s="623"/>
      <c r="L14" s="623"/>
      <c r="M14" s="623"/>
      <c r="N14" s="623"/>
      <c r="O14" s="623"/>
      <c r="P14" s="623"/>
      <c r="Q14" s="623"/>
      <c r="R14" s="623"/>
      <c r="S14" s="623"/>
      <c r="T14" s="623"/>
    </row>
    <row r="15" spans="1:23" ht="21" customHeight="1" x14ac:dyDescent="0.3">
      <c r="B15" s="438"/>
      <c r="C15" s="231"/>
      <c r="D15" s="114"/>
      <c r="E15" s="158"/>
      <c r="G15" s="623"/>
      <c r="H15" s="623"/>
      <c r="I15" s="623"/>
      <c r="J15" s="623"/>
      <c r="K15" s="623"/>
      <c r="L15" s="623"/>
      <c r="M15" s="623"/>
      <c r="N15" s="623"/>
      <c r="O15" s="623"/>
      <c r="P15" s="623"/>
      <c r="Q15" s="623"/>
      <c r="R15" s="623"/>
      <c r="S15" s="623"/>
      <c r="T15" s="623"/>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-570284.41404613876</v>
      </c>
      <c r="J18" s="222"/>
      <c r="K18" s="220" t="s">
        <v>220</v>
      </c>
      <c r="L18" s="223">
        <f>SUM(F34:J34)</f>
        <v>425000</v>
      </c>
      <c r="N18" s="584" t="s">
        <v>221</v>
      </c>
      <c r="O18" s="584"/>
      <c r="P18" s="584"/>
      <c r="Q18" s="584"/>
      <c r="R18" s="314"/>
      <c r="S18" s="161"/>
      <c r="T18" s="315" t="s">
        <v>222</v>
      </c>
    </row>
    <row r="19" spans="2:20" ht="13.5" customHeight="1" x14ac:dyDescent="0.3">
      <c r="B19" s="160" t="s">
        <v>19</v>
      </c>
      <c r="C19" s="182">
        <v>3</v>
      </c>
      <c r="D19" s="161">
        <v>0.18</v>
      </c>
      <c r="E19" s="162">
        <f>D19*C19</f>
        <v>0.54</v>
      </c>
      <c r="G19" s="224"/>
      <c r="H19" s="125" t="s">
        <v>20</v>
      </c>
      <c r="I19" s="126">
        <f>D40</f>
        <v>1180002.8657083099</v>
      </c>
      <c r="J19" s="127"/>
      <c r="K19" s="125" t="s">
        <v>223</v>
      </c>
      <c r="L19" s="225">
        <f>SUM(F36:J36)</f>
        <v>67500</v>
      </c>
      <c r="N19" s="585" t="s">
        <v>224</v>
      </c>
      <c r="O19" s="585"/>
      <c r="P19" s="585"/>
      <c r="Q19" s="585"/>
      <c r="R19" s="314"/>
      <c r="S19" s="161"/>
      <c r="T19" s="315" t="s">
        <v>222</v>
      </c>
    </row>
    <row r="20" spans="2:20" ht="13.5" customHeight="1" x14ac:dyDescent="0.3">
      <c r="B20" s="160" t="s">
        <v>21</v>
      </c>
      <c r="C20" s="182">
        <v>4</v>
      </c>
      <c r="D20" s="161">
        <v>0.18</v>
      </c>
      <c r="E20" s="162">
        <f>D20*C20</f>
        <v>0.72</v>
      </c>
      <c r="G20" s="224"/>
      <c r="H20" s="125" t="s">
        <v>22</v>
      </c>
      <c r="I20" s="217">
        <f>IFERROR(ABS((I19-I18)/I18),"N/A")</f>
        <v>3.0691480192072058</v>
      </c>
      <c r="J20" s="127"/>
      <c r="K20" s="125" t="s">
        <v>225</v>
      </c>
      <c r="L20" s="225">
        <f>NPV($D$33,F39:T39)</f>
        <v>1750287.2797544484</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2.2663261837086837</v>
      </c>
      <c r="J21" s="226"/>
      <c r="K21" s="436" t="s">
        <v>228</v>
      </c>
      <c r="L21" s="439">
        <f>NPV($D$33,F39:J39)</f>
        <v>637898.48610464495</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2.8800000000000003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4</v>
      </c>
      <c r="E27" s="112"/>
      <c r="F27" s="227">
        <v>2</v>
      </c>
      <c r="G27" s="227">
        <v>2</v>
      </c>
      <c r="H27" s="227"/>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212500</v>
      </c>
      <c r="G34" s="140">
        <f t="shared" si="0"/>
        <v>212500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318750</v>
      </c>
      <c r="G35" s="140">
        <f>G34*(1+'Inputs and assumptions'!$C$7)</f>
        <v>318750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7500</v>
      </c>
      <c r="G36" s="142">
        <f t="shared" si="1"/>
        <v>15000</v>
      </c>
      <c r="H36" s="142">
        <f t="shared" si="1"/>
        <v>15000</v>
      </c>
      <c r="I36" s="142">
        <f t="shared" si="1"/>
        <v>15000</v>
      </c>
      <c r="J36" s="142">
        <f t="shared" si="1"/>
        <v>15000</v>
      </c>
      <c r="K36" s="142">
        <f t="shared" si="1"/>
        <v>15000</v>
      </c>
      <c r="L36" s="142">
        <f t="shared" si="1"/>
        <v>15000</v>
      </c>
      <c r="M36" s="142">
        <f t="shared" si="1"/>
        <v>15000</v>
      </c>
      <c r="N36" s="142">
        <f t="shared" si="1"/>
        <v>15000</v>
      </c>
      <c r="O36" s="142">
        <f t="shared" si="1"/>
        <v>15000</v>
      </c>
      <c r="P36" s="142">
        <f t="shared" si="1"/>
        <v>15000</v>
      </c>
      <c r="Q36" s="142">
        <f t="shared" si="1"/>
        <v>15000</v>
      </c>
      <c r="R36" s="142">
        <f t="shared" si="1"/>
        <v>15000</v>
      </c>
      <c r="S36" s="142">
        <f t="shared" si="1"/>
        <v>15000</v>
      </c>
      <c r="T36" s="143">
        <f t="shared" si="1"/>
        <v>15000</v>
      </c>
    </row>
    <row r="37" spans="2:20" x14ac:dyDescent="0.3">
      <c r="B37" s="122" t="s">
        <v>44</v>
      </c>
      <c r="C37" s="133"/>
      <c r="D37" s="247">
        <f>NPV($D$33,F37:T37)</f>
        <v>-570284.41404613876</v>
      </c>
      <c r="E37" s="248"/>
      <c r="F37" s="144">
        <f t="shared" ref="F37:T37" si="2">-F34-F36</f>
        <v>-220000</v>
      </c>
      <c r="G37" s="144">
        <f t="shared" si="2"/>
        <v>-227500</v>
      </c>
      <c r="H37" s="144">
        <f t="shared" si="2"/>
        <v>-15000</v>
      </c>
      <c r="I37" s="144">
        <f t="shared" si="2"/>
        <v>-15000</v>
      </c>
      <c r="J37" s="144">
        <f t="shared" si="2"/>
        <v>-15000</v>
      </c>
      <c r="K37" s="144">
        <f t="shared" si="2"/>
        <v>-15000</v>
      </c>
      <c r="L37" s="144">
        <f t="shared" si="2"/>
        <v>-15000</v>
      </c>
      <c r="M37" s="144">
        <f t="shared" si="2"/>
        <v>-15000</v>
      </c>
      <c r="N37" s="144">
        <f t="shared" si="2"/>
        <v>-15000</v>
      </c>
      <c r="O37" s="144">
        <f t="shared" si="2"/>
        <v>-15000</v>
      </c>
      <c r="P37" s="144">
        <f t="shared" si="2"/>
        <v>-15000</v>
      </c>
      <c r="Q37" s="144">
        <f t="shared" si="2"/>
        <v>-15000</v>
      </c>
      <c r="R37" s="144">
        <f t="shared" si="2"/>
        <v>-15000</v>
      </c>
      <c r="S37" s="144">
        <f t="shared" si="2"/>
        <v>-15000</v>
      </c>
      <c r="T37" s="145">
        <f t="shared" si="2"/>
        <v>-15000</v>
      </c>
    </row>
    <row r="38" spans="2:20" ht="13.5" thickBot="1" x14ac:dyDescent="0.35">
      <c r="B38" s="124" t="s">
        <v>235</v>
      </c>
      <c r="C38" s="135"/>
      <c r="D38" s="132"/>
      <c r="E38" s="121"/>
      <c r="F38" s="142">
        <f>F35+F36</f>
        <v>326250</v>
      </c>
      <c r="G38" s="142">
        <f t="shared" ref="G38:T38" si="3">G35+G36</f>
        <v>333750</v>
      </c>
      <c r="H38" s="142">
        <f t="shared" si="3"/>
        <v>15000</v>
      </c>
      <c r="I38" s="142">
        <f t="shared" si="3"/>
        <v>15000</v>
      </c>
      <c r="J38" s="142">
        <f t="shared" si="3"/>
        <v>15000</v>
      </c>
      <c r="K38" s="142">
        <f t="shared" si="3"/>
        <v>15000</v>
      </c>
      <c r="L38" s="142">
        <f t="shared" si="3"/>
        <v>15000</v>
      </c>
      <c r="M38" s="142">
        <f t="shared" si="3"/>
        <v>15000</v>
      </c>
      <c r="N38" s="142">
        <f t="shared" si="3"/>
        <v>15000</v>
      </c>
      <c r="O38" s="142">
        <f t="shared" si="3"/>
        <v>15000</v>
      </c>
      <c r="P38" s="142">
        <f t="shared" si="3"/>
        <v>15000</v>
      </c>
      <c r="Q38" s="142">
        <f t="shared" si="3"/>
        <v>15000</v>
      </c>
      <c r="R38" s="142">
        <f t="shared" si="3"/>
        <v>15000</v>
      </c>
      <c r="S38" s="142">
        <f t="shared" si="3"/>
        <v>15000</v>
      </c>
      <c r="T38" s="143">
        <f t="shared" si="3"/>
        <v>15000</v>
      </c>
    </row>
    <row r="39" spans="2:20" x14ac:dyDescent="0.3">
      <c r="B39" s="123" t="s">
        <v>45</v>
      </c>
      <c r="C39" s="112"/>
      <c r="D39" s="134"/>
      <c r="E39" s="112"/>
      <c r="F39" s="140">
        <f t="shared" ref="F39:T39" si="4">IF($E$43="Per Unit",SUM(F45:F71),SUM(F73:F98))</f>
        <v>78960.284067365632</v>
      </c>
      <c r="G39" s="140">
        <f t="shared" si="4"/>
        <v>157920.56813473126</v>
      </c>
      <c r="H39" s="140">
        <f t="shared" si="4"/>
        <v>157920.56813473126</v>
      </c>
      <c r="I39" s="140">
        <f t="shared" si="4"/>
        <v>157920.56813473126</v>
      </c>
      <c r="J39" s="140">
        <f t="shared" si="4"/>
        <v>157920.56813473126</v>
      </c>
      <c r="K39" s="140">
        <f t="shared" si="4"/>
        <v>157920.56813473126</v>
      </c>
      <c r="L39" s="140">
        <f t="shared" si="4"/>
        <v>157920.56813473126</v>
      </c>
      <c r="M39" s="140">
        <f t="shared" si="4"/>
        <v>157920.56813473126</v>
      </c>
      <c r="N39" s="140">
        <f t="shared" si="4"/>
        <v>157920.56813473126</v>
      </c>
      <c r="O39" s="140">
        <f t="shared" si="4"/>
        <v>157920.56813473126</v>
      </c>
      <c r="P39" s="140">
        <f t="shared" si="4"/>
        <v>157920.56813473126</v>
      </c>
      <c r="Q39" s="140">
        <f t="shared" si="4"/>
        <v>157920.56813473126</v>
      </c>
      <c r="R39" s="140">
        <f t="shared" si="4"/>
        <v>157920.56813473126</v>
      </c>
      <c r="S39" s="140">
        <f t="shared" si="4"/>
        <v>157920.56813473126</v>
      </c>
      <c r="T39" s="141">
        <f t="shared" si="4"/>
        <v>157920.56813473126</v>
      </c>
    </row>
    <row r="40" spans="2:20" x14ac:dyDescent="0.3">
      <c r="B40" s="123" t="s">
        <v>46</v>
      </c>
      <c r="C40" s="112"/>
      <c r="D40" s="134">
        <f>NPV($D$33,F40:T40)</f>
        <v>1180002.8657083099</v>
      </c>
      <c r="E40" s="112"/>
      <c r="F40" s="140">
        <f t="shared" ref="F40:T40" si="5">F39+F37</f>
        <v>-141039.71593263437</v>
      </c>
      <c r="G40" s="140">
        <f t="shared" si="5"/>
        <v>-69579.431865268736</v>
      </c>
      <c r="H40" s="140">
        <f t="shared" si="5"/>
        <v>142920.56813473126</v>
      </c>
      <c r="I40" s="140">
        <f t="shared" si="5"/>
        <v>142920.56813473126</v>
      </c>
      <c r="J40" s="140">
        <f t="shared" si="5"/>
        <v>142920.56813473126</v>
      </c>
      <c r="K40" s="140">
        <f t="shared" si="5"/>
        <v>142920.56813473126</v>
      </c>
      <c r="L40" s="140">
        <f t="shared" si="5"/>
        <v>142920.56813473126</v>
      </c>
      <c r="M40" s="140">
        <f t="shared" si="5"/>
        <v>142920.56813473126</v>
      </c>
      <c r="N40" s="140">
        <f t="shared" si="5"/>
        <v>142920.56813473126</v>
      </c>
      <c r="O40" s="140">
        <f t="shared" si="5"/>
        <v>142920.56813473126</v>
      </c>
      <c r="P40" s="140">
        <f t="shared" si="5"/>
        <v>142920.56813473126</v>
      </c>
      <c r="Q40" s="140">
        <f t="shared" si="5"/>
        <v>142920.56813473126</v>
      </c>
      <c r="R40" s="140">
        <f t="shared" si="5"/>
        <v>142920.56813473126</v>
      </c>
      <c r="S40" s="140">
        <f t="shared" si="5"/>
        <v>142920.56813473126</v>
      </c>
      <c r="T40" s="141">
        <f t="shared" si="5"/>
        <v>142920.56813473126</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39480.142033682816</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1E-4</v>
      </c>
      <c r="D46" s="261">
        <f>IFERROR(C46*'Inputs and assumptions'!D17/$D$27,0)</f>
        <v>912.37362434300746</v>
      </c>
      <c r="E46" s="112"/>
      <c r="F46" s="140">
        <f>$D46*SUM($E$27:F$27)</f>
        <v>1824.7472486860149</v>
      </c>
      <c r="G46" s="140">
        <f>$D46*SUM($E$27:G$27)</f>
        <v>3649.4944973720299</v>
      </c>
      <c r="H46" s="140">
        <f>$D46*SUM($E$27:H$27)</f>
        <v>3649.4944973720299</v>
      </c>
      <c r="I46" s="140">
        <f>$D46*SUM($E$27:I$27)</f>
        <v>3649.4944973720299</v>
      </c>
      <c r="J46" s="140">
        <f>$D46*SUM($E$27:J$27)</f>
        <v>3649.4944973720299</v>
      </c>
      <c r="K46" s="140">
        <f>$D46*SUM($E$27:K$27)</f>
        <v>3649.4944973720299</v>
      </c>
      <c r="L46" s="140">
        <f>$D46*SUM($E$27:L$27)</f>
        <v>3649.4944973720299</v>
      </c>
      <c r="M46" s="140">
        <f>$D46*SUM($E$27:M$27)</f>
        <v>3649.4944973720299</v>
      </c>
      <c r="N46" s="140">
        <f>$D46*SUM($E$27:N$27)</f>
        <v>3649.4944973720299</v>
      </c>
      <c r="O46" s="140">
        <f>$D46*SUM($E$27:O$27)</f>
        <v>3649.4944973720299</v>
      </c>
      <c r="P46" s="140">
        <f>$D46*SUM($E$27:P$27)</f>
        <v>3649.4944973720299</v>
      </c>
      <c r="Q46" s="140">
        <f>$D46*SUM($E$27:Q$27)</f>
        <v>3649.4944973720299</v>
      </c>
      <c r="R46" s="140">
        <f>$D46*SUM($E$27:R$27)</f>
        <v>3649.4944973720299</v>
      </c>
      <c r="S46" s="140">
        <f>$D46*SUM($E$27:S$27)</f>
        <v>3649.4944973720299</v>
      </c>
      <c r="T46" s="141">
        <f>$D46*SUM($E$27:T$27)</f>
        <v>3649.4944973720299</v>
      </c>
    </row>
    <row r="47" spans="2:20" x14ac:dyDescent="0.3">
      <c r="B47" s="184" t="s">
        <v>52</v>
      </c>
      <c r="C47" s="240">
        <v>1E-4</v>
      </c>
      <c r="D47" s="261">
        <f>IFERROR(C47*'Inputs and assumptions'!D18/$D$27,0)</f>
        <v>656.16489870182636</v>
      </c>
      <c r="E47" s="112"/>
      <c r="F47" s="140">
        <f>$D47*SUM($E$27:F$27)</f>
        <v>1312.3297974036527</v>
      </c>
      <c r="G47" s="140">
        <f>$D47*SUM($E$27:G$27)</f>
        <v>2624.6595948073054</v>
      </c>
      <c r="H47" s="140">
        <f>$D47*SUM($E$27:H$27)</f>
        <v>2624.6595948073054</v>
      </c>
      <c r="I47" s="140">
        <f>$D47*SUM($E$27:I$27)</f>
        <v>2624.6595948073054</v>
      </c>
      <c r="J47" s="140">
        <f>$D47*SUM($E$27:J$27)</f>
        <v>2624.6595948073054</v>
      </c>
      <c r="K47" s="140">
        <f>$D47*SUM($E$27:K$27)</f>
        <v>2624.6595948073054</v>
      </c>
      <c r="L47" s="140">
        <f>$D47*SUM($E$27:L$27)</f>
        <v>2624.6595948073054</v>
      </c>
      <c r="M47" s="140">
        <f>$D47*SUM($E$27:M$27)</f>
        <v>2624.6595948073054</v>
      </c>
      <c r="N47" s="140">
        <f>$D47*SUM($E$27:N$27)</f>
        <v>2624.6595948073054</v>
      </c>
      <c r="O47" s="140">
        <f>$D47*SUM($E$27:O$27)</f>
        <v>2624.6595948073054</v>
      </c>
      <c r="P47" s="140">
        <f>$D47*SUM($E$27:P$27)</f>
        <v>2624.6595948073054</v>
      </c>
      <c r="Q47" s="140">
        <f>$D47*SUM($E$27:Q$27)</f>
        <v>2624.6595948073054</v>
      </c>
      <c r="R47" s="140">
        <f>$D47*SUM($E$27:R$27)</f>
        <v>2624.6595948073054</v>
      </c>
      <c r="S47" s="140">
        <f>$D47*SUM($E$27:S$27)</f>
        <v>2624.6595948073054</v>
      </c>
      <c r="T47" s="141">
        <f>$D47*SUM($E$27:T$27)</f>
        <v>2624.6595948073054</v>
      </c>
    </row>
    <row r="48" spans="2:20" x14ac:dyDescent="0.3">
      <c r="B48" s="184" t="s">
        <v>53</v>
      </c>
      <c r="C48" s="240">
        <v>1E-4</v>
      </c>
      <c r="D48" s="261">
        <f>IFERROR(C48*'Inputs and assumptions'!D19/$D$27,0)</f>
        <v>127.37467769955919</v>
      </c>
      <c r="E48" s="112"/>
      <c r="F48" s="140">
        <f>$D48*SUM($E$27:F$27)</f>
        <v>254.74935539911837</v>
      </c>
      <c r="G48" s="140">
        <f>$D48*SUM($E$27:G$27)</f>
        <v>509.49871079823674</v>
      </c>
      <c r="H48" s="140">
        <f>$D48*SUM($E$27:H$27)</f>
        <v>509.49871079823674</v>
      </c>
      <c r="I48" s="140">
        <f>$D48*SUM($E$27:I$27)</f>
        <v>509.49871079823674</v>
      </c>
      <c r="J48" s="140">
        <f>$D48*SUM($E$27:J$27)</f>
        <v>509.49871079823674</v>
      </c>
      <c r="K48" s="140">
        <f>$D48*SUM($E$27:K$27)</f>
        <v>509.49871079823674</v>
      </c>
      <c r="L48" s="140">
        <f>$D48*SUM($E$27:L$27)</f>
        <v>509.49871079823674</v>
      </c>
      <c r="M48" s="140">
        <f>$D48*SUM($E$27:M$27)</f>
        <v>509.49871079823674</v>
      </c>
      <c r="N48" s="140">
        <f>$D48*SUM($E$27:N$27)</f>
        <v>509.49871079823674</v>
      </c>
      <c r="O48" s="140">
        <f>$D48*SUM($E$27:O$27)</f>
        <v>509.49871079823674</v>
      </c>
      <c r="P48" s="140">
        <f>$D48*SUM($E$27:P$27)</f>
        <v>509.49871079823674</v>
      </c>
      <c r="Q48" s="140">
        <f>$D48*SUM($E$27:Q$27)</f>
        <v>509.49871079823674</v>
      </c>
      <c r="R48" s="140">
        <f>$D48*SUM($E$27:R$27)</f>
        <v>509.49871079823674</v>
      </c>
      <c r="S48" s="140">
        <f>$D48*SUM($E$27:S$27)</f>
        <v>509.49871079823674</v>
      </c>
      <c r="T48" s="141">
        <f>$D48*SUM($E$27:T$27)</f>
        <v>509.49871079823674</v>
      </c>
    </row>
    <row r="49" spans="2:20" x14ac:dyDescent="0.3">
      <c r="B49" s="184" t="s">
        <v>54</v>
      </c>
      <c r="C49" s="240">
        <v>1E-4</v>
      </c>
      <c r="D49" s="261">
        <f>IFERROR(C49*'Inputs and assumptions'!D20/$D$27,0)</f>
        <v>786.22883293841903</v>
      </c>
      <c r="E49" s="112"/>
      <c r="F49" s="140">
        <f>$D49*SUM($E$27:F$27)</f>
        <v>1572.4576658768381</v>
      </c>
      <c r="G49" s="140">
        <f>$D49*SUM($E$27:G$27)</f>
        <v>3144.9153317536761</v>
      </c>
      <c r="H49" s="140">
        <f>$D49*SUM($E$27:H$27)</f>
        <v>3144.9153317536761</v>
      </c>
      <c r="I49" s="140">
        <f>$D49*SUM($E$27:I$27)</f>
        <v>3144.9153317536761</v>
      </c>
      <c r="J49" s="140">
        <f>$D49*SUM($E$27:J$27)</f>
        <v>3144.9153317536761</v>
      </c>
      <c r="K49" s="140">
        <f>$D49*SUM($E$27:K$27)</f>
        <v>3144.9153317536761</v>
      </c>
      <c r="L49" s="140">
        <f>$D49*SUM($E$27:L$27)</f>
        <v>3144.9153317536761</v>
      </c>
      <c r="M49" s="140">
        <f>$D49*SUM($E$27:M$27)</f>
        <v>3144.9153317536761</v>
      </c>
      <c r="N49" s="140">
        <f>$D49*SUM($E$27:N$27)</f>
        <v>3144.9153317536761</v>
      </c>
      <c r="O49" s="140">
        <f>$D49*SUM($E$27:O$27)</f>
        <v>3144.9153317536761</v>
      </c>
      <c r="P49" s="140">
        <f>$D49*SUM($E$27:P$27)</f>
        <v>3144.9153317536761</v>
      </c>
      <c r="Q49" s="140">
        <f>$D49*SUM($E$27:Q$27)</f>
        <v>3144.9153317536761</v>
      </c>
      <c r="R49" s="140">
        <f>$D49*SUM($E$27:R$27)</f>
        <v>3144.9153317536761</v>
      </c>
      <c r="S49" s="140">
        <f>$D49*SUM($E$27:S$27)</f>
        <v>3144.9153317536761</v>
      </c>
      <c r="T49" s="141">
        <f>$D49*SUM($E$27:T$27)</f>
        <v>3144.9153317536761</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v>1E-3</v>
      </c>
      <c r="D54" s="261">
        <f>IFERROR(C54*'Inputs and assumptions'!D25/$D$27,0)</f>
        <v>2623</v>
      </c>
      <c r="E54" s="112"/>
      <c r="F54" s="140">
        <f>$D54*SUM($E$27:F$27)</f>
        <v>5246</v>
      </c>
      <c r="G54" s="140">
        <f>$D54*SUM($E$27:G$27)</f>
        <v>10492</v>
      </c>
      <c r="H54" s="140">
        <f>$D54*SUM($E$27:H$27)</f>
        <v>10492</v>
      </c>
      <c r="I54" s="140">
        <f>$D54*SUM($E$27:I$27)</f>
        <v>10492</v>
      </c>
      <c r="J54" s="140">
        <f>$D54*SUM($E$27:J$27)</f>
        <v>10492</v>
      </c>
      <c r="K54" s="140">
        <f>$D54*SUM($E$27:K$27)</f>
        <v>10492</v>
      </c>
      <c r="L54" s="140">
        <f>$D54*SUM($E$27:L$27)</f>
        <v>10492</v>
      </c>
      <c r="M54" s="140">
        <f>$D54*SUM($E$27:M$27)</f>
        <v>10492</v>
      </c>
      <c r="N54" s="140">
        <f>$D54*SUM($E$27:N$27)</f>
        <v>10492</v>
      </c>
      <c r="O54" s="140">
        <f>$D54*SUM($E$27:O$27)</f>
        <v>10492</v>
      </c>
      <c r="P54" s="140">
        <f>$D54*SUM($E$27:P$27)</f>
        <v>10492</v>
      </c>
      <c r="Q54" s="140">
        <f>$D54*SUM($E$27:Q$27)</f>
        <v>10492</v>
      </c>
      <c r="R54" s="140">
        <f>$D54*SUM($E$27:R$27)</f>
        <v>10492</v>
      </c>
      <c r="S54" s="140">
        <f>$D54*SUM($E$27:S$27)</f>
        <v>10492</v>
      </c>
      <c r="T54" s="141">
        <f>$D54*SUM($E$27:T$27)</f>
        <v>10492</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v>1E-3</v>
      </c>
      <c r="D57" s="261">
        <f>IFERROR(C57*'Inputs and assumptions'!D28/$D$27,0)</f>
        <v>2125</v>
      </c>
      <c r="E57" s="112"/>
      <c r="F57" s="140">
        <f>$D57*SUM($E$27:F$27)</f>
        <v>4250</v>
      </c>
      <c r="G57" s="140">
        <f>$D57*SUM($E$27:G$27)</f>
        <v>8500</v>
      </c>
      <c r="H57" s="140">
        <f>$D57*SUM($E$27:H$27)</f>
        <v>8500</v>
      </c>
      <c r="I57" s="140">
        <f>$D57*SUM($E$27:I$27)</f>
        <v>8500</v>
      </c>
      <c r="J57" s="140">
        <f>$D57*SUM($E$27:J$27)</f>
        <v>8500</v>
      </c>
      <c r="K57" s="140">
        <f>$D57*SUM($E$27:K$27)</f>
        <v>8500</v>
      </c>
      <c r="L57" s="140">
        <f>$D57*SUM($E$27:L$27)</f>
        <v>8500</v>
      </c>
      <c r="M57" s="140">
        <f>$D57*SUM($E$27:M$27)</f>
        <v>8500</v>
      </c>
      <c r="N57" s="140">
        <f>$D57*SUM($E$27:N$27)</f>
        <v>8500</v>
      </c>
      <c r="O57" s="140">
        <f>$D57*SUM($E$27:O$27)</f>
        <v>8500</v>
      </c>
      <c r="P57" s="140">
        <f>$D57*SUM($E$27:P$27)</f>
        <v>8500</v>
      </c>
      <c r="Q57" s="140">
        <f>$D57*SUM($E$27:Q$27)</f>
        <v>8500</v>
      </c>
      <c r="R57" s="140">
        <f>$D57*SUM($E$27:R$27)</f>
        <v>8500</v>
      </c>
      <c r="S57" s="140">
        <f>$D57*SUM($E$27:S$27)</f>
        <v>8500</v>
      </c>
      <c r="T57" s="141">
        <f>$D57*SUM($E$27:T$27)</f>
        <v>8500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1E-4</v>
      </c>
      <c r="D61" s="261">
        <f>IFERROR(C61*'Inputs and assumptions'!D32/$D$27,0)</f>
        <v>750</v>
      </c>
      <c r="E61" s="112"/>
      <c r="F61" s="140">
        <f>$D61*SUM($E$27:F$27)</f>
        <v>1500</v>
      </c>
      <c r="G61" s="140">
        <f>$D61*SUM($E$27:G$27)</f>
        <v>3000</v>
      </c>
      <c r="H61" s="140">
        <f>$D61*SUM($E$27:H$27)</f>
        <v>3000</v>
      </c>
      <c r="I61" s="140">
        <f>$D61*SUM($E$27:I$27)</f>
        <v>3000</v>
      </c>
      <c r="J61" s="140">
        <f>$D61*SUM($E$27:J$27)</f>
        <v>3000</v>
      </c>
      <c r="K61" s="140">
        <f>$D61*SUM($E$27:K$27)</f>
        <v>3000</v>
      </c>
      <c r="L61" s="140">
        <f>$D61*SUM($E$27:L$27)</f>
        <v>3000</v>
      </c>
      <c r="M61" s="140">
        <f>$D61*SUM($E$27:M$27)</f>
        <v>3000</v>
      </c>
      <c r="N61" s="140">
        <f>$D61*SUM($E$27:N$27)</f>
        <v>3000</v>
      </c>
      <c r="O61" s="140">
        <f>$D61*SUM($E$27:O$27)</f>
        <v>3000</v>
      </c>
      <c r="P61" s="140">
        <f>$D61*SUM($E$27:P$27)</f>
        <v>3000</v>
      </c>
      <c r="Q61" s="140">
        <f>$D61*SUM($E$27:Q$27)</f>
        <v>3000</v>
      </c>
      <c r="R61" s="140">
        <f>$D61*SUM($E$27:R$27)</f>
        <v>3000</v>
      </c>
      <c r="S61" s="140">
        <f>$D61*SUM($E$27:S$27)</f>
        <v>3000</v>
      </c>
      <c r="T61" s="141">
        <f>$D61*SUM($E$27:T$27)</f>
        <v>3000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1E-3</v>
      </c>
      <c r="D64" s="267">
        <f>IFERROR(C64*'Inputs and assumptions'!D35/$D$27,0)</f>
        <v>31500</v>
      </c>
      <c r="E64" s="112"/>
      <c r="F64" s="140">
        <f>$D64*SUM($E$27:F$27)</f>
        <v>63000</v>
      </c>
      <c r="G64" s="140">
        <f>$D64*SUM($E$27:G$27)</f>
        <v>126000</v>
      </c>
      <c r="H64" s="140">
        <f>$D64*SUM($E$27:H$27)</f>
        <v>126000</v>
      </c>
      <c r="I64" s="140">
        <f>$D64*SUM($E$27:I$27)</f>
        <v>126000</v>
      </c>
      <c r="J64" s="140">
        <f>$D64*SUM($E$27:J$27)</f>
        <v>126000</v>
      </c>
      <c r="K64" s="140">
        <f>$D64*SUM($E$27:K$27)</f>
        <v>126000</v>
      </c>
      <c r="L64" s="140">
        <f>$D64*SUM($E$27:L$27)</f>
        <v>126000</v>
      </c>
      <c r="M64" s="140">
        <f>$D64*SUM($E$27:M$27)</f>
        <v>126000</v>
      </c>
      <c r="N64" s="140">
        <f>$D64*SUM($E$27:N$27)</f>
        <v>126000</v>
      </c>
      <c r="O64" s="140">
        <f>$D64*SUM($E$27:O$27)</f>
        <v>126000</v>
      </c>
      <c r="P64" s="140">
        <f>$D64*SUM($E$27:P$27)</f>
        <v>126000</v>
      </c>
      <c r="Q64" s="140">
        <f>$D64*SUM($E$27:Q$27)</f>
        <v>126000</v>
      </c>
      <c r="R64" s="140">
        <f>$D64*SUM($E$27:R$27)</f>
        <v>126000</v>
      </c>
      <c r="S64" s="140">
        <f>$D64*SUM($E$27:S$27)</f>
        <v>126000</v>
      </c>
      <c r="T64" s="141">
        <f>$D64*SUM($E$27:T$27)</f>
        <v>126000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106250</v>
      </c>
      <c r="E102" s="112"/>
      <c r="F102" s="140">
        <f t="shared" ref="F102:T102" si="6">$D$102*F27</f>
        <v>212500</v>
      </c>
      <c r="G102" s="140">
        <f t="shared" si="6"/>
        <v>212500</v>
      </c>
      <c r="H102" s="140">
        <f t="shared" si="6"/>
        <v>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13">
        <v>3750</v>
      </c>
      <c r="E103" s="112"/>
      <c r="F103" s="140">
        <f>$D103*SUM($E$27:F$27)</f>
        <v>7500</v>
      </c>
      <c r="G103" s="140">
        <f>$D103*SUM($E$27:G$27)</f>
        <v>15000</v>
      </c>
      <c r="H103" s="140">
        <f>$D103*SUM($E$27:H$27)</f>
        <v>15000</v>
      </c>
      <c r="I103" s="140">
        <f>$D103*SUM($E$27:I$27)</f>
        <v>15000</v>
      </c>
      <c r="J103" s="140">
        <f>$D103*SUM($E$27:J$27)</f>
        <v>15000</v>
      </c>
      <c r="K103" s="140">
        <f>$D103*SUM($E$27:K$27)</f>
        <v>15000</v>
      </c>
      <c r="L103" s="140">
        <f>$D103*SUM($E$27:L$27)</f>
        <v>15000</v>
      </c>
      <c r="M103" s="140">
        <f>$D103*SUM($E$27:M$27)</f>
        <v>15000</v>
      </c>
      <c r="N103" s="140">
        <f>$D103*SUM($E$27:N$27)</f>
        <v>15000</v>
      </c>
      <c r="O103" s="140">
        <f>$D103*SUM($E$27:O$27)</f>
        <v>15000</v>
      </c>
      <c r="P103" s="140">
        <f>$D103*SUM($E$27:P$27)</f>
        <v>15000</v>
      </c>
      <c r="Q103" s="140">
        <f>$D103*SUM($E$27:Q$27)</f>
        <v>15000</v>
      </c>
      <c r="R103" s="140">
        <f>$D103*SUM($E$27:R$27)</f>
        <v>15000</v>
      </c>
      <c r="S103" s="140">
        <f>$D103*SUM($E$27:S$27)</f>
        <v>15000</v>
      </c>
      <c r="T103" s="141">
        <f>$D103*SUM($E$27:T$27)</f>
        <v>15000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106250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337</v>
      </c>
      <c r="C113" s="573"/>
      <c r="D113" s="573"/>
      <c r="E113" s="574"/>
      <c r="F113" s="304"/>
      <c r="G113" s="304"/>
      <c r="H113" s="304"/>
      <c r="I113" s="304"/>
      <c r="J113" s="304"/>
      <c r="K113" s="304"/>
      <c r="L113" s="181"/>
      <c r="M113" s="181"/>
      <c r="N113" s="181"/>
      <c r="O113" s="181"/>
      <c r="P113" s="181"/>
      <c r="Q113" s="181"/>
      <c r="R113" s="181"/>
      <c r="S113" s="181"/>
      <c r="T113" s="181"/>
    </row>
    <row r="114" spans="2:20" ht="15" customHeight="1" x14ac:dyDescent="0.3">
      <c r="B114" s="575"/>
      <c r="C114" s="576"/>
      <c r="D114" s="576"/>
      <c r="E114" s="577"/>
      <c r="F114" s="304"/>
      <c r="G114" s="304"/>
      <c r="H114" s="304"/>
      <c r="I114" s="304"/>
      <c r="J114" s="304"/>
      <c r="K114" s="304"/>
      <c r="L114" s="181"/>
      <c r="M114" s="181"/>
      <c r="N114" s="181"/>
      <c r="O114" s="181"/>
      <c r="P114" s="181"/>
      <c r="Q114" s="181"/>
      <c r="R114" s="181"/>
      <c r="S114" s="181"/>
      <c r="T114" s="181"/>
    </row>
    <row r="115" spans="2:20" ht="15" customHeight="1" x14ac:dyDescent="0.3">
      <c r="B115" s="575"/>
      <c r="C115" s="576"/>
      <c r="D115" s="576"/>
      <c r="E115" s="577"/>
      <c r="F115" s="304"/>
      <c r="G115" s="304"/>
      <c r="H115" s="304"/>
      <c r="I115" s="304"/>
      <c r="J115" s="304"/>
      <c r="K115" s="304"/>
      <c r="L115" s="181"/>
      <c r="M115" s="181"/>
      <c r="N115" s="181"/>
      <c r="O115" s="181"/>
      <c r="P115" s="181"/>
      <c r="Q115" s="181"/>
      <c r="R115" s="181"/>
      <c r="S115" s="181"/>
      <c r="T115" s="181"/>
    </row>
    <row r="116" spans="2:20" ht="15" customHeight="1" x14ac:dyDescent="0.3">
      <c r="B116" s="575"/>
      <c r="C116" s="576"/>
      <c r="D116" s="576"/>
      <c r="E116" s="577"/>
      <c r="F116" s="304"/>
      <c r="G116" s="304"/>
      <c r="H116" s="304"/>
      <c r="I116" s="304"/>
      <c r="J116" s="304"/>
      <c r="K116" s="304"/>
      <c r="L116" s="181"/>
      <c r="M116" s="181"/>
      <c r="N116" s="181"/>
      <c r="O116" s="181"/>
      <c r="P116" s="181"/>
      <c r="Q116" s="181"/>
      <c r="R116" s="181"/>
      <c r="S116" s="181"/>
      <c r="T116" s="181"/>
    </row>
    <row r="117" spans="2:20" ht="15" customHeight="1" x14ac:dyDescent="0.3">
      <c r="B117" s="575"/>
      <c r="C117" s="576"/>
      <c r="D117" s="576"/>
      <c r="E117" s="577"/>
      <c r="F117" s="304"/>
      <c r="G117" s="304"/>
      <c r="H117" s="304"/>
      <c r="I117" s="304"/>
      <c r="J117" s="304"/>
      <c r="K117" s="304"/>
      <c r="L117" s="181"/>
      <c r="M117" s="181"/>
      <c r="N117" s="181"/>
      <c r="O117" s="181"/>
      <c r="P117" s="181"/>
      <c r="Q117" s="181"/>
      <c r="R117" s="181"/>
      <c r="S117" s="181"/>
      <c r="T117" s="181"/>
    </row>
    <row r="118" spans="2:20" ht="15" customHeight="1" x14ac:dyDescent="0.3">
      <c r="B118" s="575"/>
      <c r="C118" s="576"/>
      <c r="D118" s="576"/>
      <c r="E118" s="577"/>
      <c r="F118" s="304"/>
      <c r="G118" s="304"/>
      <c r="H118" s="304"/>
      <c r="I118" s="304"/>
      <c r="J118" s="304"/>
      <c r="K118" s="304"/>
      <c r="L118" s="181"/>
      <c r="M118" s="181"/>
      <c r="N118" s="181"/>
      <c r="O118" s="181"/>
      <c r="P118" s="181"/>
      <c r="Q118" s="181"/>
      <c r="R118" s="181"/>
      <c r="S118" s="181"/>
      <c r="T118" s="181"/>
    </row>
    <row r="119" spans="2:20" ht="15" customHeight="1" x14ac:dyDescent="0.3">
      <c r="B119" s="575"/>
      <c r="C119" s="576"/>
      <c r="D119" s="576"/>
      <c r="E119" s="577"/>
      <c r="F119" s="304"/>
      <c r="G119" s="304"/>
      <c r="H119" s="304"/>
      <c r="I119" s="304"/>
      <c r="J119" s="304"/>
      <c r="K119" s="304"/>
      <c r="L119" s="181"/>
      <c r="M119" s="181"/>
      <c r="N119" s="181"/>
      <c r="O119" s="181"/>
      <c r="P119" s="181"/>
      <c r="Q119" s="181"/>
      <c r="R119" s="181"/>
      <c r="S119" s="181"/>
      <c r="T119" s="181"/>
    </row>
    <row r="120" spans="2:20" ht="15" customHeight="1" x14ac:dyDescent="0.3">
      <c r="B120" s="575"/>
      <c r="C120" s="576"/>
      <c r="D120" s="576"/>
      <c r="E120" s="577"/>
      <c r="F120" s="304"/>
      <c r="G120" s="304"/>
      <c r="H120" s="304"/>
      <c r="I120" s="304"/>
      <c r="J120" s="304"/>
      <c r="K120" s="304"/>
      <c r="L120" s="181"/>
      <c r="M120" s="181"/>
      <c r="N120" s="181"/>
      <c r="O120" s="181"/>
      <c r="P120" s="181"/>
      <c r="Q120" s="181"/>
      <c r="R120" s="181"/>
      <c r="S120" s="181"/>
      <c r="T120" s="181"/>
    </row>
    <row r="121" spans="2:20" ht="15" customHeight="1" x14ac:dyDescent="0.3">
      <c r="B121" s="575"/>
      <c r="C121" s="576"/>
      <c r="D121" s="576"/>
      <c r="E121" s="577"/>
      <c r="F121" s="304"/>
      <c r="G121" s="304"/>
      <c r="H121" s="304"/>
      <c r="I121" s="304"/>
      <c r="J121" s="304"/>
      <c r="K121" s="304"/>
      <c r="L121" s="181"/>
      <c r="M121" s="181"/>
      <c r="N121" s="181"/>
      <c r="O121" s="181"/>
      <c r="P121" s="181"/>
      <c r="Q121" s="181"/>
      <c r="R121" s="181"/>
      <c r="S121" s="181"/>
      <c r="T121" s="181"/>
    </row>
    <row r="122" spans="2:20" ht="15" customHeight="1" x14ac:dyDescent="0.3">
      <c r="B122" s="575"/>
      <c r="C122" s="576"/>
      <c r="D122" s="576"/>
      <c r="E122" s="577"/>
      <c r="F122" s="304"/>
      <c r="G122" s="304"/>
      <c r="H122" s="304"/>
      <c r="I122" s="304"/>
      <c r="J122" s="304"/>
      <c r="K122" s="304"/>
      <c r="L122" s="181"/>
      <c r="M122" s="181"/>
      <c r="N122" s="181"/>
      <c r="O122" s="181"/>
      <c r="P122" s="181"/>
      <c r="Q122" s="181"/>
      <c r="R122" s="181"/>
      <c r="S122" s="181"/>
      <c r="T122" s="181"/>
    </row>
    <row r="123" spans="2:20" ht="15" customHeight="1" thickBot="1" x14ac:dyDescent="0.35">
      <c r="B123" s="578"/>
      <c r="C123" s="579"/>
      <c r="D123" s="579"/>
      <c r="E123" s="580"/>
      <c r="F123" s="304"/>
      <c r="G123" s="304"/>
      <c r="H123" s="304"/>
      <c r="I123" s="304"/>
      <c r="J123" s="304"/>
      <c r="K123" s="304"/>
      <c r="L123" s="181"/>
      <c r="M123" s="181"/>
      <c r="N123" s="181"/>
      <c r="O123" s="181"/>
      <c r="P123" s="181"/>
      <c r="Q123" s="181"/>
      <c r="R123" s="181"/>
      <c r="S123" s="181"/>
      <c r="T123" s="181"/>
    </row>
  </sheetData>
  <mergeCells count="8">
    <mergeCell ref="N17:R17"/>
    <mergeCell ref="N21:R21"/>
    <mergeCell ref="G7:T15"/>
    <mergeCell ref="B113:E123"/>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103 F46:F70"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671CB9B-10A2-4C2C-B7AD-0E828F7C40E2}">
          <x14:formula1>
            <xm:f>'Inputs and assumptions'!$H$16:$H$20</xm:f>
          </x14:formula1>
          <xm:sqref>E8</xm:sqref>
        </x14:dataValidation>
        <x14:dataValidation type="list" allowBlank="1" showInputMessage="1" showErrorMessage="1" xr:uid="{37834013-B29A-49CC-8160-6448B1DB0D99}">
          <x14:formula1>
            <xm:f>'Inputs and assumptions'!$G$16:$G$20</xm:f>
          </x14:formula1>
          <xm:sqref>E7</xm:sqref>
        </x14:dataValidation>
        <x14:dataValidation type="list" allowBlank="1" showInputMessage="1" showErrorMessage="1" xr:uid="{0EC4996F-D3CF-4429-9237-FF44FE31CF0D}">
          <x14:formula1>
            <xm:f>'Inputs and assumptions'!$H$23:$H$24</xm:f>
          </x14:formula1>
          <xm:sqref>E10</xm:sqref>
        </x14:dataValidation>
        <x14:dataValidation type="list" allowBlank="1" showInputMessage="1" showErrorMessage="1" xr:uid="{8DC39ED5-5027-4D69-BDBB-80ABA5252693}">
          <x14:formula1>
            <xm:f>'Inputs and assumptions'!$H$27:$H$29</xm:f>
          </x14:formula1>
          <xm:sqref>E11</xm:sqref>
        </x14:dataValidation>
        <x14:dataValidation type="list" allowBlank="1" showInputMessage="1" showErrorMessage="1" xr:uid="{53BB300B-81A1-47AA-93F8-048DAB18D170}">
          <x14:formula1>
            <xm:f>'Inputs and assumptions'!$J$17:$J$18</xm:f>
          </x14:formula1>
          <xm:sqref>E43</xm:sqref>
        </x14:dataValidation>
        <x14:dataValidation type="list" allowBlank="1" showInputMessage="1" showErrorMessage="1" xr:uid="{A7BA75FA-DCE7-48EA-AC5A-48563BFCBADB}">
          <x14:formula1>
            <xm:f>'Inputs and assumptions'!$H$31:$H$34</xm:f>
          </x14:formula1>
          <xm:sqref>E12</xm:sqref>
        </x14:dataValidation>
        <x14:dataValidation type="list" allowBlank="1" showInputMessage="1" showErrorMessage="1" xr:uid="{3C8FC569-6B56-4FE3-A6FA-0BE84F0109C3}">
          <x14:formula1>
            <xm:f>'Inputs and assumptions'!$H$36:$H$40</xm:f>
          </x14:formula1>
          <xm:sqref>E13</xm:sqref>
        </x14:dataValidation>
        <x14:dataValidation type="list" allowBlank="1" showInputMessage="1" showErrorMessage="1" xr:uid="{C0AC5AFA-5609-44B0-A6AF-D54B22CB03B4}">
          <x14:formula1>
            <xm:f>'Inputs and assumptions'!$J$21:$J$24</xm:f>
          </x14:formula1>
          <xm:sqref>E14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8DBB-3D7A-45FE-9FA2-6E278D994CDF}">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338</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195</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310"/>
      <c r="M4" s="311"/>
      <c r="N4" s="311"/>
      <c r="O4" s="311"/>
      <c r="Q4" s="112"/>
      <c r="R4" s="112"/>
      <c r="S4" s="112"/>
      <c r="T4" s="112"/>
    </row>
    <row r="5" spans="1:23" x14ac:dyDescent="0.3">
      <c r="L5" s="311"/>
      <c r="M5" s="310"/>
      <c r="N5" s="310"/>
      <c r="O5" s="310"/>
    </row>
    <row r="6" spans="1:23" ht="16" thickBot="1" x14ac:dyDescent="0.35">
      <c r="B6" s="115" t="s">
        <v>8</v>
      </c>
      <c r="C6" s="115"/>
      <c r="D6" s="115"/>
      <c r="G6" s="115" t="s">
        <v>1</v>
      </c>
      <c r="H6" s="115"/>
      <c r="I6" s="115"/>
      <c r="J6" s="115"/>
      <c r="L6" s="310"/>
      <c r="M6" s="310"/>
      <c r="N6" s="310"/>
      <c r="O6" s="310"/>
    </row>
    <row r="7" spans="1:23" s="170" customFormat="1" ht="15.75" customHeight="1" x14ac:dyDescent="0.35">
      <c r="B7" s="324" t="s">
        <v>2</v>
      </c>
      <c r="C7" s="325"/>
      <c r="D7" s="326"/>
      <c r="E7" s="327" t="s">
        <v>120</v>
      </c>
      <c r="G7" s="586" t="s">
        <v>339</v>
      </c>
      <c r="H7" s="586"/>
      <c r="I7" s="586"/>
      <c r="J7" s="586"/>
      <c r="K7" s="586"/>
      <c r="L7" s="586"/>
      <c r="M7" s="586"/>
      <c r="N7" s="586"/>
      <c r="O7" s="586"/>
      <c r="P7" s="586"/>
      <c r="Q7" s="586"/>
      <c r="R7" s="586"/>
      <c r="S7" s="586"/>
      <c r="T7" s="586"/>
    </row>
    <row r="8" spans="1:23" s="170" customFormat="1" ht="15.75" customHeight="1" x14ac:dyDescent="0.35">
      <c r="B8" s="328" t="s">
        <v>3</v>
      </c>
      <c r="C8" s="230"/>
      <c r="E8" s="329" t="s">
        <v>121</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5</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137</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ht="21" customHeight="1"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5</v>
      </c>
      <c r="D18" s="161">
        <v>0.28999999999999998</v>
      </c>
      <c r="E18" s="162">
        <f>D18*C18</f>
        <v>1.45</v>
      </c>
      <c r="G18" s="219"/>
      <c r="H18" s="220" t="s">
        <v>18</v>
      </c>
      <c r="I18" s="221">
        <f>D37</f>
        <v>-1401953.9922148439</v>
      </c>
      <c r="J18" s="222"/>
      <c r="K18" s="220" t="s">
        <v>220</v>
      </c>
      <c r="L18" s="223">
        <f>SUM(F34:J34)</f>
        <v>1500000</v>
      </c>
      <c r="N18" s="584" t="s">
        <v>221</v>
      </c>
      <c r="O18" s="584"/>
      <c r="P18" s="584"/>
      <c r="Q18" s="584"/>
      <c r="R18" s="314"/>
      <c r="S18" s="161"/>
      <c r="T18" s="315" t="s">
        <v>222</v>
      </c>
    </row>
    <row r="19" spans="2:20" ht="13.5" customHeight="1" x14ac:dyDescent="0.3">
      <c r="B19" s="160" t="s">
        <v>19</v>
      </c>
      <c r="C19" s="182">
        <v>3</v>
      </c>
      <c r="D19" s="161">
        <v>0.18</v>
      </c>
      <c r="E19" s="162">
        <f>D19*C19</f>
        <v>0.54</v>
      </c>
      <c r="G19" s="224"/>
      <c r="H19" s="125" t="s">
        <v>20</v>
      </c>
      <c r="I19" s="126">
        <f>D40</f>
        <v>876112.81595124153</v>
      </c>
      <c r="J19" s="127"/>
      <c r="K19" s="125" t="s">
        <v>223</v>
      </c>
      <c r="L19" s="225">
        <f>SUM(F36:J36)</f>
        <v>0</v>
      </c>
      <c r="N19" s="585" t="s">
        <v>224</v>
      </c>
      <c r="O19" s="585"/>
      <c r="P19" s="585"/>
      <c r="Q19" s="585"/>
      <c r="R19" s="314"/>
      <c r="S19" s="161"/>
      <c r="T19" s="315" t="s">
        <v>227</v>
      </c>
    </row>
    <row r="20" spans="2:20" ht="13.5" customHeight="1" x14ac:dyDescent="0.3">
      <c r="B20" s="160" t="s">
        <v>21</v>
      </c>
      <c r="C20" s="182">
        <v>4</v>
      </c>
      <c r="D20" s="161">
        <v>0.18</v>
      </c>
      <c r="E20" s="162">
        <f>D20*C20</f>
        <v>0.72</v>
      </c>
      <c r="G20" s="224"/>
      <c r="H20" s="125" t="s">
        <v>22</v>
      </c>
      <c r="I20" s="217">
        <f>IFERROR(ABS((I19-I18)/I18),"N/A")</f>
        <v>1.6249226585297105</v>
      </c>
      <c r="J20" s="127"/>
      <c r="K20" s="125" t="s">
        <v>225</v>
      </c>
      <c r="L20" s="225">
        <f>NPV($D$33,F39:T39)</f>
        <v>2278066.8081660853</v>
      </c>
      <c r="N20" s="316" t="s">
        <v>226</v>
      </c>
      <c r="O20" s="316"/>
      <c r="P20" s="316"/>
      <c r="Q20" s="316"/>
      <c r="R20" s="317"/>
      <c r="S20" s="318"/>
      <c r="T20" s="319" t="s">
        <v>222</v>
      </c>
    </row>
    <row r="21" spans="2:20" ht="13.5" customHeight="1" thickBot="1" x14ac:dyDescent="0.35">
      <c r="B21" s="160" t="s">
        <v>23</v>
      </c>
      <c r="C21" s="182">
        <v>4</v>
      </c>
      <c r="D21" s="161">
        <v>0.18</v>
      </c>
      <c r="E21" s="162">
        <f>D21*C21</f>
        <v>0.72</v>
      </c>
      <c r="G21" s="194"/>
      <c r="H21" s="257" t="s">
        <v>166</v>
      </c>
      <c r="I21" s="258">
        <f>IFERROR(NPV($D$33,F39:T39)/NPV($D$33,F38:T38),"N/A")</f>
        <v>1.0832817723531403</v>
      </c>
      <c r="J21" s="226"/>
      <c r="K21" s="436" t="s">
        <v>228</v>
      </c>
      <c r="L21" s="439">
        <f>NPV($D$33,F39:J39)</f>
        <v>536443.58277809888</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3.9399999999999995</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354"/>
      <c r="C26" s="355"/>
      <c r="D26" s="410"/>
      <c r="E26" s="411"/>
      <c r="F26" s="391" t="s">
        <v>25</v>
      </c>
      <c r="G26" s="391" t="s">
        <v>232</v>
      </c>
      <c r="H26" s="391" t="s">
        <v>26</v>
      </c>
      <c r="I26" s="391" t="s">
        <v>27</v>
      </c>
      <c r="J26" s="391" t="s">
        <v>28</v>
      </c>
      <c r="K26" s="391" t="s">
        <v>29</v>
      </c>
      <c r="L26" s="391" t="s">
        <v>30</v>
      </c>
      <c r="M26" s="391" t="s">
        <v>31</v>
      </c>
      <c r="N26" s="391" t="s">
        <v>32</v>
      </c>
      <c r="O26" s="391" t="s">
        <v>33</v>
      </c>
      <c r="P26" s="391" t="s">
        <v>34</v>
      </c>
      <c r="Q26" s="391" t="s">
        <v>35</v>
      </c>
      <c r="R26" s="391" t="s">
        <v>36</v>
      </c>
      <c r="S26" s="391" t="s">
        <v>37</v>
      </c>
      <c r="T26" s="392" t="s">
        <v>38</v>
      </c>
    </row>
    <row r="27" spans="2:20" x14ac:dyDescent="0.3">
      <c r="B27" s="360" t="s">
        <v>39</v>
      </c>
      <c r="C27" s="146" t="s">
        <v>24</v>
      </c>
      <c r="D27" s="146">
        <f>SUM(F27:T27)</f>
        <v>0</v>
      </c>
      <c r="E27" s="112"/>
      <c r="F27" s="227"/>
      <c r="G27" s="227"/>
      <c r="H27" s="227"/>
      <c r="I27" s="227"/>
      <c r="J27" s="227"/>
      <c r="K27" s="227"/>
      <c r="L27" s="227"/>
      <c r="M27" s="227"/>
      <c r="N27" s="227"/>
      <c r="O27" s="227"/>
      <c r="P27" s="227"/>
      <c r="Q27" s="227"/>
      <c r="R27" s="227"/>
      <c r="S27" s="227"/>
      <c r="T27" s="412"/>
    </row>
    <row r="28" spans="2:20" x14ac:dyDescent="0.3">
      <c r="B28" s="360" t="s">
        <v>233</v>
      </c>
      <c r="C28" s="112"/>
      <c r="D28" s="112"/>
      <c r="E28" s="112"/>
      <c r="F28" s="413">
        <v>0</v>
      </c>
      <c r="G28" s="413">
        <v>0</v>
      </c>
      <c r="H28" s="413">
        <v>0.5</v>
      </c>
      <c r="I28" s="413">
        <v>1</v>
      </c>
      <c r="J28" s="413">
        <v>1</v>
      </c>
      <c r="K28" s="413">
        <v>1</v>
      </c>
      <c r="L28" s="413">
        <v>1</v>
      </c>
      <c r="M28" s="413">
        <v>1</v>
      </c>
      <c r="N28" s="413">
        <v>1</v>
      </c>
      <c r="O28" s="413">
        <v>1</v>
      </c>
      <c r="P28" s="413">
        <v>1</v>
      </c>
      <c r="Q28" s="413">
        <v>1</v>
      </c>
      <c r="R28" s="413">
        <v>1</v>
      </c>
      <c r="S28" s="413">
        <v>1</v>
      </c>
      <c r="T28" s="414">
        <v>1</v>
      </c>
    </row>
    <row r="29" spans="2:20" ht="13.5" thickBot="1" x14ac:dyDescent="0.35">
      <c r="B29" s="415"/>
      <c r="C29" s="416"/>
      <c r="D29" s="367"/>
      <c r="E29" s="367"/>
      <c r="F29" s="417">
        <v>0.33</v>
      </c>
      <c r="G29" s="417">
        <v>0.33</v>
      </c>
      <c r="H29" s="417">
        <v>0.34</v>
      </c>
      <c r="I29" s="367"/>
      <c r="J29" s="367"/>
      <c r="K29" s="367"/>
      <c r="L29" s="367"/>
      <c r="M29" s="367"/>
      <c r="N29" s="367"/>
      <c r="O29" s="367"/>
      <c r="P29" s="367"/>
      <c r="Q29" s="367"/>
      <c r="R29" s="367"/>
      <c r="S29" s="367"/>
      <c r="T29" s="418"/>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495000</v>
      </c>
      <c r="G34" s="140">
        <f t="shared" si="0"/>
        <v>495000</v>
      </c>
      <c r="H34" s="140">
        <f t="shared" si="0"/>
        <v>510000.00000000006</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742500</v>
      </c>
      <c r="G35" s="140">
        <f>G34*(1+'Inputs and assumptions'!$C$7)</f>
        <v>742500</v>
      </c>
      <c r="H35" s="140">
        <f>H34*(1+'Inputs and assumptions'!$C$7)</f>
        <v>765000.00000000012</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-1401953.9922148439</v>
      </c>
      <c r="E37" s="248"/>
      <c r="F37" s="144">
        <f t="shared" ref="F37:T37" si="2">-F34-F36</f>
        <v>-495000</v>
      </c>
      <c r="G37" s="144">
        <f t="shared" si="2"/>
        <v>-495000</v>
      </c>
      <c r="H37" s="144">
        <f t="shared" si="2"/>
        <v>-510000.00000000006</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742500</v>
      </c>
      <c r="G38" s="142">
        <f t="shared" ref="G38:T38" si="3">G35+G36</f>
        <v>742500</v>
      </c>
      <c r="H38" s="142">
        <f t="shared" si="3"/>
        <v>765000.00000000012</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0</v>
      </c>
      <c r="H39" s="140">
        <f t="shared" si="4"/>
        <v>123625</v>
      </c>
      <c r="I39" s="140">
        <f t="shared" si="4"/>
        <v>247250</v>
      </c>
      <c r="J39" s="140">
        <f t="shared" si="4"/>
        <v>247250</v>
      </c>
      <c r="K39" s="140">
        <f t="shared" si="4"/>
        <v>247250</v>
      </c>
      <c r="L39" s="140">
        <f t="shared" si="4"/>
        <v>247250</v>
      </c>
      <c r="M39" s="140">
        <f t="shared" si="4"/>
        <v>247250</v>
      </c>
      <c r="N39" s="140">
        <f t="shared" si="4"/>
        <v>247250</v>
      </c>
      <c r="O39" s="140">
        <f t="shared" si="4"/>
        <v>247250</v>
      </c>
      <c r="P39" s="140">
        <f t="shared" si="4"/>
        <v>247250</v>
      </c>
      <c r="Q39" s="140">
        <f t="shared" si="4"/>
        <v>247250</v>
      </c>
      <c r="R39" s="140">
        <f t="shared" si="4"/>
        <v>247250</v>
      </c>
      <c r="S39" s="140">
        <f t="shared" si="4"/>
        <v>247250</v>
      </c>
      <c r="T39" s="141">
        <f t="shared" si="4"/>
        <v>247250</v>
      </c>
    </row>
    <row r="40" spans="2:20" x14ac:dyDescent="0.3">
      <c r="B40" s="123" t="s">
        <v>46</v>
      </c>
      <c r="C40" s="112"/>
      <c r="D40" s="134">
        <f>NPV($D$33,F40:T40)</f>
        <v>876112.81595124153</v>
      </c>
      <c r="E40" s="112"/>
      <c r="F40" s="140">
        <f t="shared" ref="F40:T40" si="5">F39+F37</f>
        <v>-495000</v>
      </c>
      <c r="G40" s="140">
        <f t="shared" si="5"/>
        <v>-495000</v>
      </c>
      <c r="H40" s="140">
        <f t="shared" si="5"/>
        <v>-386375.00000000006</v>
      </c>
      <c r="I40" s="140">
        <f t="shared" si="5"/>
        <v>247250</v>
      </c>
      <c r="J40" s="140">
        <f t="shared" si="5"/>
        <v>247250</v>
      </c>
      <c r="K40" s="140">
        <f t="shared" si="5"/>
        <v>247250</v>
      </c>
      <c r="L40" s="140">
        <f t="shared" si="5"/>
        <v>247250</v>
      </c>
      <c r="M40" s="140">
        <f t="shared" si="5"/>
        <v>247250</v>
      </c>
      <c r="N40" s="140">
        <f t="shared" si="5"/>
        <v>247250</v>
      </c>
      <c r="O40" s="140">
        <f t="shared" si="5"/>
        <v>247250</v>
      </c>
      <c r="P40" s="140">
        <f t="shared" si="5"/>
        <v>247250</v>
      </c>
      <c r="Q40" s="140">
        <f t="shared" si="5"/>
        <v>247250</v>
      </c>
      <c r="R40" s="140">
        <f t="shared" si="5"/>
        <v>247250</v>
      </c>
      <c r="S40" s="140">
        <f t="shared" si="5"/>
        <v>247250</v>
      </c>
      <c r="T40" s="141">
        <f t="shared" si="5"/>
        <v>247250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C50" s="285"/>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C58" s="285"/>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C62" s="285"/>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307"/>
      <c r="D71" s="150"/>
      <c r="E71" s="112"/>
      <c r="F71" s="112"/>
      <c r="G71" s="112"/>
      <c r="H71" s="112"/>
      <c r="I71" s="112"/>
      <c r="J71" s="112"/>
      <c r="K71" s="112"/>
      <c r="L71" s="112"/>
      <c r="M71" s="112"/>
      <c r="N71" s="112"/>
      <c r="O71" s="112"/>
      <c r="P71" s="112"/>
      <c r="Q71" s="112"/>
      <c r="R71" s="112"/>
      <c r="S71" s="112"/>
      <c r="T71" s="150"/>
    </row>
    <row r="72" spans="2:20" x14ac:dyDescent="0.3">
      <c r="B72" s="419" t="s">
        <v>73</v>
      </c>
      <c r="C72" s="420"/>
      <c r="D72" s="421"/>
      <c r="E72" s="411"/>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422" t="s">
        <v>50</v>
      </c>
      <c r="C73" s="239" t="s">
        <v>236</v>
      </c>
      <c r="D73" s="202"/>
      <c r="F73" s="215"/>
      <c r="G73" s="215"/>
      <c r="H73" s="215"/>
      <c r="I73" s="215"/>
      <c r="J73" s="215"/>
      <c r="K73" s="215"/>
      <c r="L73" s="215"/>
      <c r="M73" s="215"/>
      <c r="N73" s="215"/>
      <c r="O73" s="215"/>
      <c r="P73" s="215"/>
      <c r="Q73" s="215"/>
      <c r="R73" s="215"/>
      <c r="S73" s="215"/>
      <c r="T73" s="394"/>
    </row>
    <row r="74" spans="2:20" x14ac:dyDescent="0.3">
      <c r="B74" s="3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3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395">
        <v>0</v>
      </c>
    </row>
    <row r="76" spans="2:20" x14ac:dyDescent="0.3">
      <c r="B76" s="3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395">
        <v>0</v>
      </c>
    </row>
    <row r="77" spans="2:20" x14ac:dyDescent="0.3">
      <c r="B77" s="3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395">
        <v>0</v>
      </c>
    </row>
    <row r="78" spans="2:20" x14ac:dyDescent="0.3">
      <c r="B78" s="393"/>
      <c r="C78" s="285"/>
      <c r="D78" s="151"/>
      <c r="F78" s="215"/>
      <c r="G78" s="215"/>
      <c r="H78" s="215"/>
      <c r="I78" s="215"/>
      <c r="J78" s="215"/>
      <c r="K78" s="215"/>
      <c r="L78" s="215"/>
      <c r="M78" s="215"/>
      <c r="N78" s="215"/>
      <c r="O78" s="215"/>
      <c r="P78" s="215"/>
      <c r="Q78" s="215"/>
      <c r="R78" s="215"/>
      <c r="S78" s="215"/>
      <c r="T78" s="394"/>
    </row>
    <row r="79" spans="2:20" x14ac:dyDescent="0.3">
      <c r="B79" s="422" t="s">
        <v>55</v>
      </c>
      <c r="C79" s="239" t="s">
        <v>236</v>
      </c>
      <c r="D79" s="202"/>
      <c r="F79" s="215"/>
      <c r="G79" s="215"/>
      <c r="H79" s="215"/>
      <c r="I79" s="215"/>
      <c r="J79" s="215"/>
      <c r="K79" s="215"/>
      <c r="L79" s="215"/>
      <c r="M79" s="215"/>
      <c r="N79" s="215"/>
      <c r="O79" s="215"/>
      <c r="P79" s="215"/>
      <c r="Q79" s="215"/>
      <c r="R79" s="215"/>
      <c r="S79" s="215"/>
      <c r="T79" s="394"/>
    </row>
    <row r="80" spans="2:20" x14ac:dyDescent="0.3">
      <c r="B80" s="3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395">
        <v>0</v>
      </c>
    </row>
    <row r="81" spans="2:20" x14ac:dyDescent="0.3">
      <c r="B81" s="393" t="s">
        <v>57</v>
      </c>
      <c r="C81" s="240">
        <v>6.4999999999999997E-4</v>
      </c>
      <c r="D81" s="261">
        <f>C81*'Inputs and assumptions'!D24</f>
        <v>30550</v>
      </c>
      <c r="F81" s="294">
        <f>$D81*F$28</f>
        <v>0</v>
      </c>
      <c r="G81" s="294">
        <f t="shared" ref="G81:T81" si="6">$D81*G$28</f>
        <v>0</v>
      </c>
      <c r="H81" s="294">
        <f t="shared" si="6"/>
        <v>15275</v>
      </c>
      <c r="I81" s="294">
        <f t="shared" si="6"/>
        <v>30550</v>
      </c>
      <c r="J81" s="294">
        <f t="shared" si="6"/>
        <v>30550</v>
      </c>
      <c r="K81" s="294">
        <f t="shared" si="6"/>
        <v>30550</v>
      </c>
      <c r="L81" s="294">
        <f t="shared" si="6"/>
        <v>30550</v>
      </c>
      <c r="M81" s="294">
        <f t="shared" si="6"/>
        <v>30550</v>
      </c>
      <c r="N81" s="294">
        <f t="shared" si="6"/>
        <v>30550</v>
      </c>
      <c r="O81" s="294">
        <f t="shared" si="6"/>
        <v>30550</v>
      </c>
      <c r="P81" s="294">
        <f t="shared" si="6"/>
        <v>30550</v>
      </c>
      <c r="Q81" s="294">
        <f t="shared" si="6"/>
        <v>30550</v>
      </c>
      <c r="R81" s="294">
        <f t="shared" si="6"/>
        <v>30550</v>
      </c>
      <c r="S81" s="294">
        <f t="shared" si="6"/>
        <v>30550</v>
      </c>
      <c r="T81" s="399">
        <f t="shared" si="6"/>
        <v>30550</v>
      </c>
    </row>
    <row r="82" spans="2:20" x14ac:dyDescent="0.3">
      <c r="B82" s="3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395">
        <v>0</v>
      </c>
    </row>
    <row r="83" spans="2:20" x14ac:dyDescent="0.3">
      <c r="B83" s="3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395">
        <v>0</v>
      </c>
    </row>
    <row r="84" spans="2:20" x14ac:dyDescent="0.3">
      <c r="B84" s="393" t="s">
        <v>60</v>
      </c>
      <c r="C84" s="240">
        <v>2.5000000000000001E-4</v>
      </c>
      <c r="D84" s="261">
        <f>C84*'Inputs and assumptions'!D27</f>
        <v>88000</v>
      </c>
      <c r="F84" s="294">
        <f>$D$84*F$28</f>
        <v>0</v>
      </c>
      <c r="G84" s="294">
        <f t="shared" ref="G84:T84" si="7">$D$84*G$28</f>
        <v>0</v>
      </c>
      <c r="H84" s="294">
        <f t="shared" si="7"/>
        <v>44000</v>
      </c>
      <c r="I84" s="294">
        <f t="shared" si="7"/>
        <v>88000</v>
      </c>
      <c r="J84" s="294">
        <f t="shared" si="7"/>
        <v>88000</v>
      </c>
      <c r="K84" s="294">
        <f t="shared" si="7"/>
        <v>88000</v>
      </c>
      <c r="L84" s="294">
        <f t="shared" si="7"/>
        <v>88000</v>
      </c>
      <c r="M84" s="294">
        <f t="shared" si="7"/>
        <v>88000</v>
      </c>
      <c r="N84" s="294">
        <f t="shared" si="7"/>
        <v>88000</v>
      </c>
      <c r="O84" s="294">
        <f t="shared" si="7"/>
        <v>88000</v>
      </c>
      <c r="P84" s="294">
        <f t="shared" si="7"/>
        <v>88000</v>
      </c>
      <c r="Q84" s="294">
        <f t="shared" si="7"/>
        <v>88000</v>
      </c>
      <c r="R84" s="294">
        <f t="shared" si="7"/>
        <v>88000</v>
      </c>
      <c r="S84" s="294">
        <f t="shared" si="7"/>
        <v>88000</v>
      </c>
      <c r="T84" s="399">
        <f t="shared" si="7"/>
        <v>88000</v>
      </c>
    </row>
    <row r="85" spans="2:20" x14ac:dyDescent="0.3">
      <c r="B85" s="3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395">
        <v>0</v>
      </c>
    </row>
    <row r="86" spans="2:20" x14ac:dyDescent="0.3">
      <c r="B86" s="393"/>
      <c r="C86" s="285"/>
      <c r="D86" s="151"/>
      <c r="F86" s="215"/>
      <c r="G86" s="215"/>
      <c r="H86" s="215"/>
      <c r="I86" s="215"/>
      <c r="J86" s="215"/>
      <c r="K86" s="215"/>
      <c r="L86" s="215"/>
      <c r="M86" s="215"/>
      <c r="N86" s="215"/>
      <c r="O86" s="215"/>
      <c r="P86" s="215"/>
      <c r="Q86" s="215"/>
      <c r="R86" s="215"/>
      <c r="S86" s="215"/>
      <c r="T86" s="394"/>
    </row>
    <row r="87" spans="2:20" x14ac:dyDescent="0.3">
      <c r="B87" s="422" t="s">
        <v>62</v>
      </c>
      <c r="C87" s="239" t="s">
        <v>236</v>
      </c>
      <c r="D87" s="202"/>
      <c r="F87" s="215"/>
      <c r="G87" s="215"/>
      <c r="H87" s="215"/>
      <c r="I87" s="215"/>
      <c r="J87" s="215"/>
      <c r="K87" s="215"/>
      <c r="L87" s="215"/>
      <c r="M87" s="215"/>
      <c r="N87" s="215"/>
      <c r="O87" s="215"/>
      <c r="P87" s="215"/>
      <c r="Q87" s="215"/>
      <c r="R87" s="215"/>
      <c r="S87" s="215"/>
      <c r="T87" s="394"/>
    </row>
    <row r="88" spans="2:20" x14ac:dyDescent="0.3">
      <c r="B88" s="3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395">
        <v>0</v>
      </c>
    </row>
    <row r="89" spans="2:20" x14ac:dyDescent="0.3">
      <c r="B89" s="3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395">
        <v>0</v>
      </c>
    </row>
    <row r="90" spans="2:20" x14ac:dyDescent="0.3">
      <c r="B90" s="393"/>
      <c r="C90" s="285"/>
      <c r="D90" s="151"/>
      <c r="F90" s="215"/>
      <c r="G90" s="215"/>
      <c r="H90" s="215"/>
      <c r="I90" s="215"/>
      <c r="J90" s="215"/>
      <c r="K90" s="215"/>
      <c r="L90" s="215"/>
      <c r="M90" s="215"/>
      <c r="N90" s="215"/>
      <c r="O90" s="215"/>
      <c r="P90" s="215"/>
      <c r="Q90" s="215"/>
      <c r="R90" s="215"/>
      <c r="S90" s="215"/>
      <c r="T90" s="394"/>
    </row>
    <row r="91" spans="2:20" x14ac:dyDescent="0.3">
      <c r="B91" s="422" t="s">
        <v>65</v>
      </c>
      <c r="C91" s="239" t="s">
        <v>236</v>
      </c>
      <c r="D91" s="202"/>
      <c r="F91" s="215"/>
      <c r="G91" s="215"/>
      <c r="H91" s="215"/>
      <c r="I91" s="215"/>
      <c r="J91" s="215"/>
      <c r="K91" s="215"/>
      <c r="L91" s="215"/>
      <c r="M91" s="215"/>
      <c r="N91" s="215"/>
      <c r="O91" s="215"/>
      <c r="P91" s="215"/>
      <c r="Q91" s="215"/>
      <c r="R91" s="215"/>
      <c r="S91" s="215"/>
      <c r="T91" s="394"/>
    </row>
    <row r="92" spans="2:20" x14ac:dyDescent="0.3">
      <c r="B92" s="3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395">
        <v>0</v>
      </c>
    </row>
    <row r="93" spans="2:20" x14ac:dyDescent="0.3">
      <c r="B93" s="3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395">
        <v>0</v>
      </c>
    </row>
    <row r="94" spans="2:20" x14ac:dyDescent="0.3">
      <c r="B94" s="393" t="s">
        <v>68</v>
      </c>
      <c r="C94" s="240">
        <v>3.0000000000000001E-3</v>
      </c>
      <c r="D94" s="267">
        <f>C94*'Inputs and assumptions'!D37</f>
        <v>124200</v>
      </c>
      <c r="F94" s="294">
        <f>$D94*F$28</f>
        <v>0</v>
      </c>
      <c r="G94" s="294">
        <f t="shared" ref="G94:T94" si="8">$D94*G$28</f>
        <v>0</v>
      </c>
      <c r="H94" s="294">
        <f t="shared" si="8"/>
        <v>62100</v>
      </c>
      <c r="I94" s="294">
        <f t="shared" si="8"/>
        <v>124200</v>
      </c>
      <c r="J94" s="294">
        <f t="shared" si="8"/>
        <v>124200</v>
      </c>
      <c r="K94" s="294">
        <f t="shared" si="8"/>
        <v>124200</v>
      </c>
      <c r="L94" s="294">
        <f t="shared" si="8"/>
        <v>124200</v>
      </c>
      <c r="M94" s="294">
        <f t="shared" si="8"/>
        <v>124200</v>
      </c>
      <c r="N94" s="294">
        <f t="shared" si="8"/>
        <v>124200</v>
      </c>
      <c r="O94" s="294">
        <f t="shared" si="8"/>
        <v>124200</v>
      </c>
      <c r="P94" s="294">
        <f t="shared" si="8"/>
        <v>124200</v>
      </c>
      <c r="Q94" s="294">
        <f t="shared" si="8"/>
        <v>124200</v>
      </c>
      <c r="R94" s="294">
        <f t="shared" si="8"/>
        <v>124200</v>
      </c>
      <c r="S94" s="294">
        <f t="shared" si="8"/>
        <v>124200</v>
      </c>
      <c r="T94" s="399">
        <f t="shared" si="8"/>
        <v>124200</v>
      </c>
    </row>
    <row r="95" spans="2:20" x14ac:dyDescent="0.3">
      <c r="B95" s="393" t="s">
        <v>69</v>
      </c>
      <c r="C95" s="240"/>
      <c r="D95" s="261">
        <f>C95*'Inputs and assumptions'!D38</f>
        <v>0</v>
      </c>
      <c r="F95" s="294">
        <v>0</v>
      </c>
      <c r="G95" s="294">
        <v>0</v>
      </c>
      <c r="H95" s="294">
        <v>0</v>
      </c>
      <c r="I95" s="294">
        <v>0</v>
      </c>
      <c r="J95" s="294">
        <v>0</v>
      </c>
      <c r="K95" s="294">
        <v>0</v>
      </c>
      <c r="L95" s="294">
        <v>0</v>
      </c>
      <c r="M95" s="294">
        <v>0</v>
      </c>
      <c r="N95" s="294">
        <v>0</v>
      </c>
      <c r="O95" s="294">
        <v>0</v>
      </c>
      <c r="P95" s="294">
        <v>0</v>
      </c>
      <c r="Q95" s="294">
        <v>0</v>
      </c>
      <c r="R95" s="294">
        <v>0</v>
      </c>
      <c r="S95" s="294">
        <v>0</v>
      </c>
      <c r="T95" s="399">
        <v>0</v>
      </c>
    </row>
    <row r="96" spans="2:20" x14ac:dyDescent="0.3">
      <c r="B96" s="393" t="s">
        <v>70</v>
      </c>
      <c r="C96" s="275">
        <v>3.0000000000000001E-6</v>
      </c>
      <c r="D96" s="267">
        <f>C96*'Inputs and assumptions'!D39</f>
        <v>4500</v>
      </c>
      <c r="F96" s="294">
        <f>$D96*F$28</f>
        <v>0</v>
      </c>
      <c r="G96" s="294">
        <f t="shared" ref="G96:T96" si="9">$D96*G$28</f>
        <v>0</v>
      </c>
      <c r="H96" s="294">
        <f t="shared" si="9"/>
        <v>2250</v>
      </c>
      <c r="I96" s="294">
        <f t="shared" si="9"/>
        <v>4500</v>
      </c>
      <c r="J96" s="294">
        <f t="shared" si="9"/>
        <v>4500</v>
      </c>
      <c r="K96" s="294">
        <f t="shared" si="9"/>
        <v>4500</v>
      </c>
      <c r="L96" s="294">
        <f t="shared" si="9"/>
        <v>4500</v>
      </c>
      <c r="M96" s="294">
        <f t="shared" si="9"/>
        <v>4500</v>
      </c>
      <c r="N96" s="294">
        <f t="shared" si="9"/>
        <v>4500</v>
      </c>
      <c r="O96" s="294">
        <f t="shared" si="9"/>
        <v>4500</v>
      </c>
      <c r="P96" s="294">
        <f t="shared" si="9"/>
        <v>4500</v>
      </c>
      <c r="Q96" s="294">
        <f t="shared" si="9"/>
        <v>4500</v>
      </c>
      <c r="R96" s="294">
        <f t="shared" si="9"/>
        <v>4500</v>
      </c>
      <c r="S96" s="294">
        <f t="shared" si="9"/>
        <v>4500</v>
      </c>
      <c r="T96" s="399">
        <f t="shared" si="9"/>
        <v>4500</v>
      </c>
    </row>
    <row r="97" spans="2:20" x14ac:dyDescent="0.3">
      <c r="B97" s="3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395">
        <v>0</v>
      </c>
    </row>
    <row r="98" spans="2:20" ht="13.5" thickBot="1" x14ac:dyDescent="0.35">
      <c r="B98" s="396" t="s">
        <v>72</v>
      </c>
      <c r="C98" s="423"/>
      <c r="D98" s="424">
        <f>C98*'Inputs and assumptions'!D41</f>
        <v>0</v>
      </c>
      <c r="E98" s="363"/>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174">
        <v>0</v>
      </c>
      <c r="E102" s="112"/>
      <c r="F102" s="140">
        <f t="shared" ref="F102:T102" si="10">$D$102*F27</f>
        <v>0</v>
      </c>
      <c r="G102" s="140">
        <f t="shared" si="10"/>
        <v>0</v>
      </c>
      <c r="H102" s="140">
        <f t="shared" si="10"/>
        <v>0</v>
      </c>
      <c r="I102" s="140">
        <f t="shared" si="10"/>
        <v>0</v>
      </c>
      <c r="J102" s="140">
        <f t="shared" si="10"/>
        <v>0</v>
      </c>
      <c r="K102" s="140">
        <f t="shared" si="10"/>
        <v>0</v>
      </c>
      <c r="L102" s="140">
        <f t="shared" si="10"/>
        <v>0</v>
      </c>
      <c r="M102" s="140">
        <f t="shared" si="10"/>
        <v>0</v>
      </c>
      <c r="N102" s="140">
        <f t="shared" si="10"/>
        <v>0</v>
      </c>
      <c r="O102" s="140">
        <f t="shared" si="10"/>
        <v>0</v>
      </c>
      <c r="P102" s="140">
        <f t="shared" si="10"/>
        <v>0</v>
      </c>
      <c r="Q102" s="140">
        <f t="shared" si="10"/>
        <v>0</v>
      </c>
      <c r="R102" s="140">
        <f t="shared" si="10"/>
        <v>0</v>
      </c>
      <c r="S102" s="140">
        <f t="shared" si="10"/>
        <v>0</v>
      </c>
      <c r="T102" s="141">
        <f t="shared" si="10"/>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495000</v>
      </c>
      <c r="G107" s="294">
        <f t="shared" ref="G107:H107" si="11">$E$111*G$29</f>
        <v>495000</v>
      </c>
      <c r="H107" s="294">
        <f t="shared" si="11"/>
        <v>510000.00000000006</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1500000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340</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181"/>
      <c r="J114" s="181"/>
      <c r="K114" s="181"/>
      <c r="L114" s="181"/>
      <c r="M114" s="181"/>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181"/>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181"/>
      <c r="J119" s="181"/>
      <c r="K119" s="181"/>
      <c r="L119" s="181"/>
      <c r="M119" s="181"/>
      <c r="N119" s="181"/>
      <c r="O119" s="181"/>
      <c r="P119" s="181"/>
      <c r="Q119" s="181"/>
      <c r="R119" s="181"/>
      <c r="S119" s="181"/>
      <c r="T119" s="181"/>
    </row>
    <row r="120" spans="2:20" ht="15" customHeight="1" x14ac:dyDescent="0.3">
      <c r="B120" s="590"/>
      <c r="C120" s="586"/>
      <c r="D120" s="586"/>
      <c r="E120" s="591"/>
      <c r="F120" s="181"/>
      <c r="G120" s="181"/>
      <c r="H120" s="181"/>
      <c r="I120" s="181"/>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252CFAAC-1ED1-4890-9666-318A121C359F}">
          <x14:formula1>
            <xm:f>'Inputs and assumptions'!$J$21:$J$24</xm:f>
          </x14:formula1>
          <xm:sqref>E14</xm:sqref>
        </x14:dataValidation>
        <x14:dataValidation type="list" allowBlank="1" showInputMessage="1" showErrorMessage="1" xr:uid="{D8B0FC3E-F236-42D4-9C6D-C283708A9017}">
          <x14:formula1>
            <xm:f>'Inputs and assumptions'!$H$36:$H$40</xm:f>
          </x14:formula1>
          <xm:sqref>E13</xm:sqref>
        </x14:dataValidation>
        <x14:dataValidation type="list" allowBlank="1" showInputMessage="1" showErrorMessage="1" xr:uid="{C3F08B86-2360-4A68-9787-51DFBFABF412}">
          <x14:formula1>
            <xm:f>'Inputs and assumptions'!$H$31:$H$34</xm:f>
          </x14:formula1>
          <xm:sqref>E12</xm:sqref>
        </x14:dataValidation>
        <x14:dataValidation type="list" allowBlank="1" showInputMessage="1" showErrorMessage="1" xr:uid="{E132B7C5-78EB-4FF1-9354-A6890EBC6AA0}">
          <x14:formula1>
            <xm:f>'Inputs and assumptions'!$J$17:$J$18</xm:f>
          </x14:formula1>
          <xm:sqref>E43</xm:sqref>
        </x14:dataValidation>
        <x14:dataValidation type="list" allowBlank="1" showInputMessage="1" showErrorMessage="1" xr:uid="{AFFC9C8E-99B3-40D5-ACEB-64D49C537066}">
          <x14:formula1>
            <xm:f>'Inputs and assumptions'!$H$27:$H$29</xm:f>
          </x14:formula1>
          <xm:sqref>E11</xm:sqref>
        </x14:dataValidation>
        <x14:dataValidation type="list" allowBlank="1" showInputMessage="1" showErrorMessage="1" xr:uid="{F072D100-C0ED-4083-A0C7-0A6E85BA66BF}">
          <x14:formula1>
            <xm:f>'Inputs and assumptions'!$H$23:$H$24</xm:f>
          </x14:formula1>
          <xm:sqref>E10</xm:sqref>
        </x14:dataValidation>
        <x14:dataValidation type="list" allowBlank="1" showInputMessage="1" showErrorMessage="1" xr:uid="{A52B7863-1FFD-4E29-97FE-7D17EE63538F}">
          <x14:formula1>
            <xm:f>'Inputs and assumptions'!$G$16:$G$20</xm:f>
          </x14:formula1>
          <xm:sqref>E7</xm:sqref>
        </x14:dataValidation>
        <x14:dataValidation type="list" allowBlank="1" showInputMessage="1" showErrorMessage="1" xr:uid="{CDB3A512-167E-44D3-BAD6-C2726E1271E9}">
          <x14:formula1>
            <xm:f>'Inputs and assumptions'!$H$16:$H$20</xm:f>
          </x14:formula1>
          <xm:sqref>E8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A363-F416-4BB7-A4FF-B240D10E0BD4}">
  <sheetPr>
    <tabColor rgb="FF002060"/>
    <pageSetUpPr fitToPage="1"/>
  </sheetPr>
  <dimension ref="A1:U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2" width="11.453125" style="109" customWidth="1"/>
    <col min="23" max="16384" width="8.81640625" style="109"/>
  </cols>
  <sheetData>
    <row r="1" spans="1:21" ht="55.5" customHeight="1" x14ac:dyDescent="0.3">
      <c r="A1" s="118"/>
    </row>
    <row r="2" spans="1:21" s="114" customFormat="1" ht="24" customHeight="1" x14ac:dyDescent="0.35">
      <c r="B2" s="183" t="s">
        <v>341</v>
      </c>
      <c r="C2" s="183"/>
      <c r="D2" s="116"/>
      <c r="E2" s="116"/>
      <c r="F2" s="116"/>
      <c r="G2" s="116"/>
      <c r="H2" s="116"/>
      <c r="I2" s="116"/>
      <c r="J2" s="116"/>
      <c r="K2" s="116"/>
      <c r="L2" s="116"/>
      <c r="M2" s="116"/>
      <c r="N2" s="116"/>
      <c r="O2" s="116"/>
      <c r="P2" s="116"/>
      <c r="Q2" s="116"/>
      <c r="R2" s="116"/>
      <c r="S2" s="116"/>
      <c r="T2" s="116"/>
      <c r="U2" s="163"/>
    </row>
    <row r="3" spans="1:21" s="169" customFormat="1" ht="15" customHeight="1" x14ac:dyDescent="0.35">
      <c r="B3" s="146" t="s">
        <v>0</v>
      </c>
      <c r="C3" s="146"/>
      <c r="D3" s="146"/>
      <c r="E3" s="256" t="s">
        <v>196</v>
      </c>
      <c r="F3" s="171"/>
      <c r="G3" s="171"/>
      <c r="H3" s="171"/>
      <c r="I3" s="171"/>
      <c r="J3" s="171"/>
      <c r="K3" s="171"/>
      <c r="L3" s="171"/>
      <c r="M3" s="171"/>
      <c r="N3" s="171"/>
      <c r="O3" s="171"/>
      <c r="P3" s="171"/>
      <c r="Q3" s="171"/>
      <c r="R3" s="171"/>
      <c r="S3" s="171"/>
      <c r="T3" s="171"/>
    </row>
    <row r="4" spans="1:21" ht="12.75" customHeight="1" x14ac:dyDescent="0.3">
      <c r="D4" s="112"/>
      <c r="E4" s="112"/>
      <c r="F4" s="112"/>
      <c r="G4" s="112"/>
      <c r="H4" s="112"/>
      <c r="I4" s="112"/>
      <c r="J4" s="112"/>
      <c r="K4" s="112"/>
      <c r="L4" s="112"/>
      <c r="M4" s="112"/>
      <c r="N4" s="112"/>
      <c r="O4" s="112"/>
      <c r="P4" s="112"/>
      <c r="Q4" s="112"/>
      <c r="R4" s="112"/>
      <c r="S4" s="112"/>
      <c r="T4" s="112"/>
    </row>
    <row r="6" spans="1:21" ht="16" thickBot="1" x14ac:dyDescent="0.35">
      <c r="B6" s="115" t="s">
        <v>8</v>
      </c>
      <c r="C6" s="115"/>
      <c r="D6" s="115"/>
      <c r="G6" s="115" t="s">
        <v>1</v>
      </c>
      <c r="H6" s="115"/>
      <c r="I6" s="115"/>
      <c r="J6" s="115"/>
    </row>
    <row r="7" spans="1:21" s="170" customFormat="1" ht="15.75" customHeight="1" x14ac:dyDescent="0.35">
      <c r="B7" s="324" t="s">
        <v>2</v>
      </c>
      <c r="C7" s="325"/>
      <c r="D7" s="326"/>
      <c r="E7" s="327" t="s">
        <v>128</v>
      </c>
      <c r="G7" s="586" t="s">
        <v>342</v>
      </c>
      <c r="H7" s="586"/>
      <c r="I7" s="586"/>
      <c r="J7" s="586"/>
      <c r="K7" s="586"/>
      <c r="L7" s="586"/>
      <c r="M7" s="586"/>
      <c r="N7" s="586"/>
      <c r="O7" s="586"/>
      <c r="P7" s="586"/>
      <c r="Q7" s="586"/>
      <c r="R7" s="586"/>
      <c r="S7" s="586"/>
      <c r="T7" s="586"/>
    </row>
    <row r="8" spans="1:21" s="170" customFormat="1" ht="15.75" customHeight="1" x14ac:dyDescent="0.35">
      <c r="B8" s="328" t="s">
        <v>3</v>
      </c>
      <c r="C8" s="230"/>
      <c r="E8" s="329" t="s">
        <v>129</v>
      </c>
      <c r="G8" s="586"/>
      <c r="H8" s="586"/>
      <c r="I8" s="586"/>
      <c r="J8" s="586"/>
      <c r="K8" s="586"/>
      <c r="L8" s="586"/>
      <c r="M8" s="586"/>
      <c r="N8" s="586"/>
      <c r="O8" s="586"/>
      <c r="P8" s="586"/>
      <c r="Q8" s="586"/>
      <c r="R8" s="586"/>
      <c r="S8" s="586"/>
      <c r="T8" s="586"/>
    </row>
    <row r="9" spans="1:21" s="170" customFormat="1" ht="15.75" customHeight="1" x14ac:dyDescent="0.35">
      <c r="B9" s="328" t="s">
        <v>4</v>
      </c>
      <c r="C9" s="230"/>
      <c r="E9" s="330" t="s">
        <v>243</v>
      </c>
      <c r="G9" s="586"/>
      <c r="H9" s="586"/>
      <c r="I9" s="586"/>
      <c r="J9" s="586"/>
      <c r="K9" s="586"/>
      <c r="L9" s="586"/>
      <c r="M9" s="586"/>
      <c r="N9" s="586"/>
      <c r="O9" s="586"/>
      <c r="P9" s="586"/>
      <c r="Q9" s="586"/>
      <c r="R9" s="586"/>
      <c r="S9" s="586"/>
      <c r="T9" s="586"/>
    </row>
    <row r="10" spans="1:21"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1"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1" x14ac:dyDescent="0.3">
      <c r="B12" s="331" t="s">
        <v>9</v>
      </c>
      <c r="C12" s="231"/>
      <c r="D12" s="114"/>
      <c r="E12" s="330" t="s">
        <v>150</v>
      </c>
      <c r="G12" s="586"/>
      <c r="H12" s="586"/>
      <c r="I12" s="586"/>
      <c r="J12" s="586"/>
      <c r="K12" s="586"/>
      <c r="L12" s="586"/>
      <c r="M12" s="586"/>
      <c r="N12" s="586"/>
      <c r="O12" s="586"/>
      <c r="P12" s="586"/>
      <c r="Q12" s="586"/>
      <c r="R12" s="586"/>
      <c r="S12" s="586"/>
      <c r="T12" s="586"/>
    </row>
    <row r="13" spans="1:21" x14ac:dyDescent="0.3">
      <c r="B13" s="331" t="s">
        <v>10</v>
      </c>
      <c r="C13" s="231"/>
      <c r="D13" s="114"/>
      <c r="E13" s="330" t="s">
        <v>160</v>
      </c>
      <c r="G13" s="586"/>
      <c r="H13" s="586"/>
      <c r="I13" s="586"/>
      <c r="J13" s="586"/>
      <c r="K13" s="586"/>
      <c r="L13" s="586"/>
      <c r="M13" s="586"/>
      <c r="N13" s="586"/>
      <c r="O13" s="586"/>
      <c r="P13" s="586"/>
      <c r="Q13" s="586"/>
      <c r="R13" s="586"/>
      <c r="S13" s="586"/>
      <c r="T13" s="586"/>
    </row>
    <row r="14" spans="1:21"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1" ht="21" customHeight="1" x14ac:dyDescent="0.3">
      <c r="B15" s="438"/>
      <c r="C15" s="231"/>
      <c r="D15" s="114"/>
      <c r="E15" s="158"/>
      <c r="G15" s="586"/>
      <c r="H15" s="586"/>
      <c r="I15" s="586"/>
      <c r="J15" s="586"/>
      <c r="K15" s="586"/>
      <c r="L15" s="586"/>
      <c r="M15" s="586"/>
      <c r="N15" s="586"/>
      <c r="O15" s="586"/>
      <c r="P15" s="586"/>
      <c r="Q15" s="586"/>
      <c r="R15" s="586"/>
      <c r="S15" s="586"/>
      <c r="T15" s="586"/>
    </row>
    <row r="16" spans="1:21"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-266460.85466953466</v>
      </c>
      <c r="J18" s="222"/>
      <c r="K18" s="220" t="s">
        <v>220</v>
      </c>
      <c r="L18" s="223">
        <f>SUM(F34:J34)</f>
        <v>285000</v>
      </c>
      <c r="N18" s="584" t="s">
        <v>221</v>
      </c>
      <c r="O18" s="584"/>
      <c r="P18" s="584"/>
      <c r="Q18" s="584"/>
      <c r="R18" s="314"/>
      <c r="S18" s="161"/>
      <c r="T18" s="315" t="s">
        <v>227</v>
      </c>
    </row>
    <row r="19" spans="2:20" ht="13.5" customHeight="1" x14ac:dyDescent="0.3">
      <c r="B19" s="160" t="s">
        <v>19</v>
      </c>
      <c r="C19" s="182">
        <v>5</v>
      </c>
      <c r="D19" s="161">
        <v>0.18</v>
      </c>
      <c r="E19" s="162">
        <f>D19*C19</f>
        <v>0.89999999999999991</v>
      </c>
      <c r="G19" s="224"/>
      <c r="H19" s="125" t="s">
        <v>20</v>
      </c>
      <c r="I19" s="126">
        <f>D40</f>
        <v>736221.98661007441</v>
      </c>
      <c r="J19" s="127"/>
      <c r="K19" s="125" t="s">
        <v>223</v>
      </c>
      <c r="L19" s="225">
        <f>SUM(F36:J36)</f>
        <v>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3.7629648922470755</v>
      </c>
      <c r="J20" s="127"/>
      <c r="K20" s="125" t="s">
        <v>225</v>
      </c>
      <c r="L20" s="225">
        <f>NPV($D$33,F39:T39)</f>
        <v>1002682.841279609</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2.5086432614980501</v>
      </c>
      <c r="J21" s="226"/>
      <c r="K21" s="436" t="s">
        <v>228</v>
      </c>
      <c r="L21" s="439">
        <f>NPV($D$33,F39:J39)</f>
        <v>337044.85210436984</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3.24</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300</v>
      </c>
      <c r="E27" s="112"/>
      <c r="F27" s="227">
        <v>100</v>
      </c>
      <c r="G27" s="227">
        <v>100</v>
      </c>
      <c r="H27" s="227">
        <v>100</v>
      </c>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95000</v>
      </c>
      <c r="G34" s="140">
        <f t="shared" si="0"/>
        <v>95000</v>
      </c>
      <c r="H34" s="140">
        <f t="shared" si="0"/>
        <v>95000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142500</v>
      </c>
      <c r="G35" s="140">
        <f>G34*(1+'Inputs and assumptions'!$C$7)</f>
        <v>142500</v>
      </c>
      <c r="H35" s="140">
        <f>H34*(1+'Inputs and assumptions'!$C$7)</f>
        <v>142500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-266460.85466953466</v>
      </c>
      <c r="E37" s="248"/>
      <c r="F37" s="144">
        <f t="shared" ref="F37:T37" si="2">-F34-F36</f>
        <v>-95000</v>
      </c>
      <c r="G37" s="144">
        <f t="shared" si="2"/>
        <v>-95000</v>
      </c>
      <c r="H37" s="144">
        <f t="shared" si="2"/>
        <v>-95000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142500</v>
      </c>
      <c r="G38" s="142">
        <f t="shared" ref="G38:T38" si="3">G35+G36</f>
        <v>142500</v>
      </c>
      <c r="H38" s="142">
        <f t="shared" si="3"/>
        <v>142500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31499.157495620046</v>
      </c>
      <c r="G39" s="140">
        <f t="shared" si="4"/>
        <v>62998.314991240091</v>
      </c>
      <c r="H39" s="140">
        <f t="shared" si="4"/>
        <v>94497.472486860148</v>
      </c>
      <c r="I39" s="140">
        <f t="shared" si="4"/>
        <v>94497.472486860148</v>
      </c>
      <c r="J39" s="140">
        <f t="shared" si="4"/>
        <v>94497.472486860148</v>
      </c>
      <c r="K39" s="140">
        <f t="shared" si="4"/>
        <v>94497.472486860148</v>
      </c>
      <c r="L39" s="140">
        <f t="shared" si="4"/>
        <v>94497.472486860148</v>
      </c>
      <c r="M39" s="140">
        <f t="shared" si="4"/>
        <v>94497.472486860148</v>
      </c>
      <c r="N39" s="140">
        <f t="shared" si="4"/>
        <v>94497.472486860148</v>
      </c>
      <c r="O39" s="140">
        <f t="shared" si="4"/>
        <v>94497.472486860148</v>
      </c>
      <c r="P39" s="140">
        <f t="shared" si="4"/>
        <v>94497.472486860148</v>
      </c>
      <c r="Q39" s="140">
        <f t="shared" si="4"/>
        <v>94497.472486860148</v>
      </c>
      <c r="R39" s="140">
        <f t="shared" si="4"/>
        <v>94497.472486860148</v>
      </c>
      <c r="S39" s="140">
        <f t="shared" si="4"/>
        <v>94497.472486860148</v>
      </c>
      <c r="T39" s="141">
        <f t="shared" si="4"/>
        <v>94497.472486860148</v>
      </c>
    </row>
    <row r="40" spans="2:20" x14ac:dyDescent="0.3">
      <c r="B40" s="123" t="s">
        <v>46</v>
      </c>
      <c r="C40" s="112"/>
      <c r="D40" s="134">
        <f>NPV($D$33,F40:T40)</f>
        <v>736221.98661007441</v>
      </c>
      <c r="E40" s="112"/>
      <c r="F40" s="140">
        <f t="shared" ref="F40:T40" si="5">F39+F37</f>
        <v>-63500.842504379951</v>
      </c>
      <c r="G40" s="140">
        <f t="shared" si="5"/>
        <v>-32001.685008759909</v>
      </c>
      <c r="H40" s="140">
        <f t="shared" si="5"/>
        <v>-502.52751313985209</v>
      </c>
      <c r="I40" s="140">
        <f t="shared" si="5"/>
        <v>94497.472486860148</v>
      </c>
      <c r="J40" s="140">
        <f t="shared" si="5"/>
        <v>94497.472486860148</v>
      </c>
      <c r="K40" s="140">
        <f t="shared" si="5"/>
        <v>94497.472486860148</v>
      </c>
      <c r="L40" s="140">
        <f t="shared" si="5"/>
        <v>94497.472486860148</v>
      </c>
      <c r="M40" s="140">
        <f t="shared" si="5"/>
        <v>94497.472486860148</v>
      </c>
      <c r="N40" s="140">
        <f t="shared" si="5"/>
        <v>94497.472486860148</v>
      </c>
      <c r="O40" s="140">
        <f t="shared" si="5"/>
        <v>94497.472486860148</v>
      </c>
      <c r="P40" s="140">
        <f t="shared" si="5"/>
        <v>94497.472486860148</v>
      </c>
      <c r="Q40" s="140">
        <f t="shared" si="5"/>
        <v>94497.472486860148</v>
      </c>
      <c r="R40" s="140">
        <f t="shared" si="5"/>
        <v>94497.472486860148</v>
      </c>
      <c r="S40" s="140">
        <f t="shared" si="5"/>
        <v>94497.472486860148</v>
      </c>
      <c r="T40" s="141">
        <f t="shared" si="5"/>
        <v>94497.472486860148</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314.99157495620045</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5.0000000000000001E-4</v>
      </c>
      <c r="D46" s="261">
        <f>IFERROR(C46*'Inputs and assumptions'!D17/$D$27,0)</f>
        <v>60.824908289533823</v>
      </c>
      <c r="F46" s="140">
        <f>$D46*SUM($E$27:F$27)</f>
        <v>6082.4908289533823</v>
      </c>
      <c r="G46" s="140">
        <f>$D46*SUM($E$27:G$27)</f>
        <v>12164.981657906765</v>
      </c>
      <c r="H46" s="140">
        <f>$D46*SUM($E$27:H$27)</f>
        <v>18247.472486860148</v>
      </c>
      <c r="I46" s="140">
        <f>$D46*SUM($E$27:I$27)</f>
        <v>18247.472486860148</v>
      </c>
      <c r="J46" s="140">
        <f>$D46*SUM($E$27:J$27)</f>
        <v>18247.472486860148</v>
      </c>
      <c r="K46" s="140">
        <f>$D46*SUM($E$27:K$27)</f>
        <v>18247.472486860148</v>
      </c>
      <c r="L46" s="140">
        <f>$D46*SUM($E$27:L$27)</f>
        <v>18247.472486860148</v>
      </c>
      <c r="M46" s="140">
        <f>$D46*SUM($E$27:M$27)</f>
        <v>18247.472486860148</v>
      </c>
      <c r="N46" s="140">
        <f>$D46*SUM($E$27:N$27)</f>
        <v>18247.472486860148</v>
      </c>
      <c r="O46" s="140">
        <f>$D46*SUM($E$27:O$27)</f>
        <v>18247.472486860148</v>
      </c>
      <c r="P46" s="140">
        <f>$D46*SUM($E$27:P$27)</f>
        <v>18247.472486860148</v>
      </c>
      <c r="Q46" s="140">
        <f>$D46*SUM($E$27:Q$27)</f>
        <v>18247.472486860148</v>
      </c>
      <c r="R46" s="140">
        <f>$D46*SUM($E$27:R$27)</f>
        <v>18247.472486860148</v>
      </c>
      <c r="S46" s="140">
        <f>$D46*SUM($E$27:S$27)</f>
        <v>18247.472486860148</v>
      </c>
      <c r="T46" s="141">
        <f>$D46*SUM($E$27:T$27)</f>
        <v>18247.472486860148</v>
      </c>
    </row>
    <row r="47" spans="2:20" x14ac:dyDescent="0.3">
      <c r="B47" s="184" t="s">
        <v>52</v>
      </c>
      <c r="C47" s="240"/>
      <c r="D47" s="261">
        <f>IFERROR(C47*'Inputs and assumptions'!D18/$D$27,0)</f>
        <v>0</v>
      </c>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75">
        <v>2.5000000000000001E-4</v>
      </c>
      <c r="D55" s="261">
        <f>IFERROR(C55*'Inputs and assumptions'!D26/$D$27,0)</f>
        <v>254.16666666666666</v>
      </c>
      <c r="E55" s="280"/>
      <c r="F55" s="140">
        <f>$D55*SUM($E$27:F$27)</f>
        <v>25416.666666666664</v>
      </c>
      <c r="G55" s="140">
        <f>$D55*SUM($E$27:G$27)</f>
        <v>50833.333333333328</v>
      </c>
      <c r="H55" s="140">
        <f>$D55*SUM($E$27:H$27)</f>
        <v>76250</v>
      </c>
      <c r="I55" s="140">
        <f>$D55*SUM($E$27:I$27)</f>
        <v>76250</v>
      </c>
      <c r="J55" s="140">
        <f>$D55*SUM($E$27:J$27)</f>
        <v>76250</v>
      </c>
      <c r="K55" s="140">
        <f>$D55*SUM($E$27:K$27)</f>
        <v>76250</v>
      </c>
      <c r="L55" s="140">
        <f>$D55*SUM($E$27:L$27)</f>
        <v>76250</v>
      </c>
      <c r="M55" s="140">
        <f>$D55*SUM($E$27:M$27)</f>
        <v>76250</v>
      </c>
      <c r="N55" s="140">
        <f>$D55*SUM($E$27:N$27)</f>
        <v>76250</v>
      </c>
      <c r="O55" s="140">
        <f>$D55*SUM($E$27:O$27)</f>
        <v>76250</v>
      </c>
      <c r="P55" s="140">
        <f>$D55*SUM($E$27:P$27)</f>
        <v>76250</v>
      </c>
      <c r="Q55" s="140">
        <f>$D55*SUM($E$27:Q$27)</f>
        <v>76250</v>
      </c>
      <c r="R55" s="140">
        <f>$D55*SUM($E$27:R$27)</f>
        <v>76250</v>
      </c>
      <c r="S55" s="140">
        <f>$D55*SUM($E$27:S$27)</f>
        <v>76250</v>
      </c>
      <c r="T55" s="141">
        <f>$D55*SUM($E$27:T$27)</f>
        <v>76250</v>
      </c>
    </row>
    <row r="56" spans="2:20" x14ac:dyDescent="0.3">
      <c r="B56" s="184" t="s">
        <v>60</v>
      </c>
      <c r="C56" s="240"/>
      <c r="D56" s="261">
        <f>IFERROR(C56*'Inputs and assumptions'!D27/$D$27,0)</f>
        <v>0</v>
      </c>
      <c r="E56" s="281"/>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280"/>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950</v>
      </c>
      <c r="E102" s="112"/>
      <c r="F102" s="140">
        <f t="shared" ref="F102:T102" si="6">$D$102*F27</f>
        <v>95000</v>
      </c>
      <c r="G102" s="140">
        <f t="shared" si="6"/>
        <v>95000</v>
      </c>
      <c r="H102" s="140">
        <f t="shared" si="6"/>
        <v>95000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343</v>
      </c>
      <c r="C113" s="588"/>
      <c r="D113" s="588"/>
      <c r="E113" s="589"/>
      <c r="F113" s="290"/>
      <c r="G113" s="290"/>
      <c r="H113" s="290"/>
      <c r="I113" s="290"/>
      <c r="J113" s="290"/>
      <c r="K113" s="290"/>
      <c r="L113" s="181"/>
      <c r="M113" s="181"/>
      <c r="N113" s="181"/>
      <c r="O113" s="181"/>
      <c r="P113" s="181"/>
      <c r="Q113" s="181"/>
      <c r="R113" s="181"/>
      <c r="S113" s="181"/>
      <c r="T113" s="181"/>
    </row>
    <row r="114" spans="2:20" ht="15" customHeight="1" x14ac:dyDescent="0.3">
      <c r="B114" s="590"/>
      <c r="C114" s="586"/>
      <c r="D114" s="586"/>
      <c r="E114" s="591"/>
      <c r="F114" s="290"/>
      <c r="G114" s="290"/>
      <c r="H114" s="290"/>
      <c r="I114" s="290"/>
      <c r="J114" s="290"/>
      <c r="K114" s="290"/>
      <c r="L114" s="181"/>
      <c r="M114" s="181"/>
      <c r="N114" s="181"/>
      <c r="O114" s="181"/>
      <c r="P114" s="181"/>
      <c r="Q114" s="181"/>
      <c r="R114" s="181"/>
      <c r="S114" s="181"/>
      <c r="T114" s="181"/>
    </row>
    <row r="115" spans="2:20" ht="15" customHeight="1" x14ac:dyDescent="0.3">
      <c r="B115" s="590"/>
      <c r="C115" s="586"/>
      <c r="D115" s="586"/>
      <c r="E115" s="591"/>
      <c r="F115" s="290"/>
      <c r="G115" s="290"/>
      <c r="H115" s="290"/>
      <c r="I115" s="290"/>
      <c r="J115" s="290"/>
      <c r="K115" s="290"/>
      <c r="L115" s="181"/>
      <c r="M115" s="181"/>
      <c r="N115" s="181"/>
      <c r="O115" s="181"/>
      <c r="P115" s="181"/>
      <c r="Q115" s="181"/>
      <c r="R115" s="181"/>
      <c r="S115" s="181"/>
      <c r="T115" s="181"/>
    </row>
    <row r="116" spans="2:20" ht="15" customHeight="1" x14ac:dyDescent="0.3">
      <c r="B116" s="590"/>
      <c r="C116" s="586"/>
      <c r="D116" s="586"/>
      <c r="E116" s="591"/>
      <c r="F116" s="290"/>
      <c r="G116" s="290"/>
      <c r="H116" s="290"/>
      <c r="I116" s="290"/>
      <c r="J116" s="290"/>
      <c r="K116" s="290"/>
      <c r="L116" s="181"/>
      <c r="M116" s="181"/>
      <c r="N116" s="181"/>
      <c r="O116" s="181"/>
      <c r="P116" s="181"/>
      <c r="Q116" s="181"/>
      <c r="R116" s="181"/>
      <c r="S116" s="181"/>
      <c r="T116" s="181"/>
    </row>
    <row r="117" spans="2:20" ht="15" customHeight="1" x14ac:dyDescent="0.3">
      <c r="B117" s="590"/>
      <c r="C117" s="586"/>
      <c r="D117" s="586"/>
      <c r="E117" s="591"/>
      <c r="F117" s="290"/>
      <c r="G117" s="290"/>
      <c r="H117" s="290"/>
      <c r="I117" s="290"/>
      <c r="J117" s="290"/>
      <c r="K117" s="290"/>
      <c r="L117" s="181"/>
      <c r="M117" s="181"/>
      <c r="N117" s="181"/>
      <c r="O117" s="181"/>
      <c r="P117" s="181"/>
      <c r="Q117" s="181"/>
      <c r="R117" s="181"/>
      <c r="S117" s="181"/>
      <c r="T117" s="181"/>
    </row>
    <row r="118" spans="2:20" ht="15" customHeight="1" x14ac:dyDescent="0.3">
      <c r="B118" s="590"/>
      <c r="C118" s="586"/>
      <c r="D118" s="586"/>
      <c r="E118" s="591"/>
      <c r="F118" s="290"/>
      <c r="G118" s="290"/>
      <c r="H118" s="290"/>
      <c r="I118" s="290"/>
      <c r="J118" s="290"/>
      <c r="K118" s="290"/>
      <c r="L118" s="181"/>
      <c r="M118" s="181"/>
      <c r="N118" s="181"/>
      <c r="O118" s="181"/>
      <c r="P118" s="181"/>
      <c r="Q118" s="181"/>
      <c r="R118" s="181"/>
      <c r="S118" s="181"/>
      <c r="T118" s="181"/>
    </row>
    <row r="119" spans="2:20" ht="15" customHeight="1" x14ac:dyDescent="0.3">
      <c r="B119" s="590"/>
      <c r="C119" s="586"/>
      <c r="D119" s="586"/>
      <c r="E119" s="591"/>
      <c r="F119" s="290"/>
      <c r="G119" s="290"/>
      <c r="H119" s="290"/>
      <c r="I119" s="290"/>
      <c r="J119" s="290"/>
      <c r="K119" s="290"/>
      <c r="L119" s="181"/>
      <c r="M119" s="181"/>
      <c r="N119" s="181"/>
      <c r="O119" s="181"/>
      <c r="P119" s="181"/>
      <c r="Q119" s="181"/>
      <c r="R119" s="181"/>
      <c r="S119" s="181"/>
      <c r="T119" s="181"/>
    </row>
    <row r="120" spans="2:20" ht="15" customHeight="1" x14ac:dyDescent="0.3">
      <c r="B120" s="590"/>
      <c r="C120" s="586"/>
      <c r="D120" s="586"/>
      <c r="E120" s="591"/>
      <c r="F120" s="290"/>
      <c r="G120" s="290"/>
      <c r="H120" s="290"/>
      <c r="I120" s="290"/>
      <c r="J120" s="290"/>
      <c r="K120" s="290"/>
      <c r="L120" s="181"/>
      <c r="M120" s="181"/>
      <c r="N120" s="181"/>
      <c r="O120" s="181"/>
      <c r="P120" s="181"/>
      <c r="Q120" s="181"/>
      <c r="R120" s="181"/>
      <c r="S120" s="181"/>
      <c r="T120" s="181"/>
    </row>
    <row r="121" spans="2:20" ht="15" customHeight="1" x14ac:dyDescent="0.3">
      <c r="B121" s="590"/>
      <c r="C121" s="586"/>
      <c r="D121" s="586"/>
      <c r="E121" s="591"/>
      <c r="F121" s="290"/>
      <c r="G121" s="290"/>
      <c r="H121" s="290"/>
      <c r="I121" s="290"/>
      <c r="J121" s="290"/>
      <c r="K121" s="290"/>
      <c r="L121" s="181"/>
      <c r="M121" s="181"/>
      <c r="N121" s="181"/>
      <c r="O121" s="181"/>
      <c r="P121" s="181"/>
      <c r="Q121" s="181"/>
      <c r="R121" s="181"/>
      <c r="S121" s="181"/>
      <c r="T121" s="181"/>
    </row>
    <row r="122" spans="2:20" ht="15.75" customHeight="1" thickBot="1" x14ac:dyDescent="0.35">
      <c r="B122" s="592"/>
      <c r="C122" s="593"/>
      <c r="D122" s="593"/>
      <c r="E122" s="594"/>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G70 F103:G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74218923-CDB8-46C4-9829-37D9FD191020}">
          <x14:formula1>
            <xm:f>'Inputs and assumptions'!$H$16:$H$20</xm:f>
          </x14:formula1>
          <xm:sqref>E8</xm:sqref>
        </x14:dataValidation>
        <x14:dataValidation type="list" allowBlank="1" showInputMessage="1" showErrorMessage="1" xr:uid="{1C7C7348-BA49-457F-B995-1355A0627E67}">
          <x14:formula1>
            <xm:f>'Inputs and assumptions'!$G$16:$G$20</xm:f>
          </x14:formula1>
          <xm:sqref>E7</xm:sqref>
        </x14:dataValidation>
        <x14:dataValidation type="list" allowBlank="1" showInputMessage="1" showErrorMessage="1" xr:uid="{B682E9B4-2B7B-4BF8-AC15-417029206275}">
          <x14:formula1>
            <xm:f>'Inputs and assumptions'!$H$23:$H$24</xm:f>
          </x14:formula1>
          <xm:sqref>E10</xm:sqref>
        </x14:dataValidation>
        <x14:dataValidation type="list" allowBlank="1" showInputMessage="1" showErrorMessage="1" xr:uid="{CE302657-A828-4D2E-9D1F-FD57EB71F941}">
          <x14:formula1>
            <xm:f>'Inputs and assumptions'!$H$27:$H$29</xm:f>
          </x14:formula1>
          <xm:sqref>E11</xm:sqref>
        </x14:dataValidation>
        <x14:dataValidation type="list" allowBlank="1" showInputMessage="1" showErrorMessage="1" xr:uid="{8B2205A7-9A03-44DB-A190-72241A750999}">
          <x14:formula1>
            <xm:f>'Inputs and assumptions'!$J$17:$J$18</xm:f>
          </x14:formula1>
          <xm:sqref>E43</xm:sqref>
        </x14:dataValidation>
        <x14:dataValidation type="list" allowBlank="1" showInputMessage="1" showErrorMessage="1" xr:uid="{C2F6B149-02C3-4D68-B550-88B3BC989285}">
          <x14:formula1>
            <xm:f>'Inputs and assumptions'!$H$31:$H$34</xm:f>
          </x14:formula1>
          <xm:sqref>E12</xm:sqref>
        </x14:dataValidation>
        <x14:dataValidation type="list" allowBlank="1" showInputMessage="1" showErrorMessage="1" xr:uid="{C4055E32-32C1-4A17-A4FA-950B3E516232}">
          <x14:formula1>
            <xm:f>'Inputs and assumptions'!$H$36:$H$40</xm:f>
          </x14:formula1>
          <xm:sqref>E13</xm:sqref>
        </x14:dataValidation>
        <x14:dataValidation type="list" allowBlank="1" showInputMessage="1" showErrorMessage="1" xr:uid="{8F60EDA9-69AA-49C8-A0A5-D2E5C5C16447}">
          <x14:formula1>
            <xm:f>'Inputs and assumptions'!$J$21:$J$24</xm:f>
          </x14:formula1>
          <xm:sqref>E14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CACA-E794-40E7-8423-38F4803BC83E}">
  <sheetPr>
    <tabColor theme="9"/>
  </sheetPr>
  <dimension ref="B1:H37"/>
  <sheetViews>
    <sheetView zoomScaleNormal="100" zoomScaleSheetLayoutView="70" workbookViewId="0"/>
  </sheetViews>
  <sheetFormatPr defaultColWidth="9.1796875" defaultRowHeight="13" x14ac:dyDescent="0.3"/>
  <cols>
    <col min="1" max="1" width="1" style="109" customWidth="1"/>
    <col min="2" max="2" width="9.1796875" style="109"/>
    <col min="3" max="3" width="82.1796875" style="109" bestFit="1" customWidth="1"/>
    <col min="4" max="4" width="12" style="109" bestFit="1" customWidth="1"/>
    <col min="5" max="5" width="17.7265625" style="169" customWidth="1"/>
    <col min="6" max="6" width="16" style="169" customWidth="1"/>
    <col min="7" max="7" width="32.1796875" style="285" bestFit="1" customWidth="1"/>
    <col min="8" max="8" width="12.26953125" style="109" customWidth="1"/>
    <col min="9" max="16384" width="9.1796875" style="109"/>
  </cols>
  <sheetData>
    <row r="1" spans="2:8" customFormat="1" ht="23.5" x14ac:dyDescent="0.55000000000000004">
      <c r="B1" s="512" t="s">
        <v>162</v>
      </c>
    </row>
    <row r="2" spans="2:8" customFormat="1" ht="14.5" x14ac:dyDescent="0.35">
      <c r="B2" t="s">
        <v>163</v>
      </c>
    </row>
    <row r="3" spans="2:8" customFormat="1" ht="14.5" x14ac:dyDescent="0.35"/>
    <row r="4" spans="2:8" s="154" customFormat="1" ht="19.5" customHeight="1" thickBot="1" x14ac:dyDescent="0.4">
      <c r="B4" s="337" t="s">
        <v>164</v>
      </c>
      <c r="C4" s="336" t="s">
        <v>165</v>
      </c>
      <c r="D4" s="337" t="s">
        <v>76</v>
      </c>
      <c r="E4" s="511" t="s">
        <v>22</v>
      </c>
      <c r="F4" s="511" t="s">
        <v>166</v>
      </c>
      <c r="G4" s="336" t="s">
        <v>10</v>
      </c>
      <c r="H4" s="336" t="s">
        <v>167</v>
      </c>
    </row>
    <row r="5" spans="2:8" ht="15" customHeight="1" x14ac:dyDescent="0.3">
      <c r="B5" s="279" t="s">
        <v>168</v>
      </c>
      <c r="C5" s="109" t="str" cm="1">
        <f t="array" aca="1" ref="C5" ca="1">INDIRECT(B5&amp; "!B2")</f>
        <v>Multi-functional overhead line prediction sensors</v>
      </c>
      <c r="D5" s="440" cm="1">
        <f t="array" aca="1" ref="D5" ca="1">INDIRECT(B5&amp; "!L18")</f>
        <v>3800000</v>
      </c>
      <c r="E5" s="441" cm="1">
        <f t="array" aca="1" ref="E5" ca="1">INDIRECT(B5&amp; "!I20")</f>
        <v>1.6060898648569766</v>
      </c>
      <c r="F5" s="441" cm="1">
        <f t="array" aca="1" ref="F5" ca="1">INDIRECT(B5&amp; "!I21")</f>
        <v>1.1073336779785801</v>
      </c>
      <c r="G5" s="285" t="str" cm="1">
        <f t="array" aca="1" ref="G5" ca="1">INDIRECT(B5&amp; "!E13")</f>
        <v>Emerging Technology Trials</v>
      </c>
      <c r="H5" s="442" cm="1">
        <f t="array" aca="1" ref="H5" ca="1">INDIRECT(B5&amp; "!E23")</f>
        <v>3.0500000000000003</v>
      </c>
    </row>
    <row r="6" spans="2:8" ht="15" customHeight="1" x14ac:dyDescent="0.3">
      <c r="B6" s="279" t="s">
        <v>169</v>
      </c>
      <c r="C6" s="109" t="str" cm="1">
        <f t="array" aca="1" ref="C6" ca="1">INDIRECT(B6&amp; "!B2")</f>
        <v>Fault Prediction Intelligence System</v>
      </c>
      <c r="D6" s="440" cm="1">
        <f t="array" aca="1" ref="D6" ca="1">INDIRECT(B6&amp; "!L18")</f>
        <v>950000</v>
      </c>
      <c r="E6" s="441" cm="1">
        <f t="array" aca="1" ref="E6" ca="1">INDIRECT(B6&amp; "!I20")</f>
        <v>2.0774486414958866</v>
      </c>
      <c r="F6" s="441" cm="1">
        <f t="array" aca="1" ref="F6" ca="1">INDIRECT(B6&amp; "!I21")</f>
        <v>1.4137015477407049</v>
      </c>
      <c r="G6" s="285" t="str" cm="1">
        <f t="array" aca="1" ref="G6" ca="1">INDIRECT(B6&amp; "!E13")</f>
        <v>Digital Transformation</v>
      </c>
      <c r="H6" s="442" cm="1">
        <f t="array" aca="1" ref="H6" ca="1">INDIRECT(B6&amp; "!E23")</f>
        <v>3.06</v>
      </c>
    </row>
    <row r="7" spans="2:8" ht="15" customHeight="1" x14ac:dyDescent="0.3">
      <c r="B7" s="279" t="s">
        <v>170</v>
      </c>
      <c r="C7" s="109" t="str" cm="1">
        <f t="array" aca="1" ref="C7" ca="1">INDIRECT(B7&amp; "!B2")</f>
        <v>Mobile hydrogen units for emergency response</v>
      </c>
      <c r="D7" s="440" cm="1">
        <f t="array" aca="1" ref="D7" ca="1">INDIRECT(B7&amp; "!L18")</f>
        <v>2125000</v>
      </c>
      <c r="E7" s="441" cm="1">
        <f t="array" aca="1" ref="E7" ca="1">INDIRECT(B7&amp; "!I20")</f>
        <v>1.7489469026057964</v>
      </c>
      <c r="F7" s="441" cm="1">
        <f t="array" aca="1" ref="F7" ca="1">INDIRECT(B7&amp; "!I21")</f>
        <v>1.2861227420160342</v>
      </c>
      <c r="G7" s="285" t="str" cm="1">
        <f t="array" aca="1" ref="G7" ca="1">INDIRECT(B7&amp; "!E13")</f>
        <v>Emerging Technology Trials</v>
      </c>
      <c r="H7" s="442" cm="1">
        <f t="array" aca="1" ref="H7" ca="1">INDIRECT(B7&amp; "!E23")</f>
        <v>3.3999999999999995</v>
      </c>
    </row>
    <row r="8" spans="2:8" ht="15" customHeight="1" x14ac:dyDescent="0.3">
      <c r="B8" s="279" t="s">
        <v>171</v>
      </c>
      <c r="C8" s="109" t="str" cm="1">
        <f t="array" aca="1" ref="C8" ca="1">INDIRECT(B8&amp; "!B2")</f>
        <v>Low loss asset trials - transformers &amp; reactors</v>
      </c>
      <c r="D8" s="440" cm="1">
        <f t="array" aca="1" ref="D8" ca="1">INDIRECT(B8&amp; "!L18")</f>
        <v>1500000</v>
      </c>
      <c r="E8" s="441" cm="1">
        <f t="array" aca="1" ref="E8" ca="1">INDIRECT(B8&amp; "!I20")</f>
        <v>8.241213084249555</v>
      </c>
      <c r="F8" s="441" cm="1">
        <f t="array" aca="1" ref="F8" ca="1">INDIRECT(B8&amp; "!I21")</f>
        <v>5.4941420561663694</v>
      </c>
      <c r="G8" s="285" t="str" cm="1">
        <f t="array" aca="1" ref="G8" ca="1">INDIRECT(B8&amp; "!E13")</f>
        <v>Emerging Technology Trials</v>
      </c>
      <c r="H8" s="442" cm="1">
        <f t="array" aca="1" ref="H8" ca="1">INDIRECT(B8&amp; "!E23")</f>
        <v>2.23</v>
      </c>
    </row>
    <row r="9" spans="2:8" ht="15" customHeight="1" x14ac:dyDescent="0.3">
      <c r="B9" s="279" t="s">
        <v>172</v>
      </c>
      <c r="C9" s="109" t="str" cm="1">
        <f t="array" aca="1" ref="C9" ca="1">INDIRECT(B9&amp; "!B2")</f>
        <v>Low loss asset trials - cables and line designs</v>
      </c>
      <c r="D9" s="440" cm="1">
        <f t="array" aca="1" ref="D9" ca="1">INDIRECT(B9&amp; "!L18")</f>
        <v>1500000</v>
      </c>
      <c r="E9" s="441" cm="1">
        <f t="array" aca="1" ref="E9" ca="1">INDIRECT(B9&amp; "!I20")</f>
        <v>8.0273295008805032</v>
      </c>
      <c r="F9" s="441" cm="1">
        <f t="array" aca="1" ref="F9" ca="1">INDIRECT(B9&amp; "!I21")</f>
        <v>5.3515530005870025</v>
      </c>
      <c r="G9" s="285" t="str" cm="1">
        <f t="array" aca="1" ref="G9" ca="1">INDIRECT(B9&amp; "!E13")</f>
        <v>Emerging Technology Trials</v>
      </c>
      <c r="H9" s="442" cm="1">
        <f t="array" aca="1" ref="H9" ca="1">INDIRECT(B9&amp; "!E23")</f>
        <v>2.23</v>
      </c>
    </row>
    <row r="10" spans="2:8" ht="15" customHeight="1" x14ac:dyDescent="0.3">
      <c r="B10" s="279" t="s">
        <v>173</v>
      </c>
      <c r="C10" s="109" t="str" cm="1">
        <f t="array" aca="1" ref="C10" ca="1">INDIRECT(B10&amp; "!B2")</f>
        <v>Closed Loop Voltage Regulation and Optimisation Control System</v>
      </c>
      <c r="D10" s="440" cm="1">
        <f t="array" aca="1" ref="D10" ca="1">INDIRECT(B10&amp; "!L18")</f>
        <v>1900000</v>
      </c>
      <c r="E10" s="441" cm="1">
        <f t="array" aca="1" ref="E10" ca="1">INDIRECT(B10&amp; "!I20")</f>
        <v>4.1488345184252102</v>
      </c>
      <c r="F10" s="441" cm="1">
        <f t="array" aca="1" ref="F10" ca="1">INDIRECT(B10&amp; "!I21")</f>
        <v>2.823093826027931</v>
      </c>
      <c r="G10" s="285" t="str" cm="1">
        <f t="array" aca="1" ref="G10" ca="1">INDIRECT(B10&amp; "!E13")</f>
        <v>Dynamic &amp; Flexible Network Operation</v>
      </c>
      <c r="H10" s="442" cm="1">
        <f t="array" aca="1" ref="H10" ca="1">INDIRECT(B10&amp; "!E23")</f>
        <v>3.1100000000000003</v>
      </c>
    </row>
    <row r="11" spans="2:8" ht="15" customHeight="1" x14ac:dyDescent="0.3">
      <c r="B11" s="279" t="s">
        <v>174</v>
      </c>
      <c r="C11" s="109" t="str" cm="1">
        <f t="array" aca="1" ref="C11" ca="1">INDIRECT(B11&amp; "!B2")</f>
        <v>Low embodied carbon asset trial - SF6 alternatives</v>
      </c>
      <c r="D11" s="440" cm="1">
        <f t="array" aca="1" ref="D11" ca="1">INDIRECT(B11&amp; "!L18")</f>
        <v>750000</v>
      </c>
      <c r="E11" s="441" cm="1">
        <f t="array" aca="1" ref="E11" ca="1">INDIRECT(B11&amp; "!I20")</f>
        <v>4.7858425753214373</v>
      </c>
      <c r="F11" s="441" cm="1">
        <f t="array" aca="1" ref="F11" ca="1">INDIRECT(B11&amp; "!I21")</f>
        <v>3.1905617168809584</v>
      </c>
      <c r="G11" s="285" t="str" cm="1">
        <f t="array" aca="1" ref="G11" ca="1">INDIRECT(B11&amp; "!E13")</f>
        <v>Emerging Technology Trials</v>
      </c>
      <c r="H11" s="442" cm="1">
        <f t="array" aca="1" ref="H11" ca="1">INDIRECT(B11&amp; "!E23")</f>
        <v>2.23</v>
      </c>
    </row>
    <row r="12" spans="2:8" ht="15" customHeight="1" x14ac:dyDescent="0.3">
      <c r="B12" s="279" t="s">
        <v>175</v>
      </c>
      <c r="C12" s="109" t="str" cm="1">
        <f t="array" aca="1" ref="C12" ca="1">INDIRECT(B12&amp; "!B2")</f>
        <v>Low embodied carbon asset trial - Polypropylene cables</v>
      </c>
      <c r="D12" s="440" cm="1">
        <f t="array" aca="1" ref="D12" ca="1">INDIRECT(B12&amp; "!L18")</f>
        <v>750000</v>
      </c>
      <c r="E12" s="441" cm="1">
        <f t="array" aca="1" ref="E12" ca="1">INDIRECT(B12&amp; "!I20")</f>
        <v>2.292921287660719</v>
      </c>
      <c r="F12" s="441" cm="1">
        <f t="array" aca="1" ref="F12" ca="1">INDIRECT(B12&amp; "!I21")</f>
        <v>1.5286141917738125</v>
      </c>
      <c r="G12" s="285" t="str" cm="1">
        <f t="array" aca="1" ref="G12" ca="1">INDIRECT(B12&amp; "!E13")</f>
        <v>Emerging Technology Trials</v>
      </c>
      <c r="H12" s="442" cm="1">
        <f t="array" aca="1" ref="H12" ca="1">INDIRECT(B12&amp; "!E23")</f>
        <v>2.23</v>
      </c>
    </row>
    <row r="13" spans="2:8" ht="15" customHeight="1" x14ac:dyDescent="0.3">
      <c r="B13" s="279" t="s">
        <v>176</v>
      </c>
      <c r="C13" s="109" t="str" cm="1">
        <f t="array" aca="1" ref="C13" ca="1">INDIRECT(B13&amp; "!B2")</f>
        <v>Pilot CER integration for OT systems</v>
      </c>
      <c r="D13" s="556">
        <f>'PR023+PR026'!L18</f>
        <v>1900000</v>
      </c>
      <c r="E13" s="557">
        <f>'PR023+PR026'!I20</f>
        <v>3.0336642731430055</v>
      </c>
      <c r="F13" s="557">
        <f>'PR023+PR026'!I21</f>
        <v>2.0642710239988848</v>
      </c>
      <c r="G13" s="285" t="str" cm="1">
        <f t="array" aca="1" ref="G13" ca="1">INDIRECT(B13&amp; "!E13")</f>
        <v>Dynamic &amp; Flexible Network Operation</v>
      </c>
      <c r="H13" s="442" cm="1">
        <f t="array" aca="1" ref="H13" ca="1">INDIRECT(B13&amp; "!E23")</f>
        <v>3.17</v>
      </c>
    </row>
    <row r="14" spans="2:8" ht="15" customHeight="1" x14ac:dyDescent="0.3">
      <c r="B14" s="279" t="s">
        <v>177</v>
      </c>
      <c r="C14" s="109" t="str" cm="1">
        <f t="array" aca="1" ref="C14" ca="1">INDIRECT(B14&amp; "!B2")</f>
        <v>Advanced load and generation information system</v>
      </c>
      <c r="D14" s="556"/>
      <c r="E14" s="557"/>
      <c r="F14" s="557"/>
      <c r="G14" s="285" t="str" cm="1">
        <f t="array" aca="1" ref="G14" ca="1">INDIRECT(B14&amp; "!E13")</f>
        <v>Dynamic &amp; Flexible Network Planning</v>
      </c>
      <c r="H14" s="442" cm="1">
        <f t="array" aca="1" ref="H14" ca="1">INDIRECT(B14&amp; "!E23")</f>
        <v>2.8200000000000003</v>
      </c>
    </row>
    <row r="15" spans="2:8" ht="15" customHeight="1" x14ac:dyDescent="0.3">
      <c r="B15" s="279" t="s">
        <v>178</v>
      </c>
      <c r="C15" s="109" t="str" cm="1">
        <f t="array" aca="1" ref="C15" ca="1">INDIRECT(B15&amp; "!B2")</f>
        <v>Network state estimator using machine learning</v>
      </c>
      <c r="D15" s="440" cm="1">
        <f t="array" aca="1" ref="D15" ca="1">INDIRECT(B15&amp; "!L18")</f>
        <v>2100000</v>
      </c>
      <c r="E15" s="441" cm="1">
        <f t="array" aca="1" ref="E15" ca="1">INDIRECT(B15&amp; "!I20")</f>
        <v>3.1591271283534552</v>
      </c>
      <c r="F15" s="441" cm="1">
        <f t="array" aca="1" ref="F15" ca="1">INDIRECT(B15&amp; "!I21")</f>
        <v>2.1449996530749744</v>
      </c>
      <c r="G15" s="285" t="str" cm="1">
        <f t="array" aca="1" ref="G15" ca="1">INDIRECT(B15&amp; "!E13")</f>
        <v>Dynamic &amp; Flexible Network Planning</v>
      </c>
      <c r="H15" s="442" cm="1">
        <f t="array" aca="1" ref="H15" ca="1">INDIRECT(B15&amp; "!E23")</f>
        <v>3.82</v>
      </c>
    </row>
    <row r="16" spans="2:8" ht="15" customHeight="1" x14ac:dyDescent="0.3">
      <c r="B16" s="279" t="s">
        <v>179</v>
      </c>
      <c r="C16" s="109" t="str" cm="1">
        <f t="array" aca="1" ref="C16" ca="1">INDIRECT(B16&amp; "!B2")</f>
        <v>Dynamic ratings calculation system for local weather</v>
      </c>
      <c r="D16" s="440" cm="1">
        <f t="array" aca="1" ref="D16" ca="1">INDIRECT(B16&amp; "!L18")</f>
        <v>950000</v>
      </c>
      <c r="E16" s="441" cm="1">
        <f t="array" aca="1" ref="E16" ca="1">INDIRECT(B16&amp; "!I20")</f>
        <v>4.2096233025779606</v>
      </c>
      <c r="F16" s="441" cm="1">
        <f t="array" aca="1" ref="F16" ca="1">INDIRECT(B16&amp; "!I21")</f>
        <v>2.864457838130904</v>
      </c>
      <c r="G16" s="285" t="str" cm="1">
        <f t="array" aca="1" ref="G16" ca="1">INDIRECT(B16&amp; "!E13")</f>
        <v>Dynamic &amp; Flexible Network Operation</v>
      </c>
      <c r="H16" s="442" cm="1">
        <f t="array" aca="1" ref="H16" ca="1">INDIRECT(B16&amp; "!E23")</f>
        <v>2.8899999999999997</v>
      </c>
    </row>
    <row r="17" spans="2:8" ht="15" customHeight="1" x14ac:dyDescent="0.3">
      <c r="B17" s="279" t="s">
        <v>180</v>
      </c>
      <c r="C17" s="109" t="str" cm="1">
        <f t="array" aca="1" ref="C17" ca="1">INDIRECT(B17&amp; "!B2")</f>
        <v>Micro-climate monitoring to manage intermittent generation</v>
      </c>
      <c r="D17" s="440" cm="1">
        <f t="array" aca="1" ref="D17" ca="1">INDIRECT(B17&amp; "!L18")</f>
        <v>240000</v>
      </c>
      <c r="E17" s="441" cm="1">
        <f t="array" aca="1" ref="E17" ca="1">INDIRECT(B17&amp; "!I20")</f>
        <v>4.0810960936116709</v>
      </c>
      <c r="F17" s="441" cm="1">
        <f t="array" aca="1" ref="F17" ca="1">INDIRECT(B17&amp; "!I21")</f>
        <v>3.1085870103651252</v>
      </c>
      <c r="G17" s="285" t="str" cm="1">
        <f t="array" aca="1" ref="G17" ca="1">INDIRECT(B17&amp; "!E13")</f>
        <v>Dynamic &amp; Flexible Network Operation</v>
      </c>
      <c r="H17" s="442" cm="1">
        <f t="array" aca="1" ref="H17" ca="1">INDIRECT(B17&amp; "!E23")</f>
        <v>3.17</v>
      </c>
    </row>
    <row r="18" spans="2:8" ht="15" customHeight="1" x14ac:dyDescent="0.3">
      <c r="B18" s="279" t="s">
        <v>181</v>
      </c>
      <c r="C18" s="109" t="str" cm="1">
        <f t="array" aca="1" ref="C18" ca="1">INDIRECT(B18&amp; "!B2")</f>
        <v>Low cost automated low voltage switch trial</v>
      </c>
      <c r="D18" s="556">
        <f>'PR031+PR035'!L18</f>
        <v>2400000</v>
      </c>
      <c r="E18" s="557">
        <f>'PR031+PR035'!I20</f>
        <v>7.8728293225671209</v>
      </c>
      <c r="F18" s="557">
        <f>'PR031+PR035'!I21</f>
        <v>5.2938293430625301</v>
      </c>
      <c r="G18" s="285" t="str" cm="1">
        <f t="array" aca="1" ref="G18" ca="1">INDIRECT(B18&amp; "!E13")</f>
        <v>Emerging Technology Trials</v>
      </c>
      <c r="H18" s="442" cm="1">
        <f t="array" aca="1" ref="H18" ca="1">INDIRECT(B18&amp; "!E23")</f>
        <v>2.8200000000000003</v>
      </c>
    </row>
    <row r="19" spans="2:8" ht="15" customHeight="1" x14ac:dyDescent="0.3">
      <c r="B19" s="279" t="s">
        <v>182</v>
      </c>
      <c r="C19" s="109" t="str" cm="1">
        <f t="array" aca="1" ref="C19" ca="1">INDIRECT(B19&amp; "!B2")</f>
        <v>Dynamic network sectionalising and optimisation engine</v>
      </c>
      <c r="D19" s="556"/>
      <c r="E19" s="557"/>
      <c r="F19" s="557"/>
      <c r="G19" s="285" t="str" cm="1">
        <f t="array" aca="1" ref="G19" ca="1">INDIRECT(B19&amp; "!E13")</f>
        <v>Dynamic &amp; Flexible Network Operation</v>
      </c>
      <c r="H19" s="442" cm="1">
        <f t="array" aca="1" ref="H19" ca="1">INDIRECT(B19&amp; "!E23")</f>
        <v>2.7199999999999998</v>
      </c>
    </row>
    <row r="20" spans="2:8" ht="15" customHeight="1" x14ac:dyDescent="0.3">
      <c r="B20" s="279" t="s">
        <v>183</v>
      </c>
      <c r="C20" s="109" t="str" cm="1">
        <f t="array" aca="1" ref="C20" ca="1">INDIRECT(B20&amp; "!B2")</f>
        <v>Pilot high accuracy underground cable safety &amp; fault prediction monitors</v>
      </c>
      <c r="D20" s="440" cm="1">
        <f t="array" aca="1" ref="D20" ca="1">INDIRECT(B20&amp; "!L18")</f>
        <v>900000</v>
      </c>
      <c r="E20" s="441" cm="1">
        <f t="array" aca="1" ref="E20" ca="1">INDIRECT(B20&amp; "!I20")</f>
        <v>5.0107783886404755</v>
      </c>
      <c r="F20" s="441" cm="1">
        <f t="array" aca="1" ref="F20" ca="1">INDIRECT(B20&amp; "!I21")</f>
        <v>3.3548196180593042</v>
      </c>
      <c r="G20" s="285" t="str" cm="1">
        <f t="array" aca="1" ref="G20" ca="1">INDIRECT(B20&amp; "!E13")</f>
        <v>Emerging Technology Trials</v>
      </c>
      <c r="H20" s="442" cm="1">
        <f t="array" aca="1" ref="H20" ca="1">INDIRECT(B20&amp; "!E23")</f>
        <v>2.7</v>
      </c>
    </row>
    <row r="21" spans="2:8" ht="15" customHeight="1" x14ac:dyDescent="0.3">
      <c r="B21" s="279" t="s">
        <v>184</v>
      </c>
      <c r="C21" s="109" t="str" cm="1">
        <f t="array" aca="1" ref="C21" ca="1">INDIRECT(B21&amp; "!B2")</f>
        <v>Wires down detection device trials</v>
      </c>
      <c r="D21" s="440" cm="1">
        <f t="array" aca="1" ref="D21" ca="1">INDIRECT(B21&amp; "!L18")</f>
        <v>5700000</v>
      </c>
      <c r="E21" s="441" cm="1">
        <f t="array" aca="1" ref="E21" ca="1">INDIRECT(B21&amp; "!I20")</f>
        <v>2.2065204619358205</v>
      </c>
      <c r="F21" s="441" cm="1">
        <f t="array" aca="1" ref="F21" ca="1">INDIRECT(B21&amp; "!I21")</f>
        <v>1.524610775434931</v>
      </c>
      <c r="G21" s="285" t="str" cm="1">
        <f t="array" aca="1" ref="G21" ca="1">INDIRECT(B21&amp; "!E13")</f>
        <v>Emerging Technology Trials</v>
      </c>
      <c r="H21" s="442" cm="1">
        <f t="array" aca="1" ref="H21" ca="1">INDIRECT(B21&amp; "!E23")</f>
        <v>2.8699999999999997</v>
      </c>
    </row>
    <row r="22" spans="2:8" ht="15" customHeight="1" x14ac:dyDescent="0.3">
      <c r="B22" s="279" t="s">
        <v>185</v>
      </c>
      <c r="C22" s="109" t="str" cm="1">
        <f t="array" aca="1" ref="C22" ca="1">INDIRECT(B22&amp; "!B2")</f>
        <v>AI driven defect identification trial</v>
      </c>
      <c r="D22" s="440" cm="1">
        <f t="array" aca="1" ref="D22" ca="1">INDIRECT(B22&amp; "!L18")</f>
        <v>475000</v>
      </c>
      <c r="E22" s="441" cm="1">
        <f t="array" aca="1" ref="E22" ca="1">INDIRECT(B22&amp; "!I20")</f>
        <v>3.3081847529243329</v>
      </c>
      <c r="F22" s="441" cm="1">
        <f t="array" aca="1" ref="F22" ca="1">INDIRECT(B22&amp; "!I21")</f>
        <v>2.2510697666691666</v>
      </c>
      <c r="G22" s="285" t="str" cm="1">
        <f t="array" aca="1" ref="G22" ca="1">INDIRECT(B22&amp; "!E13")</f>
        <v>Digital Transformation</v>
      </c>
      <c r="H22" s="442" cm="1">
        <f t="array" aca="1" ref="H22" ca="1">INDIRECT(B22&amp; "!E23")</f>
        <v>2.88</v>
      </c>
    </row>
    <row r="23" spans="2:8" ht="15" customHeight="1" x14ac:dyDescent="0.3">
      <c r="B23" s="279" t="s">
        <v>186</v>
      </c>
      <c r="C23" s="109" t="str" cm="1">
        <f t="array" aca="1" ref="C23" ca="1">INDIRECT(B23&amp; "!B2")</f>
        <v>Advanced smart meter services integration for resilient load management</v>
      </c>
      <c r="D23" s="440" cm="1">
        <f t="array" aca="1" ref="D23" ca="1">INDIRECT(B23&amp; "!L18")</f>
        <v>850000</v>
      </c>
      <c r="E23" s="441" cm="1">
        <f t="array" aca="1" ref="E23" ca="1">INDIRECT(B23&amp; "!I20")</f>
        <v>1.5590781089688657</v>
      </c>
      <c r="F23" s="441" cm="1">
        <f t="array" aca="1" ref="F23" ca="1">INDIRECT(B23&amp; "!I21")</f>
        <v>1.1050693330088643</v>
      </c>
      <c r="G23" s="285" t="str" cm="1">
        <f t="array" aca="1" ref="G23" ca="1">INDIRECT(B23&amp; "!E13")</f>
        <v>Dynamic &amp; Flexible Network Operation</v>
      </c>
      <c r="H23" s="442" cm="1">
        <f t="array" aca="1" ref="H23" ca="1">INDIRECT(B23&amp; "!E23")</f>
        <v>2.6399999999999997</v>
      </c>
    </row>
    <row r="24" spans="2:8" ht="15" customHeight="1" x14ac:dyDescent="0.3">
      <c r="B24" s="279" t="s">
        <v>187</v>
      </c>
      <c r="C24" s="109" t="str" cm="1">
        <f t="array" aca="1" ref="C24" ca="1">INDIRECT(B24&amp; "!B2")</f>
        <v>Advanced smart meter data integration for flexible load management</v>
      </c>
      <c r="D24" s="556">
        <f>'PR043+PR105'!L18</f>
        <v>1375000</v>
      </c>
      <c r="E24" s="557">
        <f>'PR043+PR105'!I20</f>
        <v>4.101932860798704</v>
      </c>
      <c r="F24" s="557">
        <f>'PR043+PR105'!I21</f>
        <v>2.8294590977667355</v>
      </c>
      <c r="G24" s="285" t="str" cm="1">
        <f t="array" aca="1" ref="G24" ca="1">INDIRECT(B24&amp; "!E13")</f>
        <v>Dynamic &amp; Flexible Network Operation</v>
      </c>
      <c r="H24" s="442" cm="1">
        <f t="array" aca="1" ref="H24" ca="1">INDIRECT(B24&amp; "!E23")</f>
        <v>2.6399999999999997</v>
      </c>
    </row>
    <row r="25" spans="2:8" ht="15" customHeight="1" x14ac:dyDescent="0.3">
      <c r="B25" s="279" t="s">
        <v>188</v>
      </c>
      <c r="C25" s="109" t="str" cm="1">
        <f t="array" aca="1" ref="C25" ca="1">INDIRECT(B25&amp; "!B2")</f>
        <v>Dynamic controlled load management system</v>
      </c>
      <c r="D25" s="556"/>
      <c r="E25" s="557"/>
      <c r="F25" s="557"/>
      <c r="G25" s="285" t="str" cm="1">
        <f t="array" aca="1" ref="G25" ca="1">INDIRECT(B25&amp; "!E13")</f>
        <v>Dynamic &amp; Flexible Network Operation</v>
      </c>
      <c r="H25" s="442" cm="1">
        <f t="array" aca="1" ref="H25" ca="1">INDIRECT(B25&amp; "!E23")</f>
        <v>2.94</v>
      </c>
    </row>
    <row r="26" spans="2:8" ht="15" customHeight="1" x14ac:dyDescent="0.3">
      <c r="B26" s="279" t="s">
        <v>189</v>
      </c>
      <c r="C26" s="109" t="str" cm="1">
        <f t="array" aca="1" ref="C26" ca="1">INDIRECT(B26&amp; "!B2")</f>
        <v>Flexible network configuration trial using PMUs</v>
      </c>
      <c r="D26" s="556">
        <f>'PR049+PR084'!L18</f>
        <v>3825000</v>
      </c>
      <c r="E26" s="557">
        <f>'PR049+PR084'!I20</f>
        <v>2.2432493295253182</v>
      </c>
      <c r="F26" s="557">
        <f>'PR049+PR084'!I21</f>
        <v>1.5630890605558232</v>
      </c>
      <c r="G26" s="285" t="str" cm="1">
        <f t="array" aca="1" ref="G26" ca="1">INDIRECT(B26&amp; "!E13")</f>
        <v>Dynamic &amp; Flexible Network Operation</v>
      </c>
      <c r="H26" s="442" cm="1">
        <f t="array" aca="1" ref="H26" ca="1">INDIRECT(B26&amp; "!E23")</f>
        <v>2.36</v>
      </c>
    </row>
    <row r="27" spans="2:8" ht="15" customHeight="1" x14ac:dyDescent="0.3">
      <c r="B27" s="279" t="s">
        <v>190</v>
      </c>
      <c r="C27" s="109" t="str" cm="1">
        <f t="array" aca="1" ref="C27" ca="1">INDIRECT(B27&amp; "!B2")</f>
        <v>Smart Islanding for community resilience</v>
      </c>
      <c r="D27" s="556"/>
      <c r="E27" s="557"/>
      <c r="F27" s="557"/>
      <c r="G27" s="285" t="str" cm="1">
        <f t="array" aca="1" ref="G27" ca="1">INDIRECT(B27&amp; "!E13")</f>
        <v>Dynamic &amp; Flexible Network Operation</v>
      </c>
      <c r="H27" s="442" cm="1">
        <f t="array" aca="1" ref="H27" ca="1">INDIRECT(B27&amp; "!E23")</f>
        <v>2.7199999999999998</v>
      </c>
    </row>
    <row r="28" spans="2:8" ht="15" customHeight="1" x14ac:dyDescent="0.3">
      <c r="B28" s="279" t="s">
        <v>191</v>
      </c>
      <c r="C28" s="109" t="str" cm="1">
        <f t="array" aca="1" ref="C28" ca="1">INDIRECT(B28&amp; "!B2")</f>
        <v>Digitalising brownfield zone substations to manage bi-directional energy flows</v>
      </c>
      <c r="D28" s="440" cm="1">
        <f t="array" aca="1" ref="D28" ca="1">INDIRECT(B28&amp; "!L18")</f>
        <v>2259000</v>
      </c>
      <c r="E28" s="441" cm="1">
        <f t="array" aca="1" ref="E28" ca="1">INDIRECT(B28&amp; "!I20")</f>
        <v>2.277192337829709</v>
      </c>
      <c r="F28" s="441" cm="1">
        <f t="array" aca="1" ref="F28" ca="1">INDIRECT(B28&amp; "!I21")</f>
        <v>1.5276486130593103</v>
      </c>
      <c r="G28" s="285" t="str" cm="1">
        <f t="array" aca="1" ref="G28" ca="1">INDIRECT(B28&amp; "!E13")</f>
        <v>Digital Transformation</v>
      </c>
      <c r="H28" s="442" cm="1">
        <f t="array" aca="1" ref="H28" ca="1">INDIRECT(B28&amp; "!E23")</f>
        <v>2.5300000000000002</v>
      </c>
    </row>
    <row r="29" spans="2:8" ht="15" customHeight="1" x14ac:dyDescent="0.3">
      <c r="B29" s="279" t="s">
        <v>192</v>
      </c>
      <c r="C29" s="109" t="str" cm="1">
        <f t="array" aca="1" ref="C29" ca="1">INDIRECT(B29&amp; "!B2")</f>
        <v>Responsive feeder level load shedding schemes (UFLS)</v>
      </c>
      <c r="D29" s="440" cm="1">
        <f t="array" aca="1" ref="D29" ca="1">INDIRECT(B29&amp; "!L18")</f>
        <v>1900000</v>
      </c>
      <c r="E29" s="441" cm="1">
        <f t="array" aca="1" ref="E29" ca="1">INDIRECT(B29&amp; "!I20")</f>
        <v>3.3275338711973173</v>
      </c>
      <c r="F29" s="441" cm="1">
        <f t="array" aca="1" ref="F29" ca="1">INDIRECT(B29&amp; "!I21")</f>
        <v>2.2993195510284035</v>
      </c>
      <c r="G29" s="285" t="str" cm="1">
        <f t="array" aca="1" ref="G29" ca="1">INDIRECT(B29&amp; "!E13")</f>
        <v>Dynamic &amp; Flexible Network Operation</v>
      </c>
      <c r="H29" s="442" cm="1">
        <f t="array" aca="1" ref="H29" ca="1">INDIRECT(B29&amp; "!E23")</f>
        <v>2.7199999999999993</v>
      </c>
    </row>
    <row r="30" spans="2:8" ht="15" customHeight="1" x14ac:dyDescent="0.3">
      <c r="B30" s="279" t="s">
        <v>193</v>
      </c>
      <c r="C30" s="109" t="str" cm="1">
        <f t="array" aca="1" ref="C30" ca="1">INDIRECT(B30&amp; "!B2")</f>
        <v>MV cable partial discharge monitoring</v>
      </c>
      <c r="D30" s="440" cm="1">
        <f t="array" aca="1" ref="D30" ca="1">INDIRECT(B30&amp; "!L18")</f>
        <v>950000.01</v>
      </c>
      <c r="E30" s="441" cm="1">
        <f t="array" aca="1" ref="E30" ca="1">INDIRECT(B30&amp; "!I20")</f>
        <v>3.2430683257995296</v>
      </c>
      <c r="F30" s="441" cm="1">
        <f t="array" aca="1" ref="F30" ca="1">INDIRECT(B30&amp; "!I21")</f>
        <v>2.2431227182163087</v>
      </c>
      <c r="G30" s="285" t="str" cm="1">
        <f t="array" aca="1" ref="G30" ca="1">INDIRECT(B30&amp; "!E13")</f>
        <v>Emerging Technology Trials</v>
      </c>
      <c r="H30" s="442" cm="1">
        <f t="array" aca="1" ref="H30" ca="1">INDIRECT(B30&amp; "!E23")</f>
        <v>2.8800000000000003</v>
      </c>
    </row>
    <row r="31" spans="2:8" ht="15" customHeight="1" x14ac:dyDescent="0.3">
      <c r="B31" s="279" t="s">
        <v>194</v>
      </c>
      <c r="C31" s="109" t="str" cm="1">
        <f t="array" aca="1" ref="C31" ca="1">INDIRECT(B31&amp; "!B2")</f>
        <v>Trial ultra-sonic discharge detection devices</v>
      </c>
      <c r="D31" s="440" cm="1">
        <f t="array" aca="1" ref="D31" ca="1">INDIRECT(B31&amp; "!L18")</f>
        <v>425000</v>
      </c>
      <c r="E31" s="441" cm="1">
        <f t="array" aca="1" ref="E31" ca="1">INDIRECT(B31&amp; "!I20")</f>
        <v>3.0691480192072058</v>
      </c>
      <c r="F31" s="441" cm="1">
        <f t="array" aca="1" ref="F31" ca="1">INDIRECT(B31&amp; "!I21")</f>
        <v>2.2663261837086837</v>
      </c>
      <c r="G31" s="285" t="str" cm="1">
        <f t="array" aca="1" ref="G31" ca="1">INDIRECT(B31&amp; "!E13")</f>
        <v>Emerging Technology Trials</v>
      </c>
      <c r="H31" s="442" cm="1">
        <f t="array" aca="1" ref="H31" ca="1">INDIRECT(B31&amp; "!E23")</f>
        <v>2.8800000000000003</v>
      </c>
    </row>
    <row r="32" spans="2:8" ht="15" customHeight="1" x14ac:dyDescent="0.3">
      <c r="B32" s="279" t="s">
        <v>195</v>
      </c>
      <c r="C32" s="109" t="str" cm="1">
        <f t="array" aca="1" ref="C32" ca="1">INDIRECT(B32&amp; "!B2")</f>
        <v>Barriers to electrification field trial</v>
      </c>
      <c r="D32" s="440" cm="1">
        <f t="array" aca="1" ref="D32" ca="1">INDIRECT(B32&amp; "!L18")</f>
        <v>1500000</v>
      </c>
      <c r="E32" s="441" cm="1">
        <f t="array" aca="1" ref="E32" ca="1">INDIRECT(B32&amp; "!I20")</f>
        <v>1.6249226585297105</v>
      </c>
      <c r="F32" s="441" cm="1">
        <f t="array" aca="1" ref="F32" ca="1">INDIRECT(B32&amp; "!I21")</f>
        <v>1.0832817723531403</v>
      </c>
      <c r="G32" s="285" t="str" cm="1">
        <f t="array" aca="1" ref="G32" ca="1">INDIRECT(B32&amp; "!E13")</f>
        <v>Emerging Technology Trials</v>
      </c>
      <c r="H32" s="442" cm="1">
        <f t="array" aca="1" ref="H32" ca="1">INDIRECT(B32&amp; "!E23")</f>
        <v>3.9399999999999995</v>
      </c>
    </row>
    <row r="33" spans="2:8" ht="15" customHeight="1" x14ac:dyDescent="0.3">
      <c r="B33" s="279" t="s">
        <v>196</v>
      </c>
      <c r="C33" s="109" t="str" cm="1">
        <f t="array" aca="1" ref="C33" ca="1">INDIRECT(B33&amp; "!B2")</f>
        <v>Bushfire risk mitigation wooden pole wraps</v>
      </c>
      <c r="D33" s="440" cm="1">
        <f t="array" aca="1" ref="D33" ca="1">INDIRECT(B33&amp; "!L18")</f>
        <v>285000</v>
      </c>
      <c r="E33" s="441" cm="1">
        <f t="array" aca="1" ref="E33" ca="1">INDIRECT(B33&amp; "!I20")</f>
        <v>3.7629648922470755</v>
      </c>
      <c r="F33" s="441" cm="1">
        <f t="array" aca="1" ref="F33" ca="1">INDIRECT(B33&amp; "!I21")</f>
        <v>2.5086432614980501</v>
      </c>
      <c r="G33" s="285" t="str" cm="1">
        <f t="array" aca="1" ref="G33" ca="1">INDIRECT(B33&amp; "!E13")</f>
        <v>Emerging Technology Trials</v>
      </c>
      <c r="H33" s="442" cm="1">
        <f t="array" aca="1" ref="H33" ca="1">INDIRECT(B33&amp; "!E23")</f>
        <v>3.24</v>
      </c>
    </row>
    <row r="34" spans="2:8" ht="15" customHeight="1" x14ac:dyDescent="0.3">
      <c r="B34" s="279" t="s">
        <v>197</v>
      </c>
      <c r="C34" s="109" t="str" cm="1">
        <f t="array" aca="1" ref="C34" ca="1">INDIRECT(B34&amp; "!B2")</f>
        <v>Advanced distribution substation monitoring for brownfield sites (increase utility of existing assets)</v>
      </c>
      <c r="D34" s="440" cm="1">
        <f t="array" aca="1" ref="D34" ca="1">INDIRECT(B34&amp; "!L18")</f>
        <v>1750000</v>
      </c>
      <c r="E34" s="441" cm="1">
        <f t="array" aca="1" ref="E34" ca="1">INDIRECT(B34&amp; "!I20")</f>
        <v>1.8633567396749855</v>
      </c>
      <c r="F34" s="441" cm="1">
        <f t="array" aca="1" ref="F34" ca="1">INDIRECT(B34&amp; "!I21")</f>
        <v>1.2422378264499905</v>
      </c>
      <c r="G34" s="285" t="str" cm="1">
        <f t="array" aca="1" ref="G34" ca="1">INDIRECT(B34&amp; "!E13")</f>
        <v>Emerging Technology Trials</v>
      </c>
      <c r="H34" s="442" cm="1">
        <f t="array" aca="1" ref="H34" ca="1">INDIRECT(B34&amp; "!E23")</f>
        <v>2.88</v>
      </c>
    </row>
    <row r="35" spans="2:8" ht="15" customHeight="1" x14ac:dyDescent="0.3">
      <c r="B35" s="338" t="s">
        <v>198</v>
      </c>
      <c r="C35" s="485" t="str" cm="1">
        <f t="array" aca="1" ref="C35" ca="1">INDIRECT(B35&amp; "!B2")</f>
        <v>Heavy vehicle electrification - Ausgrid fleet trial</v>
      </c>
      <c r="D35" s="339" cm="1">
        <f t="array" aca="1" ref="D35" ca="1">INDIRECT(B35&amp; "!L18")</f>
        <v>1600000</v>
      </c>
      <c r="E35" s="340" cm="1">
        <f t="array" aca="1" ref="E35" ca="1">INDIRECT(B35&amp; "!I20")</f>
        <v>1.8521753804440875</v>
      </c>
      <c r="F35" s="340" cm="1">
        <f t="array" aca="1" ref="F35" ca="1">INDIRECT(B35&amp; "!I21")</f>
        <v>1.2347835869627255</v>
      </c>
      <c r="G35" s="341" t="str" cm="1">
        <f t="array" aca="1" ref="G35" ca="1">INDIRECT(B35&amp; "!E13")</f>
        <v>Emerging Technology Trials</v>
      </c>
      <c r="H35" s="435" cm="1">
        <f t="array" aca="1" ref="H35" ca="1">INDIRECT(B35&amp; "!E23")</f>
        <v>3.2199999999999998</v>
      </c>
    </row>
    <row r="36" spans="2:8" x14ac:dyDescent="0.3">
      <c r="B36" s="114"/>
      <c r="C36" s="342" t="s">
        <v>24</v>
      </c>
      <c r="D36" s="284">
        <f ca="1">SUM(D5:D35)</f>
        <v>44659000.009999998</v>
      </c>
    </row>
    <row r="37" spans="2:8" x14ac:dyDescent="0.3">
      <c r="C37" s="347"/>
    </row>
  </sheetData>
  <mergeCells count="12">
    <mergeCell ref="D24:D25"/>
    <mergeCell ref="D26:D27"/>
    <mergeCell ref="E24:E25"/>
    <mergeCell ref="F24:F25"/>
    <mergeCell ref="E26:E27"/>
    <mergeCell ref="F26:F27"/>
    <mergeCell ref="D13:D14"/>
    <mergeCell ref="E13:E14"/>
    <mergeCell ref="F13:F14"/>
    <mergeCell ref="E18:E19"/>
    <mergeCell ref="F18:F19"/>
    <mergeCell ref="D18:D19"/>
  </mergeCells>
  <conditionalFormatting sqref="E5:F13 E15:F18 E20:F24 E26:F26 E28:F35">
    <cfRule type="cellIs" dxfId="0" priority="3" operator="lessThan">
      <formula>1</formula>
    </cfRule>
  </conditionalFormatting>
  <pageMargins left="0.7" right="0.7" top="0.75" bottom="0.75" header="0.3" footer="0.3"/>
  <pageSetup paperSize="0" orientation="portrait" r:id="rId1"/>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0B7B-58F2-4CB4-83E8-DAA87747DF41}">
  <sheetPr>
    <tabColor rgb="FF002060"/>
    <pageSetUpPr fitToPage="1"/>
  </sheetPr>
  <dimension ref="A1:U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2" width="11.453125" style="109" customWidth="1"/>
    <col min="23" max="16384" width="8.81640625" style="109"/>
  </cols>
  <sheetData>
    <row r="1" spans="1:21" ht="55.5" customHeight="1" x14ac:dyDescent="0.3">
      <c r="A1" s="118"/>
    </row>
    <row r="2" spans="1:21" s="114" customFormat="1" ht="24" customHeight="1" x14ac:dyDescent="0.35">
      <c r="B2" s="183" t="s">
        <v>344</v>
      </c>
      <c r="C2" s="183"/>
      <c r="D2" s="116"/>
      <c r="E2" s="116"/>
      <c r="F2" s="116"/>
      <c r="G2" s="116"/>
      <c r="H2" s="116"/>
      <c r="I2" s="116"/>
      <c r="J2" s="116"/>
      <c r="K2" s="116"/>
      <c r="L2" s="116"/>
      <c r="M2" s="116"/>
      <c r="N2" s="116"/>
      <c r="O2" s="116"/>
      <c r="P2" s="116"/>
      <c r="Q2" s="116"/>
      <c r="R2" s="116"/>
      <c r="S2" s="116"/>
      <c r="T2" s="116"/>
      <c r="U2" s="163"/>
    </row>
    <row r="3" spans="1:21" s="169" customFormat="1" ht="15" customHeight="1" x14ac:dyDescent="0.35">
      <c r="B3" s="146" t="s">
        <v>0</v>
      </c>
      <c r="C3" s="146"/>
      <c r="D3" s="146"/>
      <c r="E3" s="256" t="s">
        <v>197</v>
      </c>
      <c r="F3" s="171"/>
      <c r="G3" s="171"/>
      <c r="H3" s="171"/>
      <c r="I3" s="171"/>
      <c r="J3" s="171"/>
      <c r="K3" s="171"/>
      <c r="L3" s="171"/>
      <c r="M3" s="171"/>
      <c r="N3" s="171"/>
      <c r="O3" s="171"/>
      <c r="P3" s="171"/>
      <c r="Q3" s="171"/>
      <c r="R3" s="171"/>
      <c r="S3" s="171"/>
      <c r="T3" s="171"/>
    </row>
    <row r="4" spans="1:21" ht="12.75" customHeight="1" x14ac:dyDescent="0.3">
      <c r="D4" s="112"/>
      <c r="E4" s="112"/>
      <c r="F4" s="112"/>
      <c r="G4" s="112"/>
      <c r="H4" s="112"/>
      <c r="I4" s="112"/>
      <c r="J4" s="112"/>
      <c r="K4" s="112"/>
      <c r="L4" s="112"/>
      <c r="M4" s="112"/>
      <c r="N4" s="112"/>
      <c r="O4" s="112"/>
      <c r="P4" s="112"/>
      <c r="Q4" s="112"/>
      <c r="R4" s="112"/>
      <c r="S4" s="112"/>
      <c r="T4" s="112"/>
    </row>
    <row r="6" spans="1:21" ht="16" thickBot="1" x14ac:dyDescent="0.35">
      <c r="B6" s="115" t="s">
        <v>8</v>
      </c>
      <c r="C6" s="115"/>
      <c r="D6" s="115"/>
      <c r="G6" s="115" t="s">
        <v>1</v>
      </c>
      <c r="H6" s="115"/>
      <c r="I6" s="115"/>
      <c r="J6" s="115"/>
    </row>
    <row r="7" spans="1:21" s="170" customFormat="1" ht="15.75" customHeight="1" x14ac:dyDescent="0.35">
      <c r="B7" s="324" t="s">
        <v>2</v>
      </c>
      <c r="C7" s="325"/>
      <c r="D7" s="326"/>
      <c r="E7" s="327" t="s">
        <v>126</v>
      </c>
      <c r="G7" s="586" t="s">
        <v>345</v>
      </c>
      <c r="H7" s="586"/>
      <c r="I7" s="586"/>
      <c r="J7" s="586"/>
      <c r="K7" s="586"/>
      <c r="L7" s="586"/>
      <c r="M7" s="586"/>
      <c r="N7" s="586"/>
      <c r="O7" s="586"/>
      <c r="P7" s="586"/>
      <c r="Q7" s="586"/>
      <c r="R7" s="586"/>
      <c r="S7" s="586"/>
      <c r="T7" s="586"/>
    </row>
    <row r="8" spans="1:21" s="170" customFormat="1" ht="15.75" customHeight="1" x14ac:dyDescent="0.35">
      <c r="B8" s="328" t="s">
        <v>3</v>
      </c>
      <c r="C8" s="230"/>
      <c r="E8" s="329" t="s">
        <v>124</v>
      </c>
      <c r="G8" s="586"/>
      <c r="H8" s="586"/>
      <c r="I8" s="586"/>
      <c r="J8" s="586"/>
      <c r="K8" s="586"/>
      <c r="L8" s="586"/>
      <c r="M8" s="586"/>
      <c r="N8" s="586"/>
      <c r="O8" s="586"/>
      <c r="P8" s="586"/>
      <c r="Q8" s="586"/>
      <c r="R8" s="586"/>
      <c r="S8" s="586"/>
      <c r="T8" s="586"/>
    </row>
    <row r="9" spans="1:21" s="170" customFormat="1" ht="15.75" customHeight="1" x14ac:dyDescent="0.35">
      <c r="B9" s="328" t="s">
        <v>4</v>
      </c>
      <c r="C9" s="230"/>
      <c r="E9" s="330" t="s">
        <v>346</v>
      </c>
      <c r="G9" s="586"/>
      <c r="H9" s="586"/>
      <c r="I9" s="586"/>
      <c r="J9" s="586"/>
      <c r="K9" s="586"/>
      <c r="L9" s="586"/>
      <c r="M9" s="586"/>
      <c r="N9" s="586"/>
      <c r="O9" s="586"/>
      <c r="P9" s="586"/>
      <c r="Q9" s="586"/>
      <c r="R9" s="586"/>
      <c r="S9" s="586"/>
      <c r="T9" s="586"/>
    </row>
    <row r="10" spans="1:21"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1"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1" x14ac:dyDescent="0.3">
      <c r="B12" s="331" t="s">
        <v>9</v>
      </c>
      <c r="C12" s="231"/>
      <c r="D12" s="114"/>
      <c r="E12" s="330" t="s">
        <v>150</v>
      </c>
      <c r="G12" s="586"/>
      <c r="H12" s="586"/>
      <c r="I12" s="586"/>
      <c r="J12" s="586"/>
      <c r="K12" s="586"/>
      <c r="L12" s="586"/>
      <c r="M12" s="586"/>
      <c r="N12" s="586"/>
      <c r="O12" s="586"/>
      <c r="P12" s="586"/>
      <c r="Q12" s="586"/>
      <c r="R12" s="586"/>
      <c r="S12" s="586"/>
      <c r="T12" s="586"/>
    </row>
    <row r="13" spans="1:21" x14ac:dyDescent="0.3">
      <c r="B13" s="331" t="s">
        <v>10</v>
      </c>
      <c r="C13" s="231"/>
      <c r="D13" s="114"/>
      <c r="E13" s="330" t="s">
        <v>160</v>
      </c>
      <c r="G13" s="586"/>
      <c r="H13" s="586"/>
      <c r="I13" s="586"/>
      <c r="J13" s="586"/>
      <c r="K13" s="586"/>
      <c r="L13" s="586"/>
      <c r="M13" s="586"/>
      <c r="N13" s="586"/>
      <c r="O13" s="586"/>
      <c r="P13" s="586"/>
      <c r="Q13" s="586"/>
      <c r="R13" s="586"/>
      <c r="S13" s="586"/>
      <c r="T13" s="586"/>
    </row>
    <row r="14" spans="1:21" ht="13.5" thickBot="1" x14ac:dyDescent="0.35">
      <c r="B14" s="332" t="s">
        <v>11</v>
      </c>
      <c r="C14" s="333"/>
      <c r="D14" s="334"/>
      <c r="E14" s="335" t="s">
        <v>135</v>
      </c>
      <c r="G14" s="586"/>
      <c r="H14" s="586"/>
      <c r="I14" s="586"/>
      <c r="J14" s="586"/>
      <c r="K14" s="586"/>
      <c r="L14" s="586"/>
      <c r="M14" s="586"/>
      <c r="N14" s="586"/>
      <c r="O14" s="586"/>
      <c r="P14" s="586"/>
      <c r="Q14" s="586"/>
      <c r="R14" s="586"/>
      <c r="S14" s="586"/>
      <c r="T14" s="586"/>
    </row>
    <row r="15" spans="1:21" ht="21" customHeight="1" x14ac:dyDescent="0.3">
      <c r="B15" s="438"/>
      <c r="C15" s="231"/>
      <c r="D15" s="114"/>
      <c r="E15" s="158"/>
      <c r="G15" s="586"/>
      <c r="H15" s="586"/>
      <c r="I15" s="586"/>
      <c r="J15" s="586"/>
      <c r="K15" s="586"/>
      <c r="L15" s="586"/>
      <c r="M15" s="586"/>
      <c r="N15" s="586"/>
      <c r="O15" s="586"/>
      <c r="P15" s="586"/>
      <c r="Q15" s="586"/>
      <c r="R15" s="586"/>
      <c r="S15" s="586"/>
      <c r="T15" s="586"/>
    </row>
    <row r="16" spans="1:21"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-1650072.8597376349</v>
      </c>
      <c r="J18" s="222"/>
      <c r="K18" s="220" t="s">
        <v>220</v>
      </c>
      <c r="L18" s="223">
        <f>SUM(F34:J34)</f>
        <v>1750000</v>
      </c>
      <c r="N18" s="584" t="s">
        <v>221</v>
      </c>
      <c r="O18" s="584"/>
      <c r="P18" s="584"/>
      <c r="Q18" s="584"/>
      <c r="R18" s="314"/>
      <c r="S18" s="161"/>
      <c r="T18" s="315" t="s">
        <v>227</v>
      </c>
    </row>
    <row r="19" spans="2:20" ht="13.5" customHeight="1" x14ac:dyDescent="0.3">
      <c r="B19" s="160" t="s">
        <v>19</v>
      </c>
      <c r="C19" s="182">
        <v>4</v>
      </c>
      <c r="D19" s="161">
        <v>0.18</v>
      </c>
      <c r="E19" s="162">
        <f>D19*C19</f>
        <v>0.72</v>
      </c>
      <c r="G19" s="224"/>
      <c r="H19" s="125" t="s">
        <v>20</v>
      </c>
      <c r="I19" s="126">
        <f>D40</f>
        <v>1424601.5244092639</v>
      </c>
      <c r="J19" s="127"/>
      <c r="K19" s="125" t="s">
        <v>223</v>
      </c>
      <c r="L19" s="225">
        <f>SUM(F36:J36)</f>
        <v>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1.8633567396749855</v>
      </c>
      <c r="J20" s="127"/>
      <c r="K20" s="125" t="s">
        <v>225</v>
      </c>
      <c r="L20" s="225">
        <f>NPV($D$33,F39:T39)</f>
        <v>3074674.384146899</v>
      </c>
      <c r="N20" s="316" t="s">
        <v>226</v>
      </c>
      <c r="O20" s="316"/>
      <c r="P20" s="316"/>
      <c r="Q20" s="316"/>
      <c r="R20" s="317"/>
      <c r="S20" s="318"/>
      <c r="T20" s="315" t="s">
        <v>227</v>
      </c>
    </row>
    <row r="21" spans="2:20" ht="13.5" customHeight="1" thickBot="1" x14ac:dyDescent="0.35">
      <c r="B21" s="160" t="s">
        <v>23</v>
      </c>
      <c r="C21" s="182">
        <v>2</v>
      </c>
      <c r="D21" s="161">
        <v>0.18</v>
      </c>
      <c r="E21" s="162">
        <f>D21*C21</f>
        <v>0.36</v>
      </c>
      <c r="G21" s="194"/>
      <c r="H21" s="257" t="s">
        <v>166</v>
      </c>
      <c r="I21" s="258">
        <f>IFERROR(NPV($D$33,F39:T39)/NPV($D$33,F38:T38),"N/A")</f>
        <v>1.2422378264499905</v>
      </c>
      <c r="J21" s="226"/>
      <c r="K21" s="436" t="s">
        <v>228</v>
      </c>
      <c r="L21" s="439">
        <f>NPV($D$33,F39:J39)</f>
        <v>1078494.5460521651</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2.88</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40</v>
      </c>
      <c r="E27" s="112"/>
      <c r="F27" s="227">
        <v>20</v>
      </c>
      <c r="G27" s="227">
        <v>10</v>
      </c>
      <c r="H27" s="227">
        <v>10</v>
      </c>
      <c r="I27" s="227"/>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309"/>
      <c r="G29" s="309"/>
      <c r="H29" s="309"/>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875000</v>
      </c>
      <c r="G34" s="140">
        <f t="shared" si="0"/>
        <v>437500</v>
      </c>
      <c r="H34" s="140">
        <f t="shared" si="0"/>
        <v>437500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1312500</v>
      </c>
      <c r="G35" s="140">
        <f>G34*(1+'Inputs and assumptions'!$C$7)</f>
        <v>656250</v>
      </c>
      <c r="H35" s="140">
        <f>H34*(1+'Inputs and assumptions'!$C$7)</f>
        <v>656250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-1650072.8597376349</v>
      </c>
      <c r="E37" s="248"/>
      <c r="F37" s="144">
        <f t="shared" ref="F37:T37" si="2">-F34-F36</f>
        <v>-875000</v>
      </c>
      <c r="G37" s="144">
        <f t="shared" si="2"/>
        <v>-437500</v>
      </c>
      <c r="H37" s="144">
        <f t="shared" si="2"/>
        <v>-437500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1312500</v>
      </c>
      <c r="G38" s="142">
        <f t="shared" ref="G38:T38" si="3">G35+G36</f>
        <v>656250</v>
      </c>
      <c r="H38" s="142">
        <f t="shared" si="3"/>
        <v>656250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141694.09829125705</v>
      </c>
      <c r="G39" s="140">
        <f t="shared" si="4"/>
        <v>212541.14743688557</v>
      </c>
      <c r="H39" s="140">
        <f t="shared" si="4"/>
        <v>283388.19658251409</v>
      </c>
      <c r="I39" s="140">
        <f t="shared" si="4"/>
        <v>283388.19658251409</v>
      </c>
      <c r="J39" s="140">
        <f t="shared" si="4"/>
        <v>283388.19658251409</v>
      </c>
      <c r="K39" s="140">
        <f t="shared" si="4"/>
        <v>283388.19658251409</v>
      </c>
      <c r="L39" s="140">
        <f t="shared" si="4"/>
        <v>283388.19658251409</v>
      </c>
      <c r="M39" s="140">
        <f t="shared" si="4"/>
        <v>283388.19658251409</v>
      </c>
      <c r="N39" s="140">
        <f t="shared" si="4"/>
        <v>283388.19658251409</v>
      </c>
      <c r="O39" s="140">
        <f t="shared" si="4"/>
        <v>283388.19658251409</v>
      </c>
      <c r="P39" s="140">
        <f t="shared" si="4"/>
        <v>283388.19658251409</v>
      </c>
      <c r="Q39" s="140">
        <f t="shared" si="4"/>
        <v>283388.19658251409</v>
      </c>
      <c r="R39" s="140">
        <f t="shared" si="4"/>
        <v>283388.19658251409</v>
      </c>
      <c r="S39" s="140">
        <f t="shared" si="4"/>
        <v>283388.19658251409</v>
      </c>
      <c r="T39" s="141">
        <f t="shared" si="4"/>
        <v>283388.19658251409</v>
      </c>
    </row>
    <row r="40" spans="2:20" x14ac:dyDescent="0.3">
      <c r="B40" s="123" t="s">
        <v>46</v>
      </c>
      <c r="C40" s="112"/>
      <c r="D40" s="134">
        <f>NPV($D$33,F40:T40)</f>
        <v>1424601.5244092639</v>
      </c>
      <c r="E40" s="112"/>
      <c r="F40" s="140">
        <f t="shared" ref="F40:T40" si="5">F39+F37</f>
        <v>-733305.90170874295</v>
      </c>
      <c r="G40" s="140">
        <f t="shared" si="5"/>
        <v>-224958.85256311443</v>
      </c>
      <c r="H40" s="140">
        <f t="shared" si="5"/>
        <v>-154111.80341748591</v>
      </c>
      <c r="I40" s="140">
        <f t="shared" si="5"/>
        <v>283388.19658251409</v>
      </c>
      <c r="J40" s="140">
        <f t="shared" si="5"/>
        <v>283388.19658251409</v>
      </c>
      <c r="K40" s="140">
        <f t="shared" si="5"/>
        <v>283388.19658251409</v>
      </c>
      <c r="L40" s="140">
        <f t="shared" si="5"/>
        <v>283388.19658251409</v>
      </c>
      <c r="M40" s="140">
        <f t="shared" si="5"/>
        <v>283388.19658251409</v>
      </c>
      <c r="N40" s="140">
        <f t="shared" si="5"/>
        <v>283388.19658251409</v>
      </c>
      <c r="O40" s="140">
        <f t="shared" si="5"/>
        <v>283388.19658251409</v>
      </c>
      <c r="P40" s="140">
        <f t="shared" si="5"/>
        <v>283388.19658251409</v>
      </c>
      <c r="Q40" s="140">
        <f t="shared" si="5"/>
        <v>283388.19658251409</v>
      </c>
      <c r="R40" s="140">
        <f t="shared" si="5"/>
        <v>283388.19658251409</v>
      </c>
      <c r="S40" s="140">
        <f t="shared" si="5"/>
        <v>283388.19658251409</v>
      </c>
      <c r="T40" s="141">
        <f t="shared" si="5"/>
        <v>283388.19658251409</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7084.7049145628525</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40">
        <v>2E-3</v>
      </c>
      <c r="D46" s="261">
        <f>IFERROR(C46*'Inputs and assumptions'!D17/$D$27,0)</f>
        <v>1824.7472486860147</v>
      </c>
      <c r="E46" s="112"/>
      <c r="F46" s="140">
        <f>$D46*SUM($E$27:F$27)</f>
        <v>36494.944973720296</v>
      </c>
      <c r="G46" s="140">
        <f>$D46*SUM($E$27:G$27)</f>
        <v>54742.417460580444</v>
      </c>
      <c r="H46" s="140">
        <f>$D46*SUM($E$27:H$27)</f>
        <v>72989.889947440592</v>
      </c>
      <c r="I46" s="140">
        <f>$D46*SUM($E$27:I$27)</f>
        <v>72989.889947440592</v>
      </c>
      <c r="J46" s="140">
        <f>$D46*SUM($E$27:J$27)</f>
        <v>72989.889947440592</v>
      </c>
      <c r="K46" s="140">
        <f>$D46*SUM($E$27:K$27)</f>
        <v>72989.889947440592</v>
      </c>
      <c r="L46" s="140">
        <f>$D46*SUM($E$27:L$27)</f>
        <v>72989.889947440592</v>
      </c>
      <c r="M46" s="140">
        <f>$D46*SUM($E$27:M$27)</f>
        <v>72989.889947440592</v>
      </c>
      <c r="N46" s="140">
        <f>$D46*SUM($E$27:N$27)</f>
        <v>72989.889947440592</v>
      </c>
      <c r="O46" s="140">
        <f>$D46*SUM($E$27:O$27)</f>
        <v>72989.889947440592</v>
      </c>
      <c r="P46" s="140">
        <f>$D46*SUM($E$27:P$27)</f>
        <v>72989.889947440592</v>
      </c>
      <c r="Q46" s="140">
        <f>$D46*SUM($E$27:Q$27)</f>
        <v>72989.889947440592</v>
      </c>
      <c r="R46" s="140">
        <f>$D46*SUM($E$27:R$27)</f>
        <v>72989.889947440592</v>
      </c>
      <c r="S46" s="140">
        <f>$D46*SUM($E$27:S$27)</f>
        <v>72989.889947440592</v>
      </c>
      <c r="T46" s="141">
        <f>$D46*SUM($E$27:T$27)</f>
        <v>72989.889947440592</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v>2E-3</v>
      </c>
      <c r="D49" s="261">
        <f>IFERROR(C49*'Inputs and assumptions'!D20/$D$27,0)</f>
        <v>1572.4576658768381</v>
      </c>
      <c r="E49" s="112"/>
      <c r="F49" s="140">
        <f>$D49*SUM($E$27:F$27)</f>
        <v>31449.153317536762</v>
      </c>
      <c r="G49" s="140">
        <f>$D49*SUM($E$27:G$27)</f>
        <v>47173.729976305141</v>
      </c>
      <c r="H49" s="140">
        <f>$D49*SUM($E$27:H$27)</f>
        <v>62898.306635073524</v>
      </c>
      <c r="I49" s="140">
        <f>$D49*SUM($E$27:I$27)</f>
        <v>62898.306635073524</v>
      </c>
      <c r="J49" s="140">
        <f>$D49*SUM($E$27:J$27)</f>
        <v>62898.306635073524</v>
      </c>
      <c r="K49" s="140">
        <f>$D49*SUM($E$27:K$27)</f>
        <v>62898.306635073524</v>
      </c>
      <c r="L49" s="140">
        <f>$D49*SUM($E$27:L$27)</f>
        <v>62898.306635073524</v>
      </c>
      <c r="M49" s="140">
        <f>$D49*SUM($E$27:M$27)</f>
        <v>62898.306635073524</v>
      </c>
      <c r="N49" s="140">
        <f>$D49*SUM($E$27:N$27)</f>
        <v>62898.306635073524</v>
      </c>
      <c r="O49" s="140">
        <f>$D49*SUM($E$27:O$27)</f>
        <v>62898.306635073524</v>
      </c>
      <c r="P49" s="140">
        <f>$D49*SUM($E$27:P$27)</f>
        <v>62898.306635073524</v>
      </c>
      <c r="Q49" s="140">
        <f>$D49*SUM($E$27:Q$27)</f>
        <v>62898.306635073524</v>
      </c>
      <c r="R49" s="140">
        <f>$D49*SUM($E$27:R$27)</f>
        <v>62898.306635073524</v>
      </c>
      <c r="S49" s="140">
        <f>$D49*SUM($E$27:S$27)</f>
        <v>62898.306635073524</v>
      </c>
      <c r="T49" s="141">
        <f>$D49*SUM($E$27:T$27)</f>
        <v>62898.306635073524</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v>1E-4</v>
      </c>
      <c r="D55" s="261">
        <f>IFERROR(C55*'Inputs and assumptions'!D26/$D$27,0)</f>
        <v>762.5</v>
      </c>
      <c r="E55" s="112"/>
      <c r="F55" s="140">
        <f>$D55*SUM($E$27:F$27)</f>
        <v>15250</v>
      </c>
      <c r="G55" s="140">
        <f>$D55*SUM($E$27:G$27)</f>
        <v>22875</v>
      </c>
      <c r="H55" s="140">
        <f>$D55*SUM($E$27:H$27)</f>
        <v>30500</v>
      </c>
      <c r="I55" s="140">
        <f>$D55*SUM($E$27:I$27)</f>
        <v>30500</v>
      </c>
      <c r="J55" s="140">
        <f>$D55*SUM($E$27:J$27)</f>
        <v>30500</v>
      </c>
      <c r="K55" s="140">
        <f>$D55*SUM($E$27:K$27)</f>
        <v>30500</v>
      </c>
      <c r="L55" s="140">
        <f>$D55*SUM($E$27:L$27)</f>
        <v>30500</v>
      </c>
      <c r="M55" s="140">
        <f>$D55*SUM($E$27:M$27)</f>
        <v>30500</v>
      </c>
      <c r="N55" s="140">
        <f>$D55*SUM($E$27:N$27)</f>
        <v>30500</v>
      </c>
      <c r="O55" s="140">
        <f>$D55*SUM($E$27:O$27)</f>
        <v>30500</v>
      </c>
      <c r="P55" s="140">
        <f>$D55*SUM($E$27:P$27)</f>
        <v>30500</v>
      </c>
      <c r="Q55" s="140">
        <f>$D55*SUM($E$27:Q$27)</f>
        <v>30500</v>
      </c>
      <c r="R55" s="140">
        <f>$D55*SUM($E$27:R$27)</f>
        <v>30500</v>
      </c>
      <c r="S55" s="140">
        <f>$D55*SUM($E$27:S$27)</f>
        <v>30500</v>
      </c>
      <c r="T55" s="141">
        <f>$D55*SUM($E$27:T$27)</f>
        <v>30500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7.5000000000000002E-4</v>
      </c>
      <c r="D61" s="261">
        <f>IFERROR(C61*'Inputs and assumptions'!D32/$D$27,0)</f>
        <v>562.5</v>
      </c>
      <c r="E61" s="112"/>
      <c r="F61" s="140">
        <f>$D61*SUM($E$27:F$27)</f>
        <v>11250</v>
      </c>
      <c r="G61" s="140">
        <f>$D61*SUM($E$27:G$27)</f>
        <v>16875</v>
      </c>
      <c r="H61" s="140">
        <f>$D61*SUM($E$27:H$27)</f>
        <v>22500</v>
      </c>
      <c r="I61" s="140">
        <f>$D61*SUM($E$27:I$27)</f>
        <v>22500</v>
      </c>
      <c r="J61" s="140">
        <f>$D61*SUM($E$27:J$27)</f>
        <v>22500</v>
      </c>
      <c r="K61" s="140">
        <f>$D61*SUM($E$27:K$27)</f>
        <v>22500</v>
      </c>
      <c r="L61" s="140">
        <f>$D61*SUM($E$27:L$27)</f>
        <v>22500</v>
      </c>
      <c r="M61" s="140">
        <f>$D61*SUM($E$27:M$27)</f>
        <v>22500</v>
      </c>
      <c r="N61" s="140">
        <f>$D61*SUM($E$27:N$27)</f>
        <v>22500</v>
      </c>
      <c r="O61" s="140">
        <f>$D61*SUM($E$27:O$27)</f>
        <v>22500</v>
      </c>
      <c r="P61" s="140">
        <f>$D61*SUM($E$27:P$27)</f>
        <v>22500</v>
      </c>
      <c r="Q61" s="140">
        <f>$D61*SUM($E$27:Q$27)</f>
        <v>22500</v>
      </c>
      <c r="R61" s="140">
        <f>$D61*SUM($E$27:R$27)</f>
        <v>22500</v>
      </c>
      <c r="S61" s="140">
        <f>$D61*SUM($E$27:S$27)</f>
        <v>22500</v>
      </c>
      <c r="T61" s="141">
        <f>$D61*SUM($E$27:T$27)</f>
        <v>22500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7.5000000000000002E-4</v>
      </c>
      <c r="D64" s="261">
        <f>IFERROR(C64*'Inputs and assumptions'!D35/$D$27,0)</f>
        <v>2362.5</v>
      </c>
      <c r="E64" s="112"/>
      <c r="F64" s="140">
        <f>$D64*SUM($E$27:F$27)</f>
        <v>47250</v>
      </c>
      <c r="G64" s="140">
        <f>$D64*SUM($E$27:G$27)</f>
        <v>70875</v>
      </c>
      <c r="H64" s="140">
        <f>$D64*SUM($E$27:H$27)</f>
        <v>94500</v>
      </c>
      <c r="I64" s="140">
        <f>$D64*SUM($E$27:I$27)</f>
        <v>94500</v>
      </c>
      <c r="J64" s="140">
        <f>$D64*SUM($E$27:J$27)</f>
        <v>94500</v>
      </c>
      <c r="K64" s="140">
        <f>$D64*SUM($E$27:K$27)</f>
        <v>94500</v>
      </c>
      <c r="L64" s="140">
        <f>$D64*SUM($E$27:L$27)</f>
        <v>94500</v>
      </c>
      <c r="M64" s="140">
        <f>$D64*SUM($E$27:M$27)</f>
        <v>94500</v>
      </c>
      <c r="N64" s="140">
        <f>$D64*SUM($E$27:N$27)</f>
        <v>94500</v>
      </c>
      <c r="O64" s="140">
        <f>$D64*SUM($E$27:O$27)</f>
        <v>94500</v>
      </c>
      <c r="P64" s="140">
        <f>$D64*SUM($E$27:P$27)</f>
        <v>94500</v>
      </c>
      <c r="Q64" s="140">
        <f>$D64*SUM($E$27:Q$27)</f>
        <v>94500</v>
      </c>
      <c r="R64" s="140">
        <f>$D64*SUM($E$27:R$27)</f>
        <v>94500</v>
      </c>
      <c r="S64" s="140">
        <f>$D64*SUM($E$27:S$27)</f>
        <v>94500</v>
      </c>
      <c r="T64" s="141">
        <f>$D64*SUM($E$27:T$27)</f>
        <v>94500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43750</v>
      </c>
      <c r="E102" s="308"/>
      <c r="F102" s="140">
        <f t="shared" ref="F102:T102" si="6">$D$102*F27</f>
        <v>875000</v>
      </c>
      <c r="G102" s="140">
        <f t="shared" si="6"/>
        <v>437500</v>
      </c>
      <c r="H102" s="140">
        <f t="shared" si="6"/>
        <v>437500</v>
      </c>
      <c r="I102" s="140">
        <f t="shared" si="6"/>
        <v>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43750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347</v>
      </c>
      <c r="C113" s="573"/>
      <c r="D113" s="573"/>
      <c r="E113" s="574"/>
      <c r="F113" s="304"/>
      <c r="G113" s="304"/>
      <c r="H113" s="304"/>
      <c r="I113" s="304"/>
      <c r="J113" s="304"/>
      <c r="K113" s="304"/>
      <c r="L113" s="181"/>
      <c r="M113" s="181"/>
      <c r="N113" s="181"/>
      <c r="O113" s="181"/>
      <c r="P113" s="181"/>
      <c r="Q113" s="181"/>
      <c r="R113" s="181"/>
      <c r="S113" s="181"/>
      <c r="T113" s="181"/>
    </row>
    <row r="114" spans="2:20" ht="15" customHeight="1" x14ac:dyDescent="0.3">
      <c r="B114" s="575"/>
      <c r="C114" s="576"/>
      <c r="D114" s="576"/>
      <c r="E114" s="577"/>
      <c r="F114" s="304"/>
      <c r="G114" s="304"/>
      <c r="H114" s="304"/>
      <c r="I114" s="304"/>
      <c r="J114" s="304"/>
      <c r="K114" s="304"/>
      <c r="L114" s="181"/>
      <c r="M114" s="181"/>
      <c r="N114" s="181"/>
      <c r="O114" s="181"/>
      <c r="P114" s="181"/>
      <c r="Q114" s="181"/>
      <c r="R114" s="181"/>
      <c r="S114" s="181"/>
      <c r="T114" s="181"/>
    </row>
    <row r="115" spans="2:20" ht="15" customHeight="1" x14ac:dyDescent="0.3">
      <c r="B115" s="575"/>
      <c r="C115" s="576"/>
      <c r="D115" s="576"/>
      <c r="E115" s="577"/>
      <c r="F115" s="304"/>
      <c r="G115" s="304"/>
      <c r="H115" s="304"/>
      <c r="I115" s="304"/>
      <c r="J115" s="304"/>
      <c r="K115" s="304"/>
      <c r="L115" s="181"/>
      <c r="M115" s="181"/>
      <c r="N115" s="181"/>
      <c r="O115" s="181"/>
      <c r="P115" s="181"/>
      <c r="Q115" s="181"/>
      <c r="R115" s="181"/>
      <c r="S115" s="181"/>
      <c r="T115" s="181"/>
    </row>
    <row r="116" spans="2:20" ht="15" customHeight="1" x14ac:dyDescent="0.3">
      <c r="B116" s="575"/>
      <c r="C116" s="576"/>
      <c r="D116" s="576"/>
      <c r="E116" s="577"/>
      <c r="F116" s="304"/>
      <c r="G116" s="304"/>
      <c r="H116" s="304"/>
      <c r="I116" s="304"/>
      <c r="J116" s="304"/>
      <c r="K116" s="304"/>
      <c r="L116" s="181"/>
      <c r="M116" s="181"/>
      <c r="N116" s="181"/>
      <c r="O116" s="181"/>
      <c r="P116" s="181"/>
      <c r="Q116" s="181"/>
      <c r="R116" s="181"/>
      <c r="S116" s="181"/>
      <c r="T116" s="181"/>
    </row>
    <row r="117" spans="2:20" ht="15" customHeight="1" x14ac:dyDescent="0.3">
      <c r="B117" s="575"/>
      <c r="C117" s="576"/>
      <c r="D117" s="576"/>
      <c r="E117" s="577"/>
      <c r="F117" s="304"/>
      <c r="G117" s="304"/>
      <c r="H117" s="304"/>
      <c r="I117" s="304"/>
      <c r="J117" s="304"/>
      <c r="K117" s="304"/>
      <c r="L117" s="181"/>
      <c r="M117" s="181"/>
      <c r="N117" s="181"/>
      <c r="O117" s="181"/>
      <c r="P117" s="181"/>
      <c r="Q117" s="181"/>
      <c r="R117" s="181"/>
      <c r="S117" s="181"/>
      <c r="T117" s="181"/>
    </row>
    <row r="118" spans="2:20" ht="15" customHeight="1" x14ac:dyDescent="0.3">
      <c r="B118" s="575"/>
      <c r="C118" s="576"/>
      <c r="D118" s="576"/>
      <c r="E118" s="577"/>
      <c r="F118" s="304"/>
      <c r="G118" s="304"/>
      <c r="H118" s="304"/>
      <c r="I118" s="304"/>
      <c r="J118" s="304"/>
      <c r="K118" s="304"/>
      <c r="L118" s="181"/>
      <c r="M118" s="181"/>
      <c r="N118" s="181"/>
      <c r="O118" s="181"/>
      <c r="P118" s="181"/>
      <c r="Q118" s="181"/>
      <c r="R118" s="181"/>
      <c r="S118" s="181"/>
      <c r="T118" s="181"/>
    </row>
    <row r="119" spans="2:20" ht="15" customHeight="1" x14ac:dyDescent="0.3">
      <c r="B119" s="575"/>
      <c r="C119" s="576"/>
      <c r="D119" s="576"/>
      <c r="E119" s="577"/>
      <c r="F119" s="304"/>
      <c r="G119" s="304"/>
      <c r="H119" s="304"/>
      <c r="I119" s="304"/>
      <c r="J119" s="304"/>
      <c r="K119" s="304"/>
      <c r="L119" s="181"/>
      <c r="M119" s="181"/>
      <c r="N119" s="181"/>
      <c r="O119" s="181"/>
      <c r="P119" s="181"/>
      <c r="Q119" s="181"/>
      <c r="R119" s="181"/>
      <c r="S119" s="181"/>
      <c r="T119" s="181"/>
    </row>
    <row r="120" spans="2:20" ht="15" customHeight="1" x14ac:dyDescent="0.3">
      <c r="B120" s="575"/>
      <c r="C120" s="576"/>
      <c r="D120" s="576"/>
      <c r="E120" s="577"/>
      <c r="F120" s="304"/>
      <c r="G120" s="304"/>
      <c r="H120" s="304"/>
      <c r="I120" s="304"/>
      <c r="J120" s="304"/>
      <c r="K120" s="304"/>
      <c r="L120" s="181"/>
      <c r="M120" s="181"/>
      <c r="N120" s="181"/>
      <c r="O120" s="181"/>
      <c r="P120" s="181"/>
      <c r="Q120" s="181"/>
      <c r="R120" s="181"/>
      <c r="S120" s="181"/>
      <c r="T120" s="181"/>
    </row>
    <row r="121" spans="2:20" ht="15" customHeight="1" x14ac:dyDescent="0.3">
      <c r="B121" s="575"/>
      <c r="C121" s="576"/>
      <c r="D121" s="576"/>
      <c r="E121" s="577"/>
      <c r="F121" s="304"/>
      <c r="G121" s="304"/>
      <c r="H121" s="304"/>
      <c r="I121" s="304"/>
      <c r="J121" s="304"/>
      <c r="K121" s="304"/>
      <c r="L121" s="181"/>
      <c r="M121" s="181"/>
      <c r="N121" s="181"/>
      <c r="O121" s="181"/>
      <c r="P121" s="181"/>
      <c r="Q121" s="181"/>
      <c r="R121" s="181"/>
      <c r="S121" s="181"/>
      <c r="T121" s="181"/>
    </row>
    <row r="122" spans="2:20" ht="15.75" customHeight="1" thickBot="1" x14ac:dyDescent="0.35">
      <c r="B122" s="578"/>
      <c r="C122" s="579"/>
      <c r="D122" s="579"/>
      <c r="E122" s="580"/>
      <c r="F122" s="304"/>
      <c r="G122" s="304"/>
      <c r="H122" s="304"/>
      <c r="I122" s="304"/>
      <c r="J122" s="304"/>
      <c r="K122" s="304"/>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103:G103 F46:G70"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CB87EDEC-938A-43C9-9B66-B11F460B0B15}">
          <x14:formula1>
            <xm:f>'Inputs and assumptions'!$J$17:$J$18</xm:f>
          </x14:formula1>
          <xm:sqref>E43</xm:sqref>
        </x14:dataValidation>
        <x14:dataValidation type="list" allowBlank="1" showInputMessage="1" showErrorMessage="1" xr:uid="{75638B6C-267C-49B3-BAD1-AE7A35B8CD94}">
          <x14:formula1>
            <xm:f>'Inputs and assumptions'!$H$27:$H$29</xm:f>
          </x14:formula1>
          <xm:sqref>E11</xm:sqref>
        </x14:dataValidation>
        <x14:dataValidation type="list" allowBlank="1" showInputMessage="1" showErrorMessage="1" xr:uid="{C7B16413-9233-4BA0-8C9F-7EE1B62D131F}">
          <x14:formula1>
            <xm:f>'Inputs and assumptions'!$H$23:$H$24</xm:f>
          </x14:formula1>
          <xm:sqref>E10</xm:sqref>
        </x14:dataValidation>
        <x14:dataValidation type="list" allowBlank="1" showInputMessage="1" showErrorMessage="1" xr:uid="{01C2FCFE-3407-4148-89B7-9AA8CF483894}">
          <x14:formula1>
            <xm:f>'Inputs and assumptions'!$G$16:$G$20</xm:f>
          </x14:formula1>
          <xm:sqref>E7</xm:sqref>
        </x14:dataValidation>
        <x14:dataValidation type="list" allowBlank="1" showInputMessage="1" showErrorMessage="1" xr:uid="{B82567E7-7F30-48F7-B1D4-282C0F7355D7}">
          <x14:formula1>
            <xm:f>'Inputs and assumptions'!$H$16:$H$20</xm:f>
          </x14:formula1>
          <xm:sqref>E8</xm:sqref>
        </x14:dataValidation>
        <x14:dataValidation type="list" allowBlank="1" showInputMessage="1" showErrorMessage="1" xr:uid="{A1661628-F639-403C-9951-B96EFA7FB02D}">
          <x14:formula1>
            <xm:f>'Inputs and assumptions'!$H$31:$H$34</xm:f>
          </x14:formula1>
          <xm:sqref>E12</xm:sqref>
        </x14:dataValidation>
        <x14:dataValidation type="list" allowBlank="1" showInputMessage="1" showErrorMessage="1" xr:uid="{BE939DF5-58AC-4151-AF8D-E8A173B42D4C}">
          <x14:formula1>
            <xm:f>'Inputs and assumptions'!$H$36:$H$40</xm:f>
          </x14:formula1>
          <xm:sqref>E13</xm:sqref>
        </x14:dataValidation>
        <x14:dataValidation type="list" allowBlank="1" showInputMessage="1" showErrorMessage="1" xr:uid="{6C19A9CE-A6E4-4C3F-BCF2-A639F4E67A54}">
          <x14:formula1>
            <xm:f>'Inputs and assumptions'!$J$21:$J$24</xm:f>
          </x14:formula1>
          <xm:sqref>E14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8332-C0A9-4206-AA5A-6896C538EC56}">
  <sheetPr>
    <tabColor rgb="FF002060"/>
    <pageSetUpPr fitToPage="1"/>
  </sheetPr>
  <dimension ref="A1:U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2" width="11.453125" style="109" customWidth="1"/>
    <col min="23" max="16384" width="8.81640625" style="109"/>
  </cols>
  <sheetData>
    <row r="1" spans="1:21" ht="55.5" customHeight="1" x14ac:dyDescent="0.3">
      <c r="A1" s="118"/>
    </row>
    <row r="2" spans="1:21" s="114" customFormat="1" ht="24" customHeight="1" x14ac:dyDescent="0.35">
      <c r="B2" s="183" t="s">
        <v>348</v>
      </c>
      <c r="C2" s="183"/>
      <c r="D2" s="116"/>
      <c r="E2" s="116"/>
      <c r="F2" s="116"/>
      <c r="G2" s="116"/>
      <c r="H2" s="116"/>
      <c r="I2" s="116"/>
      <c r="J2" s="116"/>
      <c r="K2" s="116"/>
      <c r="L2" s="116"/>
      <c r="M2" s="116"/>
      <c r="N2" s="116"/>
      <c r="O2" s="116"/>
      <c r="P2" s="116"/>
      <c r="Q2" s="116"/>
      <c r="R2" s="116"/>
      <c r="S2" s="116"/>
      <c r="T2" s="116"/>
      <c r="U2" s="163"/>
    </row>
    <row r="3" spans="1:21" s="169" customFormat="1" ht="15" customHeight="1" x14ac:dyDescent="0.35">
      <c r="B3" s="146" t="s">
        <v>0</v>
      </c>
      <c r="C3" s="146"/>
      <c r="D3" s="146"/>
      <c r="E3" s="256" t="s">
        <v>198</v>
      </c>
      <c r="F3" s="171"/>
      <c r="G3" s="171"/>
      <c r="H3" s="171"/>
      <c r="I3" s="171"/>
      <c r="J3" s="171"/>
      <c r="K3" s="171"/>
      <c r="L3" s="171"/>
      <c r="M3" s="171"/>
      <c r="N3" s="171"/>
      <c r="O3" s="171"/>
      <c r="P3" s="171"/>
      <c r="Q3" s="171"/>
      <c r="R3" s="171"/>
      <c r="S3" s="171"/>
      <c r="T3" s="171"/>
    </row>
    <row r="4" spans="1:21" ht="12.75" customHeight="1" x14ac:dyDescent="0.3">
      <c r="D4" s="112"/>
      <c r="E4" s="112"/>
      <c r="F4" s="112"/>
      <c r="G4" s="112"/>
      <c r="H4" s="112"/>
      <c r="I4" s="112"/>
      <c r="J4" s="112"/>
      <c r="K4" s="112"/>
      <c r="L4" s="112"/>
      <c r="M4" s="112"/>
      <c r="N4" s="112"/>
      <c r="O4" s="112"/>
      <c r="P4" s="112"/>
      <c r="Q4" s="112"/>
      <c r="R4" s="112"/>
      <c r="S4" s="112"/>
      <c r="T4" s="112"/>
      <c r="U4" s="352"/>
    </row>
    <row r="5" spans="1:21" x14ac:dyDescent="0.3">
      <c r="U5" s="352"/>
    </row>
    <row r="6" spans="1:21" ht="16" thickBot="1" x14ac:dyDescent="0.35">
      <c r="B6" s="115" t="s">
        <v>8</v>
      </c>
      <c r="C6" s="115"/>
      <c r="D6" s="115"/>
      <c r="G6" s="115" t="s">
        <v>1</v>
      </c>
      <c r="H6" s="115"/>
      <c r="I6" s="115"/>
      <c r="J6" s="115"/>
      <c r="U6" s="352"/>
    </row>
    <row r="7" spans="1:21" s="170" customFormat="1" ht="15.75" customHeight="1" x14ac:dyDescent="0.35">
      <c r="B7" s="324" t="s">
        <v>2</v>
      </c>
      <c r="C7" s="325"/>
      <c r="D7" s="326"/>
      <c r="E7" s="327" t="s">
        <v>120</v>
      </c>
      <c r="G7" s="586" t="s">
        <v>349</v>
      </c>
      <c r="H7" s="586"/>
      <c r="I7" s="586"/>
      <c r="J7" s="586"/>
      <c r="K7" s="586"/>
      <c r="L7" s="586"/>
      <c r="M7" s="586"/>
      <c r="N7" s="586"/>
      <c r="O7" s="586"/>
      <c r="P7" s="586"/>
      <c r="Q7" s="586"/>
      <c r="R7" s="586"/>
      <c r="S7" s="586"/>
      <c r="T7" s="586"/>
    </row>
    <row r="8" spans="1:21" s="170" customFormat="1" ht="15.75" customHeight="1" x14ac:dyDescent="0.35">
      <c r="B8" s="328" t="s">
        <v>3</v>
      </c>
      <c r="C8" s="230"/>
      <c r="E8" s="329" t="s">
        <v>121</v>
      </c>
      <c r="G8" s="586"/>
      <c r="H8" s="586"/>
      <c r="I8" s="586"/>
      <c r="J8" s="586"/>
      <c r="K8" s="586"/>
      <c r="L8" s="586"/>
      <c r="M8" s="586"/>
      <c r="N8" s="586"/>
      <c r="O8" s="586"/>
      <c r="P8" s="586"/>
      <c r="Q8" s="586"/>
      <c r="R8" s="586"/>
      <c r="S8" s="586"/>
      <c r="T8" s="586"/>
      <c r="U8" s="352"/>
    </row>
    <row r="9" spans="1:21" s="170" customFormat="1" ht="15.75" customHeight="1" x14ac:dyDescent="0.35">
      <c r="B9" s="328" t="s">
        <v>4</v>
      </c>
      <c r="C9" s="230"/>
      <c r="E9" s="330" t="s">
        <v>350</v>
      </c>
      <c r="G9" s="586"/>
      <c r="H9" s="586"/>
      <c r="I9" s="586"/>
      <c r="J9" s="586"/>
      <c r="K9" s="586"/>
      <c r="L9" s="586"/>
      <c r="M9" s="586"/>
      <c r="N9" s="586"/>
      <c r="O9" s="586"/>
      <c r="P9" s="586"/>
      <c r="Q9" s="586"/>
      <c r="R9" s="586"/>
      <c r="S9" s="586"/>
      <c r="T9" s="586"/>
      <c r="U9" s="352"/>
    </row>
    <row r="10" spans="1:21"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c r="U10" s="352"/>
    </row>
    <row r="11" spans="1:21" s="170" customFormat="1" ht="15.75" customHeight="1" x14ac:dyDescent="0.35">
      <c r="B11" s="328" t="s">
        <v>7</v>
      </c>
      <c r="C11" s="230"/>
      <c r="E11" s="330" t="s">
        <v>145</v>
      </c>
      <c r="G11" s="586"/>
      <c r="H11" s="586"/>
      <c r="I11" s="586"/>
      <c r="J11" s="586"/>
      <c r="K11" s="586"/>
      <c r="L11" s="586"/>
      <c r="M11" s="586"/>
      <c r="N11" s="586"/>
      <c r="O11" s="586"/>
      <c r="P11" s="586"/>
      <c r="Q11" s="586"/>
      <c r="R11" s="586"/>
      <c r="S11" s="586"/>
      <c r="T11" s="586"/>
      <c r="U11" s="352"/>
    </row>
    <row r="12" spans="1:21" x14ac:dyDescent="0.3">
      <c r="B12" s="331" t="s">
        <v>9</v>
      </c>
      <c r="C12" s="231"/>
      <c r="D12" s="114"/>
      <c r="E12" s="330" t="s">
        <v>149</v>
      </c>
      <c r="G12" s="586"/>
      <c r="H12" s="586"/>
      <c r="I12" s="586"/>
      <c r="J12" s="586"/>
      <c r="K12" s="586"/>
      <c r="L12" s="586"/>
      <c r="M12" s="586"/>
      <c r="N12" s="586"/>
      <c r="O12" s="586"/>
      <c r="P12" s="586"/>
      <c r="Q12" s="586"/>
      <c r="R12" s="586"/>
      <c r="S12" s="586"/>
      <c r="T12" s="586"/>
      <c r="U12" s="352"/>
    </row>
    <row r="13" spans="1:21" x14ac:dyDescent="0.3">
      <c r="B13" s="331" t="s">
        <v>10</v>
      </c>
      <c r="C13" s="231"/>
      <c r="D13" s="114"/>
      <c r="E13" s="330" t="s">
        <v>160</v>
      </c>
      <c r="G13" s="586"/>
      <c r="H13" s="586"/>
      <c r="I13" s="586"/>
      <c r="J13" s="586"/>
      <c r="K13" s="586"/>
      <c r="L13" s="586"/>
      <c r="M13" s="586"/>
      <c r="N13" s="586"/>
      <c r="O13" s="586"/>
      <c r="P13" s="586"/>
      <c r="Q13" s="586"/>
      <c r="R13" s="586"/>
      <c r="S13" s="586"/>
      <c r="T13" s="586"/>
      <c r="U13" s="352"/>
    </row>
    <row r="14" spans="1:21"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1" ht="70.5" customHeight="1" x14ac:dyDescent="0.3">
      <c r="B15" s="438"/>
      <c r="C15" s="231"/>
      <c r="D15" s="114"/>
      <c r="E15" s="158"/>
      <c r="G15" s="586"/>
      <c r="H15" s="586"/>
      <c r="I15" s="586"/>
      <c r="J15" s="586"/>
      <c r="K15" s="586"/>
      <c r="L15" s="586"/>
      <c r="M15" s="586"/>
      <c r="N15" s="586"/>
      <c r="O15" s="586"/>
      <c r="P15" s="586"/>
      <c r="Q15" s="586"/>
      <c r="R15" s="586"/>
      <c r="S15" s="586"/>
      <c r="T15" s="586"/>
      <c r="U15" s="310"/>
    </row>
    <row r="16" spans="1:21"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5</v>
      </c>
      <c r="D18" s="161">
        <v>0.28999999999999998</v>
      </c>
      <c r="E18" s="162">
        <f>D18*C18</f>
        <v>1.45</v>
      </c>
      <c r="G18" s="219"/>
      <c r="H18" s="220" t="s">
        <v>18</v>
      </c>
      <c r="I18" s="221">
        <f>D37</f>
        <v>-1521070.3837487716</v>
      </c>
      <c r="J18" s="222"/>
      <c r="K18" s="220" t="s">
        <v>220</v>
      </c>
      <c r="L18" s="223">
        <f>SUM(F34:J34)</f>
        <v>1600000</v>
      </c>
      <c r="N18" s="584" t="s">
        <v>221</v>
      </c>
      <c r="O18" s="584"/>
      <c r="P18" s="584"/>
      <c r="Q18" s="584"/>
      <c r="R18" s="314"/>
      <c r="S18" s="161"/>
      <c r="T18" s="315" t="s">
        <v>222</v>
      </c>
    </row>
    <row r="19" spans="2:20" ht="13.5" customHeight="1" x14ac:dyDescent="0.3">
      <c r="B19" s="160" t="s">
        <v>19</v>
      </c>
      <c r="C19" s="182">
        <v>3</v>
      </c>
      <c r="D19" s="161">
        <v>0.18</v>
      </c>
      <c r="E19" s="162">
        <f>D19*C19</f>
        <v>0.54</v>
      </c>
      <c r="G19" s="224"/>
      <c r="H19" s="125" t="s">
        <v>20</v>
      </c>
      <c r="I19" s="126">
        <f>D40</f>
        <v>1296218.7329533438</v>
      </c>
      <c r="J19" s="127"/>
      <c r="K19" s="125" t="s">
        <v>223</v>
      </c>
      <c r="L19" s="225">
        <f>SUM(F36:J36)</f>
        <v>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1.8521753804440875</v>
      </c>
      <c r="J20" s="127"/>
      <c r="K20" s="125" t="s">
        <v>225</v>
      </c>
      <c r="L20" s="225">
        <f>NPV($D$33,F39:T39)</f>
        <v>2817289.1167021156</v>
      </c>
      <c r="N20" s="316" t="s">
        <v>226</v>
      </c>
      <c r="O20" s="316"/>
      <c r="P20" s="316"/>
      <c r="Q20" s="316"/>
      <c r="R20" s="317"/>
      <c r="S20" s="318"/>
      <c r="T20" s="319" t="s">
        <v>222</v>
      </c>
    </row>
    <row r="21" spans="2:20" ht="13.5" customHeight="1" thickBot="1" x14ac:dyDescent="0.35">
      <c r="B21" s="160" t="s">
        <v>23</v>
      </c>
      <c r="C21" s="182">
        <v>2</v>
      </c>
      <c r="D21" s="161">
        <v>0.18</v>
      </c>
      <c r="E21" s="162">
        <f>D21*C21</f>
        <v>0.36</v>
      </c>
      <c r="G21" s="194"/>
      <c r="H21" s="257" t="s">
        <v>166</v>
      </c>
      <c r="I21" s="258">
        <f>IFERROR(NPV($D$33,F39:T39)/NPV($D$33,F38:T38),"N/A")</f>
        <v>1.2347835869627255</v>
      </c>
      <c r="J21" s="226"/>
      <c r="K21" s="436" t="s">
        <v>228</v>
      </c>
      <c r="L21" s="439">
        <f>NPV($D$33,F39:J39)</f>
        <v>215451.51821707026</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3.2199999999999998</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354"/>
      <c r="C26" s="355"/>
      <c r="D26" s="410"/>
      <c r="E26" s="411"/>
      <c r="F26" s="391" t="s">
        <v>25</v>
      </c>
      <c r="G26" s="391" t="s">
        <v>232</v>
      </c>
      <c r="H26" s="391" t="s">
        <v>26</v>
      </c>
      <c r="I26" s="391" t="s">
        <v>27</v>
      </c>
      <c r="J26" s="391" t="s">
        <v>28</v>
      </c>
      <c r="K26" s="391" t="s">
        <v>29</v>
      </c>
      <c r="L26" s="391" t="s">
        <v>30</v>
      </c>
      <c r="M26" s="391" t="s">
        <v>31</v>
      </c>
      <c r="N26" s="391" t="s">
        <v>32</v>
      </c>
      <c r="O26" s="391" t="s">
        <v>33</v>
      </c>
      <c r="P26" s="391" t="s">
        <v>34</v>
      </c>
      <c r="Q26" s="391" t="s">
        <v>35</v>
      </c>
      <c r="R26" s="391" t="s">
        <v>36</v>
      </c>
      <c r="S26" s="391" t="s">
        <v>37</v>
      </c>
      <c r="T26" s="392" t="s">
        <v>38</v>
      </c>
    </row>
    <row r="27" spans="2:20" x14ac:dyDescent="0.3">
      <c r="B27" s="360" t="s">
        <v>39</v>
      </c>
      <c r="C27" s="146" t="s">
        <v>24</v>
      </c>
      <c r="D27" s="146">
        <f>SUM(F27:T27)</f>
        <v>75</v>
      </c>
      <c r="E27" s="112"/>
      <c r="F27" s="227">
        <v>3</v>
      </c>
      <c r="G27" s="227">
        <v>3</v>
      </c>
      <c r="H27" s="227"/>
      <c r="I27" s="227"/>
      <c r="J27" s="227"/>
      <c r="K27" s="227">
        <v>6</v>
      </c>
      <c r="L27" s="227">
        <v>7</v>
      </c>
      <c r="M27" s="227">
        <v>7</v>
      </c>
      <c r="N27" s="227">
        <v>7</v>
      </c>
      <c r="O27" s="227">
        <v>7</v>
      </c>
      <c r="P27" s="227">
        <v>7</v>
      </c>
      <c r="Q27" s="227">
        <v>7</v>
      </c>
      <c r="R27" s="227">
        <v>7</v>
      </c>
      <c r="S27" s="227">
        <v>7</v>
      </c>
      <c r="T27" s="412">
        <v>7</v>
      </c>
    </row>
    <row r="28" spans="2:20" x14ac:dyDescent="0.3">
      <c r="B28" s="360" t="s">
        <v>233</v>
      </c>
      <c r="C28" s="112"/>
      <c r="D28" s="112"/>
      <c r="E28" s="112"/>
      <c r="F28" s="413"/>
      <c r="G28" s="413"/>
      <c r="H28" s="413"/>
      <c r="I28" s="413"/>
      <c r="J28" s="413"/>
      <c r="K28" s="413"/>
      <c r="L28" s="413"/>
      <c r="M28" s="413"/>
      <c r="N28" s="413"/>
      <c r="O28" s="413"/>
      <c r="P28" s="413"/>
      <c r="Q28" s="413"/>
      <c r="R28" s="413"/>
      <c r="S28" s="413"/>
      <c r="T28" s="414"/>
    </row>
    <row r="29" spans="2:20" ht="13.5" thickBot="1" x14ac:dyDescent="0.35">
      <c r="B29" s="415"/>
      <c r="C29" s="416"/>
      <c r="D29" s="367"/>
      <c r="E29" s="367"/>
      <c r="F29" s="417"/>
      <c r="G29" s="417"/>
      <c r="H29" s="367"/>
      <c r="I29" s="367"/>
      <c r="J29" s="367"/>
      <c r="K29" s="367"/>
      <c r="L29" s="367"/>
      <c r="M29" s="367"/>
      <c r="N29" s="367"/>
      <c r="O29" s="367"/>
      <c r="P29" s="367"/>
      <c r="Q29" s="367"/>
      <c r="R29" s="367"/>
      <c r="S29" s="367"/>
      <c r="T29" s="418"/>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354" t="s">
        <v>41</v>
      </c>
      <c r="C33" s="355"/>
      <c r="D33" s="356">
        <f>'Inputs and assumptions'!C5</f>
        <v>3.44E-2</v>
      </c>
      <c r="E33" s="357"/>
      <c r="F33" s="358" t="str">
        <f>F26</f>
        <v>Year 1</v>
      </c>
      <c r="G33" s="358" t="s">
        <v>232</v>
      </c>
      <c r="H33" s="358" t="s">
        <v>26</v>
      </c>
      <c r="I33" s="358" t="s">
        <v>27</v>
      </c>
      <c r="J33" s="358" t="s">
        <v>28</v>
      </c>
      <c r="K33" s="358" t="s">
        <v>29</v>
      </c>
      <c r="L33" s="358" t="s">
        <v>30</v>
      </c>
      <c r="M33" s="358" t="s">
        <v>31</v>
      </c>
      <c r="N33" s="358" t="s">
        <v>32</v>
      </c>
      <c r="O33" s="358" t="s">
        <v>33</v>
      </c>
      <c r="P33" s="358" t="s">
        <v>34</v>
      </c>
      <c r="Q33" s="358" t="s">
        <v>35</v>
      </c>
      <c r="R33" s="358" t="s">
        <v>36</v>
      </c>
      <c r="S33" s="358" t="s">
        <v>37</v>
      </c>
      <c r="T33" s="359" t="s">
        <v>38</v>
      </c>
    </row>
    <row r="34" spans="2:20" x14ac:dyDescent="0.3">
      <c r="B34" s="360" t="s">
        <v>42</v>
      </c>
      <c r="C34" s="112"/>
      <c r="D34" s="112"/>
      <c r="E34" s="112"/>
      <c r="F34" s="140">
        <f t="shared" ref="F34:T34" si="0">IF($E$100="Per Unit",F102,F107)</f>
        <v>800000</v>
      </c>
      <c r="G34" s="140">
        <f t="shared" si="0"/>
        <v>800000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361">
        <f t="shared" si="0"/>
        <v>0</v>
      </c>
    </row>
    <row r="35" spans="2:20" x14ac:dyDescent="0.3">
      <c r="B35" s="360" t="s">
        <v>234</v>
      </c>
      <c r="C35" s="112"/>
      <c r="D35" s="112"/>
      <c r="E35" s="112"/>
      <c r="F35" s="140">
        <f>F34*(1+'Inputs and assumptions'!$C$7)</f>
        <v>1200000</v>
      </c>
      <c r="G35" s="140">
        <f>G34*(1+'Inputs and assumptions'!$C$7)</f>
        <v>1200000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361">
        <f>T34*(1+'Inputs and assumptions'!$C$7)</f>
        <v>0</v>
      </c>
    </row>
    <row r="36" spans="2:20" ht="13.5" thickBot="1" x14ac:dyDescent="0.35">
      <c r="B36" s="474" t="s">
        <v>43</v>
      </c>
      <c r="C36" s="135"/>
      <c r="D36" s="135"/>
      <c r="E36" s="135"/>
      <c r="F36" s="142">
        <f t="shared" ref="F36:T36" si="1">IF($E$100="Per Unit",F103,F108)</f>
        <v>0</v>
      </c>
      <c r="G36" s="142">
        <f t="shared" si="1"/>
        <v>0</v>
      </c>
      <c r="H36" s="142">
        <f t="shared" si="1"/>
        <v>0</v>
      </c>
      <c r="I36" s="142">
        <f t="shared" si="1"/>
        <v>0</v>
      </c>
      <c r="J36" s="142">
        <f t="shared" si="1"/>
        <v>0</v>
      </c>
      <c r="K36" s="142">
        <f t="shared" si="1"/>
        <v>0</v>
      </c>
      <c r="L36" s="142">
        <f t="shared" si="1"/>
        <v>0</v>
      </c>
      <c r="M36" s="142">
        <f t="shared" si="1"/>
        <v>0</v>
      </c>
      <c r="N36" s="142">
        <f t="shared" si="1"/>
        <v>0</v>
      </c>
      <c r="O36" s="142">
        <f t="shared" si="1"/>
        <v>0</v>
      </c>
      <c r="P36" s="142">
        <f t="shared" si="1"/>
        <v>0</v>
      </c>
      <c r="Q36" s="142">
        <f t="shared" si="1"/>
        <v>0</v>
      </c>
      <c r="R36" s="142">
        <f t="shared" si="1"/>
        <v>0</v>
      </c>
      <c r="S36" s="142">
        <f t="shared" si="1"/>
        <v>0</v>
      </c>
      <c r="T36" s="475">
        <f t="shared" si="1"/>
        <v>0</v>
      </c>
    </row>
    <row r="37" spans="2:20" x14ac:dyDescent="0.3">
      <c r="B37" s="476" t="s">
        <v>44</v>
      </c>
      <c r="C37" s="133"/>
      <c r="D37" s="247">
        <f>NPV($D$33,F37:T37)</f>
        <v>-1521070.3837487716</v>
      </c>
      <c r="E37" s="248"/>
      <c r="F37" s="144">
        <f t="shared" ref="F37:T37" si="2">-F34-F36</f>
        <v>-800000</v>
      </c>
      <c r="G37" s="144">
        <f t="shared" si="2"/>
        <v>-800000</v>
      </c>
      <c r="H37" s="144">
        <f t="shared" si="2"/>
        <v>0</v>
      </c>
      <c r="I37" s="144">
        <f t="shared" si="2"/>
        <v>0</v>
      </c>
      <c r="J37" s="144">
        <f t="shared" si="2"/>
        <v>0</v>
      </c>
      <c r="K37" s="144">
        <f t="shared" si="2"/>
        <v>0</v>
      </c>
      <c r="L37" s="144">
        <f t="shared" si="2"/>
        <v>0</v>
      </c>
      <c r="M37" s="144">
        <f t="shared" si="2"/>
        <v>0</v>
      </c>
      <c r="N37" s="144">
        <f t="shared" si="2"/>
        <v>0</v>
      </c>
      <c r="O37" s="144">
        <f t="shared" si="2"/>
        <v>0</v>
      </c>
      <c r="P37" s="144">
        <f t="shared" si="2"/>
        <v>0</v>
      </c>
      <c r="Q37" s="144">
        <f t="shared" si="2"/>
        <v>0</v>
      </c>
      <c r="R37" s="144">
        <f t="shared" si="2"/>
        <v>0</v>
      </c>
      <c r="S37" s="144">
        <f t="shared" si="2"/>
        <v>0</v>
      </c>
      <c r="T37" s="477">
        <f t="shared" si="2"/>
        <v>0</v>
      </c>
    </row>
    <row r="38" spans="2:20" ht="13.5" thickBot="1" x14ac:dyDescent="0.35">
      <c r="B38" s="474" t="s">
        <v>235</v>
      </c>
      <c r="C38" s="135"/>
      <c r="D38" s="132"/>
      <c r="E38" s="121"/>
      <c r="F38" s="142">
        <f>F35+F36</f>
        <v>1200000</v>
      </c>
      <c r="G38" s="142">
        <f t="shared" ref="G38:T38" si="3">G35+G36</f>
        <v>1200000</v>
      </c>
      <c r="H38" s="142">
        <f t="shared" si="3"/>
        <v>0</v>
      </c>
      <c r="I38" s="142">
        <f t="shared" si="3"/>
        <v>0</v>
      </c>
      <c r="J38" s="142">
        <f t="shared" si="3"/>
        <v>0</v>
      </c>
      <c r="K38" s="142">
        <f t="shared" si="3"/>
        <v>0</v>
      </c>
      <c r="L38" s="142">
        <f t="shared" si="3"/>
        <v>0</v>
      </c>
      <c r="M38" s="142">
        <f t="shared" si="3"/>
        <v>0</v>
      </c>
      <c r="N38" s="142">
        <f t="shared" si="3"/>
        <v>0</v>
      </c>
      <c r="O38" s="142">
        <f t="shared" si="3"/>
        <v>0</v>
      </c>
      <c r="P38" s="142">
        <f t="shared" si="3"/>
        <v>0</v>
      </c>
      <c r="Q38" s="142">
        <f t="shared" si="3"/>
        <v>0</v>
      </c>
      <c r="R38" s="142">
        <f t="shared" si="3"/>
        <v>0</v>
      </c>
      <c r="S38" s="142">
        <f t="shared" si="3"/>
        <v>0</v>
      </c>
      <c r="T38" s="475">
        <f t="shared" si="3"/>
        <v>0</v>
      </c>
    </row>
    <row r="39" spans="2:20" x14ac:dyDescent="0.3">
      <c r="B39" s="360" t="s">
        <v>45</v>
      </c>
      <c r="C39" s="112"/>
      <c r="D39" s="134"/>
      <c r="E39" s="112"/>
      <c r="F39" s="140">
        <f t="shared" ref="F39:T39" si="4">IF($E$43="Per Unit",SUM(F45:F71),SUM(F73:F98))</f>
        <v>26668.997421596472</v>
      </c>
      <c r="G39" s="140">
        <f t="shared" si="4"/>
        <v>53337.994843192944</v>
      </c>
      <c r="H39" s="140">
        <f t="shared" si="4"/>
        <v>53337.994843192944</v>
      </c>
      <c r="I39" s="140">
        <f t="shared" si="4"/>
        <v>53337.994843192944</v>
      </c>
      <c r="J39" s="140">
        <f t="shared" si="4"/>
        <v>53337.994843192944</v>
      </c>
      <c r="K39" s="140">
        <f t="shared" si="4"/>
        <v>106675.98968638589</v>
      </c>
      <c r="L39" s="140">
        <f t="shared" si="4"/>
        <v>168903.65033677767</v>
      </c>
      <c r="M39" s="140">
        <f t="shared" si="4"/>
        <v>231131.31098716945</v>
      </c>
      <c r="N39" s="140">
        <f t="shared" si="4"/>
        <v>293358.97163756122</v>
      </c>
      <c r="O39" s="140">
        <f t="shared" si="4"/>
        <v>355586.63228795299</v>
      </c>
      <c r="P39" s="140">
        <f t="shared" si="4"/>
        <v>417814.29293834476</v>
      </c>
      <c r="Q39" s="140">
        <f t="shared" si="4"/>
        <v>480041.95358873653</v>
      </c>
      <c r="R39" s="140">
        <f t="shared" si="4"/>
        <v>542269.61423912831</v>
      </c>
      <c r="S39" s="140">
        <f t="shared" si="4"/>
        <v>604497.27488952014</v>
      </c>
      <c r="T39" s="361">
        <f t="shared" si="4"/>
        <v>666724.93553991185</v>
      </c>
    </row>
    <row r="40" spans="2:20" x14ac:dyDescent="0.3">
      <c r="B40" s="360" t="s">
        <v>46</v>
      </c>
      <c r="C40" s="112"/>
      <c r="D40" s="134">
        <f>NPV($D$33,F40:T40)</f>
        <v>1296218.7329533438</v>
      </c>
      <c r="E40" s="112"/>
      <c r="F40" s="140">
        <f t="shared" ref="F40:T40" si="5">F39+F37</f>
        <v>-773331.00257840357</v>
      </c>
      <c r="G40" s="140">
        <f t="shared" si="5"/>
        <v>-746662.00515680702</v>
      </c>
      <c r="H40" s="140">
        <f t="shared" si="5"/>
        <v>53337.994843192944</v>
      </c>
      <c r="I40" s="140">
        <f t="shared" si="5"/>
        <v>53337.994843192944</v>
      </c>
      <c r="J40" s="140">
        <f t="shared" si="5"/>
        <v>53337.994843192944</v>
      </c>
      <c r="K40" s="140">
        <f t="shared" si="5"/>
        <v>106675.98968638589</v>
      </c>
      <c r="L40" s="140">
        <f t="shared" si="5"/>
        <v>168903.65033677767</v>
      </c>
      <c r="M40" s="140">
        <f t="shared" si="5"/>
        <v>231131.31098716945</v>
      </c>
      <c r="N40" s="140">
        <f t="shared" si="5"/>
        <v>293358.97163756122</v>
      </c>
      <c r="O40" s="140">
        <f t="shared" si="5"/>
        <v>355586.63228795299</v>
      </c>
      <c r="P40" s="140">
        <f t="shared" si="5"/>
        <v>417814.29293834476</v>
      </c>
      <c r="Q40" s="140">
        <f t="shared" si="5"/>
        <v>480041.95358873653</v>
      </c>
      <c r="R40" s="140">
        <f t="shared" si="5"/>
        <v>542269.61423912831</v>
      </c>
      <c r="S40" s="140">
        <f t="shared" si="5"/>
        <v>604497.27488952014</v>
      </c>
      <c r="T40" s="361">
        <f t="shared" si="5"/>
        <v>666724.93553991185</v>
      </c>
    </row>
    <row r="41" spans="2:20" ht="13.5" thickBot="1" x14ac:dyDescent="0.35">
      <c r="B41" s="362"/>
      <c r="C41" s="363"/>
      <c r="D41" s="363"/>
      <c r="E41" s="368"/>
      <c r="F41" s="369"/>
      <c r="G41" s="370"/>
      <c r="H41" s="370"/>
      <c r="I41" s="370"/>
      <c r="J41" s="370"/>
      <c r="K41" s="370"/>
      <c r="L41" s="370"/>
      <c r="M41" s="370"/>
      <c r="N41" s="370"/>
      <c r="O41" s="370"/>
      <c r="P41" s="370"/>
      <c r="Q41" s="370"/>
      <c r="R41" s="370"/>
      <c r="S41" s="370"/>
      <c r="T41" s="371"/>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8889.665807198824</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v>5.0000000000000001E-3</v>
      </c>
      <c r="D48" s="261">
        <f>IFERROR(C48*'Inputs and assumptions'!D19/$D$27,0)</f>
        <v>339.6658071988245</v>
      </c>
      <c r="E48" s="112"/>
      <c r="F48" s="140">
        <f>$D48*SUM($E$27:F$27)</f>
        <v>1018.9974215964735</v>
      </c>
      <c r="G48" s="140">
        <f>$D48*SUM($E$27:G$27)</f>
        <v>2037.994843192947</v>
      </c>
      <c r="H48" s="140">
        <f>$D48*SUM($E$27:H$27)</f>
        <v>2037.994843192947</v>
      </c>
      <c r="I48" s="140">
        <f>$D48*SUM($E$27:I$27)</f>
        <v>2037.994843192947</v>
      </c>
      <c r="J48" s="140">
        <f>$D48*SUM($E$27:J$27)</f>
        <v>2037.994843192947</v>
      </c>
      <c r="K48" s="140">
        <f>$D48*SUM($E$27:K$27)</f>
        <v>4075.9896863858939</v>
      </c>
      <c r="L48" s="140">
        <f>$D48*SUM($E$27:L$27)</f>
        <v>6453.6503367776659</v>
      </c>
      <c r="M48" s="140">
        <f>$D48*SUM($E$27:M$27)</f>
        <v>8831.310987169436</v>
      </c>
      <c r="N48" s="140">
        <f>$D48*SUM($E$27:N$27)</f>
        <v>11208.971637561208</v>
      </c>
      <c r="O48" s="140">
        <f>$D48*SUM($E$27:O$27)</f>
        <v>13586.63228795298</v>
      </c>
      <c r="P48" s="140">
        <f>$D48*SUM($E$27:P$27)</f>
        <v>15964.292938344752</v>
      </c>
      <c r="Q48" s="140">
        <f>$D48*SUM($E$27:Q$27)</f>
        <v>18341.953588736524</v>
      </c>
      <c r="R48" s="140">
        <f>$D48*SUM($E$27:R$27)</f>
        <v>20719.614239128296</v>
      </c>
      <c r="S48" s="140">
        <f>$D48*SUM($E$27:S$27)</f>
        <v>23097.274889520064</v>
      </c>
      <c r="T48" s="141">
        <f>$D48*SUM($E$27:T$27)</f>
        <v>25474.935539911836</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v>3.7499999999999999E-3</v>
      </c>
      <c r="D60" s="261">
        <f>IFERROR(C60*'Inputs and assumptions'!D31/$D$27,0)</f>
        <v>6550</v>
      </c>
      <c r="E60" s="112"/>
      <c r="F60" s="140">
        <f>$D60*SUM($E$27:F$27)</f>
        <v>19650</v>
      </c>
      <c r="G60" s="140">
        <f>$D60*SUM($E$27:G$27)</f>
        <v>39300</v>
      </c>
      <c r="H60" s="140">
        <f>$D60*SUM($E$27:H$27)</f>
        <v>39300</v>
      </c>
      <c r="I60" s="140">
        <f>$D60*SUM($E$27:I$27)</f>
        <v>39300</v>
      </c>
      <c r="J60" s="140">
        <f>$D60*SUM($E$27:J$27)</f>
        <v>39300</v>
      </c>
      <c r="K60" s="140">
        <f>$D60*SUM($E$27:K$27)</f>
        <v>78600</v>
      </c>
      <c r="L60" s="140">
        <f>$D60*SUM($E$27:L$27)</f>
        <v>124450</v>
      </c>
      <c r="M60" s="140">
        <f>$D60*SUM($E$27:M$27)</f>
        <v>170300</v>
      </c>
      <c r="N60" s="140">
        <f>$D60*SUM($E$27:N$27)</f>
        <v>216150</v>
      </c>
      <c r="O60" s="140">
        <f>$D60*SUM($E$27:O$27)</f>
        <v>262000</v>
      </c>
      <c r="P60" s="140">
        <f>$D60*SUM($E$27:P$27)</f>
        <v>307850</v>
      </c>
      <c r="Q60" s="140">
        <f>$D60*SUM($E$27:Q$27)</f>
        <v>353700</v>
      </c>
      <c r="R60" s="140">
        <f>$D60*SUM($E$27:R$27)</f>
        <v>399550</v>
      </c>
      <c r="S60" s="140">
        <f>$D60*SUM($E$27:S$27)</f>
        <v>445400</v>
      </c>
      <c r="T60" s="141">
        <f>$D60*SUM($E$27:T$27)</f>
        <v>491250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v>1E-4</v>
      </c>
      <c r="D68" s="261">
        <f>IFERROR(C68*'Inputs and assumptions'!D39/$D$27,0)</f>
        <v>2000</v>
      </c>
      <c r="E68" s="112"/>
      <c r="F68" s="140">
        <f>$D68*SUM($E$27:F$27)</f>
        <v>6000</v>
      </c>
      <c r="G68" s="140">
        <f>$D68*SUM($E$27:G$27)</f>
        <v>12000</v>
      </c>
      <c r="H68" s="140">
        <f>$D68*SUM($E$27:H$27)</f>
        <v>12000</v>
      </c>
      <c r="I68" s="140">
        <f>$D68*SUM($E$27:I$27)</f>
        <v>12000</v>
      </c>
      <c r="J68" s="140">
        <f>$D68*SUM($E$27:J$27)</f>
        <v>12000</v>
      </c>
      <c r="K68" s="140">
        <f>$D68*SUM($E$27:K$27)</f>
        <v>24000</v>
      </c>
      <c r="L68" s="140">
        <f>$D68*SUM($E$27:L$27)</f>
        <v>38000</v>
      </c>
      <c r="M68" s="140">
        <f>$D68*SUM($E$27:M$27)</f>
        <v>52000</v>
      </c>
      <c r="N68" s="140">
        <f>$D68*SUM($E$27:N$27)</f>
        <v>66000</v>
      </c>
      <c r="O68" s="140">
        <f>$D68*SUM($E$27:O$27)</f>
        <v>80000</v>
      </c>
      <c r="P68" s="140">
        <f>$D68*SUM($E$27:P$27)</f>
        <v>94000</v>
      </c>
      <c r="Q68" s="140">
        <f>$D68*SUM($E$27:Q$27)</f>
        <v>108000</v>
      </c>
      <c r="R68" s="140">
        <f>$D68*SUM($E$27:R$27)</f>
        <v>122000</v>
      </c>
      <c r="S68" s="140">
        <f>$D68*SUM($E$27:S$27)</f>
        <v>136000</v>
      </c>
      <c r="T68" s="141">
        <f>$D68*SUM($E$27:T$27)</f>
        <v>150000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385"/>
      <c r="E72" s="390"/>
      <c r="F72" s="391" t="str">
        <f>F26</f>
        <v>Year 1</v>
      </c>
      <c r="G72" s="391" t="s">
        <v>232</v>
      </c>
      <c r="H72" s="391" t="s">
        <v>26</v>
      </c>
      <c r="I72" s="391" t="s">
        <v>27</v>
      </c>
      <c r="J72" s="391" t="s">
        <v>28</v>
      </c>
      <c r="K72" s="391" t="s">
        <v>29</v>
      </c>
      <c r="L72" s="391" t="s">
        <v>30</v>
      </c>
      <c r="M72" s="391" t="s">
        <v>31</v>
      </c>
      <c r="N72" s="391" t="s">
        <v>32</v>
      </c>
      <c r="O72" s="391" t="s">
        <v>33</v>
      </c>
      <c r="P72" s="391" t="s">
        <v>34</v>
      </c>
      <c r="Q72" s="391" t="s">
        <v>35</v>
      </c>
      <c r="R72" s="391" t="s">
        <v>36</v>
      </c>
      <c r="S72" s="391" t="s">
        <v>37</v>
      </c>
      <c r="T72" s="392" t="s">
        <v>38</v>
      </c>
    </row>
    <row r="73" spans="2:20" x14ac:dyDescent="0.3">
      <c r="B73" s="191" t="s">
        <v>50</v>
      </c>
      <c r="C73" s="239" t="s">
        <v>236</v>
      </c>
      <c r="D73" s="386"/>
      <c r="E73" s="393"/>
      <c r="F73" s="215"/>
      <c r="G73" s="215"/>
      <c r="H73" s="215"/>
      <c r="I73" s="215"/>
      <c r="J73" s="215"/>
      <c r="K73" s="215"/>
      <c r="L73" s="215"/>
      <c r="M73" s="215"/>
      <c r="N73" s="215"/>
      <c r="O73" s="215"/>
      <c r="P73" s="215"/>
      <c r="Q73" s="215"/>
      <c r="R73" s="215"/>
      <c r="S73" s="215"/>
      <c r="T73" s="394"/>
    </row>
    <row r="74" spans="2:20" x14ac:dyDescent="0.3">
      <c r="B74" s="193" t="s">
        <v>51</v>
      </c>
      <c r="C74" s="240"/>
      <c r="D74" s="388">
        <f>C74*'Inputs and assumptions'!D17</f>
        <v>0</v>
      </c>
      <c r="E74" s="393"/>
      <c r="F74" s="175">
        <v>0</v>
      </c>
      <c r="G74" s="175">
        <v>0</v>
      </c>
      <c r="H74" s="175">
        <v>0</v>
      </c>
      <c r="I74" s="175">
        <v>0</v>
      </c>
      <c r="J74" s="175">
        <v>0</v>
      </c>
      <c r="K74" s="175">
        <v>0</v>
      </c>
      <c r="L74" s="175">
        <v>0</v>
      </c>
      <c r="M74" s="175">
        <v>0</v>
      </c>
      <c r="N74" s="175">
        <v>0</v>
      </c>
      <c r="O74" s="175">
        <v>0</v>
      </c>
      <c r="P74" s="175">
        <v>0</v>
      </c>
      <c r="Q74" s="175">
        <v>0</v>
      </c>
      <c r="R74" s="175">
        <v>0</v>
      </c>
      <c r="S74" s="175">
        <v>0</v>
      </c>
      <c r="T74" s="395">
        <v>0</v>
      </c>
    </row>
    <row r="75" spans="2:20" x14ac:dyDescent="0.3">
      <c r="B75" s="193" t="s">
        <v>52</v>
      </c>
      <c r="C75" s="240"/>
      <c r="D75" s="388">
        <f>C75*'Inputs and assumptions'!D18</f>
        <v>0</v>
      </c>
      <c r="E75" s="393"/>
      <c r="F75" s="175">
        <v>0</v>
      </c>
      <c r="G75" s="175">
        <v>0</v>
      </c>
      <c r="H75" s="175">
        <v>0</v>
      </c>
      <c r="I75" s="175">
        <v>0</v>
      </c>
      <c r="J75" s="175">
        <v>0</v>
      </c>
      <c r="K75" s="175">
        <v>0</v>
      </c>
      <c r="L75" s="175">
        <v>0</v>
      </c>
      <c r="M75" s="175">
        <v>0</v>
      </c>
      <c r="N75" s="175">
        <v>0</v>
      </c>
      <c r="O75" s="175">
        <v>0</v>
      </c>
      <c r="P75" s="175">
        <v>0</v>
      </c>
      <c r="Q75" s="175">
        <v>0</v>
      </c>
      <c r="R75" s="175">
        <v>0</v>
      </c>
      <c r="S75" s="175">
        <v>0</v>
      </c>
      <c r="T75" s="395">
        <v>0</v>
      </c>
    </row>
    <row r="76" spans="2:20" x14ac:dyDescent="0.3">
      <c r="B76" s="193" t="s">
        <v>53</v>
      </c>
      <c r="C76" s="240"/>
      <c r="D76" s="388">
        <f>C76*'Inputs and assumptions'!D19</f>
        <v>0</v>
      </c>
      <c r="E76" s="393"/>
      <c r="F76" s="294">
        <f>$D$76*F$28</f>
        <v>0</v>
      </c>
      <c r="G76" s="294">
        <f t="shared" ref="G76:T76" si="6">$D$76*G$28</f>
        <v>0</v>
      </c>
      <c r="H76" s="294">
        <f t="shared" si="6"/>
        <v>0</v>
      </c>
      <c r="I76" s="294">
        <f t="shared" si="6"/>
        <v>0</v>
      </c>
      <c r="J76" s="294">
        <f t="shared" si="6"/>
        <v>0</v>
      </c>
      <c r="K76" s="294">
        <f t="shared" si="6"/>
        <v>0</v>
      </c>
      <c r="L76" s="294">
        <f t="shared" si="6"/>
        <v>0</v>
      </c>
      <c r="M76" s="294">
        <f t="shared" si="6"/>
        <v>0</v>
      </c>
      <c r="N76" s="294">
        <f t="shared" si="6"/>
        <v>0</v>
      </c>
      <c r="O76" s="294">
        <f t="shared" si="6"/>
        <v>0</v>
      </c>
      <c r="P76" s="294">
        <f t="shared" si="6"/>
        <v>0</v>
      </c>
      <c r="Q76" s="294">
        <f t="shared" si="6"/>
        <v>0</v>
      </c>
      <c r="R76" s="294">
        <f t="shared" si="6"/>
        <v>0</v>
      </c>
      <c r="S76" s="294">
        <f t="shared" si="6"/>
        <v>0</v>
      </c>
      <c r="T76" s="399">
        <f t="shared" si="6"/>
        <v>0</v>
      </c>
    </row>
    <row r="77" spans="2:20" x14ac:dyDescent="0.3">
      <c r="B77" s="193" t="s">
        <v>54</v>
      </c>
      <c r="C77" s="240"/>
      <c r="D77" s="388">
        <f>C77*'Inputs and assumptions'!D20</f>
        <v>0</v>
      </c>
      <c r="E77" s="393"/>
      <c r="F77" s="294">
        <v>0</v>
      </c>
      <c r="G77" s="294">
        <v>0</v>
      </c>
      <c r="H77" s="294">
        <v>0</v>
      </c>
      <c r="I77" s="294">
        <v>0</v>
      </c>
      <c r="J77" s="294">
        <v>0</v>
      </c>
      <c r="K77" s="294">
        <v>0</v>
      </c>
      <c r="L77" s="294">
        <v>0</v>
      </c>
      <c r="M77" s="294">
        <v>0</v>
      </c>
      <c r="N77" s="294">
        <v>0</v>
      </c>
      <c r="O77" s="294">
        <v>0</v>
      </c>
      <c r="P77" s="294">
        <v>0</v>
      </c>
      <c r="Q77" s="294">
        <v>0</v>
      </c>
      <c r="R77" s="294">
        <v>0</v>
      </c>
      <c r="S77" s="294">
        <v>0</v>
      </c>
      <c r="T77" s="399">
        <v>0</v>
      </c>
    </row>
    <row r="78" spans="2:20" x14ac:dyDescent="0.3">
      <c r="B78" s="193"/>
      <c r="E78" s="393"/>
      <c r="F78" s="296"/>
      <c r="G78" s="296"/>
      <c r="H78" s="296"/>
      <c r="I78" s="296"/>
      <c r="J78" s="296"/>
      <c r="K78" s="296"/>
      <c r="L78" s="296"/>
      <c r="M78" s="296"/>
      <c r="N78" s="296"/>
      <c r="O78" s="296"/>
      <c r="P78" s="296"/>
      <c r="Q78" s="296"/>
      <c r="R78" s="296"/>
      <c r="S78" s="296"/>
      <c r="T78" s="400"/>
    </row>
    <row r="79" spans="2:20" x14ac:dyDescent="0.3">
      <c r="B79" s="191" t="s">
        <v>55</v>
      </c>
      <c r="C79" s="239" t="s">
        <v>236</v>
      </c>
      <c r="D79" s="386"/>
      <c r="E79" s="393"/>
      <c r="F79" s="296"/>
      <c r="G79" s="296"/>
      <c r="H79" s="296"/>
      <c r="I79" s="296"/>
      <c r="J79" s="296"/>
      <c r="K79" s="296"/>
      <c r="L79" s="296"/>
      <c r="M79" s="296"/>
      <c r="N79" s="296"/>
      <c r="O79" s="296"/>
      <c r="P79" s="296"/>
      <c r="Q79" s="296"/>
      <c r="R79" s="296"/>
      <c r="S79" s="296"/>
      <c r="T79" s="400"/>
    </row>
    <row r="80" spans="2:20" x14ac:dyDescent="0.3">
      <c r="B80" s="193" t="s">
        <v>56</v>
      </c>
      <c r="C80" s="240"/>
      <c r="D80" s="388">
        <f>C80*'Inputs and assumptions'!D23</f>
        <v>0</v>
      </c>
      <c r="E80" s="393"/>
      <c r="F80" s="294">
        <v>0</v>
      </c>
      <c r="G80" s="294">
        <v>0</v>
      </c>
      <c r="H80" s="294">
        <v>0</v>
      </c>
      <c r="I80" s="294">
        <v>0</v>
      </c>
      <c r="J80" s="294">
        <v>0</v>
      </c>
      <c r="K80" s="294">
        <v>0</v>
      </c>
      <c r="L80" s="294">
        <v>0</v>
      </c>
      <c r="M80" s="294">
        <v>0</v>
      </c>
      <c r="N80" s="294">
        <v>0</v>
      </c>
      <c r="O80" s="294">
        <v>0</v>
      </c>
      <c r="P80" s="294">
        <v>0</v>
      </c>
      <c r="Q80" s="294">
        <v>0</v>
      </c>
      <c r="R80" s="294">
        <v>0</v>
      </c>
      <c r="S80" s="294">
        <v>0</v>
      </c>
      <c r="T80" s="399">
        <v>0</v>
      </c>
    </row>
    <row r="81" spans="2:20" x14ac:dyDescent="0.3">
      <c r="B81" s="193" t="s">
        <v>57</v>
      </c>
      <c r="C81" s="240"/>
      <c r="D81" s="388">
        <f>C81*'Inputs and assumptions'!D24</f>
        <v>0</v>
      </c>
      <c r="E81" s="393"/>
      <c r="F81" s="294">
        <v>0</v>
      </c>
      <c r="G81" s="294">
        <v>0</v>
      </c>
      <c r="H81" s="294">
        <v>0</v>
      </c>
      <c r="I81" s="294">
        <v>0</v>
      </c>
      <c r="J81" s="294">
        <v>0</v>
      </c>
      <c r="K81" s="294">
        <v>0</v>
      </c>
      <c r="L81" s="294">
        <v>0</v>
      </c>
      <c r="M81" s="294">
        <v>0</v>
      </c>
      <c r="N81" s="294">
        <v>0</v>
      </c>
      <c r="O81" s="294">
        <v>0</v>
      </c>
      <c r="P81" s="294">
        <v>0</v>
      </c>
      <c r="Q81" s="294">
        <v>0</v>
      </c>
      <c r="R81" s="294">
        <v>0</v>
      </c>
      <c r="S81" s="294">
        <v>0</v>
      </c>
      <c r="T81" s="399">
        <v>0</v>
      </c>
    </row>
    <row r="82" spans="2:20" x14ac:dyDescent="0.3">
      <c r="B82" s="193" t="s">
        <v>58</v>
      </c>
      <c r="C82" s="240"/>
      <c r="D82" s="388">
        <f>C82*'Inputs and assumptions'!D25</f>
        <v>0</v>
      </c>
      <c r="E82" s="393"/>
      <c r="F82" s="294">
        <v>0</v>
      </c>
      <c r="G82" s="294">
        <v>0</v>
      </c>
      <c r="H82" s="294">
        <v>0</v>
      </c>
      <c r="I82" s="294">
        <v>0</v>
      </c>
      <c r="J82" s="294">
        <v>0</v>
      </c>
      <c r="K82" s="294">
        <v>0</v>
      </c>
      <c r="L82" s="294">
        <v>0</v>
      </c>
      <c r="M82" s="294">
        <v>0</v>
      </c>
      <c r="N82" s="294">
        <v>0</v>
      </c>
      <c r="O82" s="294">
        <v>0</v>
      </c>
      <c r="P82" s="294">
        <v>0</v>
      </c>
      <c r="Q82" s="294">
        <v>0</v>
      </c>
      <c r="R82" s="294">
        <v>0</v>
      </c>
      <c r="S82" s="294">
        <v>0</v>
      </c>
      <c r="T82" s="399">
        <v>0</v>
      </c>
    </row>
    <row r="83" spans="2:20" x14ac:dyDescent="0.3">
      <c r="B83" s="193" t="s">
        <v>59</v>
      </c>
      <c r="C83" s="240"/>
      <c r="D83" s="388">
        <f>C83*'Inputs and assumptions'!D26</f>
        <v>0</v>
      </c>
      <c r="E83" s="393"/>
      <c r="F83" s="294">
        <v>0</v>
      </c>
      <c r="G83" s="294">
        <v>0</v>
      </c>
      <c r="H83" s="294">
        <v>0</v>
      </c>
      <c r="I83" s="294">
        <v>0</v>
      </c>
      <c r="J83" s="294">
        <v>0</v>
      </c>
      <c r="K83" s="294">
        <v>0</v>
      </c>
      <c r="L83" s="294">
        <v>0</v>
      </c>
      <c r="M83" s="294">
        <v>0</v>
      </c>
      <c r="N83" s="294">
        <v>0</v>
      </c>
      <c r="O83" s="294">
        <v>0</v>
      </c>
      <c r="P83" s="294">
        <v>0</v>
      </c>
      <c r="Q83" s="294">
        <v>0</v>
      </c>
      <c r="R83" s="294">
        <v>0</v>
      </c>
      <c r="S83" s="294">
        <v>0</v>
      </c>
      <c r="T83" s="399">
        <v>0</v>
      </c>
    </row>
    <row r="84" spans="2:20" x14ac:dyDescent="0.3">
      <c r="B84" s="193" t="s">
        <v>60</v>
      </c>
      <c r="C84" s="240"/>
      <c r="D84" s="388">
        <f>C84*'Inputs and assumptions'!D27</f>
        <v>0</v>
      </c>
      <c r="E84" s="393"/>
      <c r="F84" s="294">
        <v>0</v>
      </c>
      <c r="G84" s="294">
        <v>0</v>
      </c>
      <c r="H84" s="294">
        <v>0</v>
      </c>
      <c r="I84" s="294">
        <v>0</v>
      </c>
      <c r="J84" s="294">
        <v>0</v>
      </c>
      <c r="K84" s="294">
        <v>0</v>
      </c>
      <c r="L84" s="294">
        <v>0</v>
      </c>
      <c r="M84" s="294">
        <v>0</v>
      </c>
      <c r="N84" s="294">
        <v>0</v>
      </c>
      <c r="O84" s="294">
        <v>0</v>
      </c>
      <c r="P84" s="294">
        <v>0</v>
      </c>
      <c r="Q84" s="294">
        <v>0</v>
      </c>
      <c r="R84" s="294">
        <v>0</v>
      </c>
      <c r="S84" s="294">
        <v>0</v>
      </c>
      <c r="T84" s="399">
        <v>0</v>
      </c>
    </row>
    <row r="85" spans="2:20" x14ac:dyDescent="0.3">
      <c r="B85" s="193" t="s">
        <v>61</v>
      </c>
      <c r="C85" s="240"/>
      <c r="D85" s="388">
        <f>C85*'Inputs and assumptions'!D28</f>
        <v>0</v>
      </c>
      <c r="E85" s="393"/>
      <c r="F85" s="294">
        <v>0</v>
      </c>
      <c r="G85" s="294">
        <v>0</v>
      </c>
      <c r="H85" s="294">
        <v>0</v>
      </c>
      <c r="I85" s="294">
        <v>0</v>
      </c>
      <c r="J85" s="294">
        <v>0</v>
      </c>
      <c r="K85" s="294">
        <v>0</v>
      </c>
      <c r="L85" s="294">
        <v>0</v>
      </c>
      <c r="M85" s="294">
        <v>0</v>
      </c>
      <c r="N85" s="294">
        <v>0</v>
      </c>
      <c r="O85" s="294">
        <v>0</v>
      </c>
      <c r="P85" s="294">
        <v>0</v>
      </c>
      <c r="Q85" s="294">
        <v>0</v>
      </c>
      <c r="R85" s="294">
        <v>0</v>
      </c>
      <c r="S85" s="294">
        <v>0</v>
      </c>
      <c r="T85" s="399">
        <v>0</v>
      </c>
    </row>
    <row r="86" spans="2:20" x14ac:dyDescent="0.3">
      <c r="B86" s="193"/>
      <c r="E86" s="393"/>
      <c r="F86" s="296"/>
      <c r="G86" s="296"/>
      <c r="H86" s="296"/>
      <c r="I86" s="296"/>
      <c r="J86" s="296"/>
      <c r="K86" s="296"/>
      <c r="L86" s="296"/>
      <c r="M86" s="296"/>
      <c r="N86" s="296"/>
      <c r="O86" s="296"/>
      <c r="P86" s="296"/>
      <c r="Q86" s="296"/>
      <c r="R86" s="296"/>
      <c r="S86" s="296"/>
      <c r="T86" s="400"/>
    </row>
    <row r="87" spans="2:20" x14ac:dyDescent="0.3">
      <c r="B87" s="191" t="s">
        <v>62</v>
      </c>
      <c r="C87" s="239" t="s">
        <v>236</v>
      </c>
      <c r="D87" s="386"/>
      <c r="E87" s="393"/>
      <c r="F87" s="296"/>
      <c r="G87" s="296"/>
      <c r="H87" s="296"/>
      <c r="I87" s="296"/>
      <c r="J87" s="296"/>
      <c r="K87" s="296"/>
      <c r="L87" s="296"/>
      <c r="M87" s="296"/>
      <c r="N87" s="296"/>
      <c r="O87" s="296"/>
      <c r="P87" s="296"/>
      <c r="Q87" s="296"/>
      <c r="R87" s="296"/>
      <c r="S87" s="296"/>
      <c r="T87" s="400"/>
    </row>
    <row r="88" spans="2:20" x14ac:dyDescent="0.3">
      <c r="B88" s="193" t="s">
        <v>63</v>
      </c>
      <c r="C88" s="240"/>
      <c r="D88" s="388">
        <f>C88*'Inputs and assumptions'!D31</f>
        <v>0</v>
      </c>
      <c r="E88" s="393"/>
      <c r="F88" s="294">
        <f>$D$88*F$28</f>
        <v>0</v>
      </c>
      <c r="G88" s="294">
        <f t="shared" ref="G88:T88" si="7">$D$88*G$28</f>
        <v>0</v>
      </c>
      <c r="H88" s="294">
        <f t="shared" si="7"/>
        <v>0</v>
      </c>
      <c r="I88" s="294">
        <f t="shared" si="7"/>
        <v>0</v>
      </c>
      <c r="J88" s="294">
        <f t="shared" si="7"/>
        <v>0</v>
      </c>
      <c r="K88" s="294">
        <f t="shared" si="7"/>
        <v>0</v>
      </c>
      <c r="L88" s="294">
        <f t="shared" si="7"/>
        <v>0</v>
      </c>
      <c r="M88" s="294">
        <f t="shared" si="7"/>
        <v>0</v>
      </c>
      <c r="N88" s="294">
        <f t="shared" si="7"/>
        <v>0</v>
      </c>
      <c r="O88" s="294">
        <f t="shared" si="7"/>
        <v>0</v>
      </c>
      <c r="P88" s="294">
        <f t="shared" si="7"/>
        <v>0</v>
      </c>
      <c r="Q88" s="294">
        <f t="shared" si="7"/>
        <v>0</v>
      </c>
      <c r="R88" s="294">
        <f t="shared" si="7"/>
        <v>0</v>
      </c>
      <c r="S88" s="294">
        <f t="shared" si="7"/>
        <v>0</v>
      </c>
      <c r="T88" s="399">
        <f t="shared" si="7"/>
        <v>0</v>
      </c>
    </row>
    <row r="89" spans="2:20" x14ac:dyDescent="0.3">
      <c r="B89" s="193" t="s">
        <v>64</v>
      </c>
      <c r="C89" s="240"/>
      <c r="D89" s="388">
        <f>C89*'Inputs and assumptions'!D32</f>
        <v>0</v>
      </c>
      <c r="E89" s="393"/>
      <c r="F89" s="294">
        <v>0</v>
      </c>
      <c r="G89" s="294">
        <v>0</v>
      </c>
      <c r="H89" s="294">
        <v>0</v>
      </c>
      <c r="I89" s="294">
        <v>0</v>
      </c>
      <c r="J89" s="294">
        <v>0</v>
      </c>
      <c r="K89" s="294">
        <v>0</v>
      </c>
      <c r="L89" s="294">
        <v>0</v>
      </c>
      <c r="M89" s="294">
        <v>0</v>
      </c>
      <c r="N89" s="294">
        <v>0</v>
      </c>
      <c r="O89" s="294">
        <v>0</v>
      </c>
      <c r="P89" s="294">
        <v>0</v>
      </c>
      <c r="Q89" s="294">
        <v>0</v>
      </c>
      <c r="R89" s="294">
        <v>0</v>
      </c>
      <c r="S89" s="294">
        <v>0</v>
      </c>
      <c r="T89" s="399">
        <v>0</v>
      </c>
    </row>
    <row r="90" spans="2:20" x14ac:dyDescent="0.3">
      <c r="B90" s="193"/>
      <c r="E90" s="393"/>
      <c r="F90" s="296"/>
      <c r="G90" s="296"/>
      <c r="H90" s="296"/>
      <c r="I90" s="296"/>
      <c r="J90" s="296"/>
      <c r="K90" s="296"/>
      <c r="L90" s="296"/>
      <c r="M90" s="296"/>
      <c r="N90" s="296"/>
      <c r="O90" s="296"/>
      <c r="P90" s="296"/>
      <c r="Q90" s="296"/>
      <c r="R90" s="296"/>
      <c r="S90" s="296"/>
      <c r="T90" s="400"/>
    </row>
    <row r="91" spans="2:20" x14ac:dyDescent="0.3">
      <c r="B91" s="191" t="s">
        <v>65</v>
      </c>
      <c r="C91" s="239" t="s">
        <v>236</v>
      </c>
      <c r="D91" s="386"/>
      <c r="E91" s="393"/>
      <c r="F91" s="296"/>
      <c r="G91" s="296"/>
      <c r="H91" s="296"/>
      <c r="I91" s="296"/>
      <c r="J91" s="296"/>
      <c r="K91" s="296"/>
      <c r="L91" s="296"/>
      <c r="M91" s="296"/>
      <c r="N91" s="296"/>
      <c r="O91" s="296"/>
      <c r="P91" s="296"/>
      <c r="Q91" s="296"/>
      <c r="R91" s="296"/>
      <c r="S91" s="296"/>
      <c r="T91" s="400"/>
    </row>
    <row r="92" spans="2:20" x14ac:dyDescent="0.3">
      <c r="B92" s="193" t="s">
        <v>66</v>
      </c>
      <c r="C92" s="240"/>
      <c r="D92" s="388">
        <f>C92*'Inputs and assumptions'!D35</f>
        <v>0</v>
      </c>
      <c r="E92" s="393"/>
      <c r="F92" s="294">
        <v>0</v>
      </c>
      <c r="G92" s="294">
        <v>0</v>
      </c>
      <c r="H92" s="294">
        <v>0</v>
      </c>
      <c r="I92" s="294">
        <v>0</v>
      </c>
      <c r="J92" s="294">
        <v>0</v>
      </c>
      <c r="K92" s="294">
        <v>0</v>
      </c>
      <c r="L92" s="294">
        <v>0</v>
      </c>
      <c r="M92" s="294">
        <v>0</v>
      </c>
      <c r="N92" s="294">
        <v>0</v>
      </c>
      <c r="O92" s="294">
        <v>0</v>
      </c>
      <c r="P92" s="294">
        <v>0</v>
      </c>
      <c r="Q92" s="294">
        <v>0</v>
      </c>
      <c r="R92" s="294">
        <v>0</v>
      </c>
      <c r="S92" s="294">
        <v>0</v>
      </c>
      <c r="T92" s="399">
        <v>0</v>
      </c>
    </row>
    <row r="93" spans="2:20" x14ac:dyDescent="0.3">
      <c r="B93" s="193" t="s">
        <v>67</v>
      </c>
      <c r="C93" s="240"/>
      <c r="D93" s="388">
        <f>C93*'Inputs and assumptions'!D36</f>
        <v>0</v>
      </c>
      <c r="E93" s="393"/>
      <c r="F93" s="294">
        <v>0</v>
      </c>
      <c r="G93" s="294">
        <v>0</v>
      </c>
      <c r="H93" s="294">
        <v>0</v>
      </c>
      <c r="I93" s="294">
        <v>0</v>
      </c>
      <c r="J93" s="294">
        <v>0</v>
      </c>
      <c r="K93" s="294">
        <v>0</v>
      </c>
      <c r="L93" s="294">
        <v>0</v>
      </c>
      <c r="M93" s="294">
        <v>0</v>
      </c>
      <c r="N93" s="294">
        <v>0</v>
      </c>
      <c r="O93" s="294">
        <v>0</v>
      </c>
      <c r="P93" s="294">
        <v>0</v>
      </c>
      <c r="Q93" s="294">
        <v>0</v>
      </c>
      <c r="R93" s="294">
        <v>0</v>
      </c>
      <c r="S93" s="294">
        <v>0</v>
      </c>
      <c r="T93" s="399">
        <v>0</v>
      </c>
    </row>
    <row r="94" spans="2:20" x14ac:dyDescent="0.3">
      <c r="B94" s="193" t="s">
        <v>68</v>
      </c>
      <c r="C94" s="240"/>
      <c r="D94" s="388">
        <f>C94*'Inputs and assumptions'!D37</f>
        <v>0</v>
      </c>
      <c r="E94" s="393"/>
      <c r="F94" s="294">
        <v>0</v>
      </c>
      <c r="G94" s="294">
        <v>0</v>
      </c>
      <c r="H94" s="294">
        <v>0</v>
      </c>
      <c r="I94" s="294">
        <v>0</v>
      </c>
      <c r="J94" s="294">
        <v>0</v>
      </c>
      <c r="K94" s="294">
        <v>0</v>
      </c>
      <c r="L94" s="294">
        <v>0</v>
      </c>
      <c r="M94" s="294">
        <v>0</v>
      </c>
      <c r="N94" s="294">
        <v>0</v>
      </c>
      <c r="O94" s="294">
        <v>0</v>
      </c>
      <c r="P94" s="294">
        <v>0</v>
      </c>
      <c r="Q94" s="294">
        <v>0</v>
      </c>
      <c r="R94" s="294">
        <v>0</v>
      </c>
      <c r="S94" s="294">
        <v>0</v>
      </c>
      <c r="T94" s="399">
        <v>0</v>
      </c>
    </row>
    <row r="95" spans="2:20" x14ac:dyDescent="0.3">
      <c r="B95" s="193" t="s">
        <v>69</v>
      </c>
      <c r="C95" s="240"/>
      <c r="D95" s="388">
        <f>C95*'Inputs and assumptions'!D38</f>
        <v>0</v>
      </c>
      <c r="E95" s="393"/>
      <c r="F95" s="294">
        <v>0</v>
      </c>
      <c r="G95" s="294">
        <v>0</v>
      </c>
      <c r="H95" s="294">
        <v>0</v>
      </c>
      <c r="I95" s="294">
        <v>0</v>
      </c>
      <c r="J95" s="294">
        <v>0</v>
      </c>
      <c r="K95" s="294">
        <v>0</v>
      </c>
      <c r="L95" s="294">
        <v>0</v>
      </c>
      <c r="M95" s="294">
        <v>0</v>
      </c>
      <c r="N95" s="294">
        <v>0</v>
      </c>
      <c r="O95" s="294">
        <v>0</v>
      </c>
      <c r="P95" s="294">
        <v>0</v>
      </c>
      <c r="Q95" s="294">
        <v>0</v>
      </c>
      <c r="R95" s="294">
        <v>0</v>
      </c>
      <c r="S95" s="294">
        <v>0</v>
      </c>
      <c r="T95" s="399">
        <v>0</v>
      </c>
    </row>
    <row r="96" spans="2:20" x14ac:dyDescent="0.3">
      <c r="B96" s="193" t="s">
        <v>70</v>
      </c>
      <c r="C96" s="275"/>
      <c r="D96" s="388">
        <f>C96*'Inputs and assumptions'!D39</f>
        <v>0</v>
      </c>
      <c r="E96" s="393"/>
      <c r="F96" s="294">
        <f>$D$96*F$28</f>
        <v>0</v>
      </c>
      <c r="G96" s="294">
        <f t="shared" ref="G96:T96" si="8">$D$96*G$28</f>
        <v>0</v>
      </c>
      <c r="H96" s="294">
        <f t="shared" si="8"/>
        <v>0</v>
      </c>
      <c r="I96" s="294">
        <f t="shared" si="8"/>
        <v>0</v>
      </c>
      <c r="J96" s="294">
        <f t="shared" si="8"/>
        <v>0</v>
      </c>
      <c r="K96" s="294">
        <f t="shared" si="8"/>
        <v>0</v>
      </c>
      <c r="L96" s="294">
        <f t="shared" si="8"/>
        <v>0</v>
      </c>
      <c r="M96" s="294">
        <f t="shared" si="8"/>
        <v>0</v>
      </c>
      <c r="N96" s="294">
        <f t="shared" si="8"/>
        <v>0</v>
      </c>
      <c r="O96" s="294">
        <f t="shared" si="8"/>
        <v>0</v>
      </c>
      <c r="P96" s="294">
        <f t="shared" si="8"/>
        <v>0</v>
      </c>
      <c r="Q96" s="294">
        <f t="shared" si="8"/>
        <v>0</v>
      </c>
      <c r="R96" s="294">
        <f t="shared" si="8"/>
        <v>0</v>
      </c>
      <c r="S96" s="294">
        <f t="shared" si="8"/>
        <v>0</v>
      </c>
      <c r="T96" s="399">
        <f t="shared" si="8"/>
        <v>0</v>
      </c>
    </row>
    <row r="97" spans="2:20" x14ac:dyDescent="0.3">
      <c r="B97" s="193" t="s">
        <v>71</v>
      </c>
      <c r="C97" s="240"/>
      <c r="D97" s="388">
        <f>C97*'Inputs and assumptions'!D40</f>
        <v>0</v>
      </c>
      <c r="E97" s="393"/>
      <c r="F97" s="175">
        <v>0</v>
      </c>
      <c r="G97" s="175">
        <v>0</v>
      </c>
      <c r="H97" s="175">
        <v>0</v>
      </c>
      <c r="I97" s="175">
        <v>0</v>
      </c>
      <c r="J97" s="175">
        <v>0</v>
      </c>
      <c r="K97" s="175">
        <v>0</v>
      </c>
      <c r="L97" s="175">
        <v>0</v>
      </c>
      <c r="M97" s="175">
        <v>0</v>
      </c>
      <c r="N97" s="175">
        <v>0</v>
      </c>
      <c r="O97" s="175">
        <v>0</v>
      </c>
      <c r="P97" s="175">
        <v>0</v>
      </c>
      <c r="Q97" s="175">
        <v>0</v>
      </c>
      <c r="R97" s="175">
        <v>0</v>
      </c>
      <c r="S97" s="175">
        <v>0</v>
      </c>
      <c r="T97" s="395">
        <v>0</v>
      </c>
    </row>
    <row r="98" spans="2:20" ht="13.5" thickBot="1" x14ac:dyDescent="0.35">
      <c r="B98" s="194" t="s">
        <v>72</v>
      </c>
      <c r="C98" s="254"/>
      <c r="D98" s="389">
        <f>C98*'Inputs and assumptions'!D41</f>
        <v>0</v>
      </c>
      <c r="E98" s="362"/>
      <c r="F98" s="397">
        <v>0</v>
      </c>
      <c r="G98" s="397">
        <v>0</v>
      </c>
      <c r="H98" s="397">
        <v>0</v>
      </c>
      <c r="I98" s="397">
        <v>0</v>
      </c>
      <c r="J98" s="397">
        <v>0</v>
      </c>
      <c r="K98" s="397">
        <v>0</v>
      </c>
      <c r="L98" s="397">
        <v>0</v>
      </c>
      <c r="M98" s="397">
        <v>0</v>
      </c>
      <c r="N98" s="397">
        <v>0</v>
      </c>
      <c r="O98" s="397">
        <v>0</v>
      </c>
      <c r="P98" s="397">
        <v>0</v>
      </c>
      <c r="Q98" s="397">
        <v>0</v>
      </c>
      <c r="R98" s="397">
        <v>0</v>
      </c>
      <c r="S98" s="397">
        <v>0</v>
      </c>
      <c r="T98" s="398">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E111/6</f>
        <v>266666.66666666669</v>
      </c>
      <c r="E102" s="112"/>
      <c r="F102" s="140">
        <f t="shared" ref="F102:J102" si="9">$D$102*F27</f>
        <v>800000</v>
      </c>
      <c r="G102" s="140">
        <f t="shared" si="9"/>
        <v>800000</v>
      </c>
      <c r="H102" s="140">
        <f t="shared" si="9"/>
        <v>0</v>
      </c>
      <c r="I102" s="140">
        <f t="shared" si="9"/>
        <v>0</v>
      </c>
      <c r="J102" s="140">
        <f t="shared" si="9"/>
        <v>0</v>
      </c>
      <c r="K102" s="140">
        <v>0</v>
      </c>
      <c r="L102" s="140">
        <v>0</v>
      </c>
      <c r="M102" s="140">
        <v>0</v>
      </c>
      <c r="N102" s="140">
        <v>0</v>
      </c>
      <c r="O102" s="140">
        <v>0</v>
      </c>
      <c r="P102" s="140">
        <v>0</v>
      </c>
      <c r="Q102" s="140">
        <v>0</v>
      </c>
      <c r="R102" s="140">
        <v>0</v>
      </c>
      <c r="S102" s="140">
        <v>0</v>
      </c>
      <c r="T102" s="141">
        <v>0</v>
      </c>
    </row>
    <row r="103" spans="2:20" x14ac:dyDescent="0.3">
      <c r="B103" s="123" t="s">
        <v>77</v>
      </c>
      <c r="C103" s="112"/>
      <c r="D103" s="174">
        <v>0</v>
      </c>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v>0</v>
      </c>
      <c r="G107" s="294">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294">
        <v>0</v>
      </c>
      <c r="G108" s="294">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1600000</v>
      </c>
      <c r="N111" s="110"/>
    </row>
    <row r="112" spans="2:20" ht="16" thickBot="1" x14ac:dyDescent="0.35">
      <c r="B112" s="115" t="s">
        <v>80</v>
      </c>
      <c r="C112" s="115"/>
      <c r="D112" s="115"/>
      <c r="E112" s="115"/>
      <c r="F112" s="180"/>
      <c r="G112" s="180"/>
      <c r="H112" s="180"/>
      <c r="J112" s="180"/>
      <c r="K112" s="180"/>
      <c r="L112" s="180"/>
      <c r="M112" s="180"/>
      <c r="N112" s="180"/>
      <c r="O112" s="180"/>
      <c r="P112" s="180"/>
      <c r="Q112" s="180"/>
      <c r="R112" s="180"/>
      <c r="S112" s="180"/>
    </row>
    <row r="113" spans="2:20" ht="15" customHeight="1" x14ac:dyDescent="0.3">
      <c r="B113" s="572" t="s">
        <v>351</v>
      </c>
      <c r="C113" s="573"/>
      <c r="D113" s="573"/>
      <c r="E113" s="574"/>
      <c r="F113" s="290"/>
      <c r="G113" s="352"/>
      <c r="H113" s="352"/>
      <c r="I113" s="352"/>
      <c r="J113" s="352"/>
      <c r="K113" s="290"/>
      <c r="L113" s="181"/>
      <c r="Q113" s="181"/>
      <c r="R113" s="181"/>
      <c r="S113" s="181"/>
      <c r="T113" s="181"/>
    </row>
    <row r="114" spans="2:20" ht="15" customHeight="1" x14ac:dyDescent="0.3">
      <c r="B114" s="575"/>
      <c r="C114" s="576"/>
      <c r="D114" s="576"/>
      <c r="E114" s="577"/>
      <c r="F114" s="290"/>
      <c r="G114" s="352"/>
      <c r="I114" s="352"/>
      <c r="J114" s="352"/>
      <c r="K114" s="290"/>
      <c r="L114" s="181"/>
      <c r="Q114" s="181"/>
      <c r="R114" s="181"/>
      <c r="S114" s="181"/>
      <c r="T114" s="181"/>
    </row>
    <row r="115" spans="2:20" ht="15" customHeight="1" x14ac:dyDescent="0.3">
      <c r="B115" s="575"/>
      <c r="C115" s="576"/>
      <c r="D115" s="576"/>
      <c r="E115" s="577"/>
      <c r="F115" s="290"/>
      <c r="G115" s="352"/>
      <c r="I115" s="352"/>
      <c r="J115" s="352"/>
      <c r="K115" s="290"/>
      <c r="L115" s="181"/>
      <c r="Q115" s="181"/>
      <c r="R115" s="181"/>
      <c r="S115" s="181"/>
      <c r="T115" s="181"/>
    </row>
    <row r="116" spans="2:20" ht="15" customHeight="1" x14ac:dyDescent="0.3">
      <c r="B116" s="575"/>
      <c r="C116" s="576"/>
      <c r="D116" s="576"/>
      <c r="E116" s="577"/>
      <c r="F116" s="290"/>
      <c r="G116" s="352"/>
      <c r="I116" s="352"/>
      <c r="J116" s="352"/>
      <c r="K116" s="290"/>
      <c r="L116" s="181"/>
      <c r="Q116" s="181"/>
      <c r="R116" s="181"/>
      <c r="S116" s="181"/>
      <c r="T116" s="181"/>
    </row>
    <row r="117" spans="2:20" ht="15" customHeight="1" x14ac:dyDescent="0.3">
      <c r="B117" s="575"/>
      <c r="C117" s="576"/>
      <c r="D117" s="576"/>
      <c r="E117" s="577"/>
      <c r="F117" s="290"/>
      <c r="G117" s="352"/>
      <c r="I117" s="352"/>
      <c r="J117" s="352"/>
      <c r="K117" s="290"/>
      <c r="L117" s="181"/>
      <c r="Q117" s="181"/>
      <c r="R117" s="181"/>
      <c r="S117" s="181"/>
      <c r="T117" s="181"/>
    </row>
    <row r="118" spans="2:20" ht="15" customHeight="1" x14ac:dyDescent="0.3">
      <c r="B118" s="575"/>
      <c r="C118" s="576"/>
      <c r="D118" s="576"/>
      <c r="E118" s="577"/>
      <c r="F118" s="290"/>
      <c r="G118" s="352"/>
      <c r="I118" s="352"/>
      <c r="J118" s="352"/>
      <c r="K118" s="290"/>
      <c r="L118" s="181"/>
      <c r="Q118" s="181"/>
      <c r="R118" s="181"/>
      <c r="S118" s="181"/>
      <c r="T118" s="181"/>
    </row>
    <row r="119" spans="2:20" ht="15" customHeight="1" x14ac:dyDescent="0.3">
      <c r="B119" s="575"/>
      <c r="C119" s="576"/>
      <c r="D119" s="576"/>
      <c r="E119" s="577"/>
      <c r="F119" s="290"/>
      <c r="G119" s="352"/>
      <c r="H119" s="352"/>
      <c r="I119" s="352"/>
      <c r="J119" s="352"/>
      <c r="K119" s="290"/>
      <c r="L119" s="181"/>
      <c r="Q119" s="181"/>
      <c r="R119" s="181"/>
      <c r="S119" s="181"/>
      <c r="T119" s="181"/>
    </row>
    <row r="120" spans="2:20" ht="15" customHeight="1" x14ac:dyDescent="0.3">
      <c r="B120" s="575"/>
      <c r="C120" s="576"/>
      <c r="D120" s="576"/>
      <c r="E120" s="577"/>
      <c r="F120" s="290"/>
      <c r="G120" s="290"/>
      <c r="H120" s="290"/>
      <c r="I120" s="290"/>
      <c r="J120" s="290"/>
      <c r="K120" s="290"/>
      <c r="L120" s="181"/>
      <c r="M120" s="181"/>
      <c r="N120" s="181"/>
      <c r="O120" s="181"/>
      <c r="P120" s="181"/>
      <c r="Q120" s="181"/>
      <c r="R120" s="181"/>
      <c r="S120" s="181"/>
      <c r="T120" s="181"/>
    </row>
    <row r="121" spans="2:20" ht="15" customHeight="1" x14ac:dyDescent="0.3">
      <c r="B121" s="575"/>
      <c r="C121" s="576"/>
      <c r="D121" s="576"/>
      <c r="E121" s="577"/>
      <c r="F121" s="290"/>
      <c r="G121" s="290"/>
      <c r="H121" s="290"/>
      <c r="I121" s="290"/>
      <c r="J121" s="290"/>
      <c r="K121" s="290"/>
      <c r="L121" s="181"/>
      <c r="M121" s="181"/>
      <c r="N121" s="181"/>
      <c r="O121" s="181"/>
      <c r="P121" s="181"/>
      <c r="Q121" s="181"/>
      <c r="R121" s="181"/>
      <c r="S121" s="181"/>
      <c r="T121" s="181"/>
    </row>
    <row r="122" spans="2:20" ht="15.75" customHeight="1" thickBot="1" x14ac:dyDescent="0.35">
      <c r="B122" s="578"/>
      <c r="C122" s="579"/>
      <c r="D122" s="579"/>
      <c r="E122" s="580"/>
      <c r="F122" s="290"/>
      <c r="G122" s="290"/>
      <c r="H122" s="290"/>
      <c r="I122" s="290"/>
      <c r="J122" s="290"/>
      <c r="K122" s="290"/>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7:T70 F103:T103 F46:T46"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47FF264A-E8E4-42D0-9329-D30AC8998C0E}">
          <x14:formula1>
            <xm:f>'Inputs and assumptions'!$H$16:$H$20</xm:f>
          </x14:formula1>
          <xm:sqref>E8</xm:sqref>
        </x14:dataValidation>
        <x14:dataValidation type="list" allowBlank="1" showInputMessage="1" showErrorMessage="1" xr:uid="{AF99F385-DEAA-4155-AA09-8644B836F6CA}">
          <x14:formula1>
            <xm:f>'Inputs and assumptions'!$G$16:$G$20</xm:f>
          </x14:formula1>
          <xm:sqref>E7</xm:sqref>
        </x14:dataValidation>
        <x14:dataValidation type="list" allowBlank="1" showInputMessage="1" showErrorMessage="1" xr:uid="{F4A976FA-5572-46EE-B08C-A426C3B81602}">
          <x14:formula1>
            <xm:f>'Inputs and assumptions'!$H$23:$H$24</xm:f>
          </x14:formula1>
          <xm:sqref>E10</xm:sqref>
        </x14:dataValidation>
        <x14:dataValidation type="list" allowBlank="1" showInputMessage="1" showErrorMessage="1" xr:uid="{D49DD492-6C62-4EA8-9EDB-93AD2E12AD70}">
          <x14:formula1>
            <xm:f>'Inputs and assumptions'!$H$27:$H$29</xm:f>
          </x14:formula1>
          <xm:sqref>E11</xm:sqref>
        </x14:dataValidation>
        <x14:dataValidation type="list" allowBlank="1" showInputMessage="1" showErrorMessage="1" xr:uid="{569A48D1-EBF9-4EC1-9800-403D998E4E6D}">
          <x14:formula1>
            <xm:f>'Inputs and assumptions'!$J$17:$J$18</xm:f>
          </x14:formula1>
          <xm:sqref>E43</xm:sqref>
        </x14:dataValidation>
        <x14:dataValidation type="list" allowBlank="1" showInputMessage="1" showErrorMessage="1" xr:uid="{79F8ECC5-AA8F-41A8-920B-35CF03C8A1D8}">
          <x14:formula1>
            <xm:f>'Inputs and assumptions'!$H$31:$H$34</xm:f>
          </x14:formula1>
          <xm:sqref>E12</xm:sqref>
        </x14:dataValidation>
        <x14:dataValidation type="list" allowBlank="1" showInputMessage="1" showErrorMessage="1" xr:uid="{697E548B-350C-49FB-B330-4A5756F0AD46}">
          <x14:formula1>
            <xm:f>'Inputs and assumptions'!$H$36:$H$40</xm:f>
          </x14:formula1>
          <xm:sqref>E13</xm:sqref>
        </x14:dataValidation>
        <x14:dataValidation type="list" allowBlank="1" showInputMessage="1" showErrorMessage="1" xr:uid="{C82EBF46-AF86-4037-A971-E7049F9873E1}">
          <x14:formula1>
            <xm:f>'Inputs and assumptions'!$J$21:$J$24</xm:f>
          </x14:formula1>
          <xm:sqref>E14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6103-F6DA-42C0-ABCF-88FF65CF6C34}">
  <dimension ref="A1:Z66"/>
  <sheetViews>
    <sheetView zoomScale="55" zoomScaleNormal="55" workbookViewId="0"/>
  </sheetViews>
  <sheetFormatPr defaultRowHeight="14.5" x14ac:dyDescent="0.35"/>
  <cols>
    <col min="1" max="1" width="46.81640625" bestFit="1" customWidth="1"/>
    <col min="2" max="2" width="86.54296875" bestFit="1" customWidth="1"/>
    <col min="3" max="3" width="37.54296875" bestFit="1" customWidth="1"/>
    <col min="4" max="4" width="31.54296875" bestFit="1" customWidth="1"/>
    <col min="5" max="5" width="30" bestFit="1" customWidth="1"/>
    <col min="6" max="6" width="29" bestFit="1" customWidth="1"/>
    <col min="7" max="7" width="41.453125" bestFit="1" customWidth="1"/>
    <col min="8" max="8" width="48" bestFit="1" customWidth="1"/>
    <col min="9" max="9" width="45.26953125" bestFit="1" customWidth="1"/>
    <col min="10" max="10" width="16.453125" customWidth="1"/>
    <col min="11" max="11" width="15.1796875" customWidth="1"/>
    <col min="12" max="12" width="12.7265625" bestFit="1" customWidth="1"/>
    <col min="13" max="15" width="11.54296875" bestFit="1" customWidth="1"/>
  </cols>
  <sheetData>
    <row r="1" spans="1:17" ht="31" x14ac:dyDescent="0.7">
      <c r="A1" s="96" t="s">
        <v>352</v>
      </c>
    </row>
    <row r="3" spans="1:17" ht="15" thickBot="1" x14ac:dyDescent="0.4"/>
    <row r="4" spans="1:17" s="1" customFormat="1" ht="26.5" thickBot="1" x14ac:dyDescent="0.65">
      <c r="A4" s="18" t="s">
        <v>353</v>
      </c>
      <c r="B4" s="12"/>
      <c r="C4" s="19"/>
      <c r="D4" s="12"/>
      <c r="E4" s="12"/>
      <c r="F4" s="12"/>
      <c r="G4" s="12"/>
      <c r="H4" s="12"/>
      <c r="I4" s="12"/>
      <c r="J4" s="13"/>
      <c r="Q4" s="2"/>
    </row>
    <row r="5" spans="1:17" s="1" customFormat="1" ht="26.5" thickBot="1" x14ac:dyDescent="0.65">
      <c r="A5" s="20"/>
      <c r="B5" s="88" t="s">
        <v>354</v>
      </c>
      <c r="C5" s="93" t="s">
        <v>355</v>
      </c>
      <c r="D5" s="11" t="s">
        <v>356</v>
      </c>
      <c r="E5" s="11" t="s">
        <v>357</v>
      </c>
      <c r="F5" s="11" t="s">
        <v>358</v>
      </c>
      <c r="G5" s="11" t="s">
        <v>359</v>
      </c>
      <c r="H5" s="79" t="s">
        <v>360</v>
      </c>
      <c r="I5" s="13" t="s">
        <v>361</v>
      </c>
      <c r="J5" s="15"/>
      <c r="Q5" s="2"/>
    </row>
    <row r="6" spans="1:17" s="1" customFormat="1" ht="26" x14ac:dyDescent="0.6">
      <c r="A6" s="20"/>
      <c r="B6" s="89" t="s">
        <v>362</v>
      </c>
      <c r="C6" s="83">
        <v>316805.2689000821</v>
      </c>
      <c r="D6" s="84">
        <v>2460952</v>
      </c>
      <c r="E6" s="84">
        <v>383600</v>
      </c>
      <c r="F6" s="84">
        <v>4140000</v>
      </c>
      <c r="G6" s="84">
        <v>2856009.2</v>
      </c>
      <c r="H6" s="84">
        <v>12950000</v>
      </c>
      <c r="I6" s="85">
        <v>210000</v>
      </c>
      <c r="J6" s="15"/>
      <c r="Q6" s="2"/>
    </row>
    <row r="7" spans="1:17" s="1" customFormat="1" ht="26" x14ac:dyDescent="0.6">
      <c r="A7" s="20"/>
      <c r="B7" s="90" t="s">
        <v>363</v>
      </c>
      <c r="C7" s="86">
        <v>1533444.7217241714</v>
      </c>
      <c r="D7" s="5">
        <v>539292</v>
      </c>
      <c r="E7" s="5">
        <v>1249000</v>
      </c>
      <c r="F7" s="5">
        <v>1709625</v>
      </c>
      <c r="G7" s="5">
        <v>505500</v>
      </c>
      <c r="H7" s="5">
        <v>19320000</v>
      </c>
      <c r="I7" s="81">
        <v>206000</v>
      </c>
      <c r="J7" s="15"/>
      <c r="Q7" s="2"/>
    </row>
    <row r="8" spans="1:17" s="1" customFormat="1" ht="26" x14ac:dyDescent="0.6">
      <c r="A8" s="20"/>
      <c r="B8" s="90" t="s">
        <v>364</v>
      </c>
      <c r="C8" s="86">
        <v>363331.22910528106</v>
      </c>
      <c r="D8" s="5">
        <v>199242</v>
      </c>
      <c r="E8" s="5">
        <v>222500</v>
      </c>
      <c r="F8" s="5">
        <v>1366050</v>
      </c>
      <c r="G8" s="5">
        <v>235500</v>
      </c>
      <c r="H8" s="5">
        <v>15032500</v>
      </c>
      <c r="I8" s="81">
        <v>248500</v>
      </c>
      <c r="J8" s="15"/>
      <c r="Q8" s="2"/>
    </row>
    <row r="9" spans="1:17" s="1" customFormat="1" ht="26.5" thickBot="1" x14ac:dyDescent="0.65">
      <c r="A9" s="20"/>
      <c r="B9" s="91" t="s">
        <v>365</v>
      </c>
      <c r="C9" s="86">
        <v>583919.11957952473</v>
      </c>
      <c r="D9" s="5">
        <v>1016900</v>
      </c>
      <c r="E9" s="5">
        <v>225000</v>
      </c>
      <c r="F9" s="5">
        <v>1165500</v>
      </c>
      <c r="G9" s="5">
        <v>3220131.111111111</v>
      </c>
      <c r="H9" s="5">
        <v>26850000</v>
      </c>
      <c r="I9" s="81">
        <v>430000</v>
      </c>
      <c r="J9" s="15"/>
      <c r="Q9" s="2"/>
    </row>
    <row r="10" spans="1:17" s="1" customFormat="1" ht="26.5" thickBot="1" x14ac:dyDescent="0.65">
      <c r="A10" s="21"/>
      <c r="B10" s="92" t="s">
        <v>366</v>
      </c>
      <c r="C10" s="87">
        <v>2797500.3393090595</v>
      </c>
      <c r="D10" s="22">
        <v>4216386</v>
      </c>
      <c r="E10" s="22">
        <v>2080100</v>
      </c>
      <c r="F10" s="22">
        <v>8381175</v>
      </c>
      <c r="G10" s="22">
        <v>6817140.3111111112</v>
      </c>
      <c r="H10" s="22">
        <v>74152500</v>
      </c>
      <c r="I10" s="82">
        <v>1094500</v>
      </c>
      <c r="J10" s="17"/>
      <c r="Q10" s="2"/>
    </row>
    <row r="11" spans="1:17" s="1" customFormat="1" ht="26" x14ac:dyDescent="0.6">
      <c r="A11" s="6"/>
      <c r="B11" s="9"/>
      <c r="C11" s="8"/>
      <c r="D11" s="5"/>
      <c r="E11" s="5"/>
      <c r="F11" s="5"/>
      <c r="G11" s="5"/>
      <c r="H11" s="5"/>
      <c r="I11" s="5"/>
      <c r="Q11" s="2"/>
    </row>
    <row r="12" spans="1:17" s="1" customFormat="1" ht="26.5" thickBot="1" x14ac:dyDescent="0.65">
      <c r="A12" s="6"/>
      <c r="B12" s="9"/>
      <c r="C12" s="8"/>
      <c r="D12" s="5"/>
      <c r="E12" s="5"/>
      <c r="F12" s="5"/>
      <c r="G12" s="5"/>
      <c r="H12" s="5"/>
      <c r="I12" s="5"/>
      <c r="Q12" s="2"/>
    </row>
    <row r="13" spans="1:17" s="1" customFormat="1" ht="22.5" customHeight="1" thickBot="1" x14ac:dyDescent="0.65">
      <c r="A13" s="47"/>
      <c r="B13" s="24"/>
      <c r="C13" s="94"/>
      <c r="D13" s="84"/>
      <c r="E13" s="84"/>
      <c r="F13" s="84"/>
      <c r="G13" s="84"/>
      <c r="H13" s="84"/>
      <c r="I13" s="84"/>
      <c r="J13" s="13"/>
      <c r="Q13" s="2"/>
    </row>
    <row r="14" spans="1:17" s="1" customFormat="1" ht="21.5" thickBot="1" x14ac:dyDescent="0.55000000000000004">
      <c r="A14" s="6"/>
      <c r="B14" s="80" t="s">
        <v>367</v>
      </c>
      <c r="C14" s="79" t="s">
        <v>227</v>
      </c>
      <c r="D14" s="5"/>
      <c r="E14" s="5"/>
      <c r="F14" s="5"/>
      <c r="G14" s="5"/>
      <c r="H14" s="5"/>
      <c r="I14" s="5"/>
      <c r="J14" s="15"/>
      <c r="Q14" s="2"/>
    </row>
    <row r="15" spans="1:17" s="1" customFormat="1" ht="26.5" thickBot="1" x14ac:dyDescent="0.65">
      <c r="A15" s="95" t="s">
        <v>368</v>
      </c>
      <c r="C15" s="7"/>
      <c r="J15" s="15"/>
      <c r="Q15" s="2"/>
    </row>
    <row r="16" spans="1:17" s="1" customFormat="1" ht="26.5" thickBot="1" x14ac:dyDescent="0.65">
      <c r="A16" s="20"/>
      <c r="B16" s="88" t="s">
        <v>354</v>
      </c>
      <c r="C16" s="93" t="s">
        <v>355</v>
      </c>
      <c r="D16" s="11" t="s">
        <v>356</v>
      </c>
      <c r="E16" s="11" t="s">
        <v>357</v>
      </c>
      <c r="F16" s="11" t="s">
        <v>358</v>
      </c>
      <c r="G16" s="11" t="s">
        <v>359</v>
      </c>
      <c r="H16" s="79" t="s">
        <v>360</v>
      </c>
      <c r="I16" s="13" t="s">
        <v>361</v>
      </c>
      <c r="J16" s="15"/>
      <c r="Q16" s="2"/>
    </row>
    <row r="17" spans="1:17" s="1" customFormat="1" ht="26" x14ac:dyDescent="0.6">
      <c r="A17" s="20"/>
      <c r="B17" s="89" t="s">
        <v>362</v>
      </c>
      <c r="C17" s="83">
        <v>316805.2689000821</v>
      </c>
      <c r="D17" s="84">
        <v>2413952</v>
      </c>
      <c r="E17" s="84">
        <v>383600</v>
      </c>
      <c r="F17" s="84">
        <v>4140000</v>
      </c>
      <c r="G17" s="84">
        <v>2856009.2</v>
      </c>
      <c r="H17" s="84">
        <v>12000000</v>
      </c>
      <c r="I17" s="85">
        <v>200000</v>
      </c>
      <c r="J17" s="15"/>
      <c r="Q17" s="2"/>
    </row>
    <row r="18" spans="1:17" s="1" customFormat="1" ht="26" x14ac:dyDescent="0.6">
      <c r="A18" s="20"/>
      <c r="B18" s="90" t="s">
        <v>363</v>
      </c>
      <c r="C18" s="86">
        <v>1529834.4845643013</v>
      </c>
      <c r="D18" s="5">
        <v>539292</v>
      </c>
      <c r="E18" s="5">
        <v>1219000</v>
      </c>
      <c r="F18" s="5">
        <v>1644000</v>
      </c>
      <c r="G18" s="5">
        <v>505500</v>
      </c>
      <c r="H18" s="5">
        <v>18070000</v>
      </c>
      <c r="I18" s="81">
        <v>206000</v>
      </c>
      <c r="J18" s="15"/>
      <c r="Q18" s="2"/>
    </row>
    <row r="19" spans="1:17" s="1" customFormat="1" ht="26" x14ac:dyDescent="0.6">
      <c r="A19" s="20"/>
      <c r="B19" s="90" t="s">
        <v>364</v>
      </c>
      <c r="C19" s="86">
        <v>140821.82829827446</v>
      </c>
      <c r="D19" s="5">
        <v>18992</v>
      </c>
      <c r="E19" s="5">
        <v>120000</v>
      </c>
      <c r="F19" s="5">
        <v>693000</v>
      </c>
      <c r="G19" s="5">
        <v>82500</v>
      </c>
      <c r="H19" s="5">
        <v>3552500</v>
      </c>
      <c r="I19" s="81">
        <v>99500</v>
      </c>
      <c r="J19" s="15"/>
      <c r="Q19" s="2"/>
    </row>
    <row r="20" spans="1:17" s="1" customFormat="1" ht="26.5" thickBot="1" x14ac:dyDescent="0.65">
      <c r="A20" s="20"/>
      <c r="B20" s="91" t="s">
        <v>365</v>
      </c>
      <c r="C20" s="86">
        <v>583919.11957952473</v>
      </c>
      <c r="D20" s="5">
        <v>775500</v>
      </c>
      <c r="E20" s="5">
        <v>0</v>
      </c>
      <c r="F20" s="5">
        <v>630000</v>
      </c>
      <c r="G20" s="5">
        <v>2511111.111111111</v>
      </c>
      <c r="H20" s="5">
        <v>11050000</v>
      </c>
      <c r="I20" s="81">
        <v>90000</v>
      </c>
      <c r="J20" s="15"/>
      <c r="Q20" s="2"/>
    </row>
    <row r="21" spans="1:17" s="1" customFormat="1" ht="26.5" thickBot="1" x14ac:dyDescent="0.65">
      <c r="A21" s="21"/>
      <c r="B21" s="92" t="s">
        <v>366</v>
      </c>
      <c r="C21" s="87">
        <v>2571380.7013421827</v>
      </c>
      <c r="D21" s="22">
        <v>3747736</v>
      </c>
      <c r="E21" s="22">
        <v>1722600</v>
      </c>
      <c r="F21" s="22">
        <v>7107000</v>
      </c>
      <c r="G21" s="22">
        <v>5955120.3111111112</v>
      </c>
      <c r="H21" s="22">
        <v>44672500</v>
      </c>
      <c r="I21" s="82">
        <v>595500</v>
      </c>
      <c r="J21" s="17"/>
      <c r="Q21" s="2"/>
    </row>
    <row r="22" spans="1:17" s="1" customFormat="1" ht="21" x14ac:dyDescent="0.5">
      <c r="A22" s="6"/>
      <c r="B22"/>
      <c r="C22"/>
      <c r="D22"/>
      <c r="E22"/>
      <c r="F22"/>
      <c r="G22"/>
      <c r="H22"/>
      <c r="I22"/>
      <c r="Q22" s="2"/>
    </row>
    <row r="23" spans="1:17" s="1" customFormat="1" ht="21" x14ac:dyDescent="0.5">
      <c r="A23" s="6"/>
      <c r="B23"/>
      <c r="C23"/>
      <c r="D23"/>
      <c r="E23"/>
      <c r="F23"/>
      <c r="G23"/>
      <c r="H23"/>
      <c r="I23"/>
      <c r="Q23" s="2"/>
    </row>
    <row r="24" spans="1:17" s="1" customFormat="1" ht="21.5" thickBot="1" x14ac:dyDescent="0.55000000000000004">
      <c r="A24" s="6"/>
      <c r="B24"/>
      <c r="C24"/>
      <c r="D24"/>
      <c r="E24"/>
      <c r="F24"/>
      <c r="G24"/>
      <c r="H24"/>
      <c r="I24"/>
      <c r="Q24" s="2"/>
    </row>
    <row r="25" spans="1:17" s="1" customFormat="1" ht="22.5" customHeight="1" thickBot="1" x14ac:dyDescent="0.65">
      <c r="A25" s="47"/>
      <c r="B25" s="24"/>
      <c r="C25" s="94"/>
      <c r="D25" s="84"/>
      <c r="E25" s="84"/>
      <c r="F25" s="84"/>
      <c r="G25" s="84"/>
      <c r="H25" s="84"/>
      <c r="I25" s="84"/>
      <c r="J25" s="13"/>
      <c r="Q25" s="2"/>
    </row>
    <row r="26" spans="1:17" s="1" customFormat="1" ht="21.5" thickBot="1" x14ac:dyDescent="0.55000000000000004">
      <c r="A26" s="6"/>
      <c r="B26" s="80" t="s">
        <v>369</v>
      </c>
      <c r="C26" s="79" t="s">
        <v>227</v>
      </c>
      <c r="D26" s="5"/>
      <c r="E26" s="5"/>
      <c r="F26" s="5"/>
      <c r="G26" s="5"/>
      <c r="H26" s="5"/>
      <c r="I26" s="5"/>
      <c r="J26" s="15"/>
      <c r="Q26" s="2"/>
    </row>
    <row r="27" spans="1:17" s="1" customFormat="1" ht="26.5" thickBot="1" x14ac:dyDescent="0.65">
      <c r="A27" s="95" t="s">
        <v>370</v>
      </c>
      <c r="C27" s="7"/>
      <c r="J27" s="15"/>
      <c r="Q27" s="2"/>
    </row>
    <row r="28" spans="1:17" s="1" customFormat="1" ht="26.5" thickBot="1" x14ac:dyDescent="0.65">
      <c r="A28" s="20"/>
      <c r="B28" s="88" t="s">
        <v>354</v>
      </c>
      <c r="C28" s="93" t="s">
        <v>355</v>
      </c>
      <c r="D28" s="11" t="s">
        <v>356</v>
      </c>
      <c r="E28" s="11" t="s">
        <v>357</v>
      </c>
      <c r="F28" s="11" t="s">
        <v>358</v>
      </c>
      <c r="G28" s="11" t="s">
        <v>359</v>
      </c>
      <c r="H28" s="79" t="s">
        <v>360</v>
      </c>
      <c r="I28" s="13" t="s">
        <v>361</v>
      </c>
      <c r="J28" s="15"/>
      <c r="Q28" s="2"/>
    </row>
    <row r="29" spans="1:17" s="1" customFormat="1" ht="26" x14ac:dyDescent="0.6">
      <c r="A29" s="20"/>
      <c r="B29" s="89" t="s">
        <v>362</v>
      </c>
      <c r="C29" s="83">
        <v>316805.2689000821</v>
      </c>
      <c r="D29" s="84">
        <v>2344452</v>
      </c>
      <c r="E29" s="84">
        <v>241100</v>
      </c>
      <c r="F29" s="84">
        <v>4140000</v>
      </c>
      <c r="G29" s="84">
        <v>2839377.2</v>
      </c>
      <c r="H29" s="84">
        <v>11050000</v>
      </c>
      <c r="I29" s="85">
        <v>190000</v>
      </c>
      <c r="J29" s="15"/>
      <c r="Q29" s="2"/>
    </row>
    <row r="30" spans="1:17" s="1" customFormat="1" ht="26" x14ac:dyDescent="0.6">
      <c r="A30" s="20"/>
      <c r="B30" s="90" t="s">
        <v>363</v>
      </c>
      <c r="C30" s="86">
        <v>1529834.4845643013</v>
      </c>
      <c r="D30" s="5">
        <v>539292</v>
      </c>
      <c r="E30" s="5">
        <v>1219000</v>
      </c>
      <c r="F30" s="5">
        <v>1644000</v>
      </c>
      <c r="G30" s="5">
        <v>505500</v>
      </c>
      <c r="H30" s="5">
        <v>18070000</v>
      </c>
      <c r="I30" s="81">
        <v>206000</v>
      </c>
      <c r="J30" s="15"/>
      <c r="Q30" s="2"/>
    </row>
    <row r="31" spans="1:17" s="1" customFormat="1" ht="26" x14ac:dyDescent="0.6">
      <c r="A31" s="20"/>
      <c r="B31" s="90" t="s">
        <v>364</v>
      </c>
      <c r="C31" s="86">
        <v>258344.84531298885</v>
      </c>
      <c r="D31" s="5">
        <v>199242</v>
      </c>
      <c r="E31" s="5">
        <v>165000</v>
      </c>
      <c r="F31" s="5">
        <v>1045800</v>
      </c>
      <c r="G31" s="5">
        <v>159000</v>
      </c>
      <c r="H31" s="5">
        <v>10102500</v>
      </c>
      <c r="I31" s="81">
        <v>189500</v>
      </c>
      <c r="J31" s="15"/>
      <c r="Q31" s="2"/>
    </row>
    <row r="32" spans="1:17" s="1" customFormat="1" ht="26.5" thickBot="1" x14ac:dyDescent="0.65">
      <c r="A32" s="20"/>
      <c r="B32" s="91" t="s">
        <v>365</v>
      </c>
      <c r="C32" s="86">
        <v>583919.11957952473</v>
      </c>
      <c r="D32" s="5">
        <v>775500</v>
      </c>
      <c r="E32" s="5">
        <v>0</v>
      </c>
      <c r="F32" s="5">
        <v>1071000</v>
      </c>
      <c r="G32" s="5">
        <v>2511111.111111111</v>
      </c>
      <c r="H32" s="5">
        <v>14425000</v>
      </c>
      <c r="I32" s="81">
        <v>165000</v>
      </c>
      <c r="J32" s="15"/>
      <c r="Q32" s="2"/>
    </row>
    <row r="33" spans="1:26" s="1" customFormat="1" ht="26.5" thickBot="1" x14ac:dyDescent="0.65">
      <c r="A33" s="21"/>
      <c r="B33" s="92" t="s">
        <v>366</v>
      </c>
      <c r="C33" s="87">
        <v>2688903.7183568971</v>
      </c>
      <c r="D33" s="22">
        <v>3858486</v>
      </c>
      <c r="E33" s="22">
        <v>1625100</v>
      </c>
      <c r="F33" s="22">
        <v>7900800</v>
      </c>
      <c r="G33" s="22">
        <v>6014988.3111111112</v>
      </c>
      <c r="H33" s="22">
        <v>53647500</v>
      </c>
      <c r="I33" s="82">
        <v>750500</v>
      </c>
      <c r="J33" s="17"/>
      <c r="Q33" s="2"/>
    </row>
    <row r="34" spans="1:26" s="1" customFormat="1" ht="21" x14ac:dyDescent="0.5">
      <c r="A34" s="6"/>
      <c r="B34"/>
      <c r="C34"/>
      <c r="D34"/>
      <c r="E34"/>
      <c r="F34"/>
      <c r="G34"/>
      <c r="H34"/>
      <c r="I34"/>
      <c r="Q34" s="2"/>
    </row>
    <row r="35" spans="1:26" s="1" customFormat="1" ht="26.5" thickBot="1" x14ac:dyDescent="0.65">
      <c r="A35" s="6"/>
      <c r="B35" s="9"/>
      <c r="C35" s="8"/>
      <c r="D35" s="5"/>
      <c r="E35" s="5"/>
      <c r="F35" s="5"/>
      <c r="G35" s="5"/>
      <c r="H35" s="5"/>
      <c r="I35" s="5"/>
      <c r="Z35" s="2"/>
    </row>
    <row r="36" spans="1:26" s="1" customFormat="1" ht="21" x14ac:dyDescent="0.5">
      <c r="A36" s="23" t="s">
        <v>371</v>
      </c>
      <c r="B36" s="39" t="s">
        <v>372</v>
      </c>
      <c r="C36" s="39" t="s">
        <v>373</v>
      </c>
      <c r="D36" s="39" t="s">
        <v>374</v>
      </c>
      <c r="E36" s="39" t="s">
        <v>375</v>
      </c>
      <c r="F36" s="39" t="s">
        <v>376</v>
      </c>
      <c r="G36" s="39" t="s">
        <v>377</v>
      </c>
      <c r="H36" s="39" t="s">
        <v>378</v>
      </c>
      <c r="I36" s="39" t="s">
        <v>379</v>
      </c>
      <c r="J36" s="13"/>
      <c r="Z36" s="2"/>
    </row>
    <row r="37" spans="1:26" s="1" customFormat="1" ht="21" x14ac:dyDescent="0.5">
      <c r="A37" s="20"/>
      <c r="B37" s="30" t="s">
        <v>362</v>
      </c>
      <c r="C37" s="37" t="s">
        <v>380</v>
      </c>
      <c r="D37" s="38">
        <v>0.25</v>
      </c>
      <c r="E37" s="38">
        <v>0.2</v>
      </c>
      <c r="F37" s="38">
        <v>0.15</v>
      </c>
      <c r="G37" s="38">
        <v>0.2</v>
      </c>
      <c r="H37" s="38">
        <v>0.2</v>
      </c>
      <c r="I37" s="38">
        <f>SUM(D37:H37)</f>
        <v>1</v>
      </c>
      <c r="J37" s="15"/>
      <c r="Z37" s="2"/>
    </row>
    <row r="38" spans="1:26" s="1" customFormat="1" ht="21" x14ac:dyDescent="0.5">
      <c r="A38" s="20"/>
      <c r="B38" s="30" t="s">
        <v>363</v>
      </c>
      <c r="C38" s="37" t="s">
        <v>381</v>
      </c>
      <c r="D38" s="38">
        <v>0.2</v>
      </c>
      <c r="E38" s="38">
        <v>0.1</v>
      </c>
      <c r="F38" s="38">
        <v>0.15</v>
      </c>
      <c r="G38" s="38">
        <v>0.25</v>
      </c>
      <c r="H38" s="38">
        <v>0.3</v>
      </c>
      <c r="I38" s="38">
        <f t="shared" ref="I38:I40" si="0">SUM(D38:H38)</f>
        <v>1</v>
      </c>
      <c r="J38" s="15"/>
      <c r="Z38" s="2"/>
    </row>
    <row r="39" spans="1:26" s="1" customFormat="1" ht="21" x14ac:dyDescent="0.5">
      <c r="A39" s="20"/>
      <c r="B39" s="30" t="s">
        <v>365</v>
      </c>
      <c r="C39" s="37" t="s">
        <v>382</v>
      </c>
      <c r="D39" s="38">
        <v>0.25</v>
      </c>
      <c r="E39" s="38">
        <v>0.3</v>
      </c>
      <c r="F39" s="38">
        <v>0.2</v>
      </c>
      <c r="G39" s="38">
        <v>0.15</v>
      </c>
      <c r="H39" s="38">
        <v>0.1</v>
      </c>
      <c r="I39" s="38">
        <f t="shared" si="0"/>
        <v>1</v>
      </c>
      <c r="J39" s="15"/>
      <c r="L39" s="3"/>
      <c r="Z39" s="2"/>
    </row>
    <row r="40" spans="1:26" s="1" customFormat="1" ht="21.5" thickBot="1" x14ac:dyDescent="0.55000000000000004">
      <c r="A40" s="21"/>
      <c r="B40" s="44" t="s">
        <v>364</v>
      </c>
      <c r="C40" s="40" t="s">
        <v>383</v>
      </c>
      <c r="D40" s="41">
        <v>0.1</v>
      </c>
      <c r="E40" s="41">
        <v>0.15</v>
      </c>
      <c r="F40" s="41">
        <v>0.3</v>
      </c>
      <c r="G40" s="41">
        <v>0.25</v>
      </c>
      <c r="H40" s="41">
        <v>0.2</v>
      </c>
      <c r="I40" s="41">
        <f t="shared" si="0"/>
        <v>1</v>
      </c>
      <c r="J40" s="17"/>
      <c r="L40" s="3"/>
      <c r="Z40" s="2"/>
    </row>
    <row r="41" spans="1:26" s="1" customFormat="1" ht="21.5" thickBot="1" x14ac:dyDescent="0.55000000000000004">
      <c r="A41" s="6"/>
      <c r="B41" s="36"/>
      <c r="C41" s="37"/>
      <c r="D41" s="38"/>
      <c r="E41" s="38"/>
      <c r="F41" s="38"/>
      <c r="G41" s="38"/>
      <c r="H41" s="38"/>
      <c r="I41" s="38"/>
      <c r="L41" s="3"/>
      <c r="Z41" s="2"/>
    </row>
    <row r="42" spans="1:26" s="1" customFormat="1" ht="21" x14ac:dyDescent="0.5">
      <c r="A42" s="23" t="s">
        <v>384</v>
      </c>
      <c r="B42" s="42"/>
      <c r="C42" s="42"/>
      <c r="D42" s="43"/>
      <c r="E42" s="43"/>
      <c r="F42" s="43"/>
      <c r="G42" s="43"/>
      <c r="H42" s="43"/>
      <c r="I42" s="43"/>
      <c r="J42" s="13"/>
      <c r="O42" s="3"/>
      <c r="Z42" s="2"/>
    </row>
    <row r="43" spans="1:26" s="1" customFormat="1" ht="15.5" x14ac:dyDescent="0.35">
      <c r="A43" s="14"/>
      <c r="B43" s="30" t="s">
        <v>385</v>
      </c>
      <c r="C43" s="31" t="s">
        <v>386</v>
      </c>
      <c r="D43" s="35" t="s">
        <v>374</v>
      </c>
      <c r="E43" s="35" t="s">
        <v>375</v>
      </c>
      <c r="F43" s="35" t="s">
        <v>376</v>
      </c>
      <c r="G43" s="35" t="s">
        <v>377</v>
      </c>
      <c r="H43" s="35" t="s">
        <v>378</v>
      </c>
      <c r="I43" s="35" t="s">
        <v>24</v>
      </c>
      <c r="J43" s="15"/>
      <c r="O43" s="3"/>
      <c r="P43" s="2"/>
    </row>
    <row r="44" spans="1:26" s="1" customFormat="1" ht="15.5" x14ac:dyDescent="0.35">
      <c r="A44" s="14"/>
      <c r="B44" s="30" t="s">
        <v>362</v>
      </c>
      <c r="C44" s="31" t="s">
        <v>387</v>
      </c>
      <c r="D44" s="32">
        <v>1.0866781103203778</v>
      </c>
      <c r="E44" s="32">
        <v>1.0979652970901657</v>
      </c>
      <c r="F44" s="32">
        <v>1.1055887573320846</v>
      </c>
      <c r="G44" s="32">
        <v>1.1097126265773885</v>
      </c>
      <c r="H44" s="32">
        <v>1.1166241463189757</v>
      </c>
      <c r="I44" s="32">
        <v>1.1023682551772023</v>
      </c>
      <c r="J44" s="15"/>
      <c r="O44" s="3"/>
      <c r="P44" s="2"/>
    </row>
    <row r="45" spans="1:26" s="1" customFormat="1" ht="15.5" x14ac:dyDescent="0.35">
      <c r="A45" s="14"/>
      <c r="B45" s="30" t="s">
        <v>363</v>
      </c>
      <c r="C45" s="31" t="s">
        <v>387</v>
      </c>
      <c r="D45" s="32">
        <v>1.0998965195438246</v>
      </c>
      <c r="E45" s="32">
        <v>1.106422954873892</v>
      </c>
      <c r="F45" s="32">
        <v>1.1104043466138163</v>
      </c>
      <c r="G45" s="32">
        <v>1.1129301044013251</v>
      </c>
      <c r="H45" s="32">
        <v>1.1168267083463885</v>
      </c>
      <c r="I45" s="32">
        <v>1.1104627899924824</v>
      </c>
      <c r="J45" s="15"/>
      <c r="O45" s="3"/>
      <c r="P45" s="2"/>
    </row>
    <row r="46" spans="1:26" s="1" customFormat="1" ht="15.5" x14ac:dyDescent="0.35">
      <c r="A46" s="14"/>
      <c r="B46" s="30" t="s">
        <v>365</v>
      </c>
      <c r="C46" s="31" t="s">
        <v>387</v>
      </c>
      <c r="D46" s="32">
        <v>1.1008932580235387</v>
      </c>
      <c r="E46" s="32">
        <v>1.107175450483959</v>
      </c>
      <c r="F46" s="32">
        <v>1.1109942532760453</v>
      </c>
      <c r="G46" s="32">
        <v>1.1134299888440671</v>
      </c>
      <c r="H46" s="32">
        <v>1.1171775904964232</v>
      </c>
      <c r="I46" s="32">
        <v>1.1083070576825338</v>
      </c>
      <c r="J46" s="15"/>
      <c r="O46" s="3"/>
      <c r="P46" s="2"/>
    </row>
    <row r="47" spans="1:26" s="1" customFormat="1" ht="15.5" x14ac:dyDescent="0.35">
      <c r="A47" s="14"/>
      <c r="B47" s="30" t="s">
        <v>364</v>
      </c>
      <c r="C47" s="31" t="s">
        <v>387</v>
      </c>
      <c r="D47" s="32">
        <v>1.1093768622234987</v>
      </c>
      <c r="E47" s="32">
        <v>1.1136404682634315</v>
      </c>
      <c r="F47" s="32">
        <v>1.1161342529132636</v>
      </c>
      <c r="G47" s="32">
        <v>1.117819784288822</v>
      </c>
      <c r="H47" s="32">
        <v>1.1203403100994271</v>
      </c>
      <c r="I47" s="32">
        <v>1.1163470404279396</v>
      </c>
      <c r="J47" s="15"/>
      <c r="O47" s="3"/>
      <c r="P47" s="2"/>
    </row>
    <row r="48" spans="1:26" s="1" customFormat="1" ht="16" thickBot="1" x14ac:dyDescent="0.4">
      <c r="A48" s="16"/>
      <c r="B48" s="44" t="s">
        <v>24</v>
      </c>
      <c r="C48" s="45"/>
      <c r="D48" s="46">
        <v>1.0964507005682991</v>
      </c>
      <c r="E48" s="46">
        <v>1.1046901129737874</v>
      </c>
      <c r="F48" s="46">
        <v>1.1102428156865178</v>
      </c>
      <c r="G48" s="46">
        <v>1.1126605589740985</v>
      </c>
      <c r="H48" s="46">
        <v>1.117075552828015</v>
      </c>
      <c r="I48" s="46">
        <v>1.1082231242660874</v>
      </c>
      <c r="J48" s="17"/>
      <c r="O48" s="3"/>
      <c r="P48" s="2"/>
    </row>
    <row r="49" spans="1:26" s="1" customFormat="1" ht="26.5" thickBot="1" x14ac:dyDescent="0.65">
      <c r="A49" s="6"/>
      <c r="B49" s="9"/>
      <c r="C49" s="7"/>
      <c r="O49" s="3"/>
      <c r="P49" s="2"/>
    </row>
    <row r="50" spans="1:26" s="1" customFormat="1" ht="26" x14ac:dyDescent="0.6">
      <c r="A50" s="23" t="s">
        <v>388</v>
      </c>
      <c r="B50" s="24"/>
      <c r="C50" s="19"/>
      <c r="D50" s="10" t="s">
        <v>389</v>
      </c>
      <c r="E50" s="10" t="s">
        <v>390</v>
      </c>
      <c r="F50" s="10" t="s">
        <v>391</v>
      </c>
      <c r="G50" s="10" t="s">
        <v>392</v>
      </c>
      <c r="H50" s="10" t="s">
        <v>393</v>
      </c>
      <c r="I50" s="10" t="s">
        <v>24</v>
      </c>
      <c r="J50" s="13"/>
      <c r="O50" s="3"/>
      <c r="P50" s="2"/>
    </row>
    <row r="51" spans="1:26" s="1" customFormat="1" ht="21" x14ac:dyDescent="0.5">
      <c r="A51" s="20" t="s">
        <v>394</v>
      </c>
      <c r="B51" s="60" t="s">
        <v>395</v>
      </c>
      <c r="C51" s="62" t="s">
        <v>362</v>
      </c>
      <c r="D51" s="68">
        <f>D37*D44*GETPIVOTDATA("Sum of Total Refined Capex Cost",$B$5,"Proposed RegID",$C51)</f>
        <v>3518120.3821622231</v>
      </c>
      <c r="E51" s="53">
        <f t="shared" ref="E51:H51" si="1">E37*E44*GETPIVOTDATA("Sum of Total Refined Capex Cost",$B$5,"Proposed RegID",$C51)</f>
        <v>2843730.119463529</v>
      </c>
      <c r="F51" s="53">
        <f t="shared" si="1"/>
        <v>2147606.1611175742</v>
      </c>
      <c r="G51" s="53">
        <f t="shared" si="1"/>
        <v>2874155.7028354364</v>
      </c>
      <c r="H51" s="53">
        <f t="shared" si="1"/>
        <v>2892056.5389661472</v>
      </c>
      <c r="I51" s="54">
        <f>SUM(D51:H51)</f>
        <v>14275668.90454491</v>
      </c>
      <c r="J51" s="15"/>
      <c r="O51" s="3"/>
      <c r="P51" s="2"/>
    </row>
    <row r="52" spans="1:26" s="1" customFormat="1" ht="21" x14ac:dyDescent="0.5">
      <c r="A52" s="20"/>
      <c r="B52" s="55"/>
      <c r="C52" s="63" t="s">
        <v>363</v>
      </c>
      <c r="D52" s="69">
        <f t="shared" ref="D52:H52" si="2">D38*D45*GETPIVOTDATA("Sum of Total Refined Capex Cost",$B$5,"Proposed RegID",$C52)</f>
        <v>4250000.1515173391</v>
      </c>
      <c r="E52" s="4">
        <f t="shared" si="2"/>
        <v>2137609.1488163592</v>
      </c>
      <c r="F52" s="4">
        <f t="shared" si="2"/>
        <v>3217951.7964868392</v>
      </c>
      <c r="G52" s="4">
        <f t="shared" si="2"/>
        <v>5375452.4042584002</v>
      </c>
      <c r="H52" s="4">
        <f t="shared" si="2"/>
        <v>6473127.601575667</v>
      </c>
      <c r="I52" s="56">
        <f t="shared" ref="I52:I54" si="3">SUM(D52:H52)</f>
        <v>21454141.102654606</v>
      </c>
      <c r="J52" s="15"/>
      <c r="P52" s="2"/>
    </row>
    <row r="53" spans="1:26" s="1" customFormat="1" ht="21" x14ac:dyDescent="0.5">
      <c r="A53" s="20"/>
      <c r="B53" s="55"/>
      <c r="C53" s="64" t="s">
        <v>365</v>
      </c>
      <c r="D53" s="69">
        <f t="shared" ref="D53:H53" si="4">D39*D46*GETPIVOTDATA("Sum of Total Refined Capex Cost",$B$5,"Proposed RegID",$C53)</f>
        <v>7389745.9944830034</v>
      </c>
      <c r="E53" s="4">
        <f t="shared" si="4"/>
        <v>8918298.2536482904</v>
      </c>
      <c r="F53" s="4">
        <f t="shared" si="4"/>
        <v>5966039.1400923636</v>
      </c>
      <c r="G53" s="4">
        <f t="shared" si="4"/>
        <v>4484339.2800694797</v>
      </c>
      <c r="H53" s="4">
        <f t="shared" si="4"/>
        <v>2999621.8304828964</v>
      </c>
      <c r="I53" s="56">
        <f t="shared" si="3"/>
        <v>29758044.49877603</v>
      </c>
      <c r="J53" s="15"/>
      <c r="P53" s="2"/>
    </row>
    <row r="54" spans="1:26" s="1" customFormat="1" ht="21" x14ac:dyDescent="0.5">
      <c r="A54" s="20"/>
      <c r="B54" s="55"/>
      <c r="C54" s="65" t="s">
        <v>364</v>
      </c>
      <c r="D54" s="70">
        <f t="shared" ref="D54:H54" si="5">D40*D47*GETPIVOTDATA("Sum of Total Refined Capex Cost",$B$5,"Proposed RegID",$C54)</f>
        <v>1667670.7681374745</v>
      </c>
      <c r="E54" s="52">
        <f t="shared" si="5"/>
        <v>2511120.0508755054</v>
      </c>
      <c r="F54" s="52">
        <f t="shared" si="5"/>
        <v>5033486.4470755905</v>
      </c>
      <c r="G54" s="52">
        <f t="shared" si="5"/>
        <v>4200906.4768304294</v>
      </c>
      <c r="H54" s="52">
        <f t="shared" si="5"/>
        <v>3368303.1423139279</v>
      </c>
      <c r="I54" s="57">
        <f t="shared" si="3"/>
        <v>16781486.885232929</v>
      </c>
      <c r="J54" s="78"/>
      <c r="P54" s="48"/>
    </row>
    <row r="55" spans="1:26" s="1" customFormat="1" ht="21.5" thickBot="1" x14ac:dyDescent="0.55000000000000004">
      <c r="A55" s="20"/>
      <c r="B55" s="58"/>
      <c r="C55" s="66" t="s">
        <v>24</v>
      </c>
      <c r="D55" s="71">
        <f>SUM(D51:D54)</f>
        <v>16825537.296300039</v>
      </c>
      <c r="E55" s="50">
        <f t="shared" ref="E55:I55" si="6">SUM(E51:E54)</f>
        <v>16410757.572803684</v>
      </c>
      <c r="F55" s="50">
        <f t="shared" si="6"/>
        <v>16365083.544772368</v>
      </c>
      <c r="G55" s="50">
        <f t="shared" si="6"/>
        <v>16934853.863993745</v>
      </c>
      <c r="H55" s="50">
        <f t="shared" si="6"/>
        <v>15733109.113338638</v>
      </c>
      <c r="I55" s="74">
        <f t="shared" si="6"/>
        <v>82269341.39120847</v>
      </c>
      <c r="J55" s="15"/>
      <c r="P55" s="48"/>
    </row>
    <row r="56" spans="1:26" s="1" customFormat="1" ht="21.5" thickTop="1" x14ac:dyDescent="0.5">
      <c r="A56" s="20"/>
      <c r="B56" s="61" t="s">
        <v>396</v>
      </c>
      <c r="C56" s="64" t="s">
        <v>362</v>
      </c>
      <c r="D56" s="68">
        <f>D37*D44*GETPIVOTDATA("Sum of Total Refined Capex Cost",$B$14,"Proposed RegID",$C56)</f>
        <v>3260034.3309611334</v>
      </c>
      <c r="E56" s="49">
        <f t="shared" ref="E56:I56" si="7">E37*E44*GETPIVOTDATA("Sum of Total Refined Capex Cost",$B$14,"Proposed RegID",$C56)</f>
        <v>2635116.7130163978</v>
      </c>
      <c r="F56" s="49">
        <f t="shared" si="7"/>
        <v>1990059.7631977522</v>
      </c>
      <c r="G56" s="49">
        <f t="shared" si="7"/>
        <v>2663310.3037857325</v>
      </c>
      <c r="H56" s="49">
        <f t="shared" si="7"/>
        <v>2679897.951165542</v>
      </c>
      <c r="I56" s="77">
        <f t="shared" si="7"/>
        <v>13228419.062126428</v>
      </c>
      <c r="J56" s="26"/>
      <c r="K56"/>
      <c r="L56"/>
      <c r="P56" s="48"/>
    </row>
    <row r="57" spans="1:26" s="1" customFormat="1" ht="21" x14ac:dyDescent="0.5">
      <c r="A57" s="20"/>
      <c r="B57" s="55"/>
      <c r="C57" s="63" t="s">
        <v>363</v>
      </c>
      <c r="D57" s="69">
        <f t="shared" ref="D57:I59" si="8">D38*D45*GETPIVOTDATA("Sum of Total Refined Capex Cost",$B$14,"Proposed RegID",$C57)</f>
        <v>3975026.0216313824</v>
      </c>
      <c r="E57" s="4">
        <f t="shared" si="8"/>
        <v>1999306.2794571228</v>
      </c>
      <c r="F57" s="4">
        <f t="shared" si="8"/>
        <v>3009750.981496749</v>
      </c>
      <c r="G57" s="4">
        <f t="shared" si="8"/>
        <v>5027661.7466329858</v>
      </c>
      <c r="H57" s="4">
        <f t="shared" si="8"/>
        <v>6054317.585945772</v>
      </c>
      <c r="I57" s="75">
        <f t="shared" si="8"/>
        <v>20066062.615164157</v>
      </c>
      <c r="J57" s="26"/>
      <c r="K57"/>
      <c r="L57"/>
      <c r="P57" s="2"/>
    </row>
    <row r="58" spans="1:26" s="1" customFormat="1" ht="21" x14ac:dyDescent="0.5">
      <c r="A58" s="20"/>
      <c r="B58" s="55"/>
      <c r="C58" s="64" t="s">
        <v>365</v>
      </c>
      <c r="D58" s="69">
        <f t="shared" si="8"/>
        <v>3041217.6252900255</v>
      </c>
      <c r="E58" s="4">
        <f t="shared" si="8"/>
        <v>3670286.6183543243</v>
      </c>
      <c r="F58" s="4">
        <f t="shared" si="8"/>
        <v>2455297.2997400602</v>
      </c>
      <c r="G58" s="4">
        <f t="shared" si="8"/>
        <v>1845510.2065090411</v>
      </c>
      <c r="H58" s="4">
        <f t="shared" si="8"/>
        <v>1234481.2374985476</v>
      </c>
      <c r="I58" s="75">
        <f t="shared" si="8"/>
        <v>12246792.987391999</v>
      </c>
      <c r="J58" s="26"/>
      <c r="K58"/>
      <c r="L58"/>
      <c r="P58" s="2"/>
    </row>
    <row r="59" spans="1:26" s="1" customFormat="1" ht="21" x14ac:dyDescent="0.5">
      <c r="A59" s="20"/>
      <c r="B59" s="55"/>
      <c r="C59" s="65" t="s">
        <v>364</v>
      </c>
      <c r="D59" s="70">
        <f t="shared" si="8"/>
        <v>394106.13030489796</v>
      </c>
      <c r="E59" s="52">
        <f t="shared" si="8"/>
        <v>593431.16452587605</v>
      </c>
      <c r="F59" s="52">
        <f t="shared" si="8"/>
        <v>1189520.0800423108</v>
      </c>
      <c r="G59" s="52">
        <f t="shared" si="8"/>
        <v>992763.69592150999</v>
      </c>
      <c r="H59" s="52">
        <f t="shared" si="8"/>
        <v>796001.79032564303</v>
      </c>
      <c r="I59" s="76">
        <f t="shared" si="8"/>
        <v>3965822.8611202557</v>
      </c>
      <c r="J59" s="26"/>
      <c r="K59"/>
      <c r="L59"/>
      <c r="P59" s="2"/>
    </row>
    <row r="60" spans="1:26" s="1" customFormat="1" ht="21.5" thickBot="1" x14ac:dyDescent="0.55000000000000004">
      <c r="A60" s="20"/>
      <c r="B60" s="58"/>
      <c r="C60" s="66" t="s">
        <v>24</v>
      </c>
      <c r="D60" s="71">
        <f>SUM(D56:D59)</f>
        <v>10670384.108187439</v>
      </c>
      <c r="E60" s="50">
        <f t="shared" ref="E60" si="9">SUM(E56:E59)</f>
        <v>8898140.7753537204</v>
      </c>
      <c r="F60" s="50">
        <f t="shared" ref="F60" si="10">SUM(F56:F59)</f>
        <v>8644628.1244768724</v>
      </c>
      <c r="G60" s="50">
        <f t="shared" ref="G60" si="11">SUM(G56:G59)</f>
        <v>10529245.952849269</v>
      </c>
      <c r="H60" s="50">
        <f t="shared" ref="H60" si="12">SUM(H56:H59)</f>
        <v>10764698.564935505</v>
      </c>
      <c r="I60" s="74">
        <f t="shared" ref="I60" si="13">SUM(I56:I59)</f>
        <v>49507097.525802836</v>
      </c>
      <c r="J60" s="26"/>
      <c r="K60"/>
      <c r="L60"/>
      <c r="P60" s="2"/>
    </row>
    <row r="61" spans="1:26" s="1" customFormat="1" ht="21.5" thickTop="1" x14ac:dyDescent="0.5">
      <c r="A61" s="20"/>
      <c r="B61" s="61" t="s">
        <v>397</v>
      </c>
      <c r="C61" s="64" t="s">
        <v>362</v>
      </c>
      <c r="D61" s="72">
        <f>D37*D44*GETPIVOTDATA("Sum of Total Refined Capex Cost",$B$26,"Proposed RegID",$C61)</f>
        <v>3001948.2797600436</v>
      </c>
      <c r="E61" s="59">
        <f t="shared" ref="E61:I61" si="14">E37*E44*GETPIVOTDATA("Sum of Total Refined Capex Cost",$B$26,"Proposed RegID",$C61)</f>
        <v>2426503.3065692661</v>
      </c>
      <c r="F61" s="59">
        <f t="shared" si="14"/>
        <v>1832513.3652779302</v>
      </c>
      <c r="G61" s="59">
        <f t="shared" si="14"/>
        <v>2452464.9047360285</v>
      </c>
      <c r="H61" s="59">
        <f t="shared" si="14"/>
        <v>2467739.3633649363</v>
      </c>
      <c r="I61" s="75">
        <f t="shared" si="14"/>
        <v>12181169.219708085</v>
      </c>
      <c r="J61" s="26"/>
      <c r="K61"/>
      <c r="L61"/>
      <c r="Z61" s="2"/>
    </row>
    <row r="62" spans="1:26" x14ac:dyDescent="0.35">
      <c r="A62" s="25"/>
      <c r="B62" s="33"/>
      <c r="C62" s="63" t="s">
        <v>363</v>
      </c>
      <c r="D62" s="72">
        <f t="shared" ref="D62:I64" si="15">D38*D45*GETPIVOTDATA("Sum of Total Refined Capex Cost",$B$26,"Proposed RegID",$C62)</f>
        <v>3975026.0216313824</v>
      </c>
      <c r="E62" s="59">
        <f t="shared" si="15"/>
        <v>1999306.2794571228</v>
      </c>
      <c r="F62" s="59">
        <f t="shared" si="15"/>
        <v>3009750.981496749</v>
      </c>
      <c r="G62" s="59">
        <f t="shared" si="15"/>
        <v>5027661.7466329858</v>
      </c>
      <c r="H62" s="59">
        <f t="shared" si="15"/>
        <v>6054317.585945772</v>
      </c>
      <c r="I62" s="75">
        <f t="shared" si="15"/>
        <v>20066062.615164157</v>
      </c>
      <c r="J62" s="26"/>
    </row>
    <row r="63" spans="1:26" x14ac:dyDescent="0.35">
      <c r="A63" s="25"/>
      <c r="B63" s="33"/>
      <c r="C63" s="64" t="s">
        <v>365</v>
      </c>
      <c r="D63" s="72">
        <f t="shared" si="15"/>
        <v>3970096.3117473861</v>
      </c>
      <c r="E63" s="59">
        <f t="shared" si="15"/>
        <v>4791301.7619693326</v>
      </c>
      <c r="F63" s="59">
        <f t="shared" si="15"/>
        <v>3205218.4207013906</v>
      </c>
      <c r="G63" s="59">
        <f t="shared" si="15"/>
        <v>2409184.1383613502</v>
      </c>
      <c r="H63" s="59">
        <f t="shared" si="15"/>
        <v>1611528.6742910903</v>
      </c>
      <c r="I63" s="75">
        <f t="shared" si="15"/>
        <v>15987329.30707055</v>
      </c>
      <c r="J63" s="26"/>
    </row>
    <row r="64" spans="1:26" x14ac:dyDescent="0.35">
      <c r="A64" s="25"/>
      <c r="B64" s="33"/>
      <c r="C64" s="65" t="s">
        <v>364</v>
      </c>
      <c r="D64" s="73">
        <f t="shared" si="15"/>
        <v>1120747.9750612897</v>
      </c>
      <c r="E64" s="51">
        <f t="shared" si="15"/>
        <v>1687582.9245946975</v>
      </c>
      <c r="F64" s="51">
        <f t="shared" si="15"/>
        <v>3382723.8870168738</v>
      </c>
      <c r="G64" s="51">
        <f t="shared" si="15"/>
        <v>2823193.5926944562</v>
      </c>
      <c r="H64" s="51">
        <f t="shared" si="15"/>
        <v>2263647.5965558928</v>
      </c>
      <c r="I64" s="76">
        <f t="shared" si="15"/>
        <v>11277895.975923261</v>
      </c>
      <c r="J64" s="26"/>
    </row>
    <row r="65" spans="1:10" ht="16" thickBot="1" x14ac:dyDescent="0.4">
      <c r="A65" s="25"/>
      <c r="B65" s="34"/>
      <c r="C65" s="67" t="s">
        <v>24</v>
      </c>
      <c r="D65" s="71">
        <f>SUM(D61:D64)</f>
        <v>12067818.588200103</v>
      </c>
      <c r="E65" s="50">
        <f t="shared" ref="E65" si="16">SUM(E61:E64)</f>
        <v>10904694.272590417</v>
      </c>
      <c r="F65" s="50">
        <f t="shared" ref="F65" si="17">SUM(F61:F64)</f>
        <v>11430206.654492943</v>
      </c>
      <c r="G65" s="50">
        <f t="shared" ref="G65" si="18">SUM(G61:G64)</f>
        <v>12712504.38242482</v>
      </c>
      <c r="H65" s="50">
        <f t="shared" ref="H65" si="19">SUM(H61:H64)</f>
        <v>12397233.220157692</v>
      </c>
      <c r="I65" s="74">
        <f t="shared" ref="I65" si="20">SUM(I61:I64)</f>
        <v>59512457.117866054</v>
      </c>
      <c r="J65" s="26"/>
    </row>
    <row r="66" spans="1:10" ht="15.5" thickTop="1" thickBot="1" x14ac:dyDescent="0.4">
      <c r="A66" s="27"/>
      <c r="B66" s="28"/>
      <c r="C66" s="28"/>
      <c r="D66" s="28"/>
      <c r="E66" s="28"/>
      <c r="F66" s="28"/>
      <c r="G66" s="28"/>
      <c r="H66" s="28"/>
      <c r="I66" s="28"/>
      <c r="J66" s="29"/>
    </row>
  </sheetData>
  <pageMargins left="0.7" right="0.7" top="0.75" bottom="0.75" header="0.3" footer="0.3"/>
  <pageSetup paperSize="9" orientation="portrait" r:id="rId4"/>
  <tableParts count="2">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2C72-79B0-407D-AC10-E5E8746C24F2}">
  <sheetPr>
    <tabColor theme="8"/>
    <pageSetUpPr autoPageBreaks="0"/>
  </sheetPr>
  <dimension ref="B1:X41"/>
  <sheetViews>
    <sheetView zoomScale="85" zoomScaleNormal="85" workbookViewId="0"/>
  </sheetViews>
  <sheetFormatPr defaultRowHeight="14.5" x14ac:dyDescent="0.35"/>
  <cols>
    <col min="1" max="1" width="1.26953125" customWidth="1"/>
    <col min="2" max="2" width="13.1796875" customWidth="1"/>
    <col min="3" max="3" width="25.26953125" customWidth="1"/>
    <col min="4" max="7" width="15.1796875" customWidth="1"/>
    <col min="8" max="8" width="14.54296875" customWidth="1"/>
    <col min="9" max="13" width="13.1796875" customWidth="1"/>
    <col min="14" max="14" width="13.26953125" customWidth="1"/>
    <col min="15" max="38" width="12.26953125" customWidth="1"/>
    <col min="39" max="40" width="2.81640625" customWidth="1"/>
    <col min="41" max="59" width="13.1796875" customWidth="1"/>
  </cols>
  <sheetData>
    <row r="1" spans="2:24" ht="23.5" x14ac:dyDescent="0.55000000000000004">
      <c r="B1" s="512" t="s">
        <v>199</v>
      </c>
    </row>
    <row r="2" spans="2:24" x14ac:dyDescent="0.35">
      <c r="B2" t="s">
        <v>200</v>
      </c>
    </row>
    <row r="4" spans="2:24" ht="26.25" customHeight="1" x14ac:dyDescent="0.35">
      <c r="B4" s="558" t="s">
        <v>201</v>
      </c>
      <c r="C4" s="558"/>
      <c r="D4" s="558"/>
      <c r="E4" s="558"/>
      <c r="F4" s="558"/>
      <c r="G4" s="558"/>
      <c r="H4" s="558"/>
      <c r="I4" s="558"/>
      <c r="J4" s="558"/>
      <c r="K4" s="558"/>
      <c r="L4" s="558"/>
      <c r="M4" s="558"/>
      <c r="N4" s="558"/>
      <c r="O4" s="558"/>
      <c r="P4" s="558"/>
      <c r="Q4" s="558"/>
      <c r="R4" s="558"/>
      <c r="S4" s="558"/>
    </row>
    <row r="6" spans="2:24" ht="16" thickBot="1" x14ac:dyDescent="0.4">
      <c r="B6" s="559" t="s">
        <v>202</v>
      </c>
      <c r="C6" s="559"/>
      <c r="D6" s="559"/>
      <c r="E6" s="559"/>
      <c r="F6" s="559"/>
      <c r="G6" s="559"/>
      <c r="H6" s="559"/>
    </row>
    <row r="7" spans="2:24" ht="15" thickBot="1" x14ac:dyDescent="0.4">
      <c r="B7" s="109"/>
      <c r="C7" s="109"/>
      <c r="D7" s="505" t="s">
        <v>50</v>
      </c>
      <c r="E7" s="506" t="s">
        <v>55</v>
      </c>
      <c r="F7" s="506" t="s">
        <v>62</v>
      </c>
      <c r="G7" s="506" t="s">
        <v>65</v>
      </c>
      <c r="H7" s="546" t="s">
        <v>24</v>
      </c>
      <c r="U7" s="289"/>
      <c r="V7" s="486"/>
      <c r="W7" s="472"/>
      <c r="X7" s="472"/>
    </row>
    <row r="8" spans="2:24" x14ac:dyDescent="0.35">
      <c r="B8" s="533" t="s">
        <v>203</v>
      </c>
      <c r="C8" s="534"/>
      <c r="D8" s="535"/>
      <c r="E8" s="536"/>
      <c r="F8" s="536"/>
      <c r="G8" s="536"/>
      <c r="H8" s="550">
        <f ca="1">'Project Summary'!D36</f>
        <v>44659000.009999998</v>
      </c>
      <c r="T8" s="473"/>
      <c r="U8" s="437"/>
      <c r="V8" s="289"/>
      <c r="W8" s="289"/>
      <c r="X8" s="289"/>
    </row>
    <row r="9" spans="2:24" x14ac:dyDescent="0.35">
      <c r="B9" s="537" t="s">
        <v>204</v>
      </c>
      <c r="D9" s="538">
        <f ca="1">D18</f>
        <v>2443803.1839432982</v>
      </c>
      <c r="E9" s="539">
        <f ca="1">E18</f>
        <v>4541774.2591176899</v>
      </c>
      <c r="F9" s="539">
        <f ca="1">F18</f>
        <v>1083719.6137094074</v>
      </c>
      <c r="G9" s="539">
        <f ca="1">G18</f>
        <v>14892111.783286631</v>
      </c>
      <c r="H9" s="547">
        <f ca="1">SUM(D9:G9)</f>
        <v>22961408.840057027</v>
      </c>
      <c r="T9" s="473"/>
      <c r="U9" s="437"/>
      <c r="V9" s="289"/>
      <c r="W9" s="289"/>
      <c r="X9" s="289"/>
    </row>
    <row r="10" spans="2:24" x14ac:dyDescent="0.35">
      <c r="B10" s="537" t="s">
        <v>205</v>
      </c>
      <c r="D10" s="540">
        <f ca="1">'Benefits detail'!B77</f>
        <v>19609172.856428321</v>
      </c>
      <c r="E10" s="541">
        <f ca="1">'Benefits detail'!F77</f>
        <v>26355732.130751882</v>
      </c>
      <c r="F10" s="541">
        <f ca="1">'Benefits detail'!L77</f>
        <v>9607352.0613631755</v>
      </c>
      <c r="G10" s="541">
        <f ca="1">'Benefits detail'!N77</f>
        <v>91347589.499397933</v>
      </c>
      <c r="H10" s="549">
        <f t="shared" ref="H10:H11" ca="1" si="0">SUM(D10:G10)</f>
        <v>146919846.54794133</v>
      </c>
      <c r="T10" s="473"/>
      <c r="U10" s="437"/>
      <c r="V10" s="289"/>
      <c r="W10" s="289"/>
      <c r="X10" s="289"/>
    </row>
    <row r="11" spans="2:24" ht="15" thickBot="1" x14ac:dyDescent="0.4">
      <c r="B11" s="542" t="s">
        <v>206</v>
      </c>
      <c r="C11" s="543"/>
      <c r="D11" s="544">
        <f ca="1">'Benefits detail'!B39</f>
        <v>25872517.732226066</v>
      </c>
      <c r="E11" s="545">
        <f ca="1">'Benefits detail'!F39</f>
        <v>32888050.666666668</v>
      </c>
      <c r="F11" s="545">
        <f ca="1">'Benefits detail'!L39</f>
        <v>12782925</v>
      </c>
      <c r="G11" s="545">
        <f ca="1">'Benefits detail'!N39</f>
        <v>115658075</v>
      </c>
      <c r="H11" s="548">
        <f t="shared" ca="1" si="0"/>
        <v>187201568.39889273</v>
      </c>
      <c r="T11" s="473"/>
      <c r="U11" s="437"/>
      <c r="V11" s="289"/>
      <c r="W11" s="289"/>
      <c r="X11" s="289"/>
    </row>
    <row r="12" spans="2:24" x14ac:dyDescent="0.35">
      <c r="C12" s="434"/>
      <c r="T12" s="473"/>
      <c r="U12" s="437"/>
      <c r="V12" s="289"/>
      <c r="W12" s="289"/>
      <c r="X12" s="289"/>
    </row>
    <row r="13" spans="2:24" x14ac:dyDescent="0.35">
      <c r="T13" s="473"/>
      <c r="U13" s="437"/>
      <c r="V13" s="289"/>
      <c r="W13" s="289"/>
      <c r="X13" s="289"/>
    </row>
    <row r="14" spans="2:24" ht="18.75" customHeight="1" thickBot="1" x14ac:dyDescent="0.4">
      <c r="B14" s="559" t="s">
        <v>207</v>
      </c>
      <c r="C14" s="559"/>
      <c r="D14" s="559"/>
      <c r="E14" s="559"/>
      <c r="F14" s="559"/>
      <c r="G14" s="559"/>
      <c r="H14" s="559"/>
      <c r="T14" s="473"/>
      <c r="U14" s="437"/>
      <c r="V14" s="289"/>
      <c r="W14" s="289"/>
      <c r="X14" s="289"/>
    </row>
    <row r="15" spans="2:24" ht="18.75" customHeight="1" thickBot="1" x14ac:dyDescent="0.4">
      <c r="D15" s="505" t="s">
        <v>50</v>
      </c>
      <c r="E15" s="506" t="s">
        <v>55</v>
      </c>
      <c r="F15" s="506" t="s">
        <v>62</v>
      </c>
      <c r="G15" s="506" t="s">
        <v>65</v>
      </c>
      <c r="H15" s="507" t="s">
        <v>24</v>
      </c>
      <c r="T15" s="473"/>
      <c r="U15" s="437"/>
      <c r="V15" s="289"/>
      <c r="W15" s="289"/>
      <c r="X15" s="289"/>
    </row>
    <row r="16" spans="2:24" ht="15" thickBot="1" x14ac:dyDescent="0.4">
      <c r="B16" s="562" t="s">
        <v>208</v>
      </c>
      <c r="C16" s="563"/>
      <c r="D16" s="508">
        <f ca="1">'Benefits detail'!B115</f>
        <v>6516808.4905154621</v>
      </c>
      <c r="E16" s="499">
        <f ca="1">'Benefits detail'!F115</f>
        <v>12111398.024313839</v>
      </c>
      <c r="F16" s="499">
        <f ca="1">'Benefits detail'!L115</f>
        <v>2889918.969891753</v>
      </c>
      <c r="G16" s="499">
        <f ca="1">'Benefits detail'!N115</f>
        <v>39712298.088764347</v>
      </c>
      <c r="H16" s="500">
        <f ca="1">SUM(D16:G16)</f>
        <v>61230423.573485404</v>
      </c>
      <c r="T16" s="473"/>
      <c r="U16" s="437"/>
      <c r="V16" s="289"/>
      <c r="W16" s="289"/>
      <c r="X16" s="289"/>
    </row>
    <row r="17" spans="2:24" x14ac:dyDescent="0.35">
      <c r="B17" s="560" t="s">
        <v>209</v>
      </c>
      <c r="C17" s="486" t="str">
        <f>"Upper Bound - " &amp; TEXT('Inputs and assumptions'!C9,"0%")</f>
        <v>Upper Bound - 100%</v>
      </c>
      <c r="D17" s="509">
        <f ca="1">D16*'Inputs and assumptions'!C6</f>
        <v>3258404.2452577311</v>
      </c>
      <c r="E17" s="289">
        <f ca="1">E16*'Inputs and assumptions'!C6</f>
        <v>6055699.0121569196</v>
      </c>
      <c r="F17" s="289">
        <f ca="1">F16*'Inputs and assumptions'!C6</f>
        <v>1444959.4849458765</v>
      </c>
      <c r="G17" s="289">
        <f ca="1">G16*'Inputs and assumptions'!C6</f>
        <v>19856149.044382174</v>
      </c>
      <c r="H17" s="501">
        <f t="shared" ref="H17:H19" ca="1" si="1">SUM(D17:G17)</f>
        <v>30615211.786742702</v>
      </c>
      <c r="T17" s="473"/>
      <c r="U17" s="437"/>
      <c r="V17" s="289"/>
      <c r="W17" s="289"/>
      <c r="X17" s="289"/>
    </row>
    <row r="18" spans="2:24" x14ac:dyDescent="0.35">
      <c r="B18" s="560"/>
      <c r="C18" s="502" t="str">
        <f>"Chosen Success Factor - " &amp; TEXT('Inputs and assumptions'!C8,"0%")</f>
        <v>Chosen Success Factor - 75%</v>
      </c>
      <c r="D18" s="509">
        <f ca="1">D16*'Inputs and assumptions'!C6*'Inputs and assumptions'!C8</f>
        <v>2443803.1839432982</v>
      </c>
      <c r="E18" s="289">
        <f ca="1">E16*'Inputs and assumptions'!C6*'Inputs and assumptions'!C8</f>
        <v>4541774.2591176899</v>
      </c>
      <c r="F18" s="289">
        <f ca="1">F16*'Inputs and assumptions'!C6*'Inputs and assumptions'!C8</f>
        <v>1083719.6137094074</v>
      </c>
      <c r="G18" s="289">
        <f ca="1">G16*'Inputs and assumptions'!C6*'Inputs and assumptions'!C8</f>
        <v>14892111.783286631</v>
      </c>
      <c r="H18" s="501">
        <f t="shared" ca="1" si="1"/>
        <v>22961408.840057027</v>
      </c>
      <c r="T18" s="473"/>
      <c r="U18" s="437"/>
      <c r="V18" s="289"/>
      <c r="W18" s="289"/>
      <c r="X18" s="289"/>
    </row>
    <row r="19" spans="2:24" ht="15" thickBot="1" x14ac:dyDescent="0.4">
      <c r="B19" s="561"/>
      <c r="C19" s="503" t="str">
        <f>"Lower Bound - " &amp; TEXT('Inputs and assumptions'!C10,"0%")</f>
        <v>Lower Bound - 50%</v>
      </c>
      <c r="D19" s="510">
        <f ca="1">D16*'Inputs and assumptions'!C6*'Inputs and assumptions'!C10</f>
        <v>1629202.1226288655</v>
      </c>
      <c r="E19" s="498">
        <f ca="1">E16*'Inputs and assumptions'!C6*'Inputs and assumptions'!C10</f>
        <v>3027849.5060784598</v>
      </c>
      <c r="F19" s="498">
        <f ca="1">F16*'Inputs and assumptions'!C6*'Inputs and assumptions'!C10</f>
        <v>722479.74247293826</v>
      </c>
      <c r="G19" s="498">
        <f ca="1">G16*'Inputs and assumptions'!C6*'Inputs and assumptions'!C10</f>
        <v>9928074.5221910868</v>
      </c>
      <c r="H19" s="504">
        <f t="shared" ca="1" si="1"/>
        <v>15307605.893371351</v>
      </c>
      <c r="T19" s="473"/>
      <c r="U19" s="437"/>
      <c r="V19" s="289"/>
      <c r="W19" s="289"/>
      <c r="X19" s="289"/>
    </row>
    <row r="20" spans="2:24" x14ac:dyDescent="0.35">
      <c r="D20" t="s">
        <v>210</v>
      </c>
      <c r="T20" s="473"/>
      <c r="U20" s="437"/>
      <c r="V20" s="289"/>
      <c r="W20" s="289"/>
      <c r="X20" s="289"/>
    </row>
    <row r="21" spans="2:24" x14ac:dyDescent="0.35">
      <c r="D21" s="526" t="s">
        <v>211</v>
      </c>
      <c r="T21" s="473"/>
      <c r="U21" s="437"/>
      <c r="V21" s="289"/>
      <c r="W21" s="289"/>
      <c r="X21" s="289"/>
    </row>
    <row r="22" spans="2:24" x14ac:dyDescent="0.35">
      <c r="T22" s="473"/>
      <c r="U22" s="437"/>
      <c r="V22" s="289"/>
      <c r="W22" s="289"/>
      <c r="X22" s="289"/>
    </row>
    <row r="23" spans="2:24" x14ac:dyDescent="0.35">
      <c r="T23" s="473"/>
      <c r="U23" s="437"/>
      <c r="V23" s="289"/>
      <c r="W23" s="289"/>
      <c r="X23" s="289"/>
    </row>
    <row r="24" spans="2:24" x14ac:dyDescent="0.35">
      <c r="T24" s="473"/>
      <c r="U24" s="437"/>
      <c r="V24" s="289"/>
      <c r="W24" s="289"/>
      <c r="X24" s="289"/>
    </row>
    <row r="25" spans="2:24" x14ac:dyDescent="0.35">
      <c r="T25" s="473"/>
      <c r="U25" s="437"/>
      <c r="V25" s="289"/>
      <c r="W25" s="289"/>
      <c r="X25" s="289"/>
    </row>
    <row r="26" spans="2:24" x14ac:dyDescent="0.35">
      <c r="T26" s="473"/>
      <c r="U26" s="437"/>
      <c r="V26" s="289"/>
      <c r="W26" s="289"/>
      <c r="X26" s="289"/>
    </row>
    <row r="27" spans="2:24" x14ac:dyDescent="0.35">
      <c r="T27" s="473"/>
      <c r="U27" s="437"/>
      <c r="V27" s="289"/>
      <c r="W27" s="289"/>
      <c r="X27" s="289"/>
    </row>
    <row r="28" spans="2:24" x14ac:dyDescent="0.35">
      <c r="T28" s="473"/>
      <c r="U28" s="437"/>
      <c r="V28" s="289"/>
      <c r="W28" s="289"/>
      <c r="X28" s="289"/>
    </row>
    <row r="29" spans="2:24" x14ac:dyDescent="0.35">
      <c r="C29" s="497"/>
      <c r="T29" s="473"/>
      <c r="U29" s="437"/>
      <c r="V29" s="289"/>
      <c r="W29" s="289"/>
      <c r="X29" s="289"/>
    </row>
    <row r="30" spans="2:24" x14ac:dyDescent="0.35">
      <c r="C30" s="497"/>
      <c r="T30" s="473"/>
      <c r="U30" s="437"/>
      <c r="V30" s="289"/>
      <c r="W30" s="289"/>
      <c r="X30" s="289"/>
    </row>
    <row r="31" spans="2:24" x14ac:dyDescent="0.35">
      <c r="T31" s="473"/>
      <c r="U31" s="437"/>
      <c r="V31" s="289"/>
      <c r="W31" s="289"/>
      <c r="X31" s="289"/>
    </row>
    <row r="32" spans="2:24" x14ac:dyDescent="0.35">
      <c r="T32" s="473"/>
      <c r="U32" s="437"/>
      <c r="V32" s="289"/>
      <c r="W32" s="289"/>
      <c r="X32" s="289"/>
    </row>
    <row r="33" spans="11:24" x14ac:dyDescent="0.35">
      <c r="T33" s="473"/>
      <c r="U33" s="437"/>
      <c r="V33" s="289"/>
      <c r="W33" s="289"/>
      <c r="X33" s="289"/>
    </row>
    <row r="34" spans="11:24" x14ac:dyDescent="0.35">
      <c r="T34" s="473"/>
      <c r="U34" s="437"/>
      <c r="V34" s="289"/>
      <c r="W34" s="289"/>
      <c r="X34" s="289"/>
    </row>
    <row r="35" spans="11:24" x14ac:dyDescent="0.35">
      <c r="T35" s="473"/>
      <c r="U35" s="437"/>
      <c r="V35" s="289"/>
      <c r="W35" s="289"/>
      <c r="X35" s="289"/>
    </row>
    <row r="36" spans="11:24" x14ac:dyDescent="0.35">
      <c r="T36" s="473"/>
      <c r="U36" s="437"/>
      <c r="V36" s="289"/>
      <c r="W36" s="289"/>
      <c r="X36" s="289"/>
    </row>
    <row r="37" spans="11:24" x14ac:dyDescent="0.35">
      <c r="L37" s="490"/>
      <c r="M37" s="490"/>
      <c r="N37" s="490"/>
      <c r="O37" s="490"/>
      <c r="T37" s="473"/>
      <c r="U37" s="437"/>
      <c r="V37" s="289"/>
      <c r="W37" s="289"/>
      <c r="X37" s="289"/>
    </row>
    <row r="38" spans="11:24" x14ac:dyDescent="0.35">
      <c r="K38" s="491"/>
      <c r="L38" s="289"/>
      <c r="M38" s="289"/>
      <c r="N38" s="289"/>
      <c r="O38" s="289"/>
      <c r="P38" s="470"/>
      <c r="T38" s="473"/>
      <c r="U38" s="437"/>
      <c r="V38" s="289"/>
      <c r="W38" s="289"/>
      <c r="X38" s="289"/>
    </row>
    <row r="39" spans="11:24" x14ac:dyDescent="0.35">
      <c r="K39" s="486"/>
      <c r="L39" s="289"/>
      <c r="M39" s="289"/>
      <c r="N39" s="289"/>
      <c r="O39" s="289"/>
      <c r="P39" s="470"/>
      <c r="T39" s="109"/>
      <c r="U39" s="471"/>
      <c r="V39" s="471"/>
      <c r="W39" s="471"/>
      <c r="X39" s="471"/>
    </row>
    <row r="40" spans="11:24" x14ac:dyDescent="0.35">
      <c r="K40" s="472"/>
      <c r="L40" s="289"/>
      <c r="M40" s="289"/>
      <c r="N40" s="289"/>
      <c r="O40" s="289"/>
      <c r="P40" s="470"/>
    </row>
    <row r="41" spans="11:24" x14ac:dyDescent="0.35">
      <c r="K41" s="472"/>
      <c r="L41" s="289"/>
      <c r="M41" s="289"/>
      <c r="N41" s="289"/>
      <c r="O41" s="289"/>
      <c r="P41" s="470"/>
    </row>
  </sheetData>
  <mergeCells count="5">
    <mergeCell ref="B4:S4"/>
    <mergeCell ref="B14:H14"/>
    <mergeCell ref="B17:B19"/>
    <mergeCell ref="B16:C16"/>
    <mergeCell ref="B6:H6"/>
  </mergeCells>
  <pageMargins left="0.7" right="0.7" top="0.75" bottom="0.75" header="0.3" footer="0.3"/>
  <customProperties>
    <customPr name="EpmWorksheetKeyString_GU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056A8-B334-414E-B896-A35311758EBB}">
  <sheetPr>
    <tabColor theme="8"/>
    <pageSetUpPr autoPageBreaks="0"/>
  </sheetPr>
  <dimension ref="A1:T115"/>
  <sheetViews>
    <sheetView zoomScale="85" zoomScaleNormal="85" workbookViewId="0"/>
  </sheetViews>
  <sheetFormatPr defaultRowHeight="14.5" x14ac:dyDescent="0.35"/>
  <cols>
    <col min="1" max="1" width="9.1796875" style="109"/>
    <col min="2" max="2" width="13.453125" customWidth="1"/>
    <col min="3" max="6" width="12.26953125" customWidth="1"/>
    <col min="7" max="7" width="13" customWidth="1"/>
    <col min="8" max="13" width="12.26953125" customWidth="1"/>
    <col min="14" max="14" width="13.26953125" customWidth="1"/>
    <col min="15" max="20" width="12.26953125" customWidth="1"/>
  </cols>
  <sheetData>
    <row r="1" spans="1:20" ht="23.5" x14ac:dyDescent="0.55000000000000004">
      <c r="A1" s="512" t="s">
        <v>212</v>
      </c>
    </row>
    <row r="2" spans="1:20" ht="15.5" x14ac:dyDescent="0.35">
      <c r="A2" s="1" t="s">
        <v>213</v>
      </c>
    </row>
    <row r="4" spans="1:20" ht="22.5" customHeight="1" x14ac:dyDescent="0.35">
      <c r="A4" s="286"/>
      <c r="B4" s="564" t="s">
        <v>206</v>
      </c>
      <c r="C4" s="564"/>
      <c r="D4" s="564"/>
      <c r="E4" s="564"/>
      <c r="F4" s="564"/>
      <c r="G4" s="564"/>
      <c r="H4" s="564"/>
      <c r="I4" s="564"/>
      <c r="J4" s="564"/>
      <c r="K4" s="564"/>
      <c r="L4" s="564"/>
      <c r="M4" s="564"/>
      <c r="N4" s="564"/>
      <c r="O4" s="564"/>
      <c r="P4" s="564"/>
      <c r="Q4" s="564"/>
      <c r="R4" s="564"/>
      <c r="S4" s="564"/>
      <c r="T4" s="565"/>
    </row>
    <row r="5" spans="1:20" s="1" customFormat="1" ht="17.25" customHeight="1" thickBot="1" x14ac:dyDescent="0.4">
      <c r="A5" s="286"/>
      <c r="B5" s="566" t="s">
        <v>50</v>
      </c>
      <c r="C5" s="567"/>
      <c r="D5" s="567"/>
      <c r="E5" s="567"/>
      <c r="F5" s="566" t="s">
        <v>55</v>
      </c>
      <c r="G5" s="567"/>
      <c r="H5" s="567"/>
      <c r="I5" s="567"/>
      <c r="J5" s="567"/>
      <c r="K5" s="567"/>
      <c r="L5" s="566" t="s">
        <v>62</v>
      </c>
      <c r="M5" s="567"/>
      <c r="N5" s="566" t="s">
        <v>65</v>
      </c>
      <c r="O5" s="567"/>
      <c r="P5" s="567"/>
      <c r="Q5" s="567"/>
      <c r="R5" s="567"/>
      <c r="S5" s="567"/>
      <c r="T5" s="567"/>
    </row>
    <row r="6" spans="1:20" s="287" customFormat="1" ht="39.75" customHeight="1" thickBot="1" x14ac:dyDescent="0.4">
      <c r="A6" s="286"/>
      <c r="B6" s="288" t="s">
        <v>51</v>
      </c>
      <c r="C6" s="288" t="s">
        <v>52</v>
      </c>
      <c r="D6" s="288" t="s">
        <v>53</v>
      </c>
      <c r="E6" s="372" t="s">
        <v>54</v>
      </c>
      <c r="F6" s="373" t="s">
        <v>56</v>
      </c>
      <c r="G6" s="374" t="s">
        <v>57</v>
      </c>
      <c r="H6" s="374" t="s">
        <v>58</v>
      </c>
      <c r="I6" s="374" t="s">
        <v>59</v>
      </c>
      <c r="J6" s="374" t="s">
        <v>60</v>
      </c>
      <c r="K6" s="374" t="s">
        <v>61</v>
      </c>
      <c r="L6" s="374" t="s">
        <v>63</v>
      </c>
      <c r="M6" s="374" t="s">
        <v>64</v>
      </c>
      <c r="N6" s="374" t="s">
        <v>66</v>
      </c>
      <c r="O6" s="374" t="s">
        <v>67</v>
      </c>
      <c r="P6" s="374" t="s">
        <v>68</v>
      </c>
      <c r="Q6" s="374" t="s">
        <v>69</v>
      </c>
      <c r="R6" s="374" t="s">
        <v>70</v>
      </c>
      <c r="S6" s="374" t="s">
        <v>71</v>
      </c>
      <c r="T6" s="375" t="s">
        <v>72</v>
      </c>
    </row>
    <row r="7" spans="1:20" x14ac:dyDescent="0.35">
      <c r="A7" s="443" t="s">
        <v>168</v>
      </c>
      <c r="B7" s="457" cm="1">
        <f t="array" aca="1" ref="B7" ca="1">IF(INDIRECT($A7&amp;"!E43")="Per Unit",SUM((INDIRECT($A7&amp;"!F46:T46"))),SUM((INDIRECT($A7&amp;"!F74:T74"))))</f>
        <v>919672.61333775148</v>
      </c>
      <c r="C7" s="458" cm="1">
        <f t="array" aca="1" ref="C7" ca="1">IF(INDIRECT($A7&amp;"!E43")="Per Unit",SUM((INDIRECT($A7&amp;"!F47:T47"))),SUM((INDIRECT($A7&amp;"!F75:T75"))))</f>
        <v>661414.21789144096</v>
      </c>
      <c r="D7" s="458" cm="1">
        <f t="array" aca="1" ref="D7" ca="1">IF(INDIRECT($A7&amp;"!E43")="Per Unit",SUM((INDIRECT($A7&amp;"!F48:T48"))),SUM((INDIRECT($A7&amp;"!F76:T76"))))</f>
        <v>128393.67512115561</v>
      </c>
      <c r="E7" s="465" cm="1">
        <f t="array" aca="1" ref="E7" ca="1">IF(INDIRECT($A7&amp;"!E43")="Per Unit",SUM((INDIRECT($A7&amp;"!F49:T49"))),SUM((INDIRECT($A7&amp;"!F77:T77"))))</f>
        <v>792518.6636019263</v>
      </c>
      <c r="F7" s="458" cm="1">
        <f t="array" aca="1" ref="F7" ca="1">IF(INDIRECT($A7&amp;"!E43")="Per Unit",SUM((INDIRECT($A7&amp;"!F52:T52"))),SUM((INDIRECT($A7&amp;"!F80:T80"))))</f>
        <v>0</v>
      </c>
      <c r="G7" s="458" cm="1">
        <f t="array" aca="1" ref="G7" ca="1">IF(INDIRECT($A7&amp;"!E43")="Per Unit",SUM((INDIRECT($A7&amp;"!F53:T53"))),SUM((INDIRECT($A7&amp;"!F81:T81"))))</f>
        <v>0</v>
      </c>
      <c r="H7" s="458" cm="1">
        <f t="array" aca="1" ref="H7" ca="1">IF(INDIRECT($A7&amp;"!E43")="Per Unit",SUM((INDIRECT($A7&amp;"!F54:T54"))),SUM((INDIRECT($A7&amp;"!F82:T82"))))</f>
        <v>0</v>
      </c>
      <c r="I7" s="458" cm="1">
        <f t="array" aca="1" ref="I7" ca="1">IF(INDIRECT($A7&amp;"!E43")="Per Unit",SUM((INDIRECT($A7&amp;"!F55:T55"))),SUM((INDIRECT($A7&amp;"!F83:T83"))))</f>
        <v>0</v>
      </c>
      <c r="J7" s="458" cm="1">
        <f t="array" aca="1" ref="J7" ca="1">IF(INDIRECT($A7&amp;"!E43")="Per Unit",SUM((INDIRECT($A7&amp;"!F56:T56"))),SUM((INDIRECT($A7&amp;"!F84:T84"))))</f>
        <v>0</v>
      </c>
      <c r="K7" s="465" cm="1">
        <f t="array" aca="1" ref="K7" ca="1">IF(INDIRECT($A7&amp;"!E43")="Per Unit",SUM((INDIRECT($A7&amp;"!F57:T57"))),SUM((INDIRECT($A7&amp;"!F85:T85"))))</f>
        <v>1071000</v>
      </c>
      <c r="L7" s="458" cm="1">
        <f t="array" aca="1" ref="L7" ca="1">IF(INDIRECT($A7&amp;"!E43")="Per Unit",SUM((INDIRECT($A7&amp;"!F60:T60"))),SUM((INDIRECT($A7&amp;"!F88:T88"))))</f>
        <v>0</v>
      </c>
      <c r="M7" s="465" cm="1">
        <f t="array" aca="1" ref="M7" ca="1">IF(INDIRECT($A7&amp;"!E43")="Per Unit",SUM((INDIRECT($A7&amp;"!F61:T61"))),SUM((INDIRECT($A7&amp;"!F89:T89"))))</f>
        <v>1890000</v>
      </c>
      <c r="N7" s="458" cm="1">
        <f t="array" aca="1" ref="N7" ca="1">IF(INDIRECT($A7&amp;"!E43")="Per Unit",SUM((INDIRECT($A7&amp;"!F64:T64"))),SUM((INDIRECT($A7&amp;"!F92:T92"))))</f>
        <v>2698920</v>
      </c>
      <c r="O7" s="458" cm="1">
        <f t="array" aca="1" ref="O7" ca="1">IF(INDIRECT($A7&amp;"!E43")="Per Unit",SUM((INDIRECT($A7&amp;"!F65:T65"))),SUM((INDIRECT($A7&amp;"!F93:T93"))))</f>
        <v>0</v>
      </c>
      <c r="P7" s="458" cm="1">
        <f t="array" aca="1" ref="P7" ca="1">IF(INDIRECT($A7&amp;"!E43")="Per Unit",SUM((INDIRECT($A7&amp;"!F66:T66"))),SUM((INDIRECT($A7&amp;"!F94:T94"))))</f>
        <v>0</v>
      </c>
      <c r="Q7" s="458" cm="1">
        <f t="array" aca="1" ref="Q7" ca="1">IF(INDIRECT($A7&amp;"!E43")="Per Unit",SUM((INDIRECT($A7&amp;"!F67:T67"))),SUM((INDIRECT($A7&amp;"!F95:T95"))))</f>
        <v>0</v>
      </c>
      <c r="R7" s="458" cm="1">
        <f t="array" aca="1" ref="R7" ca="1">IF(INDIRECT($A7&amp;"!E43")="Per Unit",SUM((INDIRECT($A7&amp;"!F68:T68"))),SUM((INDIRECT($A7&amp;"!F96:T96"))))</f>
        <v>0</v>
      </c>
      <c r="S7" s="458" cm="1">
        <f t="array" aca="1" ref="S7" ca="1">IF(INDIRECT($A7&amp;"!E43")="Per Unit",SUM((INDIRECT($A7&amp;"!F69:T69"))),SUM((INDIRECT($A7&amp;"!F97:T97"))))</f>
        <v>0</v>
      </c>
      <c r="T7" s="459" cm="1">
        <f t="array" aca="1" ref="T7" ca="1">IF(INDIRECT($A7&amp;"!E43")="Per Unit",SUM((INDIRECT($A7&amp;"!F70:T70"))),SUM((INDIRECT($A7&amp;"!F98:T98"))))</f>
        <v>0</v>
      </c>
    </row>
    <row r="8" spans="1:20" x14ac:dyDescent="0.35">
      <c r="A8" s="444" t="s">
        <v>169</v>
      </c>
      <c r="B8" s="460" cm="1">
        <f t="array" aca="1" ref="B8" ca="1">IF(INDIRECT($A8&amp;"!E43")="Per Unit",SUM((INDIRECT($A8&amp;"!F46:T46"))),SUM((INDIRECT($A8&amp;"!F74:T74"))))</f>
        <v>255464.61481604207</v>
      </c>
      <c r="C8" s="59" cm="1">
        <f t="array" aca="1" ref="C8" ca="1">IF(INDIRECT($A8&amp;"!E43")="Per Unit",SUM((INDIRECT($A8&amp;"!F47:T47"))),SUM((INDIRECT($A8&amp;"!F75:T75"))))</f>
        <v>183726.17163651137</v>
      </c>
      <c r="D8" s="59" cm="1">
        <f t="array" aca="1" ref="D8" ca="1">IF(INDIRECT($A8&amp;"!E43")="Per Unit",SUM((INDIRECT($A8&amp;"!F48:T48"))),SUM((INDIRECT($A8&amp;"!F76:T76"))))</f>
        <v>35664.909755876572</v>
      </c>
      <c r="E8" s="75" cm="1">
        <f t="array" aca="1" ref="E8" ca="1">IF(INDIRECT($A8&amp;"!E43")="Per Unit",SUM((INDIRECT($A8&amp;"!F49:T49"))),SUM((INDIRECT($A8&amp;"!F77:T77"))))</f>
        <v>220144.07322275732</v>
      </c>
      <c r="F8" s="59" cm="1">
        <f t="array" aca="1" ref="F8" ca="1">IF(INDIRECT($A8&amp;"!E43")="Per Unit",SUM((INDIRECT($A8&amp;"!F52:T52"))),SUM((INDIRECT($A8&amp;"!F80:T80"))))</f>
        <v>0</v>
      </c>
      <c r="G8" s="59" cm="1">
        <f t="array" aca="1" ref="G8" ca="1">IF(INDIRECT($A8&amp;"!E43")="Per Unit",SUM((INDIRECT($A8&amp;"!F53:T53"))),SUM((INDIRECT($A8&amp;"!F81:T81"))))</f>
        <v>0</v>
      </c>
      <c r="H8" s="59" cm="1">
        <f t="array" aca="1" ref="H8" ca="1">IF(INDIRECT($A8&amp;"!E43")="Per Unit",SUM((INDIRECT($A8&amp;"!F54:T54"))),SUM((INDIRECT($A8&amp;"!F82:T82"))))</f>
        <v>73444</v>
      </c>
      <c r="I8" s="59" cm="1">
        <f t="array" aca="1" ref="I8" ca="1">IF(INDIRECT($A8&amp;"!E43")="Per Unit",SUM((INDIRECT($A8&amp;"!F55:T55"))),SUM((INDIRECT($A8&amp;"!F83:T83"))))</f>
        <v>0</v>
      </c>
      <c r="J8" s="59" cm="1">
        <f t="array" aca="1" ref="J8" ca="1">IF(INDIRECT($A8&amp;"!E43")="Per Unit",SUM((INDIRECT($A8&amp;"!F56:T56"))),SUM((INDIRECT($A8&amp;"!F84:T84"))))</f>
        <v>0</v>
      </c>
      <c r="K8" s="75" cm="1">
        <f t="array" aca="1" ref="K8" ca="1">IF(INDIRECT($A8&amp;"!E43")="Per Unit",SUM((INDIRECT($A8&amp;"!F57:T57"))),SUM((INDIRECT($A8&amp;"!F85:T85"))))</f>
        <v>297500</v>
      </c>
      <c r="L8" s="59" cm="1">
        <f t="array" aca="1" ref="L8" ca="1">IF(INDIRECT($A8&amp;"!E43")="Per Unit",SUM((INDIRECT($A8&amp;"!F60:T60"))),SUM((INDIRECT($A8&amp;"!F88:T88"))))</f>
        <v>0</v>
      </c>
      <c r="M8" s="75" cm="1">
        <f t="array" aca="1" ref="M8" ca="1">IF(INDIRECT($A8&amp;"!E43")="Per Unit",SUM((INDIRECT($A8&amp;"!F61:T61"))),SUM((INDIRECT($A8&amp;"!F89:T89"))))</f>
        <v>525000</v>
      </c>
      <c r="N8" s="59" cm="1">
        <f t="array" aca="1" ref="N8" ca="1">IF(INDIRECT($A8&amp;"!E43")="Per Unit",SUM((INDIRECT($A8&amp;"!F64:T64"))),SUM((INDIRECT($A8&amp;"!F92:T92"))))</f>
        <v>793800</v>
      </c>
      <c r="O8" s="59" cm="1">
        <f t="array" aca="1" ref="O8" ca="1">IF(INDIRECT($A8&amp;"!E43")="Per Unit",SUM((INDIRECT($A8&amp;"!F65:T65"))),SUM((INDIRECT($A8&amp;"!F93:T93"))))</f>
        <v>0</v>
      </c>
      <c r="P8" s="59" cm="1">
        <f t="array" aca="1" ref="P8" ca="1">IF(INDIRECT($A8&amp;"!E43")="Per Unit",SUM((INDIRECT($A8&amp;"!F66:T66"))),SUM((INDIRECT($A8&amp;"!F94:T94"))))</f>
        <v>0</v>
      </c>
      <c r="Q8" s="59" cm="1">
        <f t="array" aca="1" ref="Q8" ca="1">IF(INDIRECT($A8&amp;"!E43")="Per Unit",SUM((INDIRECT($A8&amp;"!F67:T67"))),SUM((INDIRECT($A8&amp;"!F95:T95"))))</f>
        <v>0</v>
      </c>
      <c r="R8" s="59" cm="1">
        <f t="array" aca="1" ref="R8" ca="1">IF(INDIRECT($A8&amp;"!E43")="Per Unit",SUM((INDIRECT($A8&amp;"!F68:T68"))),SUM((INDIRECT($A8&amp;"!F96:T96"))))</f>
        <v>0</v>
      </c>
      <c r="S8" s="59" cm="1">
        <f t="array" aca="1" ref="S8" ca="1">IF(INDIRECT($A8&amp;"!E43")="Per Unit",SUM((INDIRECT($A8&amp;"!F69:T69"))),SUM((INDIRECT($A8&amp;"!F97:T97"))))</f>
        <v>0</v>
      </c>
      <c r="T8" s="461" cm="1">
        <f t="array" aca="1" ref="T8" ca="1">IF(INDIRECT($A8&amp;"!E43")="Per Unit",SUM((INDIRECT($A8&amp;"!F70:T70"))),SUM((INDIRECT($A8&amp;"!F98:T98"))))</f>
        <v>0</v>
      </c>
    </row>
    <row r="9" spans="1:20" x14ac:dyDescent="0.35">
      <c r="A9" s="444" t="s">
        <v>170</v>
      </c>
      <c r="B9" s="460" cm="1">
        <f t="array" aca="1" ref="B9" ca="1">IF(INDIRECT($A9&amp;"!E43")="Per Unit",SUM((INDIRECT($A9&amp;"!F46:T46"))),SUM((INDIRECT($A9&amp;"!F74:T74"))))</f>
        <v>0</v>
      </c>
      <c r="C9" s="59" cm="1">
        <f t="array" aca="1" ref="C9" ca="1">IF(INDIRECT($A9&amp;"!E43")="Per Unit",SUM((INDIRECT($A9&amp;"!F47:T47"))),SUM((INDIRECT($A9&amp;"!F75:T75"))))</f>
        <v>0</v>
      </c>
      <c r="D9" s="59" cm="1">
        <f t="array" aca="1" ref="D9" ca="1">IF(INDIRECT($A9&amp;"!E43")="Per Unit",SUM((INDIRECT($A9&amp;"!F48:T48"))),SUM((INDIRECT($A9&amp;"!F76:T76"))))</f>
        <v>0</v>
      </c>
      <c r="E9" s="75" cm="1">
        <f t="array" aca="1" ref="E9" ca="1">IF(INDIRECT($A9&amp;"!E43")="Per Unit",SUM((INDIRECT($A9&amp;"!F49:T49"))),SUM((INDIRECT($A9&amp;"!F77:T77"))))</f>
        <v>0</v>
      </c>
      <c r="F9" s="59" cm="1">
        <f t="array" aca="1" ref="F9" ca="1">IF(INDIRECT($A9&amp;"!E43")="Per Unit",SUM((INDIRECT($A9&amp;"!F52:T52"))),SUM((INDIRECT($A9&amp;"!F80:T80"))))</f>
        <v>0</v>
      </c>
      <c r="G9" s="59" cm="1">
        <f t="array" aca="1" ref="G9" ca="1">IF(INDIRECT($A9&amp;"!E43")="Per Unit",SUM((INDIRECT($A9&amp;"!F53:T53"))),SUM((INDIRECT($A9&amp;"!F81:T81"))))</f>
        <v>0</v>
      </c>
      <c r="H9" s="59" cm="1">
        <f t="array" aca="1" ref="H9" ca="1">IF(INDIRECT($A9&amp;"!E43")="Per Unit",SUM((INDIRECT($A9&amp;"!F54:T54"))),SUM((INDIRECT($A9&amp;"!F82:T82"))))</f>
        <v>0</v>
      </c>
      <c r="I9" s="59" cm="1">
        <f t="array" aca="1" ref="I9" ca="1">IF(INDIRECT($A9&amp;"!E43")="Per Unit",SUM((INDIRECT($A9&amp;"!F55:T55"))),SUM((INDIRECT($A9&amp;"!F83:T83"))))</f>
        <v>0</v>
      </c>
      <c r="J9" s="59" cm="1">
        <f t="array" aca="1" ref="J9" ca="1">IF(INDIRECT($A9&amp;"!E43")="Per Unit",SUM((INDIRECT($A9&amp;"!F56:T56"))),SUM((INDIRECT($A9&amp;"!F84:T84"))))</f>
        <v>0</v>
      </c>
      <c r="K9" s="75" cm="1">
        <f t="array" aca="1" ref="K9" ca="1">IF(INDIRECT($A9&amp;"!E43")="Per Unit",SUM((INDIRECT($A9&amp;"!F57:T57"))),SUM((INDIRECT($A9&amp;"!F85:T85"))))</f>
        <v>0</v>
      </c>
      <c r="L9" s="59" cm="1">
        <f t="array" aca="1" ref="L9" ca="1">IF(INDIRECT($A9&amp;"!E43")="Per Unit",SUM((INDIRECT($A9&amp;"!F60:T60"))),SUM((INDIRECT($A9&amp;"!F88:T88"))))</f>
        <v>0</v>
      </c>
      <c r="M9" s="75" cm="1">
        <f t="array" aca="1" ref="M9" ca="1">IF(INDIRECT($A9&amp;"!E43")="Per Unit",SUM((INDIRECT($A9&amp;"!F61:T61"))),SUM((INDIRECT($A9&amp;"!F89:T89"))))</f>
        <v>1215000</v>
      </c>
      <c r="N9" s="59" cm="1">
        <f t="array" aca="1" ref="N9" ca="1">IF(INDIRECT($A9&amp;"!E43")="Per Unit",SUM((INDIRECT($A9&amp;"!F64:T64"))),SUM((INDIRECT($A9&amp;"!F92:T92"))))</f>
        <v>5103000</v>
      </c>
      <c r="O9" s="59" cm="1">
        <f t="array" aca="1" ref="O9" ca="1">IF(INDIRECT($A9&amp;"!E43")="Per Unit",SUM((INDIRECT($A9&amp;"!F65:T65"))),SUM((INDIRECT($A9&amp;"!F93:T93"))))</f>
        <v>0</v>
      </c>
      <c r="P9" s="59" cm="1">
        <f t="array" aca="1" ref="P9" ca="1">IF(INDIRECT($A9&amp;"!E43")="Per Unit",SUM((INDIRECT($A9&amp;"!F66:T66"))),SUM((INDIRECT($A9&amp;"!F94:T94"))))</f>
        <v>0</v>
      </c>
      <c r="Q9" s="59" cm="1">
        <f t="array" aca="1" ref="Q9" ca="1">IF(INDIRECT($A9&amp;"!E43")="Per Unit",SUM((INDIRECT($A9&amp;"!F67:T67"))),SUM((INDIRECT($A9&amp;"!F95:T95"))))</f>
        <v>0</v>
      </c>
      <c r="R9" s="59" cm="1">
        <f t="array" aca="1" ref="R9" ca="1">IF(INDIRECT($A9&amp;"!E43")="Per Unit",SUM((INDIRECT($A9&amp;"!F68:T68"))),SUM((INDIRECT($A9&amp;"!F96:T96"))))</f>
        <v>0</v>
      </c>
      <c r="S9" s="59" cm="1">
        <f t="array" aca="1" ref="S9" ca="1">IF(INDIRECT($A9&amp;"!E43")="Per Unit",SUM((INDIRECT($A9&amp;"!F69:T69"))),SUM((INDIRECT($A9&amp;"!F97:T97"))))</f>
        <v>0</v>
      </c>
      <c r="T9" s="461" cm="1">
        <f t="array" aca="1" ref="T9" ca="1">IF(INDIRECT($A9&amp;"!E43")="Per Unit",SUM((INDIRECT($A9&amp;"!F70:T70"))),SUM((INDIRECT($A9&amp;"!F98:T98"))))</f>
        <v>0</v>
      </c>
    </row>
    <row r="10" spans="1:20" x14ac:dyDescent="0.35">
      <c r="A10" s="444" t="s">
        <v>171</v>
      </c>
      <c r="B10" s="460" cm="1">
        <f t="array" aca="1" ref="B10" ca="1">IF(INDIRECT($A10&amp;"!E43")="Per Unit",SUM((INDIRECT($A10&amp;"!F46:T46"))),SUM((INDIRECT($A10&amp;"!F74:T74"))))</f>
        <v>0</v>
      </c>
      <c r="C10" s="59" cm="1">
        <f t="array" aca="1" ref="C10" ca="1">IF(INDIRECT($A10&amp;"!E43")="Per Unit",SUM((INDIRECT($A10&amp;"!F47:T47"))),SUM((INDIRECT($A10&amp;"!F75:T75"))))</f>
        <v>0</v>
      </c>
      <c r="D10" s="59" cm="1">
        <f t="array" aca="1" ref="D10" ca="1">IF(INDIRECT($A10&amp;"!E43")="Per Unit",SUM((INDIRECT($A10&amp;"!F48:T48"))),SUM((INDIRECT($A10&amp;"!F76:T76"))))</f>
        <v>0</v>
      </c>
      <c r="E10" s="75" cm="1">
        <f t="array" aca="1" ref="E10" ca="1">IF(INDIRECT($A10&amp;"!E43")="Per Unit",SUM((INDIRECT($A10&amp;"!F49:T49"))),SUM((INDIRECT($A10&amp;"!F77:T77"))))</f>
        <v>0</v>
      </c>
      <c r="F10" s="59" cm="1">
        <f t="array" aca="1" ref="F10" ca="1">IF(INDIRECT($A10&amp;"!E43")="Per Unit",SUM((INDIRECT($A10&amp;"!F52:T52"))),SUM((INDIRECT($A10&amp;"!F80:T80"))))</f>
        <v>0</v>
      </c>
      <c r="G10" s="59" cm="1">
        <f t="array" aca="1" ref="G10" ca="1">IF(INDIRECT($A10&amp;"!E43")="Per Unit",SUM((INDIRECT($A10&amp;"!F53:T53"))),SUM((INDIRECT($A10&amp;"!F81:T81"))))</f>
        <v>0</v>
      </c>
      <c r="H10" s="59" cm="1">
        <f t="array" aca="1" ref="H10" ca="1">IF(INDIRECT($A10&amp;"!E43")="Per Unit",SUM((INDIRECT($A10&amp;"!F54:T54"))),SUM((INDIRECT($A10&amp;"!F82:T82"))))</f>
        <v>0</v>
      </c>
      <c r="I10" s="59" cm="1">
        <f t="array" aca="1" ref="I10" ca="1">IF(INDIRECT($A10&amp;"!E43")="Per Unit",SUM((INDIRECT($A10&amp;"!F55:T55"))),SUM((INDIRECT($A10&amp;"!F83:T83"))))</f>
        <v>0</v>
      </c>
      <c r="J10" s="59" cm="1">
        <f t="array" aca="1" ref="J10" ca="1">IF(INDIRECT($A10&amp;"!E43")="Per Unit",SUM((INDIRECT($A10&amp;"!F56:T56"))),SUM((INDIRECT($A10&amp;"!F84:T84"))))</f>
        <v>0</v>
      </c>
      <c r="K10" s="75" cm="1">
        <f t="array" aca="1" ref="K10" ca="1">IF(INDIRECT($A10&amp;"!E43")="Per Unit",SUM((INDIRECT($A10&amp;"!F57:T57"))),SUM((INDIRECT($A10&amp;"!F85:T85"))))</f>
        <v>0</v>
      </c>
      <c r="L10" s="59" cm="1">
        <f t="array" aca="1" ref="L10" ca="1">IF(INDIRECT($A10&amp;"!E43")="Per Unit",SUM((INDIRECT($A10&amp;"!F60:T60"))),SUM((INDIRECT($A10&amp;"!F88:T88"))))</f>
        <v>917000</v>
      </c>
      <c r="M10" s="75" cm="1">
        <f t="array" aca="1" ref="M10" ca="1">IF(INDIRECT($A10&amp;"!E43")="Per Unit",SUM((INDIRECT($A10&amp;"!F61:T61"))),SUM((INDIRECT($A10&amp;"!F89:T89"))))</f>
        <v>0</v>
      </c>
      <c r="N10" s="59" cm="1">
        <f t="array" aca="1" ref="N10" ca="1">IF(INDIRECT($A10&amp;"!E43")="Per Unit",SUM((INDIRECT($A10&amp;"!F64:T64"))),SUM((INDIRECT($A10&amp;"!F92:T92"))))</f>
        <v>0</v>
      </c>
      <c r="O10" s="59" cm="1">
        <f t="array" aca="1" ref="O10" ca="1">IF(INDIRECT($A10&amp;"!E43")="Per Unit",SUM((INDIRECT($A10&amp;"!F65:T65"))),SUM((INDIRECT($A10&amp;"!F93:T93"))))</f>
        <v>0</v>
      </c>
      <c r="P10" s="59" cm="1">
        <f t="array" aca="1" ref="P10" ca="1">IF(INDIRECT($A10&amp;"!E43")="Per Unit",SUM((INDIRECT($A10&amp;"!F66:T66"))),SUM((INDIRECT($A10&amp;"!F94:T94"))))</f>
        <v>0</v>
      </c>
      <c r="Q10" s="59" cm="1">
        <f t="array" aca="1" ref="Q10" ca="1">IF(INDIRECT($A10&amp;"!E43")="Per Unit",SUM((INDIRECT($A10&amp;"!F67:T67"))),SUM((INDIRECT($A10&amp;"!F95:T95"))))</f>
        <v>0</v>
      </c>
      <c r="R10" s="59" cm="1">
        <f t="array" aca="1" ref="R10" ca="1">IF(INDIRECT($A10&amp;"!E43")="Per Unit",SUM((INDIRECT($A10&amp;"!F68:T68"))),SUM((INDIRECT($A10&amp;"!F96:T96"))))</f>
        <v>6299999.9999999991</v>
      </c>
      <c r="S10" s="59" cm="1">
        <f t="array" aca="1" ref="S10" ca="1">IF(INDIRECT($A10&amp;"!E43")="Per Unit",SUM((INDIRECT($A10&amp;"!F69:T69"))),SUM((INDIRECT($A10&amp;"!F97:T97"))))</f>
        <v>8032500</v>
      </c>
      <c r="T10" s="461" cm="1">
        <f t="array" aca="1" ref="T10" ca="1">IF(INDIRECT($A10&amp;"!E43")="Per Unit",SUM((INDIRECT($A10&amp;"!F70:T70"))),SUM((INDIRECT($A10&amp;"!F98:T98"))))</f>
        <v>0</v>
      </c>
    </row>
    <row r="11" spans="1:20" x14ac:dyDescent="0.35">
      <c r="A11" s="444" t="s">
        <v>172</v>
      </c>
      <c r="B11" s="460" cm="1">
        <f t="array" aca="1" ref="B11" ca="1">IF(INDIRECT($A11&amp;"!E43")="Per Unit",SUM((INDIRECT($A11&amp;"!F46:T46"))),SUM((INDIRECT($A11&amp;"!F74:T74"))))</f>
        <v>0</v>
      </c>
      <c r="C11" s="59" cm="1">
        <f t="array" aca="1" ref="C11" ca="1">IF(INDIRECT($A11&amp;"!E43")="Per Unit",SUM((INDIRECT($A11&amp;"!F47:T47"))),SUM((INDIRECT($A11&amp;"!F75:T75"))))</f>
        <v>0</v>
      </c>
      <c r="D11" s="59" cm="1">
        <f t="array" aca="1" ref="D11" ca="1">IF(INDIRECT($A11&amp;"!E43")="Per Unit",SUM((INDIRECT($A11&amp;"!F48:T48"))),SUM((INDIRECT($A11&amp;"!F76:T76"))))</f>
        <v>0</v>
      </c>
      <c r="E11" s="75" cm="1">
        <f t="array" aca="1" ref="E11" ca="1">IF(INDIRECT($A11&amp;"!E43")="Per Unit",SUM((INDIRECT($A11&amp;"!F49:T49"))),SUM((INDIRECT($A11&amp;"!F77:T77"))))</f>
        <v>0</v>
      </c>
      <c r="F11" s="59" cm="1">
        <f t="array" aca="1" ref="F11" ca="1">IF(INDIRECT($A11&amp;"!E43")="Per Unit",SUM((INDIRECT($A11&amp;"!F52:T52"))),SUM((INDIRECT($A11&amp;"!F80:T80"))))</f>
        <v>0</v>
      </c>
      <c r="G11" s="59" cm="1">
        <f t="array" aca="1" ref="G11" ca="1">IF(INDIRECT($A11&amp;"!E43")="Per Unit",SUM((INDIRECT($A11&amp;"!F53:T53"))),SUM((INDIRECT($A11&amp;"!F81:T81"))))</f>
        <v>0</v>
      </c>
      <c r="H11" s="59" cm="1">
        <f t="array" aca="1" ref="H11" ca="1">IF(INDIRECT($A11&amp;"!E43")="Per Unit",SUM((INDIRECT($A11&amp;"!F54:T54"))),SUM((INDIRECT($A11&amp;"!F82:T82"))))</f>
        <v>0</v>
      </c>
      <c r="I11" s="59" cm="1">
        <f t="array" aca="1" ref="I11" ca="1">IF(INDIRECT($A11&amp;"!E43")="Per Unit",SUM((INDIRECT($A11&amp;"!F55:T55"))),SUM((INDIRECT($A11&amp;"!F83:T83"))))</f>
        <v>0</v>
      </c>
      <c r="J11" s="59" cm="1">
        <f t="array" aca="1" ref="J11" ca="1">IF(INDIRECT($A11&amp;"!E43")="Per Unit",SUM((INDIRECT($A11&amp;"!F56:T56"))),SUM((INDIRECT($A11&amp;"!F84:T84"))))</f>
        <v>0</v>
      </c>
      <c r="K11" s="75" cm="1">
        <f t="array" aca="1" ref="K11" ca="1">IF(INDIRECT($A11&amp;"!E43")="Per Unit",SUM((INDIRECT($A11&amp;"!F57:T57"))),SUM((INDIRECT($A11&amp;"!F85:T85"))))</f>
        <v>0</v>
      </c>
      <c r="L11" s="59" cm="1">
        <f t="array" aca="1" ref="L11" ca="1">IF(INDIRECT($A11&amp;"!E43")="Per Unit",SUM((INDIRECT($A11&amp;"!F60:T60"))),SUM((INDIRECT($A11&amp;"!F88:T88"))))</f>
        <v>0</v>
      </c>
      <c r="M11" s="75" cm="1">
        <f t="array" aca="1" ref="M11" ca="1">IF(INDIRECT($A11&amp;"!E43")="Per Unit",SUM((INDIRECT($A11&amp;"!F61:T61"))),SUM((INDIRECT($A11&amp;"!F89:T89"))))</f>
        <v>0</v>
      </c>
      <c r="N11" s="59" cm="1">
        <f t="array" aca="1" ref="N11" ca="1">IF(INDIRECT($A11&amp;"!E43")="Per Unit",SUM((INDIRECT($A11&amp;"!F64:T64"))),SUM((INDIRECT($A11&amp;"!F92:T92"))))</f>
        <v>0</v>
      </c>
      <c r="O11" s="59" cm="1">
        <f t="array" aca="1" ref="O11" ca="1">IF(INDIRECT($A11&amp;"!E43")="Per Unit",SUM((INDIRECT($A11&amp;"!F65:T65"))),SUM((INDIRECT($A11&amp;"!F93:T93"))))</f>
        <v>0</v>
      </c>
      <c r="P11" s="59" cm="1">
        <f t="array" aca="1" ref="P11" ca="1">IF(INDIRECT($A11&amp;"!E43")="Per Unit",SUM((INDIRECT($A11&amp;"!F66:T66"))),SUM((INDIRECT($A11&amp;"!F94:T94"))))</f>
        <v>0</v>
      </c>
      <c r="Q11" s="59" cm="1">
        <f t="array" aca="1" ref="Q11" ca="1">IF(INDIRECT($A11&amp;"!E43")="Per Unit",SUM((INDIRECT($A11&amp;"!F67:T67"))),SUM((INDIRECT($A11&amp;"!F95:T95"))))</f>
        <v>0</v>
      </c>
      <c r="R11" s="59" cm="1">
        <f t="array" aca="1" ref="R11" ca="1">IF(INDIRECT($A11&amp;"!E43")="Per Unit",SUM((INDIRECT($A11&amp;"!F68:T68"))),SUM((INDIRECT($A11&amp;"!F96:T96"))))</f>
        <v>6599999.9999999991</v>
      </c>
      <c r="S11" s="59" cm="1">
        <f t="array" aca="1" ref="S11" ca="1">IF(INDIRECT($A11&amp;"!E43")="Per Unit",SUM((INDIRECT($A11&amp;"!F69:T69"))),SUM((INDIRECT($A11&amp;"!F97:T97"))))</f>
        <v>8415000</v>
      </c>
      <c r="T11" s="461" cm="1">
        <f t="array" aca="1" ref="T11" ca="1">IF(INDIRECT($A11&amp;"!E43")="Per Unit",SUM((INDIRECT($A11&amp;"!F70:T70"))),SUM((INDIRECT($A11&amp;"!F98:T98"))))</f>
        <v>0</v>
      </c>
    </row>
    <row r="12" spans="1:20" x14ac:dyDescent="0.35">
      <c r="A12" s="444" t="s">
        <v>173</v>
      </c>
      <c r="B12" s="460" cm="1">
        <f t="array" aca="1" ref="B12" ca="1">IF(INDIRECT($A12&amp;"!E43")="Per Unit",SUM((INDIRECT($A12&amp;"!F46:T46"))),SUM((INDIRECT($A12&amp;"!F74:T74"))))</f>
        <v>0</v>
      </c>
      <c r="C12" s="59" cm="1">
        <f t="array" aca="1" ref="C12" ca="1">IF(INDIRECT($A12&amp;"!E43")="Per Unit",SUM((INDIRECT($A12&amp;"!F47:T47"))),SUM((INDIRECT($A12&amp;"!F75:T75"))))</f>
        <v>0</v>
      </c>
      <c r="D12" s="59" cm="1">
        <f t="array" aca="1" ref="D12" ca="1">IF(INDIRECT($A12&amp;"!E43")="Per Unit",SUM((INDIRECT($A12&amp;"!F48:T48"))),SUM((INDIRECT($A12&amp;"!F76:T76"))))</f>
        <v>0</v>
      </c>
      <c r="E12" s="75" cm="1">
        <f t="array" aca="1" ref="E12" ca="1">IF(INDIRECT($A12&amp;"!E43")="Per Unit",SUM((INDIRECT($A12&amp;"!F49:T49"))),SUM((INDIRECT($A12&amp;"!F77:T77"))))</f>
        <v>0</v>
      </c>
      <c r="F12" s="59" cm="1">
        <f t="array" aca="1" ref="F12" ca="1">IF(INDIRECT($A12&amp;"!E43")="Per Unit",SUM((INDIRECT($A12&amp;"!F52:T52"))),SUM((INDIRECT($A12&amp;"!F80:T80"))))</f>
        <v>0</v>
      </c>
      <c r="G12" s="59" cm="1">
        <f t="array" aca="1" ref="G12" ca="1">IF(INDIRECT($A12&amp;"!E43")="Per Unit",SUM((INDIRECT($A12&amp;"!F53:T53"))),SUM((INDIRECT($A12&amp;"!F81:T81"))))</f>
        <v>0</v>
      </c>
      <c r="H12" s="59" cm="1">
        <f t="array" aca="1" ref="H12" ca="1">IF(INDIRECT($A12&amp;"!E43")="Per Unit",SUM((INDIRECT($A12&amp;"!F54:T54"))),SUM((INDIRECT($A12&amp;"!F82:T82"))))</f>
        <v>0</v>
      </c>
      <c r="I12" s="59" cm="1">
        <f t="array" aca="1" ref="I12" ca="1">IF(INDIRECT($A12&amp;"!E43")="Per Unit",SUM((INDIRECT($A12&amp;"!F55:T55"))),SUM((INDIRECT($A12&amp;"!F83:T83"))))</f>
        <v>0</v>
      </c>
      <c r="J12" s="59" cm="1">
        <f t="array" aca="1" ref="J12" ca="1">IF(INDIRECT($A12&amp;"!E43")="Per Unit",SUM((INDIRECT($A12&amp;"!F56:T56"))),SUM((INDIRECT($A12&amp;"!F84:T84"))))</f>
        <v>0</v>
      </c>
      <c r="K12" s="75" cm="1">
        <f t="array" aca="1" ref="K12" ca="1">IF(INDIRECT($A12&amp;"!E43")="Per Unit",SUM((INDIRECT($A12&amp;"!F57:T57"))),SUM((INDIRECT($A12&amp;"!F85:T85"))))</f>
        <v>0</v>
      </c>
      <c r="L12" s="59" cm="1">
        <f t="array" aca="1" ref="L12" ca="1">IF(INDIRECT($A12&amp;"!E43")="Per Unit",SUM((INDIRECT($A12&amp;"!F60:T60"))),SUM((INDIRECT($A12&amp;"!F88:T88"))))</f>
        <v>0</v>
      </c>
      <c r="M12" s="75" cm="1">
        <f t="array" aca="1" ref="M12" ca="1">IF(INDIRECT($A12&amp;"!E43")="Per Unit",SUM((INDIRECT($A12&amp;"!F61:T61"))),SUM((INDIRECT($A12&amp;"!F89:T89"))))</f>
        <v>0</v>
      </c>
      <c r="N12" s="59" cm="1">
        <f t="array" aca="1" ref="N12" ca="1">IF(INDIRECT($A12&amp;"!E43")="Per Unit",SUM((INDIRECT($A12&amp;"!F64:T64"))),SUM((INDIRECT($A12&amp;"!F92:T92"))))</f>
        <v>0</v>
      </c>
      <c r="O12" s="59" cm="1">
        <f t="array" aca="1" ref="O12" ca="1">IF(INDIRECT($A12&amp;"!E43")="Per Unit",SUM((INDIRECT($A12&amp;"!F65:T65"))),SUM((INDIRECT($A12&amp;"!F93:T93"))))</f>
        <v>0</v>
      </c>
      <c r="P12" s="59" cm="1">
        <f t="array" aca="1" ref="P12" ca="1">IF(INDIRECT($A12&amp;"!E43")="Per Unit",SUM((INDIRECT($A12&amp;"!F66:T66"))),SUM((INDIRECT($A12&amp;"!F94:T94"))))</f>
        <v>0</v>
      </c>
      <c r="Q12" s="59" cm="1">
        <f t="array" aca="1" ref="Q12" ca="1">IF(INDIRECT($A12&amp;"!E43")="Per Unit",SUM((INDIRECT($A12&amp;"!F67:T67"))),SUM((INDIRECT($A12&amp;"!F95:T95"))))</f>
        <v>0</v>
      </c>
      <c r="R12" s="59" cm="1">
        <f t="array" aca="1" ref="R12" ca="1">IF(INDIRECT($A12&amp;"!E43")="Per Unit",SUM((INDIRECT($A12&amp;"!F68:T68"))),SUM((INDIRECT($A12&amp;"!F96:T96"))))</f>
        <v>4200000</v>
      </c>
      <c r="S12" s="59" cm="1">
        <f t="array" aca="1" ref="S12" ca="1">IF(INDIRECT($A12&amp;"!E43")="Per Unit",SUM((INDIRECT($A12&amp;"!F69:T69"))),SUM((INDIRECT($A12&amp;"!F97:T97"))))</f>
        <v>5355000</v>
      </c>
      <c r="T12" s="461" cm="1">
        <f t="array" aca="1" ref="T12" ca="1">IF(INDIRECT($A12&amp;"!E43")="Per Unit",SUM((INDIRECT($A12&amp;"!F70:T70"))),SUM((INDIRECT($A12&amp;"!F98:T98"))))</f>
        <v>0</v>
      </c>
    </row>
    <row r="13" spans="1:20" x14ac:dyDescent="0.35">
      <c r="A13" s="444" t="s">
        <v>174</v>
      </c>
      <c r="B13" s="460" cm="1">
        <f t="array" aca="1" ref="B13" ca="1">IF(INDIRECT($A13&amp;"!E43")="Per Unit",SUM((INDIRECT($A13&amp;"!F46:T46"))),SUM((INDIRECT($A13&amp;"!F74:T74"))))</f>
        <v>0</v>
      </c>
      <c r="C13" s="59" cm="1">
        <f t="array" aca="1" ref="C13" ca="1">IF(INDIRECT($A13&amp;"!E43")="Per Unit",SUM((INDIRECT($A13&amp;"!F47:T47"))),SUM((INDIRECT($A13&amp;"!F75:T75"))))</f>
        <v>0</v>
      </c>
      <c r="D13" s="59" cm="1">
        <f t="array" aca="1" ref="D13" ca="1">IF(INDIRECT($A13&amp;"!E43")="Per Unit",SUM((INDIRECT($A13&amp;"!F48:T48"))),SUM((INDIRECT($A13&amp;"!F76:T76"))))</f>
        <v>0</v>
      </c>
      <c r="E13" s="75" cm="1">
        <f t="array" aca="1" ref="E13" ca="1">IF(INDIRECT($A13&amp;"!E43")="Per Unit",SUM((INDIRECT($A13&amp;"!F49:T49"))),SUM((INDIRECT($A13&amp;"!F77:T77"))))</f>
        <v>0</v>
      </c>
      <c r="F13" s="59" cm="1">
        <f t="array" aca="1" ref="F13" ca="1">IF(INDIRECT($A13&amp;"!E43")="Per Unit",SUM((INDIRECT($A13&amp;"!F52:T52"))),SUM((INDIRECT($A13&amp;"!F80:T80"))))</f>
        <v>0</v>
      </c>
      <c r="G13" s="59" cm="1">
        <f t="array" aca="1" ref="G13" ca="1">IF(INDIRECT($A13&amp;"!E43")="Per Unit",SUM((INDIRECT($A13&amp;"!F53:T53"))),SUM((INDIRECT($A13&amp;"!F81:T81"))))</f>
        <v>0</v>
      </c>
      <c r="H13" s="59" cm="1">
        <f t="array" aca="1" ref="H13" ca="1">IF(INDIRECT($A13&amp;"!E43")="Per Unit",SUM((INDIRECT($A13&amp;"!F54:T54"))),SUM((INDIRECT($A13&amp;"!F82:T82"))))</f>
        <v>0</v>
      </c>
      <c r="I13" s="59" cm="1">
        <f t="array" aca="1" ref="I13" ca="1">IF(INDIRECT($A13&amp;"!E43")="Per Unit",SUM((INDIRECT($A13&amp;"!F55:T55"))),SUM((INDIRECT($A13&amp;"!F83:T83"))))</f>
        <v>0</v>
      </c>
      <c r="J13" s="59" cm="1">
        <f t="array" aca="1" ref="J13" ca="1">IF(INDIRECT($A13&amp;"!E43")="Per Unit",SUM((INDIRECT($A13&amp;"!F56:T56"))),SUM((INDIRECT($A13&amp;"!F84:T84"))))</f>
        <v>0</v>
      </c>
      <c r="K13" s="75" cm="1">
        <f t="array" aca="1" ref="K13" ca="1">IF(INDIRECT($A13&amp;"!E43")="Per Unit",SUM((INDIRECT($A13&amp;"!F57:T57"))),SUM((INDIRECT($A13&amp;"!F85:T85"))))</f>
        <v>0</v>
      </c>
      <c r="L13" s="59" cm="1">
        <f t="array" aca="1" ref="L13" ca="1">IF(INDIRECT($A13&amp;"!E43")="Per Unit",SUM((INDIRECT($A13&amp;"!F60:T60"))),SUM((INDIRECT($A13&amp;"!F88:T88"))))</f>
        <v>0</v>
      </c>
      <c r="M13" s="75" cm="1">
        <f t="array" aca="1" ref="M13" ca="1">IF(INDIRECT($A13&amp;"!E43")="Per Unit",SUM((INDIRECT($A13&amp;"!F61:T61"))),SUM((INDIRECT($A13&amp;"!F89:T89"))))</f>
        <v>0</v>
      </c>
      <c r="N13" s="59" cm="1">
        <f t="array" aca="1" ref="N13" ca="1">IF(INDIRECT($A13&amp;"!E43")="Per Unit",SUM((INDIRECT($A13&amp;"!F64:T64"))),SUM((INDIRECT($A13&amp;"!F92:T92"))))</f>
        <v>0</v>
      </c>
      <c r="O13" s="59" cm="1">
        <f t="array" aca="1" ref="O13" ca="1">IF(INDIRECT($A13&amp;"!E43")="Per Unit",SUM((INDIRECT($A13&amp;"!F65:T65"))),SUM((INDIRECT($A13&amp;"!F93:T93"))))</f>
        <v>0</v>
      </c>
      <c r="P13" s="59" cm="1">
        <f t="array" aca="1" ref="P13" ca="1">IF(INDIRECT($A13&amp;"!E43")="Per Unit",SUM((INDIRECT($A13&amp;"!F66:T66"))),SUM((INDIRECT($A13&amp;"!F94:T94"))))</f>
        <v>0</v>
      </c>
      <c r="Q13" s="59" cm="1">
        <f t="array" aca="1" ref="Q13" ca="1">IF(INDIRECT($A13&amp;"!E43")="Per Unit",SUM((INDIRECT($A13&amp;"!F67:T67"))),SUM((INDIRECT($A13&amp;"!F95:T95"))))</f>
        <v>0</v>
      </c>
      <c r="R13" s="59" cm="1">
        <f t="array" aca="1" ref="R13" ca="1">IF(INDIRECT($A13&amp;"!E43")="Per Unit",SUM((INDIRECT($A13&amp;"!F68:T68"))),SUM((INDIRECT($A13&amp;"!F96:T96"))))</f>
        <v>4500000</v>
      </c>
      <c r="S13" s="59" cm="1">
        <f t="array" aca="1" ref="S13" ca="1">IF(INDIRECT($A13&amp;"!E43")="Per Unit",SUM((INDIRECT($A13&amp;"!F69:T69"))),SUM((INDIRECT($A13&amp;"!F97:T97"))))</f>
        <v>0</v>
      </c>
      <c r="T13" s="461" cm="1">
        <f t="array" aca="1" ref="T13" ca="1">IF(INDIRECT($A13&amp;"!E43")="Per Unit",SUM((INDIRECT($A13&amp;"!F70:T70"))),SUM((INDIRECT($A13&amp;"!F98:T98"))))</f>
        <v>0</v>
      </c>
    </row>
    <row r="14" spans="1:20" x14ac:dyDescent="0.35">
      <c r="A14" s="444" t="s">
        <v>175</v>
      </c>
      <c r="B14" s="460" cm="1">
        <f t="array" aca="1" ref="B14" ca="1">IF(INDIRECT($A14&amp;"!E43")="Per Unit",SUM((INDIRECT($A14&amp;"!F46:T46"))),SUM((INDIRECT($A14&amp;"!F74:T74"))))</f>
        <v>0</v>
      </c>
      <c r="C14" s="59" cm="1">
        <f t="array" aca="1" ref="C14" ca="1">IF(INDIRECT($A14&amp;"!E43")="Per Unit",SUM((INDIRECT($A14&amp;"!F47:T47"))),SUM((INDIRECT($A14&amp;"!F75:T75"))))</f>
        <v>0</v>
      </c>
      <c r="D14" s="59" cm="1">
        <f t="array" aca="1" ref="D14" ca="1">IF(INDIRECT($A14&amp;"!E43")="Per Unit",SUM((INDIRECT($A14&amp;"!F48:T48"))),SUM((INDIRECT($A14&amp;"!F76:T76"))))</f>
        <v>0</v>
      </c>
      <c r="E14" s="75" cm="1">
        <f t="array" aca="1" ref="E14" ca="1">IF(INDIRECT($A14&amp;"!E43")="Per Unit",SUM((INDIRECT($A14&amp;"!F49:T49"))),SUM((INDIRECT($A14&amp;"!F77:T77"))))</f>
        <v>0</v>
      </c>
      <c r="F14" s="59" cm="1">
        <f t="array" aca="1" ref="F14" ca="1">IF(INDIRECT($A14&amp;"!E43")="Per Unit",SUM((INDIRECT($A14&amp;"!F52:T52"))),SUM((INDIRECT($A14&amp;"!F80:T80"))))</f>
        <v>0</v>
      </c>
      <c r="G14" s="59" cm="1">
        <f t="array" aca="1" ref="G14" ca="1">IF(INDIRECT($A14&amp;"!E43")="Per Unit",SUM((INDIRECT($A14&amp;"!F53:T53"))),SUM((INDIRECT($A14&amp;"!F81:T81"))))</f>
        <v>0</v>
      </c>
      <c r="H14" s="59" cm="1">
        <f t="array" aca="1" ref="H14" ca="1">IF(INDIRECT($A14&amp;"!E43")="Per Unit",SUM((INDIRECT($A14&amp;"!F54:T54"))),SUM((INDIRECT($A14&amp;"!F82:T82"))))</f>
        <v>0</v>
      </c>
      <c r="I14" s="59" cm="1">
        <f t="array" aca="1" ref="I14" ca="1">IF(INDIRECT($A14&amp;"!E43")="Per Unit",SUM((INDIRECT($A14&amp;"!F55:T55"))),SUM((INDIRECT($A14&amp;"!F83:T83"))))</f>
        <v>0</v>
      </c>
      <c r="J14" s="59" cm="1">
        <f t="array" aca="1" ref="J14" ca="1">IF(INDIRECT($A14&amp;"!E43")="Per Unit",SUM((INDIRECT($A14&amp;"!F56:T56"))),SUM((INDIRECT($A14&amp;"!F84:T84"))))</f>
        <v>0</v>
      </c>
      <c r="K14" s="75" cm="1">
        <f t="array" aca="1" ref="K14" ca="1">IF(INDIRECT($A14&amp;"!E43")="Per Unit",SUM((INDIRECT($A14&amp;"!F57:T57"))),SUM((INDIRECT($A14&amp;"!F85:T85"))))</f>
        <v>0</v>
      </c>
      <c r="L14" s="59" cm="1">
        <f t="array" aca="1" ref="L14" ca="1">IF(INDIRECT($A14&amp;"!E43")="Per Unit",SUM((INDIRECT($A14&amp;"!F60:T60"))),SUM((INDIRECT($A14&amp;"!F88:T88"))))</f>
        <v>0</v>
      </c>
      <c r="M14" s="75" cm="1">
        <f t="array" aca="1" ref="M14" ca="1">IF(INDIRECT($A14&amp;"!E43")="Per Unit",SUM((INDIRECT($A14&amp;"!F61:T61"))),SUM((INDIRECT($A14&amp;"!F89:T89"))))</f>
        <v>0</v>
      </c>
      <c r="N14" s="59" cm="1">
        <f t="array" aca="1" ref="N14" ca="1">IF(INDIRECT($A14&amp;"!E43")="Per Unit",SUM((INDIRECT($A14&amp;"!F64:T64"))),SUM((INDIRECT($A14&amp;"!F92:T92"))))</f>
        <v>0</v>
      </c>
      <c r="O14" s="59" cm="1">
        <f t="array" aca="1" ref="O14" ca="1">IF(INDIRECT($A14&amp;"!E43")="Per Unit",SUM((INDIRECT($A14&amp;"!F65:T65"))),SUM((INDIRECT($A14&amp;"!F93:T93"))))</f>
        <v>0</v>
      </c>
      <c r="P14" s="59" cm="1">
        <f t="array" aca="1" ref="P14" ca="1">IF(INDIRECT($A14&amp;"!E43")="Per Unit",SUM((INDIRECT($A14&amp;"!F66:T66"))),SUM((INDIRECT($A14&amp;"!F94:T94"))))</f>
        <v>0</v>
      </c>
      <c r="Q14" s="59" cm="1">
        <f t="array" aca="1" ref="Q14" ca="1">IF(INDIRECT($A14&amp;"!E43")="Per Unit",SUM((INDIRECT($A14&amp;"!F67:T67"))),SUM((INDIRECT($A14&amp;"!F95:T95"))))</f>
        <v>0</v>
      </c>
      <c r="R14" s="59" cm="1">
        <f t="array" aca="1" ref="R14" ca="1">IF(INDIRECT($A14&amp;"!E43")="Per Unit",SUM((INDIRECT($A14&amp;"!F68:T68"))),SUM((INDIRECT($A14&amp;"!F96:T96"))))</f>
        <v>2175000</v>
      </c>
      <c r="S14" s="59" cm="1">
        <f t="array" aca="1" ref="S14" ca="1">IF(INDIRECT($A14&amp;"!E43")="Per Unit",SUM((INDIRECT($A14&amp;"!F69:T69"))),SUM((INDIRECT($A14&amp;"!F97:T97"))))</f>
        <v>0</v>
      </c>
      <c r="T14" s="461" cm="1">
        <f t="array" aca="1" ref="T14" ca="1">IF(INDIRECT($A14&amp;"!E43")="Per Unit",SUM((INDIRECT($A14&amp;"!F70:T70"))),SUM((INDIRECT($A14&amp;"!F98:T98"))))</f>
        <v>0</v>
      </c>
    </row>
    <row r="15" spans="1:20" x14ac:dyDescent="0.35">
      <c r="A15" s="444" t="s">
        <v>176</v>
      </c>
      <c r="B15" s="460" cm="1">
        <f t="array" aca="1" ref="B15" ca="1">IF(INDIRECT($A15&amp;"!E43")="Per Unit",SUM((INDIRECT($A15&amp;"!F46:T46"))),SUM((INDIRECT($A15&amp;"!F74:T74"))))</f>
        <v>0</v>
      </c>
      <c r="C15" s="59" cm="1">
        <f t="array" aca="1" ref="C15" ca="1">IF(INDIRECT($A15&amp;"!E43")="Per Unit",SUM((INDIRECT($A15&amp;"!F47:T47"))),SUM((INDIRECT($A15&amp;"!F75:T75"))))</f>
        <v>0</v>
      </c>
      <c r="D15" s="59" cm="1">
        <f t="array" aca="1" ref="D15" ca="1">IF(INDIRECT($A15&amp;"!E43")="Per Unit",SUM((INDIRECT($A15&amp;"!F48:T48"))),SUM((INDIRECT($A15&amp;"!F76:T76"))))</f>
        <v>0</v>
      </c>
      <c r="E15" s="75" cm="1">
        <f t="array" aca="1" ref="E15" ca="1">IF(INDIRECT($A15&amp;"!E43")="Per Unit",SUM((INDIRECT($A15&amp;"!F49:T49"))),SUM((INDIRECT($A15&amp;"!F77:T77"))))</f>
        <v>0</v>
      </c>
      <c r="F15" s="59" cm="1">
        <f t="array" aca="1" ref="F15" ca="1">IF(INDIRECT($A15&amp;"!E43")="Per Unit",SUM((INDIRECT($A15&amp;"!F52:T52"))),SUM((INDIRECT($A15&amp;"!F80:T80"))))</f>
        <v>0</v>
      </c>
      <c r="G15" s="59" cm="1">
        <f t="array" aca="1" ref="G15" ca="1">IF(INDIRECT($A15&amp;"!E43")="Per Unit",SUM((INDIRECT($A15&amp;"!F53:T53"))),SUM((INDIRECT($A15&amp;"!F81:T81"))))</f>
        <v>329000</v>
      </c>
      <c r="H15" s="59" cm="1">
        <f t="array" aca="1" ref="H15" ca="1">IF(INDIRECT($A15&amp;"!E43")="Per Unit",SUM((INDIRECT($A15&amp;"!F54:T54"))),SUM((INDIRECT($A15&amp;"!F82:T82"))))</f>
        <v>0</v>
      </c>
      <c r="I15" s="59" cm="1">
        <f t="array" aca="1" ref="I15" ca="1">IF(INDIRECT($A15&amp;"!E43")="Per Unit",SUM((INDIRECT($A15&amp;"!F55:T55"))),SUM((INDIRECT($A15&amp;"!F83:T83"))))</f>
        <v>0</v>
      </c>
      <c r="J15" s="59" cm="1">
        <f t="array" aca="1" ref="J15" ca="1">IF(INDIRECT($A15&amp;"!E43")="Per Unit",SUM((INDIRECT($A15&amp;"!F56:T56"))),SUM((INDIRECT($A15&amp;"!F84:T84"))))</f>
        <v>0</v>
      </c>
      <c r="K15" s="75" cm="1">
        <f t="array" aca="1" ref="K15" ca="1">IF(INDIRECT($A15&amp;"!E43")="Per Unit",SUM((INDIRECT($A15&amp;"!F57:T57"))),SUM((INDIRECT($A15&amp;"!F85:T85"))))</f>
        <v>0</v>
      </c>
      <c r="L15" s="59" cm="1">
        <f t="array" aca="1" ref="L15" ca="1">IF(INDIRECT($A15&amp;"!E43")="Per Unit",SUM((INDIRECT($A15&amp;"!F60:T60"))),SUM((INDIRECT($A15&amp;"!F88:T88"))))</f>
        <v>0</v>
      </c>
      <c r="M15" s="75" cm="1">
        <f t="array" aca="1" ref="M15" ca="1">IF(INDIRECT($A15&amp;"!E43")="Per Unit",SUM((INDIRECT($A15&amp;"!F61:T61"))),SUM((INDIRECT($A15&amp;"!F89:T89"))))</f>
        <v>0</v>
      </c>
      <c r="N15" s="59" cm="1">
        <f t="array" aca="1" ref="N15" ca="1">IF(INDIRECT($A15&amp;"!E43")="Per Unit",SUM((INDIRECT($A15&amp;"!F64:T64"))),SUM((INDIRECT($A15&amp;"!F92:T92"))))</f>
        <v>0</v>
      </c>
      <c r="O15" s="59" cm="1">
        <f t="array" aca="1" ref="O15" ca="1">IF(INDIRECT($A15&amp;"!E43")="Per Unit",SUM((INDIRECT($A15&amp;"!F65:T65"))),SUM((INDIRECT($A15&amp;"!F93:T93"))))</f>
        <v>0</v>
      </c>
      <c r="P15" s="59" cm="1">
        <f t="array" aca="1" ref="P15" ca="1">IF(INDIRECT($A15&amp;"!E43")="Per Unit",SUM((INDIRECT($A15&amp;"!F66:T66"))),SUM((INDIRECT($A15&amp;"!F94:T94"))))</f>
        <v>0</v>
      </c>
      <c r="Q15" s="59" cm="1">
        <f t="array" aca="1" ref="Q15" ca="1">IF(INDIRECT($A15&amp;"!E43")="Per Unit",SUM((INDIRECT($A15&amp;"!F67:T67"))),SUM((INDIRECT($A15&amp;"!F95:T95"))))</f>
        <v>0</v>
      </c>
      <c r="R15" s="59" cm="1">
        <f t="array" aca="1" ref="R15" ca="1">IF(INDIRECT($A15&amp;"!E43")="Per Unit",SUM((INDIRECT($A15&amp;"!F68:T68"))),SUM((INDIRECT($A15&amp;"!F96:T96"))))</f>
        <v>0</v>
      </c>
      <c r="S15" s="59" cm="1">
        <f t="array" aca="1" ref="S15" ca="1">IF(INDIRECT($A15&amp;"!E43")="Per Unit",SUM((INDIRECT($A15&amp;"!F69:T69"))),SUM((INDIRECT($A15&amp;"!F97:T97"))))</f>
        <v>0</v>
      </c>
      <c r="T15" s="461" cm="1">
        <f t="array" aca="1" ref="T15" ca="1">IF(INDIRECT($A15&amp;"!E43")="Per Unit",SUM((INDIRECT($A15&amp;"!F70:T70"))),SUM((INDIRECT($A15&amp;"!F98:T98"))))</f>
        <v>0</v>
      </c>
    </row>
    <row r="16" spans="1:20" x14ac:dyDescent="0.35">
      <c r="A16" s="444" t="s">
        <v>177</v>
      </c>
      <c r="B16" s="460" cm="1">
        <f t="array" aca="1" ref="B16" ca="1">IF(INDIRECT($A16&amp;"!E43")="Per Unit",SUM((INDIRECT($A16&amp;"!F46:T46"))),SUM((INDIRECT($A16&amp;"!F74:T74"))))</f>
        <v>0</v>
      </c>
      <c r="C16" s="59" cm="1">
        <f t="array" aca="1" ref="C16" ca="1">IF(INDIRECT($A16&amp;"!E43")="Per Unit",SUM((INDIRECT($A16&amp;"!F47:T47"))),SUM((INDIRECT($A16&amp;"!F75:T75"))))</f>
        <v>0</v>
      </c>
      <c r="D16" s="59" cm="1">
        <f t="array" aca="1" ref="D16" ca="1">IF(INDIRECT($A16&amp;"!E43")="Per Unit",SUM((INDIRECT($A16&amp;"!F48:T48"))),SUM((INDIRECT($A16&amp;"!F76:T76"))))</f>
        <v>0</v>
      </c>
      <c r="E16" s="75" cm="1">
        <f t="array" aca="1" ref="E16" ca="1">IF(INDIRECT($A16&amp;"!E43")="Per Unit",SUM((INDIRECT($A16&amp;"!F49:T49"))),SUM((INDIRECT($A16&amp;"!F77:T77"))))</f>
        <v>0</v>
      </c>
      <c r="F16" s="59" cm="1">
        <f t="array" aca="1" ref="F16" ca="1">IF(INDIRECT($A16&amp;"!E43")="Per Unit",SUM((INDIRECT($A16&amp;"!F52:T52"))),SUM((INDIRECT($A16&amp;"!F80:T80"))))</f>
        <v>1946000</v>
      </c>
      <c r="G16" s="59" cm="1">
        <f t="array" aca="1" ref="G16" ca="1">IF(INDIRECT($A16&amp;"!E43")="Per Unit",SUM((INDIRECT($A16&amp;"!F53:T53"))),SUM((INDIRECT($A16&amp;"!F81:T81"))))</f>
        <v>3290000</v>
      </c>
      <c r="H16" s="59" cm="1">
        <f t="array" aca="1" ref="H16" ca="1">IF(INDIRECT($A16&amp;"!E43")="Per Unit",SUM((INDIRECT($A16&amp;"!F54:T54"))),SUM((INDIRECT($A16&amp;"!F82:T82"))))</f>
        <v>0</v>
      </c>
      <c r="I16" s="59" cm="1">
        <f t="array" aca="1" ref="I16" ca="1">IF(INDIRECT($A16&amp;"!E43")="Per Unit",SUM((INDIRECT($A16&amp;"!F55:T55"))),SUM((INDIRECT($A16&amp;"!F83:T83"))))</f>
        <v>0</v>
      </c>
      <c r="J16" s="59" cm="1">
        <f t="array" aca="1" ref="J16" ca="1">IF(INDIRECT($A16&amp;"!E43")="Per Unit",SUM((INDIRECT($A16&amp;"!F56:T56"))),SUM((INDIRECT($A16&amp;"!F84:T84"))))</f>
        <v>0</v>
      </c>
      <c r="K16" s="75" cm="1">
        <f t="array" aca="1" ref="K16" ca="1">IF(INDIRECT($A16&amp;"!E43")="Per Unit",SUM((INDIRECT($A16&amp;"!F57:T57"))),SUM((INDIRECT($A16&amp;"!F85:T85"))))</f>
        <v>0</v>
      </c>
      <c r="L16" s="59" cm="1">
        <f t="array" aca="1" ref="L16" ca="1">IF(INDIRECT($A16&amp;"!E43")="Per Unit",SUM((INDIRECT($A16&amp;"!F60:T60"))),SUM((INDIRECT($A16&amp;"!F88:T88"))))</f>
        <v>0</v>
      </c>
      <c r="M16" s="75" cm="1">
        <f t="array" aca="1" ref="M16" ca="1">IF(INDIRECT($A16&amp;"!E43")="Per Unit",SUM((INDIRECT($A16&amp;"!F61:T61"))),SUM((INDIRECT($A16&amp;"!F89:T89"))))</f>
        <v>0</v>
      </c>
      <c r="N16" s="59" cm="1">
        <f t="array" aca="1" ref="N16" ca="1">IF(INDIRECT($A16&amp;"!E43")="Per Unit",SUM((INDIRECT($A16&amp;"!F64:T64"))),SUM((INDIRECT($A16&amp;"!F92:T92"))))</f>
        <v>882000</v>
      </c>
      <c r="O16" s="59" cm="1">
        <f t="array" aca="1" ref="O16" ca="1">IF(INDIRECT($A16&amp;"!E43")="Per Unit",SUM((INDIRECT($A16&amp;"!F65:T65"))),SUM((INDIRECT($A16&amp;"!F93:T93"))))</f>
        <v>0</v>
      </c>
      <c r="P16" s="59" cm="1">
        <f t="array" aca="1" ref="P16" ca="1">IF(INDIRECT($A16&amp;"!E43")="Per Unit",SUM((INDIRECT($A16&amp;"!F66:T66"))),SUM((INDIRECT($A16&amp;"!F94:T94"))))</f>
        <v>0</v>
      </c>
      <c r="Q16" s="59" cm="1">
        <f t="array" aca="1" ref="Q16" ca="1">IF(INDIRECT($A16&amp;"!E43")="Per Unit",SUM((INDIRECT($A16&amp;"!F67:T67"))),SUM((INDIRECT($A16&amp;"!F95:T95"))))</f>
        <v>0</v>
      </c>
      <c r="R16" s="59" cm="1">
        <f t="array" aca="1" ref="R16" ca="1">IF(INDIRECT($A16&amp;"!E43")="Per Unit",SUM((INDIRECT($A16&amp;"!F68:T68"))),SUM((INDIRECT($A16&amp;"!F96:T96"))))</f>
        <v>4200</v>
      </c>
      <c r="S16" s="59" cm="1">
        <f t="array" aca="1" ref="S16" ca="1">IF(INDIRECT($A16&amp;"!E43")="Per Unit",SUM((INDIRECT($A16&amp;"!F69:T69"))),SUM((INDIRECT($A16&amp;"!F97:T97"))))</f>
        <v>535500</v>
      </c>
      <c r="T16" s="461" cm="1">
        <f t="array" aca="1" ref="T16" ca="1">IF(INDIRECT($A16&amp;"!E43")="Per Unit",SUM((INDIRECT($A16&amp;"!F70:T70"))),SUM((INDIRECT($A16&amp;"!F98:T98"))))</f>
        <v>0</v>
      </c>
    </row>
    <row r="17" spans="1:20" x14ac:dyDescent="0.35">
      <c r="A17" s="444" t="s">
        <v>178</v>
      </c>
      <c r="B17" s="460" cm="1">
        <f t="array" aca="1" ref="B17" ca="1">IF(INDIRECT($A17&amp;"!E43")="Per Unit",SUM((INDIRECT($A17&amp;"!F46:T46"))),SUM((INDIRECT($A17&amp;"!F74:T74"))))</f>
        <v>0</v>
      </c>
      <c r="C17" s="59" cm="1">
        <f t="array" aca="1" ref="C17" ca="1">IF(INDIRECT($A17&amp;"!E43")="Per Unit",SUM((INDIRECT($A17&amp;"!F47:T47"))),SUM((INDIRECT($A17&amp;"!F75:T75"))))</f>
        <v>0</v>
      </c>
      <c r="D17" s="59" cm="1">
        <f t="array" aca="1" ref="D17" ca="1">IF(INDIRECT($A17&amp;"!E43")="Per Unit",SUM((INDIRECT($A17&amp;"!F48:T48"))),SUM((INDIRECT($A17&amp;"!F76:T76"))))</f>
        <v>0</v>
      </c>
      <c r="E17" s="75" cm="1">
        <f t="array" aca="1" ref="E17" ca="1">IF(INDIRECT($A17&amp;"!E43")="Per Unit",SUM((INDIRECT($A17&amp;"!F49:T49"))),SUM((INDIRECT($A17&amp;"!F77:T77"))))</f>
        <v>0</v>
      </c>
      <c r="F17" s="59" cm="1">
        <f t="array" aca="1" ref="F17" ca="1">IF(INDIRECT($A17&amp;"!E43")="Per Unit",SUM((INDIRECT($A17&amp;"!F52:T52"))),SUM((INDIRECT($A17&amp;"!F80:T80"))))</f>
        <v>0</v>
      </c>
      <c r="G17" s="59" cm="1">
        <f t="array" aca="1" ref="G17" ca="1">IF(INDIRECT($A17&amp;"!E43")="Per Unit",SUM((INDIRECT($A17&amp;"!F53:T53"))),SUM((INDIRECT($A17&amp;"!F81:T81"))))</f>
        <v>3290000</v>
      </c>
      <c r="H17" s="59" cm="1">
        <f t="array" aca="1" ref="H17" ca="1">IF(INDIRECT($A17&amp;"!E43")="Per Unit",SUM((INDIRECT($A17&amp;"!F54:T54"))),SUM((INDIRECT($A17&amp;"!F82:T82"))))</f>
        <v>0</v>
      </c>
      <c r="I17" s="59" cm="1">
        <f t="array" aca="1" ref="I17" ca="1">IF(INDIRECT($A17&amp;"!E43")="Per Unit",SUM((INDIRECT($A17&amp;"!F55:T55"))),SUM((INDIRECT($A17&amp;"!F83:T83"))))</f>
        <v>0</v>
      </c>
      <c r="J17" s="59" cm="1">
        <f t="array" aca="1" ref="J17" ca="1">IF(INDIRECT($A17&amp;"!E43")="Per Unit",SUM((INDIRECT($A17&amp;"!F56:T56"))),SUM((INDIRECT($A17&amp;"!F84:T84"))))</f>
        <v>0</v>
      </c>
      <c r="K17" s="75" cm="1">
        <f t="array" aca="1" ref="K17" ca="1">IF(INDIRECT($A17&amp;"!E43")="Per Unit",SUM((INDIRECT($A17&amp;"!F57:T57"))),SUM((INDIRECT($A17&amp;"!F85:T85"))))</f>
        <v>0</v>
      </c>
      <c r="L17" s="59" cm="1">
        <f t="array" aca="1" ref="L17" ca="1">IF(INDIRECT($A17&amp;"!E43")="Per Unit",SUM((INDIRECT($A17&amp;"!F60:T60"))),SUM((INDIRECT($A17&amp;"!F88:T88"))))</f>
        <v>0</v>
      </c>
      <c r="M17" s="75" cm="1">
        <f t="array" aca="1" ref="M17" ca="1">IF(INDIRECT($A17&amp;"!E43")="Per Unit",SUM((INDIRECT($A17&amp;"!F61:T61"))),SUM((INDIRECT($A17&amp;"!F89:T89"))))</f>
        <v>0</v>
      </c>
      <c r="N17" s="59" cm="1">
        <f t="array" aca="1" ref="N17" ca="1">IF(INDIRECT($A17&amp;"!E43")="Per Unit",SUM((INDIRECT($A17&amp;"!F64:T64"))),SUM((INDIRECT($A17&amp;"!F92:T92"))))</f>
        <v>4410000</v>
      </c>
      <c r="O17" s="59" cm="1">
        <f t="array" aca="1" ref="O17" ca="1">IF(INDIRECT($A17&amp;"!E43")="Per Unit",SUM((INDIRECT($A17&amp;"!F65:T65"))),SUM((INDIRECT($A17&amp;"!F93:T93"))))</f>
        <v>0</v>
      </c>
      <c r="P17" s="59" cm="1">
        <f t="array" aca="1" ref="P17" ca="1">IF(INDIRECT($A17&amp;"!E43")="Per Unit",SUM((INDIRECT($A17&amp;"!F66:T66"))),SUM((INDIRECT($A17&amp;"!F94:T94"))))</f>
        <v>0</v>
      </c>
      <c r="Q17" s="59" cm="1">
        <f t="array" aca="1" ref="Q17" ca="1">IF(INDIRECT($A17&amp;"!E43")="Per Unit",SUM((INDIRECT($A17&amp;"!F67:T67"))),SUM((INDIRECT($A17&amp;"!F95:T95"))))</f>
        <v>0</v>
      </c>
      <c r="R17" s="59" cm="1">
        <f t="array" aca="1" ref="R17" ca="1">IF(INDIRECT($A17&amp;"!E43")="Per Unit",SUM((INDIRECT($A17&amp;"!F68:T68"))),SUM((INDIRECT($A17&amp;"!F96:T96"))))</f>
        <v>21000</v>
      </c>
      <c r="S17" s="59" cm="1">
        <f t="array" aca="1" ref="S17" ca="1">IF(INDIRECT($A17&amp;"!E43")="Per Unit",SUM((INDIRECT($A17&amp;"!F69:T69"))),SUM((INDIRECT($A17&amp;"!F97:T97"))))</f>
        <v>267750</v>
      </c>
      <c r="T17" s="461" cm="1">
        <f t="array" aca="1" ref="T17" ca="1">IF(INDIRECT($A17&amp;"!E43")="Per Unit",SUM((INDIRECT($A17&amp;"!F70:T70"))),SUM((INDIRECT($A17&amp;"!F98:T98"))))</f>
        <v>0</v>
      </c>
    </row>
    <row r="18" spans="1:20" x14ac:dyDescent="0.35">
      <c r="A18" s="444" t="s">
        <v>179</v>
      </c>
      <c r="B18" s="460" cm="1">
        <f t="array" aca="1" ref="B18" ca="1">IF(INDIRECT($A18&amp;"!E43")="Per Unit",SUM((INDIRECT($A18&amp;"!F46:T46"))),SUM((INDIRECT($A18&amp;"!F74:T74"))))</f>
        <v>0</v>
      </c>
      <c r="C18" s="59" cm="1">
        <f t="array" aca="1" ref="C18" ca="1">IF(INDIRECT($A18&amp;"!E43")="Per Unit",SUM((INDIRECT($A18&amp;"!F47:T47"))),SUM((INDIRECT($A18&amp;"!F75:T75"))))</f>
        <v>0</v>
      </c>
      <c r="D18" s="59" cm="1">
        <f t="array" aca="1" ref="D18" ca="1">IF(INDIRECT($A18&amp;"!E43")="Per Unit",SUM((INDIRECT($A18&amp;"!F48:T48"))),SUM((INDIRECT($A18&amp;"!F76:T76"))))</f>
        <v>0</v>
      </c>
      <c r="E18" s="75" cm="1">
        <f t="array" aca="1" ref="E18" ca="1">IF(INDIRECT($A18&amp;"!E43")="Per Unit",SUM((INDIRECT($A18&amp;"!F49:T49"))),SUM((INDIRECT($A18&amp;"!F77:T77"))))</f>
        <v>0</v>
      </c>
      <c r="F18" s="59" cm="1">
        <f t="array" aca="1" ref="F18" ca="1">IF(INDIRECT($A18&amp;"!E43")="Per Unit",SUM((INDIRECT($A18&amp;"!F52:T52"))),SUM((INDIRECT($A18&amp;"!F80:T80"))))</f>
        <v>0</v>
      </c>
      <c r="G18" s="59" cm="1">
        <f t="array" aca="1" ref="G18" ca="1">IF(INDIRECT($A18&amp;"!E43")="Per Unit",SUM((INDIRECT($A18&amp;"!F53:T53"))),SUM((INDIRECT($A18&amp;"!F81:T81"))))</f>
        <v>1645000</v>
      </c>
      <c r="H18" s="59" cm="1">
        <f t="array" aca="1" ref="H18" ca="1">IF(INDIRECT($A18&amp;"!E43")="Per Unit",SUM((INDIRECT($A18&amp;"!F54:T54"))),SUM((INDIRECT($A18&amp;"!F82:T82"))))</f>
        <v>0</v>
      </c>
      <c r="I18" s="59" cm="1">
        <f t="array" aca="1" ref="I18" ca="1">IF(INDIRECT($A18&amp;"!E43")="Per Unit",SUM((INDIRECT($A18&amp;"!F55:T55"))),SUM((INDIRECT($A18&amp;"!F83:T83"))))</f>
        <v>3202500</v>
      </c>
      <c r="J18" s="59" cm="1">
        <f t="array" aca="1" ref="J18" ca="1">IF(INDIRECT($A18&amp;"!E43")="Per Unit",SUM((INDIRECT($A18&amp;"!F56:T56"))),SUM((INDIRECT($A18&amp;"!F84:T84"))))</f>
        <v>0</v>
      </c>
      <c r="K18" s="75" cm="1">
        <f t="array" aca="1" ref="K18" ca="1">IF(INDIRECT($A18&amp;"!E43")="Per Unit",SUM((INDIRECT($A18&amp;"!F57:T57"))),SUM((INDIRECT($A18&amp;"!F85:T85"))))</f>
        <v>0</v>
      </c>
      <c r="L18" s="59" cm="1">
        <f t="array" aca="1" ref="L18" ca="1">IF(INDIRECT($A18&amp;"!E43")="Per Unit",SUM((INDIRECT($A18&amp;"!F60:T60"))),SUM((INDIRECT($A18&amp;"!F88:T88"))))</f>
        <v>0</v>
      </c>
      <c r="M18" s="75" cm="1">
        <f t="array" aca="1" ref="M18" ca="1">IF(INDIRECT($A18&amp;"!E43")="Per Unit",SUM((INDIRECT($A18&amp;"!F61:T61"))),SUM((INDIRECT($A18&amp;"!F89:T89"))))</f>
        <v>0</v>
      </c>
      <c r="N18" s="59" cm="1">
        <f t="array" aca="1" ref="N18" ca="1">IF(INDIRECT($A18&amp;"!E43")="Per Unit",SUM((INDIRECT($A18&amp;"!F64:T64"))),SUM((INDIRECT($A18&amp;"!F92:T92"))))</f>
        <v>0</v>
      </c>
      <c r="O18" s="59" cm="1">
        <f t="array" aca="1" ref="O18" ca="1">IF(INDIRECT($A18&amp;"!E43")="Per Unit",SUM((INDIRECT($A18&amp;"!F65:T65"))),SUM((INDIRECT($A18&amp;"!F93:T93"))))</f>
        <v>0</v>
      </c>
      <c r="P18" s="59" cm="1">
        <f t="array" aca="1" ref="P18" ca="1">IF(INDIRECT($A18&amp;"!E43")="Per Unit",SUM((INDIRECT($A18&amp;"!F66:T66"))),SUM((INDIRECT($A18&amp;"!F94:T94"))))</f>
        <v>0</v>
      </c>
      <c r="Q18" s="59" cm="1">
        <f t="array" aca="1" ref="Q18" ca="1">IF(INDIRECT($A18&amp;"!E43")="Per Unit",SUM((INDIRECT($A18&amp;"!F67:T67"))),SUM((INDIRECT($A18&amp;"!F95:T95"))))</f>
        <v>0</v>
      </c>
      <c r="R18" s="59" cm="1">
        <f t="array" aca="1" ref="R18" ca="1">IF(INDIRECT($A18&amp;"!E43")="Per Unit",SUM((INDIRECT($A18&amp;"!F68:T68"))),SUM((INDIRECT($A18&amp;"!F96:T96"))))</f>
        <v>0</v>
      </c>
      <c r="S18" s="59" cm="1">
        <f t="array" aca="1" ref="S18" ca="1">IF(INDIRECT($A18&amp;"!E43")="Per Unit",SUM((INDIRECT($A18&amp;"!F69:T69"))),SUM((INDIRECT($A18&amp;"!F97:T97"))))</f>
        <v>0</v>
      </c>
      <c r="T18" s="461" cm="1">
        <f t="array" aca="1" ref="T18" ca="1">IF(INDIRECT($A18&amp;"!E43")="Per Unit",SUM((INDIRECT($A18&amp;"!F70:T70"))),SUM((INDIRECT($A18&amp;"!F98:T98"))))</f>
        <v>0</v>
      </c>
    </row>
    <row r="19" spans="1:20" x14ac:dyDescent="0.35">
      <c r="A19" s="444" t="s">
        <v>180</v>
      </c>
      <c r="B19" s="460" cm="1">
        <f t="array" aca="1" ref="B19" ca="1">IF(INDIRECT($A19&amp;"!E43")="Per Unit",SUM((INDIRECT($A19&amp;"!F46:T46"))),SUM((INDIRECT($A19&amp;"!F74:T74"))))</f>
        <v>547424.1746058045</v>
      </c>
      <c r="C19" s="59" cm="1">
        <f t="array" aca="1" ref="C19" ca="1">IF(INDIRECT($A19&amp;"!E43")="Per Unit",SUM((INDIRECT($A19&amp;"!F47:T47"))),SUM((INDIRECT($A19&amp;"!F75:T75"))))</f>
        <v>393698.93922109588</v>
      </c>
      <c r="D19" s="59" cm="1">
        <f t="array" aca="1" ref="D19" ca="1">IF(INDIRECT($A19&amp;"!E43")="Per Unit",SUM((INDIRECT($A19&amp;"!F48:T48"))),SUM((INDIRECT($A19&amp;"!F76:T76"))))</f>
        <v>76424.806619735493</v>
      </c>
      <c r="E19" s="75" cm="1">
        <f t="array" aca="1" ref="E19" ca="1">IF(INDIRECT($A19&amp;"!E43")="Per Unit",SUM((INDIRECT($A19&amp;"!F49:T49"))),SUM((INDIRECT($A19&amp;"!F77:T77"))))</f>
        <v>0</v>
      </c>
      <c r="F19" s="59" cm="1">
        <f t="array" aca="1" ref="F19" ca="1">IF(INDIRECT($A19&amp;"!E43")="Per Unit",SUM((INDIRECT($A19&amp;"!F52:T52"))),SUM((INDIRECT($A19&amp;"!F80:T80"))))</f>
        <v>0</v>
      </c>
      <c r="G19" s="59" cm="1">
        <f t="array" aca="1" ref="G19" ca="1">IF(INDIRECT($A19&amp;"!E43")="Per Unit",SUM((INDIRECT($A19&amp;"!F53:T53"))),SUM((INDIRECT($A19&amp;"!F81:T81"))))</f>
        <v>0</v>
      </c>
      <c r="H19" s="59" cm="1">
        <f t="array" aca="1" ref="H19" ca="1">IF(INDIRECT($A19&amp;"!E43")="Per Unit",SUM((INDIRECT($A19&amp;"!F54:T54"))),SUM((INDIRECT($A19&amp;"!F82:T82"))))</f>
        <v>0</v>
      </c>
      <c r="I19" s="59" cm="1">
        <f t="array" aca="1" ref="I19" ca="1">IF(INDIRECT($A19&amp;"!E43")="Per Unit",SUM((INDIRECT($A19&amp;"!F55:T55"))),SUM((INDIRECT($A19&amp;"!F83:T83"))))</f>
        <v>0</v>
      </c>
      <c r="J19" s="59" cm="1">
        <f t="array" aca="1" ref="J19" ca="1">IF(INDIRECT($A19&amp;"!E43")="Per Unit",SUM((INDIRECT($A19&amp;"!F56:T56"))),SUM((INDIRECT($A19&amp;"!F84:T84"))))</f>
        <v>0</v>
      </c>
      <c r="K19" s="75" cm="1">
        <f t="array" aca="1" ref="K19" ca="1">IF(INDIRECT($A19&amp;"!E43")="Per Unit",SUM((INDIRECT($A19&amp;"!F57:T57"))),SUM((INDIRECT($A19&amp;"!F85:T85"))))</f>
        <v>0</v>
      </c>
      <c r="L19" s="59" cm="1">
        <f t="array" aca="1" ref="L19" ca="1">IF(INDIRECT($A19&amp;"!E43")="Per Unit",SUM((INDIRECT($A19&amp;"!F60:T60"))),SUM((INDIRECT($A19&amp;"!F88:T88"))))</f>
        <v>0</v>
      </c>
      <c r="M19" s="75" cm="1">
        <f t="array" aca="1" ref="M19" ca="1">IF(INDIRECT($A19&amp;"!E43")="Per Unit",SUM((INDIRECT($A19&amp;"!F61:T61"))),SUM((INDIRECT($A19&amp;"!F89:T89"))))</f>
        <v>0</v>
      </c>
      <c r="N19" s="59" cm="1">
        <f t="array" aca="1" ref="N19" ca="1">IF(INDIRECT($A19&amp;"!E43")="Per Unit",SUM((INDIRECT($A19&amp;"!F64:T64"))),SUM((INDIRECT($A19&amp;"!F92:T92"))))</f>
        <v>945000</v>
      </c>
      <c r="O19" s="59" cm="1">
        <f t="array" aca="1" ref="O19" ca="1">IF(INDIRECT($A19&amp;"!E43")="Per Unit",SUM((INDIRECT($A19&amp;"!F65:T65"))),SUM((INDIRECT($A19&amp;"!F93:T93"))))</f>
        <v>0</v>
      </c>
      <c r="P19" s="59" cm="1">
        <f t="array" aca="1" ref="P19" ca="1">IF(INDIRECT($A19&amp;"!E43")="Per Unit",SUM((INDIRECT($A19&amp;"!F66:T66"))),SUM((INDIRECT($A19&amp;"!F94:T94"))))</f>
        <v>0</v>
      </c>
      <c r="Q19" s="59" cm="1">
        <f t="array" aca="1" ref="Q19" ca="1">IF(INDIRECT($A19&amp;"!E43")="Per Unit",SUM((INDIRECT($A19&amp;"!F67:T67"))),SUM((INDIRECT($A19&amp;"!F95:T95"))))</f>
        <v>0</v>
      </c>
      <c r="R19" s="59" cm="1">
        <f t="array" aca="1" ref="R19" ca="1">IF(INDIRECT($A19&amp;"!E43")="Per Unit",SUM((INDIRECT($A19&amp;"!F68:T68"))),SUM((INDIRECT($A19&amp;"!F96:T96"))))</f>
        <v>0</v>
      </c>
      <c r="S19" s="59" cm="1">
        <f t="array" aca="1" ref="S19" ca="1">IF(INDIRECT($A19&amp;"!E43")="Per Unit",SUM((INDIRECT($A19&amp;"!F69:T69"))),SUM((INDIRECT($A19&amp;"!F97:T97"))))</f>
        <v>0</v>
      </c>
      <c r="T19" s="461" cm="1">
        <f t="array" aca="1" ref="T19" ca="1">IF(INDIRECT($A19&amp;"!E43")="Per Unit",SUM((INDIRECT($A19&amp;"!F70:T70"))),SUM((INDIRECT($A19&amp;"!F98:T98"))))</f>
        <v>0</v>
      </c>
    </row>
    <row r="20" spans="1:20" x14ac:dyDescent="0.35">
      <c r="A20" s="444" t="s">
        <v>181</v>
      </c>
      <c r="B20" s="460" cm="1">
        <f t="array" aca="1" ref="B20" ca="1">IF(INDIRECT($A20&amp;"!E43")="Per Unit",SUM((INDIRECT($A20&amp;"!F46:T46"))),SUM((INDIRECT($A20&amp;"!F74:T74"))))</f>
        <v>48538.276815047997</v>
      </c>
      <c r="C20" s="59" cm="1">
        <f t="array" aca="1" ref="C20" ca="1">IF(INDIRECT($A20&amp;"!E43")="Per Unit",SUM((INDIRECT($A20&amp;"!F47:T47"))),SUM((INDIRECT($A20&amp;"!F75:T75"))))</f>
        <v>0</v>
      </c>
      <c r="D20" s="59" cm="1">
        <f t="array" aca="1" ref="D20" ca="1">IF(INDIRECT($A20&amp;"!E43")="Per Unit",SUM((INDIRECT($A20&amp;"!F48:T48"))),SUM((INDIRECT($A20&amp;"!F76:T76"))))</f>
        <v>6776.3328536165509</v>
      </c>
      <c r="E20" s="75" cm="1">
        <f t="array" aca="1" ref="E20" ca="1">IF(INDIRECT($A20&amp;"!E43")="Per Unit",SUM((INDIRECT($A20&amp;"!F49:T49"))),SUM((INDIRECT($A20&amp;"!F77:T77"))))</f>
        <v>0</v>
      </c>
      <c r="F20" s="59" cm="1">
        <f t="array" aca="1" ref="F20" ca="1">IF(INDIRECT($A20&amp;"!E43")="Per Unit",SUM((INDIRECT($A20&amp;"!F52:T52"))),SUM((INDIRECT($A20&amp;"!F80:T80"))))</f>
        <v>0</v>
      </c>
      <c r="G20" s="59" cm="1">
        <f t="array" aca="1" ref="G20" ca="1">IF(INDIRECT($A20&amp;"!E43")="Per Unit",SUM((INDIRECT($A20&amp;"!F53:T53"))),SUM((INDIRECT($A20&amp;"!F81:T81"))))</f>
        <v>0</v>
      </c>
      <c r="H20" s="59" cm="1">
        <f t="array" aca="1" ref="H20" ca="1">IF(INDIRECT($A20&amp;"!E43")="Per Unit",SUM((INDIRECT($A20&amp;"!F54:T54"))),SUM((INDIRECT($A20&amp;"!F82:T82"))))</f>
        <v>0</v>
      </c>
      <c r="I20" s="59" cm="1">
        <f t="array" aca="1" ref="I20" ca="1">IF(INDIRECT($A20&amp;"!E43")="Per Unit",SUM((INDIRECT($A20&amp;"!F55:T55"))),SUM((INDIRECT($A20&amp;"!F83:T83"))))</f>
        <v>0</v>
      </c>
      <c r="J20" s="59" cm="1">
        <f t="array" aca="1" ref="J20" ca="1">IF(INDIRECT($A20&amp;"!E43")="Per Unit",SUM((INDIRECT($A20&amp;"!F56:T56"))),SUM((INDIRECT($A20&amp;"!F84:T84"))))</f>
        <v>0</v>
      </c>
      <c r="K20" s="75" cm="1">
        <f t="array" aca="1" ref="K20" ca="1">IF(INDIRECT($A20&amp;"!E43")="Per Unit",SUM((INDIRECT($A20&amp;"!F57:T57"))),SUM((INDIRECT($A20&amp;"!F85:T85"))))</f>
        <v>0</v>
      </c>
      <c r="L20" s="59" cm="1">
        <f t="array" aca="1" ref="L20" ca="1">IF(INDIRECT($A20&amp;"!E43")="Per Unit",SUM((INDIRECT($A20&amp;"!F60:T60"))),SUM((INDIRECT($A20&amp;"!F88:T88"))))</f>
        <v>0</v>
      </c>
      <c r="M20" s="75" cm="1">
        <f t="array" aca="1" ref="M20" ca="1">IF(INDIRECT($A20&amp;"!E43")="Per Unit",SUM((INDIRECT($A20&amp;"!F61:T61"))),SUM((INDIRECT($A20&amp;"!F89:T89"))))</f>
        <v>399000</v>
      </c>
      <c r="N20" s="59" cm="1">
        <f t="array" aca="1" ref="N20" ca="1">IF(INDIRECT($A20&amp;"!E43")="Per Unit",SUM((INDIRECT($A20&amp;"!F64:T64"))),SUM((INDIRECT($A20&amp;"!F92:T92"))))</f>
        <v>837900</v>
      </c>
      <c r="O20" s="59" cm="1">
        <f t="array" aca="1" ref="O20" ca="1">IF(INDIRECT($A20&amp;"!E43")="Per Unit",SUM((INDIRECT($A20&amp;"!F65:T65"))),SUM((INDIRECT($A20&amp;"!F93:T93"))))</f>
        <v>0</v>
      </c>
      <c r="P20" s="59" cm="1">
        <f t="array" aca="1" ref="P20" ca="1">IF(INDIRECT($A20&amp;"!E43")="Per Unit",SUM((INDIRECT($A20&amp;"!F66:T66"))),SUM((INDIRECT($A20&amp;"!F94:T94"))))</f>
        <v>0</v>
      </c>
      <c r="Q20" s="59" cm="1">
        <f t="array" aca="1" ref="Q20" ca="1">IF(INDIRECT($A20&amp;"!E43")="Per Unit",SUM((INDIRECT($A20&amp;"!F67:T67"))),SUM((INDIRECT($A20&amp;"!F95:T95"))))</f>
        <v>0</v>
      </c>
      <c r="R20" s="59" cm="1">
        <f t="array" aca="1" ref="R20" ca="1">IF(INDIRECT($A20&amp;"!E43")="Per Unit",SUM((INDIRECT($A20&amp;"!F68:T68"))),SUM((INDIRECT($A20&amp;"!F96:T96"))))</f>
        <v>0</v>
      </c>
      <c r="S20" s="59" cm="1">
        <f t="array" aca="1" ref="S20" ca="1">IF(INDIRECT($A20&amp;"!E43")="Per Unit",SUM((INDIRECT($A20&amp;"!F69:T69"))),SUM((INDIRECT($A20&amp;"!F97:T97"))))</f>
        <v>0</v>
      </c>
      <c r="T20" s="461" cm="1">
        <f t="array" aca="1" ref="T20" ca="1">IF(INDIRECT($A20&amp;"!E43")="Per Unit",SUM((INDIRECT($A20&amp;"!F70:T70"))),SUM((INDIRECT($A20&amp;"!F98:T98"))))</f>
        <v>0</v>
      </c>
    </row>
    <row r="21" spans="1:20" x14ac:dyDescent="0.35">
      <c r="A21" s="444" t="s">
        <v>182</v>
      </c>
      <c r="B21" s="460" cm="1">
        <f t="array" aca="1" ref="B21" ca="1">IF(INDIRECT($A21&amp;"!E43")="Per Unit",SUM((INDIRECT($A21&amp;"!F46:T46"))),SUM((INDIRECT($A21&amp;"!F74:T74"))))</f>
        <v>0</v>
      </c>
      <c r="C21" s="59" cm="1">
        <f t="array" aca="1" ref="C21" ca="1">IF(INDIRECT($A21&amp;"!E43")="Per Unit",SUM((INDIRECT($A21&amp;"!F47:T47"))),SUM((INDIRECT($A21&amp;"!F75:T75"))))</f>
        <v>0</v>
      </c>
      <c r="D21" s="59" cm="1">
        <f t="array" aca="1" ref="D21" ca="1">IF(INDIRECT($A21&amp;"!E43")="Per Unit",SUM((INDIRECT($A21&amp;"!F48:T48"))),SUM((INDIRECT($A21&amp;"!F76:T76"))))</f>
        <v>0</v>
      </c>
      <c r="E21" s="75" cm="1">
        <f t="array" aca="1" ref="E21" ca="1">IF(INDIRECT($A21&amp;"!E43")="Per Unit",SUM((INDIRECT($A21&amp;"!F49:T49"))),SUM((INDIRECT($A21&amp;"!F77:T77"))))</f>
        <v>0</v>
      </c>
      <c r="F21" s="59" cm="1">
        <f t="array" aca="1" ref="F21" ca="1">IF(INDIRECT($A21&amp;"!E43")="Per Unit",SUM((INDIRECT($A21&amp;"!F52:T52"))),SUM((INDIRECT($A21&amp;"!F80:T80"))))</f>
        <v>0</v>
      </c>
      <c r="G21" s="59" cm="1">
        <f t="array" aca="1" ref="G21" ca="1">IF(INDIRECT($A21&amp;"!E43")="Per Unit",SUM((INDIRECT($A21&amp;"!F53:T53"))),SUM((INDIRECT($A21&amp;"!F81:T81"))))</f>
        <v>1645000</v>
      </c>
      <c r="H21" s="59" cm="1">
        <f t="array" aca="1" ref="H21" ca="1">IF(INDIRECT($A21&amp;"!E43")="Per Unit",SUM((INDIRECT($A21&amp;"!F54:T54"))),SUM((INDIRECT($A21&amp;"!F82:T82"))))</f>
        <v>0</v>
      </c>
      <c r="I21" s="59" cm="1">
        <f t="array" aca="1" ref="I21" ca="1">IF(INDIRECT($A21&amp;"!E43")="Per Unit",SUM((INDIRECT($A21&amp;"!F55:T55"))),SUM((INDIRECT($A21&amp;"!F83:T83"))))</f>
        <v>0</v>
      </c>
      <c r="J21" s="59" cm="1">
        <f t="array" aca="1" ref="J21" ca="1">IF(INDIRECT($A21&amp;"!E43")="Per Unit",SUM((INDIRECT($A21&amp;"!F56:T56"))),SUM((INDIRECT($A21&amp;"!F84:T84"))))</f>
        <v>0</v>
      </c>
      <c r="K21" s="75" cm="1">
        <f t="array" aca="1" ref="K21" ca="1">IF(INDIRECT($A21&amp;"!E43")="Per Unit",SUM((INDIRECT($A21&amp;"!F57:T57"))),SUM((INDIRECT($A21&amp;"!F85:T85"))))</f>
        <v>0</v>
      </c>
      <c r="L21" s="59" cm="1">
        <f t="array" aca="1" ref="L21" ca="1">IF(INDIRECT($A21&amp;"!E43")="Per Unit",SUM((INDIRECT($A21&amp;"!F60:T60"))),SUM((INDIRECT($A21&amp;"!F88:T88"))))</f>
        <v>0</v>
      </c>
      <c r="M21" s="75" cm="1">
        <f t="array" aca="1" ref="M21" ca="1">IF(INDIRECT($A21&amp;"!E43")="Per Unit",SUM((INDIRECT($A21&amp;"!F61:T61"))),SUM((INDIRECT($A21&amp;"!F89:T89"))))</f>
        <v>1050000</v>
      </c>
      <c r="N21" s="59" cm="1">
        <f t="array" aca="1" ref="N21" ca="1">IF(INDIRECT($A21&amp;"!E43")="Per Unit",SUM((INDIRECT($A21&amp;"!F64:T64"))),SUM((INDIRECT($A21&amp;"!F92:T92"))))</f>
        <v>17640000</v>
      </c>
      <c r="O21" s="59" cm="1">
        <f t="array" aca="1" ref="O21" ca="1">IF(INDIRECT($A21&amp;"!E43")="Per Unit",SUM((INDIRECT($A21&amp;"!F65:T65"))),SUM((INDIRECT($A21&amp;"!F93:T93"))))</f>
        <v>0</v>
      </c>
      <c r="P21" s="59" cm="1">
        <f t="array" aca="1" ref="P21" ca="1">IF(INDIRECT($A21&amp;"!E43")="Per Unit",SUM((INDIRECT($A21&amp;"!F66:T66"))),SUM((INDIRECT($A21&amp;"!F94:T94"))))</f>
        <v>0</v>
      </c>
      <c r="Q21" s="59" cm="1">
        <f t="array" aca="1" ref="Q21" ca="1">IF(INDIRECT($A21&amp;"!E43")="Per Unit",SUM((INDIRECT($A21&amp;"!F67:T67"))),SUM((INDIRECT($A21&amp;"!F95:T95"))))</f>
        <v>0</v>
      </c>
      <c r="R21" s="59" cm="1">
        <f t="array" aca="1" ref="R21" ca="1">IF(INDIRECT($A21&amp;"!E43")="Per Unit",SUM((INDIRECT($A21&amp;"!F68:T68"))),SUM((INDIRECT($A21&amp;"!F96:T96"))))</f>
        <v>0</v>
      </c>
      <c r="S21" s="59" cm="1">
        <f t="array" aca="1" ref="S21" ca="1">IF(INDIRECT($A21&amp;"!E43")="Per Unit",SUM((INDIRECT($A21&amp;"!F69:T69"))),SUM((INDIRECT($A21&amp;"!F97:T97"))))</f>
        <v>0</v>
      </c>
      <c r="T21" s="461" cm="1">
        <f t="array" aca="1" ref="T21" ca="1">IF(INDIRECT($A21&amp;"!E43")="Per Unit",SUM((INDIRECT($A21&amp;"!F70:T70"))),SUM((INDIRECT($A21&amp;"!F98:T98"))))</f>
        <v>0</v>
      </c>
    </row>
    <row r="22" spans="1:20" x14ac:dyDescent="0.35">
      <c r="A22" s="444" t="s">
        <v>183</v>
      </c>
      <c r="B22" s="460" cm="1">
        <f t="array" aca="1" ref="B22" ca="1">IF(INDIRECT($A22&amp;"!E43")="Per Unit",SUM((INDIRECT($A22&amp;"!F46:T46"))),SUM((INDIRECT($A22&amp;"!F74:T74"))))</f>
        <v>529176.70211894438</v>
      </c>
      <c r="C22" s="59" cm="1">
        <f t="array" aca="1" ref="C22" ca="1">IF(INDIRECT($A22&amp;"!E43")="Per Unit",SUM((INDIRECT($A22&amp;"!F47:T47"))),SUM((INDIRECT($A22&amp;"!F75:T75"))))</f>
        <v>380575.64124705934</v>
      </c>
      <c r="D22" s="59" cm="1">
        <f t="array" aca="1" ref="D22" ca="1">IF(INDIRECT($A22&amp;"!E43")="Per Unit",SUM((INDIRECT($A22&amp;"!F48:T48"))),SUM((INDIRECT($A22&amp;"!F76:T76"))))</f>
        <v>73877.313065744311</v>
      </c>
      <c r="E22" s="75" cm="1">
        <f t="array" aca="1" ref="E22" ca="1">IF(INDIRECT($A22&amp;"!E43")="Per Unit",SUM((INDIRECT($A22&amp;"!F49:T49"))),SUM((INDIRECT($A22&amp;"!F77:T77"))))</f>
        <v>0</v>
      </c>
      <c r="F22" s="59" cm="1">
        <f t="array" aca="1" ref="F22" ca="1">IF(INDIRECT($A22&amp;"!E43")="Per Unit",SUM((INDIRECT($A22&amp;"!F52:T52"))),SUM((INDIRECT($A22&amp;"!F80:T80"))))</f>
        <v>0</v>
      </c>
      <c r="G22" s="59" cm="1">
        <f t="array" aca="1" ref="G22" ca="1">IF(INDIRECT($A22&amp;"!E43")="Per Unit",SUM((INDIRECT($A22&amp;"!F53:T53"))),SUM((INDIRECT($A22&amp;"!F81:T81"))))</f>
        <v>0</v>
      </c>
      <c r="H22" s="59" cm="1">
        <f t="array" aca="1" ref="H22" ca="1">IF(INDIRECT($A22&amp;"!E43")="Per Unit",SUM((INDIRECT($A22&amp;"!F54:T54"))),SUM((INDIRECT($A22&amp;"!F82:T82"))))</f>
        <v>152134</v>
      </c>
      <c r="I22" s="59" cm="1">
        <f t="array" aca="1" ref="I22" ca="1">IF(INDIRECT($A22&amp;"!E43")="Per Unit",SUM((INDIRECT($A22&amp;"!F55:T55"))),SUM((INDIRECT($A22&amp;"!F83:T83"))))</f>
        <v>4422500</v>
      </c>
      <c r="J22" s="59" cm="1">
        <f t="array" aca="1" ref="J22" ca="1">IF(INDIRECT($A22&amp;"!E43")="Per Unit",SUM((INDIRECT($A22&amp;"!F56:T56"))),SUM((INDIRECT($A22&amp;"!F84:T84"))))</f>
        <v>0</v>
      </c>
      <c r="K22" s="75" cm="1">
        <f t="array" aca="1" ref="K22" ca="1">IF(INDIRECT($A22&amp;"!E43")="Per Unit",SUM((INDIRECT($A22&amp;"!F57:T57"))),SUM((INDIRECT($A22&amp;"!F85:T85"))))</f>
        <v>123250</v>
      </c>
      <c r="L22" s="59" cm="1">
        <f t="array" aca="1" ref="L22" ca="1">IF(INDIRECT($A22&amp;"!E43")="Per Unit",SUM((INDIRECT($A22&amp;"!F60:T60"))),SUM((INDIRECT($A22&amp;"!F88:T88"))))</f>
        <v>0</v>
      </c>
      <c r="M22" s="75" cm="1">
        <f t="array" aca="1" ref="M22" ca="1">IF(INDIRECT($A22&amp;"!E43")="Per Unit",SUM((INDIRECT($A22&amp;"!F61:T61"))),SUM((INDIRECT($A22&amp;"!F89:T89"))))</f>
        <v>0</v>
      </c>
      <c r="N22" s="59" cm="1">
        <f t="array" aca="1" ref="N22" ca="1">IF(INDIRECT($A22&amp;"!E43")="Per Unit",SUM((INDIRECT($A22&amp;"!F64:T64"))),SUM((INDIRECT($A22&amp;"!F92:T92"))))</f>
        <v>0</v>
      </c>
      <c r="O22" s="59" cm="1">
        <f t="array" aca="1" ref="O22" ca="1">IF(INDIRECT($A22&amp;"!E43")="Per Unit",SUM((INDIRECT($A22&amp;"!F65:T65"))),SUM((INDIRECT($A22&amp;"!F93:T93"))))</f>
        <v>0</v>
      </c>
      <c r="P22" s="59" cm="1">
        <f t="array" aca="1" ref="P22" ca="1">IF(INDIRECT($A22&amp;"!E43")="Per Unit",SUM((INDIRECT($A22&amp;"!F66:T66"))),SUM((INDIRECT($A22&amp;"!F94:T94"))))</f>
        <v>0</v>
      </c>
      <c r="Q22" s="59" cm="1">
        <f t="array" aca="1" ref="Q22" ca="1">IF(INDIRECT($A22&amp;"!E43")="Per Unit",SUM((INDIRECT($A22&amp;"!F67:T67"))),SUM((INDIRECT($A22&amp;"!F95:T95"))))</f>
        <v>0</v>
      </c>
      <c r="R22" s="59" cm="1">
        <f t="array" aca="1" ref="R22" ca="1">IF(INDIRECT($A22&amp;"!E43")="Per Unit",SUM((INDIRECT($A22&amp;"!F68:T68"))),SUM((INDIRECT($A22&amp;"!F96:T96"))))</f>
        <v>0</v>
      </c>
      <c r="S22" s="59" cm="1">
        <f t="array" aca="1" ref="S22" ca="1">IF(INDIRECT($A22&amp;"!E43")="Per Unit",SUM((INDIRECT($A22&amp;"!F69:T69"))),SUM((INDIRECT($A22&amp;"!F97:T97"))))</f>
        <v>0</v>
      </c>
      <c r="T22" s="461" cm="1">
        <f t="array" aca="1" ref="T22" ca="1">IF(INDIRECT($A22&amp;"!E43")="Per Unit",SUM((INDIRECT($A22&amp;"!F70:T70"))),SUM((INDIRECT($A22&amp;"!F98:T98"))))</f>
        <v>0</v>
      </c>
    </row>
    <row r="23" spans="1:20" x14ac:dyDescent="0.35">
      <c r="A23" s="444" t="s">
        <v>184</v>
      </c>
      <c r="B23" s="460" cm="1">
        <f t="array" aca="1" ref="B23" ca="1">IF(INDIRECT($A23&amp;"!E43")="Per Unit",SUM((INDIRECT($A23&amp;"!F46:T46"))),SUM((INDIRECT($A23&amp;"!F74:T74"))))</f>
        <v>5025073.1925353333</v>
      </c>
      <c r="C23" s="59" cm="1">
        <f t="array" aca="1" ref="C23" ca="1">IF(INDIRECT($A23&amp;"!E43")="Per Unit",SUM((INDIRECT($A23&amp;"!F47:T47"))),SUM((INDIRECT($A23&amp;"!F75:T75"))))</f>
        <v>7227908.7303155009</v>
      </c>
      <c r="D23" s="59" cm="1">
        <f t="array" aca="1" ref="D23" ca="1">IF(INDIRECT($A23&amp;"!E43")="Per Unit",SUM((INDIRECT($A23&amp;"!F48:T48"))),SUM((INDIRECT($A23&amp;"!F76:T76"))))</f>
        <v>701540.53256064921</v>
      </c>
      <c r="E23" s="75" cm="1">
        <f t="array" aca="1" ref="E23" ca="1">IF(INDIRECT($A23&amp;"!E43")="Per Unit",SUM((INDIRECT($A23&amp;"!F49:T49"))),SUM((INDIRECT($A23&amp;"!F77:T77"))))</f>
        <v>4330306.4952608328</v>
      </c>
      <c r="F23" s="59" cm="1">
        <f t="array" aca="1" ref="F23" ca="1">IF(INDIRECT($A23&amp;"!E43")="Per Unit",SUM((INDIRECT($A23&amp;"!F52:T52"))),SUM((INDIRECT($A23&amp;"!F80:T80"))))</f>
        <v>0</v>
      </c>
      <c r="G23" s="59" cm="1">
        <f t="array" aca="1" ref="G23" ca="1">IF(INDIRECT($A23&amp;"!E43")="Per Unit",SUM((INDIRECT($A23&amp;"!F53:T53"))),SUM((INDIRECT($A23&amp;"!F81:T81"))))</f>
        <v>0</v>
      </c>
      <c r="H23" s="59" cm="1">
        <f t="array" aca="1" ref="H23" ca="1">IF(INDIRECT($A23&amp;"!E43")="Per Unit",SUM((INDIRECT($A23&amp;"!F54:T54"))),SUM((INDIRECT($A23&amp;"!F82:T82"))))</f>
        <v>0</v>
      </c>
      <c r="I23" s="59" cm="1">
        <f t="array" aca="1" ref="I23" ca="1">IF(INDIRECT($A23&amp;"!E43")="Per Unit",SUM((INDIRECT($A23&amp;"!F55:T55"))),SUM((INDIRECT($A23&amp;"!F83:T83"))))</f>
        <v>0</v>
      </c>
      <c r="J23" s="59" cm="1">
        <f t="array" aca="1" ref="J23" ca="1">IF(INDIRECT($A23&amp;"!E43")="Per Unit",SUM((INDIRECT($A23&amp;"!F56:T56"))),SUM((INDIRECT($A23&amp;"!F84:T84"))))</f>
        <v>0</v>
      </c>
      <c r="K23" s="75" cm="1">
        <f t="array" aca="1" ref="K23" ca="1">IF(INDIRECT($A23&amp;"!E43")="Per Unit",SUM((INDIRECT($A23&amp;"!F57:T57"))),SUM((INDIRECT($A23&amp;"!F85:T85"))))</f>
        <v>0</v>
      </c>
      <c r="L23" s="59" cm="1">
        <f t="array" aca="1" ref="L23" ca="1">IF(INDIRECT($A23&amp;"!E43")="Per Unit",SUM((INDIRECT($A23&amp;"!F60:T60"))),SUM((INDIRECT($A23&amp;"!F88:T88"))))</f>
        <v>0</v>
      </c>
      <c r="M23" s="75" cm="1">
        <f t="array" aca="1" ref="M23" ca="1">IF(INDIRECT($A23&amp;"!E43")="Per Unit",SUM((INDIRECT($A23&amp;"!F61:T61"))),SUM((INDIRECT($A23&amp;"!F89:T89"))))</f>
        <v>0</v>
      </c>
      <c r="N23" s="59" cm="1">
        <f t="array" aca="1" ref="N23" ca="1">IF(INDIRECT($A23&amp;"!E43")="Per Unit",SUM((INDIRECT($A23&amp;"!F64:T64"))),SUM((INDIRECT($A23&amp;"!F92:T92"))))</f>
        <v>0</v>
      </c>
      <c r="O23" s="59" cm="1">
        <f t="array" aca="1" ref="O23" ca="1">IF(INDIRECT($A23&amp;"!E43")="Per Unit",SUM((INDIRECT($A23&amp;"!F65:T65"))),SUM((INDIRECT($A23&amp;"!F93:T93"))))</f>
        <v>0</v>
      </c>
      <c r="P23" s="59" cm="1">
        <f t="array" aca="1" ref="P23" ca="1">IF(INDIRECT($A23&amp;"!E43")="Per Unit",SUM((INDIRECT($A23&amp;"!F66:T66"))),SUM((INDIRECT($A23&amp;"!F94:T94"))))</f>
        <v>0</v>
      </c>
      <c r="Q23" s="59" cm="1">
        <f t="array" aca="1" ref="Q23" ca="1">IF(INDIRECT($A23&amp;"!E43")="Per Unit",SUM((INDIRECT($A23&amp;"!F67:T67"))),SUM((INDIRECT($A23&amp;"!F95:T95"))))</f>
        <v>0</v>
      </c>
      <c r="R23" s="59" cm="1">
        <f t="array" aca="1" ref="R23" ca="1">IF(INDIRECT($A23&amp;"!E43")="Per Unit",SUM((INDIRECT($A23&amp;"!F68:T68"))),SUM((INDIRECT($A23&amp;"!F96:T96"))))</f>
        <v>0</v>
      </c>
      <c r="S23" s="59" cm="1">
        <f t="array" aca="1" ref="S23" ca="1">IF(INDIRECT($A23&amp;"!E43")="Per Unit",SUM((INDIRECT($A23&amp;"!F69:T69"))),SUM((INDIRECT($A23&amp;"!F97:T97"))))</f>
        <v>0</v>
      </c>
      <c r="T23" s="461" cm="1">
        <f t="array" aca="1" ref="T23" ca="1">IF(INDIRECT($A23&amp;"!E43")="Per Unit",SUM((INDIRECT($A23&amp;"!F70:T70"))),SUM((INDIRECT($A23&amp;"!F98:T98"))))</f>
        <v>0</v>
      </c>
    </row>
    <row r="24" spans="1:20" x14ac:dyDescent="0.35">
      <c r="A24" s="444" t="s">
        <v>185</v>
      </c>
      <c r="B24" s="460" cm="1">
        <f t="array" aca="1" ref="B24" ca="1">IF(INDIRECT($A24&amp;"!E43")="Per Unit",SUM((INDIRECT($A24&amp;"!F46:T46"))),SUM((INDIRECT($A24&amp;"!F74:T74"))))</f>
        <v>25546.461481604209</v>
      </c>
      <c r="C24" s="59" cm="1">
        <f t="array" aca="1" ref="C24" ca="1">IF(INDIRECT($A24&amp;"!E43")="Per Unit",SUM((INDIRECT($A24&amp;"!F47:T47"))),SUM((INDIRECT($A24&amp;"!F75:T75"))))</f>
        <v>91863.085818255684</v>
      </c>
      <c r="D24" s="59" cm="1">
        <f t="array" aca="1" ref="D24" ca="1">IF(INDIRECT($A24&amp;"!E43")="Per Unit",SUM((INDIRECT($A24&amp;"!F48:T48"))),SUM((INDIRECT($A24&amp;"!F76:T76"))))</f>
        <v>17832.454877938286</v>
      </c>
      <c r="E24" s="75" cm="1">
        <f t="array" aca="1" ref="E24" ca="1">IF(INDIRECT($A24&amp;"!E43")="Per Unit",SUM((INDIRECT($A24&amp;"!F49:T49"))),SUM((INDIRECT($A24&amp;"!F77:T77"))))</f>
        <v>110072.03661137866</v>
      </c>
      <c r="F24" s="59" cm="1">
        <f t="array" aca="1" ref="F24" ca="1">IF(INDIRECT($A24&amp;"!E43")="Per Unit",SUM((INDIRECT($A24&amp;"!F52:T52"))),SUM((INDIRECT($A24&amp;"!F80:T80"))))</f>
        <v>0</v>
      </c>
      <c r="G24" s="59" cm="1">
        <f t="array" aca="1" ref="G24" ca="1">IF(INDIRECT($A24&amp;"!E43")="Per Unit",SUM((INDIRECT($A24&amp;"!F53:T53"))),SUM((INDIRECT($A24&amp;"!F81:T81"))))</f>
        <v>0</v>
      </c>
      <c r="H24" s="59" cm="1">
        <f t="array" aca="1" ref="H24" ca="1">IF(INDIRECT($A24&amp;"!E43")="Per Unit",SUM((INDIRECT($A24&amp;"!F54:T54"))),SUM((INDIRECT($A24&amp;"!F82:T82"))))</f>
        <v>367220</v>
      </c>
      <c r="I24" s="59" cm="1">
        <f t="array" aca="1" ref="I24" ca="1">IF(INDIRECT($A24&amp;"!E43")="Per Unit",SUM((INDIRECT($A24&amp;"!F55:T55"))),SUM((INDIRECT($A24&amp;"!F83:T83"))))</f>
        <v>0</v>
      </c>
      <c r="J24" s="59" cm="1">
        <f t="array" aca="1" ref="J24" ca="1">IF(INDIRECT($A24&amp;"!E43")="Per Unit",SUM((INDIRECT($A24&amp;"!F56:T56"))),SUM((INDIRECT($A24&amp;"!F84:T84"))))</f>
        <v>0</v>
      </c>
      <c r="K24" s="75" cm="1">
        <f t="array" aca="1" ref="K24" ca="1">IF(INDIRECT($A24&amp;"!E43")="Per Unit",SUM((INDIRECT($A24&amp;"!F57:T57"))),SUM((INDIRECT($A24&amp;"!F85:T85"))))</f>
        <v>297500</v>
      </c>
      <c r="L24" s="59" cm="1">
        <f t="array" aca="1" ref="L24" ca="1">IF(INDIRECT($A24&amp;"!E43")="Per Unit",SUM((INDIRECT($A24&amp;"!F60:T60"))),SUM((INDIRECT($A24&amp;"!F88:T88"))))</f>
        <v>91700</v>
      </c>
      <c r="M24" s="75" cm="1">
        <f t="array" aca="1" ref="M24" ca="1">IF(INDIRECT($A24&amp;"!E43")="Per Unit",SUM((INDIRECT($A24&amp;"!F61:T61"))),SUM((INDIRECT($A24&amp;"!F89:T89"))))</f>
        <v>21000</v>
      </c>
      <c r="N24" s="59" cm="1">
        <f t="array" aca="1" ref="N24" ca="1">IF(INDIRECT($A24&amp;"!E43")="Per Unit",SUM((INDIRECT($A24&amp;"!F64:T64"))),SUM((INDIRECT($A24&amp;"!F92:T92"))))</f>
        <v>882000</v>
      </c>
      <c r="O24" s="59" cm="1">
        <f t="array" aca="1" ref="O24" ca="1">IF(INDIRECT($A24&amp;"!E43")="Per Unit",SUM((INDIRECT($A24&amp;"!F65:T65"))),SUM((INDIRECT($A24&amp;"!F93:T93"))))</f>
        <v>0</v>
      </c>
      <c r="P24" s="59" cm="1">
        <f t="array" aca="1" ref="P24" ca="1">IF(INDIRECT($A24&amp;"!E43")="Per Unit",SUM((INDIRECT($A24&amp;"!F66:T66"))),SUM((INDIRECT($A24&amp;"!F94:T94"))))</f>
        <v>0</v>
      </c>
      <c r="Q24" s="59" cm="1">
        <f t="array" aca="1" ref="Q24" ca="1">IF(INDIRECT($A24&amp;"!E43")="Per Unit",SUM((INDIRECT($A24&amp;"!F67:T67"))),SUM((INDIRECT($A24&amp;"!F95:T95"))))</f>
        <v>0</v>
      </c>
      <c r="R24" s="59" cm="1">
        <f t="array" aca="1" ref="R24" ca="1">IF(INDIRECT($A24&amp;"!E43")="Per Unit",SUM((INDIRECT($A24&amp;"!F68:T68"))),SUM((INDIRECT($A24&amp;"!F96:T96"))))</f>
        <v>0</v>
      </c>
      <c r="S24" s="59" cm="1">
        <f t="array" aca="1" ref="S24" ca="1">IF(INDIRECT($A24&amp;"!E43")="Per Unit",SUM((INDIRECT($A24&amp;"!F69:T69"))),SUM((INDIRECT($A24&amp;"!F97:T97"))))</f>
        <v>0</v>
      </c>
      <c r="T24" s="461" cm="1">
        <f t="array" aca="1" ref="T24" ca="1">IF(INDIRECT($A24&amp;"!E43")="Per Unit",SUM((INDIRECT($A24&amp;"!F70:T70"))),SUM((INDIRECT($A24&amp;"!F98:T98"))))</f>
        <v>0</v>
      </c>
    </row>
    <row r="25" spans="1:20" x14ac:dyDescent="0.35">
      <c r="A25" s="444" t="s">
        <v>186</v>
      </c>
      <c r="B25" s="460" cm="1">
        <f t="array" aca="1" ref="B25" ca="1">IF(INDIRECT($A25&amp;"!E43")="Per Unit",SUM((INDIRECT($A25&amp;"!F46:T46"))),SUM((INDIRECT($A25&amp;"!F74:T74"))))</f>
        <v>0</v>
      </c>
      <c r="C25" s="59" cm="1">
        <f t="array" aca="1" ref="C25" ca="1">IF(INDIRECT($A25&amp;"!E43")="Per Unit",SUM((INDIRECT($A25&amp;"!F47:T47"))),SUM((INDIRECT($A25&amp;"!F75:T75"))))</f>
        <v>0</v>
      </c>
      <c r="D25" s="59" cm="1">
        <f t="array" aca="1" ref="D25" ca="1">IF(INDIRECT($A25&amp;"!E43")="Per Unit",SUM((INDIRECT($A25&amp;"!F48:T48"))),SUM((INDIRECT($A25&amp;"!F76:T76"))))</f>
        <v>0</v>
      </c>
      <c r="E25" s="75" cm="1">
        <f t="array" aca="1" ref="E25" ca="1">IF(INDIRECT($A25&amp;"!E43")="Per Unit",SUM((INDIRECT($A25&amp;"!F49:T49"))),SUM((INDIRECT($A25&amp;"!F77:T77"))))</f>
        <v>0</v>
      </c>
      <c r="F25" s="59" cm="1">
        <f t="array" aca="1" ref="F25" ca="1">IF(INDIRECT($A25&amp;"!E43")="Per Unit",SUM((INDIRECT($A25&amp;"!F52:T52"))),SUM((INDIRECT($A25&amp;"!F80:T80"))))</f>
        <v>0</v>
      </c>
      <c r="G25" s="59" cm="1">
        <f t="array" aca="1" ref="G25" ca="1">IF(INDIRECT($A25&amp;"!E43")="Per Unit",SUM((INDIRECT($A25&amp;"!F53:T53"))),SUM((INDIRECT($A25&amp;"!F81:T81"))))</f>
        <v>0</v>
      </c>
      <c r="H25" s="59" cm="1">
        <f t="array" aca="1" ref="H25" ca="1">IF(INDIRECT($A25&amp;"!E43")="Per Unit",SUM((INDIRECT($A25&amp;"!F54:T54"))),SUM((INDIRECT($A25&amp;"!F82:T82"))))</f>
        <v>1836100</v>
      </c>
      <c r="I25" s="59" cm="1">
        <f t="array" aca="1" ref="I25" ca="1">IF(INDIRECT($A25&amp;"!E43")="Per Unit",SUM((INDIRECT($A25&amp;"!F55:T55"))),SUM((INDIRECT($A25&amp;"!F83:T83"))))</f>
        <v>0</v>
      </c>
      <c r="J25" s="59" cm="1">
        <f t="array" aca="1" ref="J25" ca="1">IF(INDIRECT($A25&amp;"!E43")="Per Unit",SUM((INDIRECT($A25&amp;"!F56:T56"))),SUM((INDIRECT($A25&amp;"!F84:T84"))))</f>
        <v>0</v>
      </c>
      <c r="K25" s="75" cm="1">
        <f t="array" aca="1" ref="K25" ca="1">IF(INDIRECT($A25&amp;"!E43")="Per Unit",SUM((INDIRECT($A25&amp;"!F57:T57"))),SUM((INDIRECT($A25&amp;"!F85:T85"))))</f>
        <v>0</v>
      </c>
      <c r="L25" s="59" cm="1">
        <f t="array" aca="1" ref="L25" ca="1">IF(INDIRECT($A25&amp;"!E43")="Per Unit",SUM((INDIRECT($A25&amp;"!F60:T60"))),SUM((INDIRECT($A25&amp;"!F88:T88"))))</f>
        <v>0</v>
      </c>
      <c r="M25" s="75" cm="1">
        <f t="array" aca="1" ref="M25" ca="1">IF(INDIRECT($A25&amp;"!E43")="Per Unit",SUM((INDIRECT($A25&amp;"!F61:T61"))),SUM((INDIRECT($A25&amp;"!F89:T89"))))</f>
        <v>0</v>
      </c>
      <c r="N25" s="59" cm="1">
        <f t="array" aca="1" ref="N25" ca="1">IF(INDIRECT($A25&amp;"!E43")="Per Unit",SUM((INDIRECT($A25&amp;"!F64:T64"))),SUM((INDIRECT($A25&amp;"!F92:T92"))))</f>
        <v>0</v>
      </c>
      <c r="O25" s="59" cm="1">
        <f t="array" aca="1" ref="O25" ca="1">IF(INDIRECT($A25&amp;"!E43")="Per Unit",SUM((INDIRECT($A25&amp;"!F65:T65"))),SUM((INDIRECT($A25&amp;"!F93:T93"))))</f>
        <v>0</v>
      </c>
      <c r="P25" s="59" cm="1">
        <f t="array" aca="1" ref="P25" ca="1">IF(INDIRECT($A25&amp;"!E43")="Per Unit",SUM((INDIRECT($A25&amp;"!F66:T66"))),SUM((INDIRECT($A25&amp;"!F94:T94"))))</f>
        <v>0</v>
      </c>
      <c r="Q25" s="59" cm="1">
        <f t="array" aca="1" ref="Q25" ca="1">IF(INDIRECT($A25&amp;"!E43")="Per Unit",SUM((INDIRECT($A25&amp;"!F67:T67"))),SUM((INDIRECT($A25&amp;"!F95:T95"))))</f>
        <v>0</v>
      </c>
      <c r="R25" s="59" cm="1">
        <f t="array" aca="1" ref="R25" ca="1">IF(INDIRECT($A25&amp;"!E43")="Per Unit",SUM((INDIRECT($A25&amp;"!F68:T68"))),SUM((INDIRECT($A25&amp;"!F96:T96"))))</f>
        <v>0</v>
      </c>
      <c r="S25" s="59" cm="1">
        <f t="array" aca="1" ref="S25" ca="1">IF(INDIRECT($A25&amp;"!E43")="Per Unit",SUM((INDIRECT($A25&amp;"!F69:T69"))),SUM((INDIRECT($A25&amp;"!F97:T97"))))</f>
        <v>0</v>
      </c>
      <c r="T25" s="461" cm="1">
        <f t="array" aca="1" ref="T25" ca="1">IF(INDIRECT($A25&amp;"!E43")="Per Unit",SUM((INDIRECT($A25&amp;"!F70:T70"))),SUM((INDIRECT($A25&amp;"!F98:T98"))))</f>
        <v>0</v>
      </c>
    </row>
    <row r="26" spans="1:20" x14ac:dyDescent="0.35">
      <c r="A26" s="444" t="s">
        <v>187</v>
      </c>
      <c r="B26" s="460" cm="1">
        <f t="array" aca="1" ref="B26" ca="1">IF(INDIRECT($A26&amp;"!E43")="Per Unit",SUM((INDIRECT($A26&amp;"!F46:T46"))),SUM((INDIRECT($A26&amp;"!F74:T74"))))</f>
        <v>0</v>
      </c>
      <c r="C26" s="59" cm="1">
        <f t="array" aca="1" ref="C26" ca="1">IF(INDIRECT($A26&amp;"!E43")="Per Unit",SUM((INDIRECT($A26&amp;"!F47:T47"))),SUM((INDIRECT($A26&amp;"!F75:T75"))))</f>
        <v>0</v>
      </c>
      <c r="D26" s="59" cm="1">
        <f t="array" aca="1" ref="D26" ca="1">IF(INDIRECT($A26&amp;"!E43")="Per Unit",SUM((INDIRECT($A26&amp;"!F48:T48"))),SUM((INDIRECT($A26&amp;"!F76:T76"))))</f>
        <v>0</v>
      </c>
      <c r="E26" s="75" cm="1">
        <f t="array" aca="1" ref="E26" ca="1">IF(INDIRECT($A26&amp;"!E43")="Per Unit",SUM((INDIRECT($A26&amp;"!F49:T49"))),SUM((INDIRECT($A26&amp;"!F77:T77"))))</f>
        <v>0</v>
      </c>
      <c r="F26" s="59" cm="1">
        <f t="array" aca="1" ref="F26" ca="1">IF(INDIRECT($A26&amp;"!E43")="Per Unit",SUM((INDIRECT($A26&amp;"!F52:T52"))),SUM((INDIRECT($A26&amp;"!F80:T80"))))</f>
        <v>486500</v>
      </c>
      <c r="G26" s="59" cm="1">
        <f t="array" aca="1" ref="G26" ca="1">IF(INDIRECT($A26&amp;"!E43")="Per Unit",SUM((INDIRECT($A26&amp;"!F53:T53"))),SUM((INDIRECT($A26&amp;"!F81:T81"))))</f>
        <v>0</v>
      </c>
      <c r="H26" s="59" cm="1">
        <f t="array" aca="1" ref="H26" ca="1">IF(INDIRECT($A26&amp;"!E43")="Per Unit",SUM((INDIRECT($A26&amp;"!F54:T54"))),SUM((INDIRECT($A26&amp;"!F82:T82"))))</f>
        <v>0</v>
      </c>
      <c r="I26" s="59" cm="1">
        <f t="array" aca="1" ref="I26" ca="1">IF(INDIRECT($A26&amp;"!E43")="Per Unit",SUM((INDIRECT($A26&amp;"!F55:T55"))),SUM((INDIRECT($A26&amp;"!F83:T83"))))</f>
        <v>0</v>
      </c>
      <c r="J26" s="59" cm="1">
        <f t="array" aca="1" ref="J26" ca="1">IF(INDIRECT($A26&amp;"!E43")="Per Unit",SUM((INDIRECT($A26&amp;"!F56:T56"))),SUM((INDIRECT($A26&amp;"!F84:T84"))))</f>
        <v>0</v>
      </c>
      <c r="K26" s="75" cm="1">
        <f t="array" aca="1" ref="K26" ca="1">IF(INDIRECT($A26&amp;"!E43")="Per Unit",SUM((INDIRECT($A26&amp;"!F57:T57"))),SUM((INDIRECT($A26&amp;"!F85:T85"))))</f>
        <v>0</v>
      </c>
      <c r="L26" s="59" cm="1">
        <f t="array" aca="1" ref="L26" ca="1">IF(INDIRECT($A26&amp;"!E43")="Per Unit",SUM((INDIRECT($A26&amp;"!F60:T60"))),SUM((INDIRECT($A26&amp;"!F88:T88"))))</f>
        <v>0</v>
      </c>
      <c r="M26" s="75" cm="1">
        <f t="array" aca="1" ref="M26" ca="1">IF(INDIRECT($A26&amp;"!E43")="Per Unit",SUM((INDIRECT($A26&amp;"!F61:T61"))),SUM((INDIRECT($A26&amp;"!F89:T89"))))</f>
        <v>1008000</v>
      </c>
      <c r="N26" s="59" cm="1">
        <f t="array" aca="1" ref="N26" ca="1">IF(INDIRECT($A26&amp;"!E43")="Per Unit",SUM((INDIRECT($A26&amp;"!F64:T64"))),SUM((INDIRECT($A26&amp;"!F92:T92"))))</f>
        <v>0</v>
      </c>
      <c r="O26" s="59" cm="1">
        <f t="array" aca="1" ref="O26" ca="1">IF(INDIRECT($A26&amp;"!E43")="Per Unit",SUM((INDIRECT($A26&amp;"!F65:T65"))),SUM((INDIRECT($A26&amp;"!F93:T93"))))</f>
        <v>0</v>
      </c>
      <c r="P26" s="59" cm="1">
        <f t="array" aca="1" ref="P26" ca="1">IF(INDIRECT($A26&amp;"!E43")="Per Unit",SUM((INDIRECT($A26&amp;"!F66:T66"))),SUM((INDIRECT($A26&amp;"!F94:T94"))))</f>
        <v>0</v>
      </c>
      <c r="Q26" s="59" cm="1">
        <f t="array" aca="1" ref="Q26" ca="1">IF(INDIRECT($A26&amp;"!E43")="Per Unit",SUM((INDIRECT($A26&amp;"!F67:T67"))),SUM((INDIRECT($A26&amp;"!F95:T95"))))</f>
        <v>0</v>
      </c>
      <c r="R26" s="59" cm="1">
        <f t="array" aca="1" ref="R26" ca="1">IF(INDIRECT($A26&amp;"!E43")="Per Unit",SUM((INDIRECT($A26&amp;"!F68:T68"))),SUM((INDIRECT($A26&amp;"!F96:T96"))))</f>
        <v>0</v>
      </c>
      <c r="S26" s="59" cm="1">
        <f t="array" aca="1" ref="S26" ca="1">IF(INDIRECT($A26&amp;"!E43")="Per Unit",SUM((INDIRECT($A26&amp;"!F69:T69"))),SUM((INDIRECT($A26&amp;"!F97:T97"))))</f>
        <v>0</v>
      </c>
      <c r="T26" s="461" cm="1">
        <f t="array" aca="1" ref="T26" ca="1">IF(INDIRECT($A26&amp;"!E43")="Per Unit",SUM((INDIRECT($A26&amp;"!F70:T70"))),SUM((INDIRECT($A26&amp;"!F98:T98"))))</f>
        <v>110880</v>
      </c>
    </row>
    <row r="27" spans="1:20" x14ac:dyDescent="0.35">
      <c r="A27" s="444" t="s">
        <v>189</v>
      </c>
      <c r="B27" s="460" cm="1">
        <f t="array" aca="1" ref="B27" ca="1">IF(INDIRECT($A27&amp;"!E43")="Per Unit",SUM((INDIRECT($A27&amp;"!F46:T46"))),SUM((INDIRECT($A27&amp;"!F74:T74"))))</f>
        <v>0</v>
      </c>
      <c r="C27" s="59" cm="1">
        <f t="array" aca="1" ref="C27" ca="1">IF(INDIRECT($A27&amp;"!E43")="Per Unit",SUM((INDIRECT($A27&amp;"!F47:T47"))),SUM((INDIRECT($A27&amp;"!F75:T75"))))</f>
        <v>0</v>
      </c>
      <c r="D27" s="59" cm="1">
        <f t="array" aca="1" ref="D27" ca="1">IF(INDIRECT($A27&amp;"!E43")="Per Unit",SUM((INDIRECT($A27&amp;"!F48:T48"))),SUM((INDIRECT($A27&amp;"!F76:T76"))))</f>
        <v>0</v>
      </c>
      <c r="E27" s="75" cm="1">
        <f t="array" aca="1" ref="E27" ca="1">IF(INDIRECT($A27&amp;"!E43")="Per Unit",SUM((INDIRECT($A27&amp;"!F49:T49"))),SUM((INDIRECT($A27&amp;"!F77:T77"))))</f>
        <v>0</v>
      </c>
      <c r="F27" s="59" cm="1">
        <f t="array" aca="1" ref="F27" ca="1">IF(INDIRECT($A27&amp;"!E43")="Per Unit",SUM((INDIRECT($A27&amp;"!F52:T52"))),SUM((INDIRECT($A27&amp;"!F80:T80"))))</f>
        <v>375300</v>
      </c>
      <c r="G27" s="59" cm="1">
        <f t="array" aca="1" ref="G27" ca="1">IF(INDIRECT($A27&amp;"!E43")="Per Unit",SUM((INDIRECT($A27&amp;"!F53:T53"))),SUM((INDIRECT($A27&amp;"!F81:T81"))))</f>
        <v>634500</v>
      </c>
      <c r="H27" s="59" cm="1">
        <f t="array" aca="1" ref="H27" ca="1">IF(INDIRECT($A27&amp;"!E43")="Per Unit",SUM((INDIRECT($A27&amp;"!F54:T54"))),SUM((INDIRECT($A27&amp;"!F82:T82"))))</f>
        <v>0</v>
      </c>
      <c r="I27" s="59" cm="1">
        <f t="array" aca="1" ref="I27" ca="1">IF(INDIRECT($A27&amp;"!E43")="Per Unit",SUM((INDIRECT($A27&amp;"!F55:T55"))),SUM((INDIRECT($A27&amp;"!F83:T83"))))</f>
        <v>0</v>
      </c>
      <c r="J27" s="59" cm="1">
        <f t="array" aca="1" ref="J27" ca="1">IF(INDIRECT($A27&amp;"!E43")="Per Unit",SUM((INDIRECT($A27&amp;"!F56:T56"))),SUM((INDIRECT($A27&amp;"!F84:T84"))))</f>
        <v>0</v>
      </c>
      <c r="K27" s="75" cm="1">
        <f t="array" aca="1" ref="K27" ca="1">IF(INDIRECT($A27&amp;"!E43")="Per Unit",SUM((INDIRECT($A27&amp;"!F57:T57"))),SUM((INDIRECT($A27&amp;"!F85:T85"))))</f>
        <v>0</v>
      </c>
      <c r="L27" s="59" cm="1">
        <f t="array" aca="1" ref="L27" ca="1">IF(INDIRECT($A27&amp;"!E43")="Per Unit",SUM((INDIRECT($A27&amp;"!F60:T60"))),SUM((INDIRECT($A27&amp;"!F88:T88"))))</f>
        <v>0</v>
      </c>
      <c r="M27" s="75" cm="1">
        <f t="array" aca="1" ref="M27" ca="1">IF(INDIRECT($A27&amp;"!E43")="Per Unit",SUM((INDIRECT($A27&amp;"!F61:T61"))),SUM((INDIRECT($A27&amp;"!F89:T89"))))</f>
        <v>405000</v>
      </c>
      <c r="N27" s="59" cm="1">
        <f t="array" aca="1" ref="N27" ca="1">IF(INDIRECT($A27&amp;"!E43")="Per Unit",SUM((INDIRECT($A27&amp;"!F64:T64"))),SUM((INDIRECT($A27&amp;"!F92:T92"))))</f>
        <v>1701000</v>
      </c>
      <c r="O27" s="59" cm="1">
        <f t="array" aca="1" ref="O27" ca="1">IF(INDIRECT($A27&amp;"!E43")="Per Unit",SUM((INDIRECT($A27&amp;"!F65:T65"))),SUM((INDIRECT($A27&amp;"!F93:T93"))))</f>
        <v>0</v>
      </c>
      <c r="P27" s="59" cm="1">
        <f t="array" aca="1" ref="P27" ca="1">IF(INDIRECT($A27&amp;"!E43")="Per Unit",SUM((INDIRECT($A27&amp;"!F66:T66"))),SUM((INDIRECT($A27&amp;"!F94:T94"))))</f>
        <v>2794500</v>
      </c>
      <c r="Q27" s="59" cm="1">
        <f t="array" aca="1" ref="Q27" ca="1">IF(INDIRECT($A27&amp;"!E43")="Per Unit",SUM((INDIRECT($A27&amp;"!F67:T67"))),SUM((INDIRECT($A27&amp;"!F95:T95"))))</f>
        <v>0</v>
      </c>
      <c r="R27" s="59" cm="1">
        <f t="array" aca="1" ref="R27" ca="1">IF(INDIRECT($A27&amp;"!E43")="Per Unit",SUM((INDIRECT($A27&amp;"!F68:T68"))),SUM((INDIRECT($A27&amp;"!F96:T96"))))</f>
        <v>2025000</v>
      </c>
      <c r="S27" s="59" cm="1">
        <f t="array" aca="1" ref="S27" ca="1">IF(INDIRECT($A27&amp;"!E43")="Per Unit",SUM((INDIRECT($A27&amp;"!F69:T69"))),SUM((INDIRECT($A27&amp;"!F97:T97"))))</f>
        <v>1032750</v>
      </c>
      <c r="T27" s="461" cm="1">
        <f t="array" aca="1" ref="T27" ca="1">IF(INDIRECT($A27&amp;"!E43")="Per Unit",SUM((INDIRECT($A27&amp;"!F70:T70"))),SUM((INDIRECT($A27&amp;"!F98:T98"))))</f>
        <v>0</v>
      </c>
    </row>
    <row r="28" spans="1:20" x14ac:dyDescent="0.35">
      <c r="A28" s="444" t="s">
        <v>191</v>
      </c>
      <c r="B28" s="460" cm="1">
        <f t="array" aca="1" ref="B28" ca="1">IF(INDIRECT($A28&amp;"!E43")="Per Unit",SUM((INDIRECT($A28&amp;"!F46:T46"))),SUM((INDIRECT($A28&amp;"!F74:T74"))))</f>
        <v>0</v>
      </c>
      <c r="C28" s="59" cm="1">
        <f t="array" aca="1" ref="C28" ca="1">IF(INDIRECT($A28&amp;"!E43")="Per Unit",SUM((INDIRECT($A28&amp;"!F47:T47"))),SUM((INDIRECT($A28&amp;"!F75:T75"))))</f>
        <v>0</v>
      </c>
      <c r="D28" s="59" cm="1">
        <f t="array" aca="1" ref="D28" ca="1">IF(INDIRECT($A28&amp;"!E43")="Per Unit",SUM((INDIRECT($A28&amp;"!F48:T48"))),SUM((INDIRECT($A28&amp;"!F76:T76"))))</f>
        <v>0</v>
      </c>
      <c r="E28" s="75" cm="1">
        <f t="array" aca="1" ref="E28" ca="1">IF(INDIRECT($A28&amp;"!E43")="Per Unit",SUM((INDIRECT($A28&amp;"!F49:T49"))),SUM((INDIRECT($A28&amp;"!F77:T77"))))</f>
        <v>0</v>
      </c>
      <c r="F28" s="59" cm="1">
        <f t="array" aca="1" ref="F28" ca="1">IF(INDIRECT($A28&amp;"!E43")="Per Unit",SUM((INDIRECT($A28&amp;"!F52:T52"))),SUM((INDIRECT($A28&amp;"!F80:T80"))))</f>
        <v>0</v>
      </c>
      <c r="G28" s="59" cm="1">
        <f t="array" aca="1" ref="G28" ca="1">IF(INDIRECT($A28&amp;"!E43")="Per Unit",SUM((INDIRECT($A28&amp;"!F53:T53"))),SUM((INDIRECT($A28&amp;"!F81:T81"))))</f>
        <v>0</v>
      </c>
      <c r="H28" s="59" cm="1">
        <f t="array" aca="1" ref="H28" ca="1">IF(INDIRECT($A28&amp;"!E43")="Per Unit",SUM((INDIRECT($A28&amp;"!F54:T54"))),SUM((INDIRECT($A28&amp;"!F82:T82"))))</f>
        <v>0</v>
      </c>
      <c r="I28" s="59" cm="1">
        <f t="array" aca="1" ref="I28" ca="1">IF(INDIRECT($A28&amp;"!E43")="Per Unit",SUM((INDIRECT($A28&amp;"!F55:T55"))),SUM((INDIRECT($A28&amp;"!F83:T83"))))</f>
        <v>0</v>
      </c>
      <c r="J28" s="59" cm="1">
        <f t="array" aca="1" ref="J28" ca="1">IF(INDIRECT($A28&amp;"!E43")="Per Unit",SUM((INDIRECT($A28&amp;"!F56:T56"))),SUM((INDIRECT($A28&amp;"!F84:T84"))))</f>
        <v>3872000</v>
      </c>
      <c r="K28" s="75" cm="1">
        <f t="array" aca="1" ref="K28" ca="1">IF(INDIRECT($A28&amp;"!E43")="Per Unit",SUM((INDIRECT($A28&amp;"!F57:T57"))),SUM((INDIRECT($A28&amp;"!F85:T85"))))</f>
        <v>0</v>
      </c>
      <c r="L28" s="59" cm="1">
        <f t="array" aca="1" ref="L28" ca="1">IF(INDIRECT($A28&amp;"!E43")="Per Unit",SUM((INDIRECT($A28&amp;"!F60:T60"))),SUM((INDIRECT($A28&amp;"!F88:T88"))))</f>
        <v>1441000</v>
      </c>
      <c r="M28" s="75" cm="1">
        <f t="array" aca="1" ref="M28" ca="1">IF(INDIRECT($A28&amp;"!E43")="Per Unit",SUM((INDIRECT($A28&amp;"!F61:T61"))),SUM((INDIRECT($A28&amp;"!F89:T89"))))</f>
        <v>0</v>
      </c>
      <c r="N28" s="59" cm="1">
        <f t="array" aca="1" ref="N28" ca="1">IF(INDIRECT($A28&amp;"!E43")="Per Unit",SUM((INDIRECT($A28&amp;"!F64:T64"))),SUM((INDIRECT($A28&amp;"!F92:T92"))))</f>
        <v>1386000</v>
      </c>
      <c r="O28" s="59" cm="1">
        <f t="array" aca="1" ref="O28" ca="1">IF(INDIRECT($A28&amp;"!E43")="Per Unit",SUM((INDIRECT($A28&amp;"!F65:T65"))),SUM((INDIRECT($A28&amp;"!F93:T93"))))</f>
        <v>0</v>
      </c>
      <c r="P28" s="59" cm="1">
        <f t="array" aca="1" ref="P28" ca="1">IF(INDIRECT($A28&amp;"!E43")="Per Unit",SUM((INDIRECT($A28&amp;"!F66:T66"))),SUM((INDIRECT($A28&amp;"!F94:T94"))))</f>
        <v>0</v>
      </c>
      <c r="Q28" s="59" cm="1">
        <f t="array" aca="1" ref="Q28" ca="1">IF(INDIRECT($A28&amp;"!E43")="Per Unit",SUM((INDIRECT($A28&amp;"!F67:T67"))),SUM((INDIRECT($A28&amp;"!F95:T95"))))</f>
        <v>0</v>
      </c>
      <c r="R28" s="59" cm="1">
        <f t="array" aca="1" ref="R28" ca="1">IF(INDIRECT($A28&amp;"!E43")="Per Unit",SUM((INDIRECT($A28&amp;"!F68:T68"))),SUM((INDIRECT($A28&amp;"!F96:T96"))))</f>
        <v>0</v>
      </c>
      <c r="S28" s="59" cm="1">
        <f t="array" aca="1" ref="S28" ca="1">IF(INDIRECT($A28&amp;"!E43")="Per Unit",SUM((INDIRECT($A28&amp;"!F69:T69"))),SUM((INDIRECT($A28&amp;"!F97:T97"))))</f>
        <v>0</v>
      </c>
      <c r="T28" s="461" cm="1">
        <f t="array" aca="1" ref="T28" ca="1">IF(INDIRECT($A28&amp;"!E43")="Per Unit",SUM((INDIRECT($A28&amp;"!F70:T70"))),SUM((INDIRECT($A28&amp;"!F98:T98"))))</f>
        <v>0</v>
      </c>
    </row>
    <row r="29" spans="1:20" x14ac:dyDescent="0.35">
      <c r="A29" s="444" t="s">
        <v>192</v>
      </c>
      <c r="B29" s="460" cm="1">
        <f t="array" aca="1" ref="B29" ca="1">IF(INDIRECT($A29&amp;"!E43")="Per Unit",SUM((INDIRECT($A29&amp;"!F46:T46"))),SUM((INDIRECT($A29&amp;"!F74:T74"))))</f>
        <v>0</v>
      </c>
      <c r="C29" s="59" cm="1">
        <f t="array" aca="1" ref="C29" ca="1">IF(INDIRECT($A29&amp;"!E43")="Per Unit",SUM((INDIRECT($A29&amp;"!F47:T47"))),SUM((INDIRECT($A29&amp;"!F75:T75"))))</f>
        <v>0</v>
      </c>
      <c r="D29" s="59" cm="1">
        <f t="array" aca="1" ref="D29" ca="1">IF(INDIRECT($A29&amp;"!E43")="Per Unit",SUM((INDIRECT($A29&amp;"!F48:T48"))),SUM((INDIRECT($A29&amp;"!F76:T76"))))</f>
        <v>0</v>
      </c>
      <c r="E29" s="75" cm="1">
        <f t="array" aca="1" ref="E29" ca="1">IF(INDIRECT($A29&amp;"!E43")="Per Unit",SUM((INDIRECT($A29&amp;"!F49:T49"))),SUM((INDIRECT($A29&amp;"!F77:T77"))))</f>
        <v>0</v>
      </c>
      <c r="F29" s="59" cm="1">
        <f t="array" aca="1" ref="F29" ca="1">IF(INDIRECT($A29&amp;"!E43")="Per Unit",SUM((INDIRECT($A29&amp;"!F52:T52"))),SUM((INDIRECT($A29&amp;"!F80:T80"))))</f>
        <v>0</v>
      </c>
      <c r="G29" s="59" cm="1">
        <f t="array" aca="1" ref="G29" ca="1">IF(INDIRECT($A29&amp;"!E43")="Per Unit",SUM((INDIRECT($A29&amp;"!F53:T53"))),SUM((INDIRECT($A29&amp;"!F81:T81"))))</f>
        <v>0</v>
      </c>
      <c r="H29" s="59" cm="1">
        <f t="array" aca="1" ref="H29" ca="1">IF(INDIRECT($A29&amp;"!E43")="Per Unit",SUM((INDIRECT($A29&amp;"!F54:T54"))),SUM((INDIRECT($A29&amp;"!F82:T82"))))</f>
        <v>0</v>
      </c>
      <c r="I29" s="59" cm="1">
        <f t="array" aca="1" ref="I29" ca="1">IF(INDIRECT($A29&amp;"!E43")="Per Unit",SUM((INDIRECT($A29&amp;"!F55:T55"))),SUM((INDIRECT($A29&amp;"!F83:T83"))))</f>
        <v>0</v>
      </c>
      <c r="J29" s="59" cm="1">
        <f t="array" aca="1" ref="J29" ca="1">IF(INDIRECT($A29&amp;"!E43")="Per Unit",SUM((INDIRECT($A29&amp;"!F56:T56"))),SUM((INDIRECT($A29&amp;"!F84:T84"))))</f>
        <v>0</v>
      </c>
      <c r="K29" s="75" cm="1">
        <f t="array" aca="1" ref="K29" ca="1">IF(INDIRECT($A29&amp;"!E43")="Per Unit",SUM((INDIRECT($A29&amp;"!F57:T57"))),SUM((INDIRECT($A29&amp;"!F85:T85"))))</f>
        <v>0</v>
      </c>
      <c r="L29" s="59" cm="1">
        <f t="array" aca="1" ref="L29" ca="1">IF(INDIRECT($A29&amp;"!E43")="Per Unit",SUM((INDIRECT($A29&amp;"!F60:T60"))),SUM((INDIRECT($A29&amp;"!F88:T88"))))</f>
        <v>0</v>
      </c>
      <c r="M29" s="75" cm="1">
        <f t="array" aca="1" ref="M29" ca="1">IF(INDIRECT($A29&amp;"!E43")="Per Unit",SUM((INDIRECT($A29&amp;"!F61:T61"))),SUM((INDIRECT($A29&amp;"!F89:T89"))))</f>
        <v>0</v>
      </c>
      <c r="N29" s="59" cm="1">
        <f t="array" aca="1" ref="N29" ca="1">IF(INDIRECT($A29&amp;"!E43")="Per Unit",SUM((INDIRECT($A29&amp;"!F64:T64"))),SUM((INDIRECT($A29&amp;"!F92:T92"))))</f>
        <v>8694000</v>
      </c>
      <c r="O29" s="59" cm="1">
        <f t="array" aca="1" ref="O29" ca="1">IF(INDIRECT($A29&amp;"!E43")="Per Unit",SUM((INDIRECT($A29&amp;"!F65:T65"))),SUM((INDIRECT($A29&amp;"!F93:T93"))))</f>
        <v>0</v>
      </c>
      <c r="P29" s="59" cm="1">
        <f t="array" aca="1" ref="P29" ca="1">IF(INDIRECT($A29&amp;"!E43")="Per Unit",SUM((INDIRECT($A29&amp;"!F66:T66"))),SUM((INDIRECT($A29&amp;"!F94:T94"))))</f>
        <v>0</v>
      </c>
      <c r="Q29" s="59" cm="1">
        <f t="array" aca="1" ref="Q29" ca="1">IF(INDIRECT($A29&amp;"!E43")="Per Unit",SUM((INDIRECT($A29&amp;"!F67:T67"))),SUM((INDIRECT($A29&amp;"!F95:T95"))))</f>
        <v>0</v>
      </c>
      <c r="R29" s="59" cm="1">
        <f t="array" aca="1" ref="R29" ca="1">IF(INDIRECT($A29&amp;"!E43")="Per Unit",SUM((INDIRECT($A29&amp;"!F68:T68"))),SUM((INDIRECT($A29&amp;"!F96:T96"))))</f>
        <v>0</v>
      </c>
      <c r="S29" s="59" cm="1">
        <f t="array" aca="1" ref="S29" ca="1">IF(INDIRECT($A29&amp;"!E43")="Per Unit",SUM((INDIRECT($A29&amp;"!F69:T69"))),SUM((INDIRECT($A29&amp;"!F97:T97"))))</f>
        <v>0</v>
      </c>
      <c r="T29" s="461" cm="1">
        <f t="array" aca="1" ref="T29" ca="1">IF(INDIRECT($A29&amp;"!E43")="Per Unit",SUM((INDIRECT($A29&amp;"!F70:T70"))),SUM((INDIRECT($A29&amp;"!F98:T98"))))</f>
        <v>0</v>
      </c>
    </row>
    <row r="30" spans="1:20" x14ac:dyDescent="0.35">
      <c r="A30" s="444" t="s">
        <v>190</v>
      </c>
      <c r="B30" s="460" cm="1">
        <f t="array" aca="1" ref="B30" ca="1">IF(INDIRECT($A30&amp;"!E43")="Per Unit",SUM((INDIRECT($A30&amp;"!F46:T46"))),SUM((INDIRECT($A30&amp;"!F74:T74"))))</f>
        <v>0</v>
      </c>
      <c r="C30" s="59" cm="1">
        <f t="array" aca="1" ref="C30" ca="1">IF(INDIRECT($A30&amp;"!E43")="Per Unit",SUM((INDIRECT($A30&amp;"!F47:T47"))),SUM((INDIRECT($A30&amp;"!F75:T75"))))</f>
        <v>0</v>
      </c>
      <c r="D30" s="59" cm="1">
        <f t="array" aca="1" ref="D30" ca="1">IF(INDIRECT($A30&amp;"!E43")="Per Unit",SUM((INDIRECT($A30&amp;"!F48:T48"))),SUM((INDIRECT($A30&amp;"!F76:T76"))))</f>
        <v>0</v>
      </c>
      <c r="E30" s="75" cm="1">
        <f t="array" aca="1" ref="E30" ca="1">IF(INDIRECT($A30&amp;"!E43")="Per Unit",SUM((INDIRECT($A30&amp;"!F49:T49"))),SUM((INDIRECT($A30&amp;"!F77:T77"))))</f>
        <v>0</v>
      </c>
      <c r="F30" s="59" cm="1">
        <f t="array" aca="1" ref="F30" ca="1">IF(INDIRECT($A30&amp;"!E43")="Per Unit",SUM((INDIRECT($A30&amp;"!F52:T52"))),SUM((INDIRECT($A30&amp;"!F80:T80"))))</f>
        <v>0</v>
      </c>
      <c r="G30" s="59" cm="1">
        <f t="array" aca="1" ref="G30" ca="1">IF(INDIRECT($A30&amp;"!E43")="Per Unit",SUM((INDIRECT($A30&amp;"!F53:T53"))),SUM((INDIRECT($A30&amp;"!F81:T81"))))</f>
        <v>0</v>
      </c>
      <c r="H30" s="59" cm="1">
        <f t="array" aca="1" ref="H30" ca="1">IF(INDIRECT($A30&amp;"!E43")="Per Unit",SUM((INDIRECT($A30&amp;"!F54:T54"))),SUM((INDIRECT($A30&amp;"!F82:T82"))))</f>
        <v>0</v>
      </c>
      <c r="I30" s="59" cm="1">
        <f t="array" aca="1" ref="I30" ca="1">IF(INDIRECT($A30&amp;"!E43")="Per Unit",SUM((INDIRECT($A30&amp;"!F55:T55"))),SUM((INDIRECT($A30&amp;"!F83:T83"))))</f>
        <v>0</v>
      </c>
      <c r="J30" s="59" cm="1">
        <f t="array" aca="1" ref="J30" ca="1">IF(INDIRECT($A30&amp;"!E43")="Per Unit",SUM((INDIRECT($A30&amp;"!F56:T56"))),SUM((INDIRECT($A30&amp;"!F84:T84"))))</f>
        <v>0</v>
      </c>
      <c r="K30" s="75" cm="1">
        <f t="array" aca="1" ref="K30" ca="1">IF(INDIRECT($A30&amp;"!E43")="Per Unit",SUM((INDIRECT($A30&amp;"!F57:T57"))),SUM((INDIRECT($A30&amp;"!F85:T85"))))</f>
        <v>0</v>
      </c>
      <c r="L30" s="59" cm="1">
        <f t="array" aca="1" ref="L30" ca="1">IF(INDIRECT($A30&amp;"!E43")="Per Unit",SUM((INDIRECT($A30&amp;"!F60:T60"))),SUM((INDIRECT($A30&amp;"!F88:T88"))))</f>
        <v>0</v>
      </c>
      <c r="M30" s="75" cm="1">
        <f t="array" aca="1" ref="M30" ca="1">IF(INDIRECT($A30&amp;"!E43")="Per Unit",SUM((INDIRECT($A30&amp;"!F61:T61"))),SUM((INDIRECT($A30&amp;"!F89:T89"))))</f>
        <v>0</v>
      </c>
      <c r="N30" s="59" cm="1">
        <f t="array" aca="1" ref="N30" ca="1">IF(INDIRECT($A30&amp;"!E43")="Per Unit",SUM((INDIRECT($A30&amp;"!F64:T64"))),SUM((INDIRECT($A30&amp;"!F92:T92"))))</f>
        <v>3087000</v>
      </c>
      <c r="O30" s="59" cm="1">
        <f t="array" aca="1" ref="O30" ca="1">IF(INDIRECT($A30&amp;"!E43")="Per Unit",SUM((INDIRECT($A30&amp;"!F65:T65"))),SUM((INDIRECT($A30&amp;"!F93:T93"))))</f>
        <v>0</v>
      </c>
      <c r="P30" s="59" cm="1">
        <f t="array" aca="1" ref="P30" ca="1">IF(INDIRECT($A30&amp;"!E43")="Per Unit",SUM((INDIRECT($A30&amp;"!F66:T66"))),SUM((INDIRECT($A30&amp;"!F94:T94"))))</f>
        <v>0</v>
      </c>
      <c r="Q30" s="59" cm="1">
        <f t="array" aca="1" ref="Q30" ca="1">IF(INDIRECT($A30&amp;"!E43")="Per Unit",SUM((INDIRECT($A30&amp;"!F67:T67"))),SUM((INDIRECT($A30&amp;"!F95:T95"))))</f>
        <v>0</v>
      </c>
      <c r="R30" s="59" cm="1">
        <f t="array" aca="1" ref="R30" ca="1">IF(INDIRECT($A30&amp;"!E43")="Per Unit",SUM((INDIRECT($A30&amp;"!F68:T68"))),SUM((INDIRECT($A30&amp;"!F96:T96"))))</f>
        <v>0</v>
      </c>
      <c r="S30" s="59" cm="1">
        <f t="array" aca="1" ref="S30" ca="1">IF(INDIRECT($A30&amp;"!E43")="Per Unit",SUM((INDIRECT($A30&amp;"!F69:T69"))),SUM((INDIRECT($A30&amp;"!F97:T97"))))</f>
        <v>0</v>
      </c>
      <c r="T30" s="461" cm="1">
        <f t="array" aca="1" ref="T30" ca="1">IF(INDIRECT($A30&amp;"!E43")="Per Unit",SUM((INDIRECT($A30&amp;"!F70:T70"))),SUM((INDIRECT($A30&amp;"!F98:T98"))))</f>
        <v>0</v>
      </c>
    </row>
    <row r="31" spans="1:20" x14ac:dyDescent="0.35">
      <c r="A31" s="444" t="s">
        <v>193</v>
      </c>
      <c r="B31" s="460" cm="1">
        <f t="array" aca="1" ref="B31" ca="1">IF(INDIRECT($A31&amp;"!E43")="Per Unit",SUM((INDIRECT($A31&amp;"!F46:T46"))),SUM((INDIRECT($A31&amp;"!F74:T74"))))</f>
        <v>523094.21128999087</v>
      </c>
      <c r="C31" s="59" cm="1">
        <f t="array" aca="1" ref="C31" ca="1">IF(INDIRECT($A31&amp;"!E43")="Per Unit",SUM((INDIRECT($A31&amp;"!F47:T47"))),SUM((INDIRECT($A31&amp;"!F75:T75"))))</f>
        <v>0</v>
      </c>
      <c r="D31" s="59" cm="1">
        <f t="array" aca="1" ref="D31" ca="1">IF(INDIRECT($A31&amp;"!E43")="Per Unit",SUM((INDIRECT($A31&amp;"!F48:T48"))),SUM((INDIRECT($A31&amp;"!F76:T76"))))</f>
        <v>73028.148547747245</v>
      </c>
      <c r="E31" s="75" cm="1">
        <f t="array" aca="1" ref="E31" ca="1">IF(INDIRECT($A31&amp;"!E43")="Per Unit",SUM((INDIRECT($A31&amp;"!F49:T49"))),SUM((INDIRECT($A31&amp;"!F77:T77"))))</f>
        <v>0</v>
      </c>
      <c r="F31" s="59" cm="1">
        <f t="array" aca="1" ref="F31" ca="1">IF(INDIRECT($A31&amp;"!E43")="Per Unit",SUM((INDIRECT($A31&amp;"!F52:T52"))),SUM((INDIRECT($A31&amp;"!F80:T80"))))</f>
        <v>0</v>
      </c>
      <c r="G31" s="59" cm="1">
        <f t="array" aca="1" ref="G31" ca="1">IF(INDIRECT($A31&amp;"!E43")="Per Unit",SUM((INDIRECT($A31&amp;"!F53:T53"))),SUM((INDIRECT($A31&amp;"!F81:T81"))))</f>
        <v>0</v>
      </c>
      <c r="H31" s="59" cm="1">
        <f t="array" aca="1" ref="H31" ca="1">IF(INDIRECT($A31&amp;"!E43")="Per Unit",SUM((INDIRECT($A31&amp;"!F54:T54"))),SUM((INDIRECT($A31&amp;"!F82:T82"))))</f>
        <v>150385.33333333334</v>
      </c>
      <c r="I31" s="59" cm="1">
        <f t="array" aca="1" ref="I31" ca="1">IF(INDIRECT($A31&amp;"!E43")="Per Unit",SUM((INDIRECT($A31&amp;"!F55:T55"))),SUM((INDIRECT($A31&amp;"!F83:T83"))))</f>
        <v>0</v>
      </c>
      <c r="J31" s="59" cm="1">
        <f t="array" aca="1" ref="J31" ca="1">IF(INDIRECT($A31&amp;"!E43")="Per Unit",SUM((INDIRECT($A31&amp;"!F56:T56"))),SUM((INDIRECT($A31&amp;"!F84:T84"))))</f>
        <v>0</v>
      </c>
      <c r="K31" s="75" cm="1">
        <f t="array" aca="1" ref="K31" ca="1">IF(INDIRECT($A31&amp;"!E43")="Per Unit",SUM((INDIRECT($A31&amp;"!F57:T57"))),SUM((INDIRECT($A31&amp;"!F85:T85"))))</f>
        <v>121833.33333333334</v>
      </c>
      <c r="L31" s="59" cm="1">
        <f t="array" aca="1" ref="L31" ca="1">IF(INDIRECT($A31&amp;"!E43")="Per Unit",SUM((INDIRECT($A31&amp;"!F60:T60"))),SUM((INDIRECT($A31&amp;"!F88:T88"))))</f>
        <v>0</v>
      </c>
      <c r="M31" s="75" cm="1">
        <f t="array" aca="1" ref="M31" ca="1">IF(INDIRECT($A31&amp;"!E43")="Per Unit",SUM((INDIRECT($A31&amp;"!F61:T61"))),SUM((INDIRECT($A31&amp;"!F89:T89"))))</f>
        <v>430000</v>
      </c>
      <c r="N31" s="59" cm="1">
        <f t="array" aca="1" ref="N31" ca="1">IF(INDIRECT($A31&amp;"!E43")="Per Unit",SUM((INDIRECT($A31&amp;"!F64:T64"))),SUM((INDIRECT($A31&amp;"!F92:T92"))))</f>
        <v>1806000</v>
      </c>
      <c r="O31" s="59" cm="1">
        <f t="array" aca="1" ref="O31" ca="1">IF(INDIRECT($A31&amp;"!E43")="Per Unit",SUM((INDIRECT($A31&amp;"!F65:T65"))),SUM((INDIRECT($A31&amp;"!F93:T93"))))</f>
        <v>0</v>
      </c>
      <c r="P31" s="59" cm="1">
        <f t="array" aca="1" ref="P31" ca="1">IF(INDIRECT($A31&amp;"!E43")="Per Unit",SUM((INDIRECT($A31&amp;"!F66:T66"))),SUM((INDIRECT($A31&amp;"!F94:T94"))))</f>
        <v>0</v>
      </c>
      <c r="Q31" s="59" cm="1">
        <f t="array" aca="1" ref="Q31" ca="1">IF(INDIRECT($A31&amp;"!E43")="Per Unit",SUM((INDIRECT($A31&amp;"!F67:T67"))),SUM((INDIRECT($A31&amp;"!F95:T95"))))</f>
        <v>0</v>
      </c>
      <c r="R31" s="59" cm="1">
        <f t="array" aca="1" ref="R31" ca="1">IF(INDIRECT($A31&amp;"!E43")="Per Unit",SUM((INDIRECT($A31&amp;"!F68:T68"))),SUM((INDIRECT($A31&amp;"!F96:T96"))))</f>
        <v>86000</v>
      </c>
      <c r="S31" s="59" cm="1">
        <f t="array" aca="1" ref="S31" ca="1">IF(INDIRECT($A31&amp;"!E43")="Per Unit",SUM((INDIRECT($A31&amp;"!F69:T69"))),SUM((INDIRECT($A31&amp;"!F97:T97"))))</f>
        <v>1096500</v>
      </c>
      <c r="T31" s="461" cm="1">
        <f t="array" aca="1" ref="T31" ca="1">IF(INDIRECT($A31&amp;"!E43")="Per Unit",SUM((INDIRECT($A31&amp;"!F70:T70"))),SUM((INDIRECT($A31&amp;"!F98:T98"))))</f>
        <v>0</v>
      </c>
    </row>
    <row r="32" spans="1:20" x14ac:dyDescent="0.35">
      <c r="A32" s="444" t="s">
        <v>188</v>
      </c>
      <c r="B32" s="460" cm="1">
        <f t="array" aca="1" ref="B32" ca="1">IF(INDIRECT($A32&amp;"!E43")="Per Unit",SUM((INDIRECT($A32&amp;"!F46:T46"))),SUM((INDIRECT($A32&amp;"!F74:T74"))))</f>
        <v>0</v>
      </c>
      <c r="C32" s="59" cm="1">
        <f t="array" aca="1" ref="C32" ca="1">IF(INDIRECT($A32&amp;"!E43")="Per Unit",SUM((INDIRECT($A32&amp;"!F47:T47"))),SUM((INDIRECT($A32&amp;"!F75:T75"))))</f>
        <v>0</v>
      </c>
      <c r="D32" s="59" cm="1">
        <f t="array" aca="1" ref="D32" ca="1">IF(INDIRECT($A32&amp;"!E43")="Per Unit",SUM((INDIRECT($A32&amp;"!F48:T48"))),SUM((INDIRECT($A32&amp;"!F76:T76"))))</f>
        <v>0</v>
      </c>
      <c r="E32" s="75" cm="1">
        <f t="array" aca="1" ref="E32" ca="1">IF(INDIRECT($A32&amp;"!E43")="Per Unit",SUM((INDIRECT($A32&amp;"!F49:T49"))),SUM((INDIRECT($A32&amp;"!F77:T77"))))</f>
        <v>0</v>
      </c>
      <c r="F32" s="59" cm="1">
        <f t="array" aca="1" ref="F32" ca="1">IF(INDIRECT($A32&amp;"!E43")="Per Unit",SUM((INDIRECT($A32&amp;"!F52:T52"))),SUM((INDIRECT($A32&amp;"!F80:T80"))))</f>
        <v>0</v>
      </c>
      <c r="G32" s="59" cm="1">
        <f t="array" aca="1" ref="G32" ca="1">IF(INDIRECT($A32&amp;"!E43")="Per Unit",SUM((INDIRECT($A32&amp;"!F53:T53"))),SUM((INDIRECT($A32&amp;"!F81:T81"))))</f>
        <v>0</v>
      </c>
      <c r="H32" s="59" cm="1">
        <f t="array" aca="1" ref="H32" ca="1">IF(INDIRECT($A32&amp;"!E43")="Per Unit",SUM((INDIRECT($A32&amp;"!F54:T54"))),SUM((INDIRECT($A32&amp;"!F82:T82"))))</f>
        <v>0</v>
      </c>
      <c r="I32" s="59" cm="1">
        <f t="array" aca="1" ref="I32" ca="1">IF(INDIRECT($A32&amp;"!E43")="Per Unit",SUM((INDIRECT($A32&amp;"!F55:T55"))),SUM((INDIRECT($A32&amp;"!F83:T83"))))</f>
        <v>0</v>
      </c>
      <c r="J32" s="59" cm="1">
        <f t="array" aca="1" ref="J32" ca="1">IF(INDIRECT($A32&amp;"!E43")="Per Unit",SUM((INDIRECT($A32&amp;"!F56:T56"))),SUM((INDIRECT($A32&amp;"!F84:T84"))))</f>
        <v>0</v>
      </c>
      <c r="K32" s="75" cm="1">
        <f t="array" aca="1" ref="K32" ca="1">IF(INDIRECT($A32&amp;"!E43")="Per Unit",SUM((INDIRECT($A32&amp;"!F57:T57"))),SUM((INDIRECT($A32&amp;"!F85:T85"))))</f>
        <v>0</v>
      </c>
      <c r="L32" s="59" cm="1">
        <f t="array" aca="1" ref="L32" ca="1">IF(INDIRECT($A32&amp;"!E43")="Per Unit",SUM((INDIRECT($A32&amp;"!F60:T60"))),SUM((INDIRECT($A32&amp;"!F88:T88"))))</f>
        <v>0</v>
      </c>
      <c r="M32" s="75" cm="1">
        <f t="array" aca="1" ref="M32" ca="1">IF(INDIRECT($A32&amp;"!E43")="Per Unit",SUM((INDIRECT($A32&amp;"!F61:T61"))),SUM((INDIRECT($A32&amp;"!F89:T89"))))</f>
        <v>0</v>
      </c>
      <c r="N32" s="59" cm="1">
        <f t="array" aca="1" ref="N32" ca="1">IF(INDIRECT($A32&amp;"!E43")="Per Unit",SUM((INDIRECT($A32&amp;"!F64:T64"))),SUM((INDIRECT($A32&amp;"!F92:T92"))))</f>
        <v>0</v>
      </c>
      <c r="O32" s="59" cm="1">
        <f t="array" aca="1" ref="O32" ca="1">IF(INDIRECT($A32&amp;"!E43")="Per Unit",SUM((INDIRECT($A32&amp;"!F65:T65"))),SUM((INDIRECT($A32&amp;"!F93:T93"))))</f>
        <v>0</v>
      </c>
      <c r="P32" s="59" cm="1">
        <f t="array" aca="1" ref="P32" ca="1">IF(INDIRECT($A32&amp;"!E43")="Per Unit",SUM((INDIRECT($A32&amp;"!F66:T66"))),SUM((INDIRECT($A32&amp;"!F94:T94"))))</f>
        <v>2898000</v>
      </c>
      <c r="Q32" s="59" cm="1">
        <f t="array" aca="1" ref="Q32" ca="1">IF(INDIRECT($A32&amp;"!E43")="Per Unit",SUM((INDIRECT($A32&amp;"!F67:T67"))),SUM((INDIRECT($A32&amp;"!F95:T95"))))</f>
        <v>0</v>
      </c>
      <c r="R32" s="59" cm="1">
        <f t="array" aca="1" ref="R32" ca="1">IF(INDIRECT($A32&amp;"!E43")="Per Unit",SUM((INDIRECT($A32&amp;"!F68:T68"))),SUM((INDIRECT($A32&amp;"!F96:T96"))))</f>
        <v>2100000</v>
      </c>
      <c r="S32" s="59" cm="1">
        <f t="array" aca="1" ref="S32" ca="1">IF(INDIRECT($A32&amp;"!E43")="Per Unit",SUM((INDIRECT($A32&amp;"!F69:T69"))),SUM((INDIRECT($A32&amp;"!F97:T97"))))</f>
        <v>535500</v>
      </c>
      <c r="T32" s="461" cm="1">
        <f t="array" aca="1" ref="T32" ca="1">IF(INDIRECT($A32&amp;"!E43")="Per Unit",SUM((INDIRECT($A32&amp;"!F70:T70"))),SUM((INDIRECT($A32&amp;"!F98:T98"))))</f>
        <v>0</v>
      </c>
    </row>
    <row r="33" spans="1:20" x14ac:dyDescent="0.35">
      <c r="A33" s="444" t="s">
        <v>194</v>
      </c>
      <c r="B33" s="460" cm="1">
        <f t="array" aca="1" ref="B33" ca="1">IF(INDIRECT($A33&amp;"!E43")="Per Unit",SUM((INDIRECT($A33&amp;"!F46:T46"))),SUM((INDIRECT($A33&amp;"!F74:T74"))))</f>
        <v>52917.670211894416</v>
      </c>
      <c r="C33" s="59" cm="1">
        <f t="array" aca="1" ref="C33" ca="1">IF(INDIRECT($A33&amp;"!E43")="Per Unit",SUM((INDIRECT($A33&amp;"!F47:T47"))),SUM((INDIRECT($A33&amp;"!F75:T75"))))</f>
        <v>38057.564124705925</v>
      </c>
      <c r="D33" s="59" cm="1">
        <f t="array" aca="1" ref="D33" ca="1">IF(INDIRECT($A33&amp;"!E43")="Per Unit",SUM((INDIRECT($A33&amp;"!F48:T48"))),SUM((INDIRECT($A33&amp;"!F76:T76"))))</f>
        <v>7387.7313065744347</v>
      </c>
      <c r="E33" s="75" cm="1">
        <f t="array" aca="1" ref="E33" ca="1">IF(INDIRECT($A33&amp;"!E43")="Per Unit",SUM((INDIRECT($A33&amp;"!F49:T49"))),SUM((INDIRECT($A33&amp;"!F77:T77"))))</f>
        <v>45601.272310428307</v>
      </c>
      <c r="F33" s="59" cm="1">
        <f t="array" aca="1" ref="F33" ca="1">IF(INDIRECT($A33&amp;"!E43")="Per Unit",SUM((INDIRECT($A33&amp;"!F52:T52"))),SUM((INDIRECT($A33&amp;"!F80:T80"))))</f>
        <v>0</v>
      </c>
      <c r="G33" s="59" cm="1">
        <f t="array" aca="1" ref="G33" ca="1">IF(INDIRECT($A33&amp;"!E43")="Per Unit",SUM((INDIRECT($A33&amp;"!F53:T53"))),SUM((INDIRECT($A33&amp;"!F81:T81"))))</f>
        <v>0</v>
      </c>
      <c r="H33" s="59" cm="1">
        <f t="array" aca="1" ref="H33" ca="1">IF(INDIRECT($A33&amp;"!E43")="Per Unit",SUM((INDIRECT($A33&amp;"!F54:T54"))),SUM((INDIRECT($A33&amp;"!F82:T82"))))</f>
        <v>152134</v>
      </c>
      <c r="I33" s="59" cm="1">
        <f t="array" aca="1" ref="I33" ca="1">IF(INDIRECT($A33&amp;"!E43")="Per Unit",SUM((INDIRECT($A33&amp;"!F55:T55"))),SUM((INDIRECT($A33&amp;"!F83:T83"))))</f>
        <v>0</v>
      </c>
      <c r="J33" s="59" cm="1">
        <f t="array" aca="1" ref="J33" ca="1">IF(INDIRECT($A33&amp;"!E43")="Per Unit",SUM((INDIRECT($A33&amp;"!F56:T56"))),SUM((INDIRECT($A33&amp;"!F84:T84"))))</f>
        <v>0</v>
      </c>
      <c r="K33" s="75" cm="1">
        <f t="array" aca="1" ref="K33" ca="1">IF(INDIRECT($A33&amp;"!E43")="Per Unit",SUM((INDIRECT($A33&amp;"!F57:T57"))),SUM((INDIRECT($A33&amp;"!F85:T85"))))</f>
        <v>123250</v>
      </c>
      <c r="L33" s="59" cm="1">
        <f t="array" aca="1" ref="L33" ca="1">IF(INDIRECT($A33&amp;"!E43")="Per Unit",SUM((INDIRECT($A33&amp;"!F60:T60"))),SUM((INDIRECT($A33&amp;"!F88:T88"))))</f>
        <v>0</v>
      </c>
      <c r="M33" s="75" cm="1">
        <f t="array" aca="1" ref="M33" ca="1">IF(INDIRECT($A33&amp;"!E43")="Per Unit",SUM((INDIRECT($A33&amp;"!F61:T61"))),SUM((INDIRECT($A33&amp;"!F89:T89"))))</f>
        <v>43500</v>
      </c>
      <c r="N33" s="59" cm="1">
        <f t="array" aca="1" ref="N33" ca="1">IF(INDIRECT($A33&amp;"!E43")="Per Unit",SUM((INDIRECT($A33&amp;"!F64:T64"))),SUM((INDIRECT($A33&amp;"!F92:T92"))))</f>
        <v>1827000</v>
      </c>
      <c r="O33" s="59" cm="1">
        <f t="array" aca="1" ref="O33" ca="1">IF(INDIRECT($A33&amp;"!E43")="Per Unit",SUM((INDIRECT($A33&amp;"!F65:T65"))),SUM((INDIRECT($A33&amp;"!F93:T93"))))</f>
        <v>0</v>
      </c>
      <c r="P33" s="59" cm="1">
        <f t="array" aca="1" ref="P33" ca="1">IF(INDIRECT($A33&amp;"!E43")="Per Unit",SUM((INDIRECT($A33&amp;"!F66:T66"))),SUM((INDIRECT($A33&amp;"!F94:T94"))))</f>
        <v>0</v>
      </c>
      <c r="Q33" s="59" cm="1">
        <f t="array" aca="1" ref="Q33" ca="1">IF(INDIRECT($A33&amp;"!E43")="Per Unit",SUM((INDIRECT($A33&amp;"!F67:T67"))),SUM((INDIRECT($A33&amp;"!F95:T95"))))</f>
        <v>0</v>
      </c>
      <c r="R33" s="59" cm="1">
        <f t="array" aca="1" ref="R33" ca="1">IF(INDIRECT($A33&amp;"!E43")="Per Unit",SUM((INDIRECT($A33&amp;"!F68:T68"))),SUM((INDIRECT($A33&amp;"!F96:T96"))))</f>
        <v>0</v>
      </c>
      <c r="S33" s="59" cm="1">
        <f t="array" aca="1" ref="S33" ca="1">IF(INDIRECT($A33&amp;"!E43")="Per Unit",SUM((INDIRECT($A33&amp;"!F69:T69"))),SUM((INDIRECT($A33&amp;"!F97:T97"))))</f>
        <v>0</v>
      </c>
      <c r="T33" s="461" cm="1">
        <f t="array" aca="1" ref="T33" ca="1">IF(INDIRECT($A33&amp;"!E43")="Per Unit",SUM((INDIRECT($A33&amp;"!F70:T70"))),SUM((INDIRECT($A33&amp;"!F98:T98"))))</f>
        <v>0</v>
      </c>
    </row>
    <row r="34" spans="1:20" x14ac:dyDescent="0.35">
      <c r="A34" s="444" t="s">
        <v>195</v>
      </c>
      <c r="B34" s="460" cm="1">
        <f t="array" aca="1" ref="B34" ca="1">IF(INDIRECT($A34&amp;"!E43")="Per Unit",SUM((INDIRECT($A34&amp;"!F46:T46"))),SUM((INDIRECT($A34&amp;"!F74:T74"))))</f>
        <v>0</v>
      </c>
      <c r="C34" s="59" cm="1">
        <f t="array" aca="1" ref="C34" ca="1">IF(INDIRECT($A34&amp;"!E43")="Per Unit",SUM((INDIRECT($A34&amp;"!F47:T47"))),SUM((INDIRECT($A34&amp;"!F75:T75"))))</f>
        <v>0</v>
      </c>
      <c r="D34" s="59" cm="1">
        <f t="array" aca="1" ref="D34" ca="1">IF(INDIRECT($A34&amp;"!E43")="Per Unit",SUM((INDIRECT($A34&amp;"!F48:T48"))),SUM((INDIRECT($A34&amp;"!F76:T76"))))</f>
        <v>0</v>
      </c>
      <c r="E34" s="75" cm="1">
        <f t="array" aca="1" ref="E34" ca="1">IF(INDIRECT($A34&amp;"!E43")="Per Unit",SUM((INDIRECT($A34&amp;"!F49:T49"))),SUM((INDIRECT($A34&amp;"!F77:T77"))))</f>
        <v>0</v>
      </c>
      <c r="F34" s="59" cm="1">
        <f t="array" aca="1" ref="F34" ca="1">IF(INDIRECT($A34&amp;"!E43")="Per Unit",SUM((INDIRECT($A34&amp;"!F52:T52"))),SUM((INDIRECT($A34&amp;"!F80:T80"))))</f>
        <v>0</v>
      </c>
      <c r="G34" s="59" cm="1">
        <f t="array" aca="1" ref="G34" ca="1">IF(INDIRECT($A34&amp;"!E43")="Per Unit",SUM((INDIRECT($A34&amp;"!F53:T53"))),SUM((INDIRECT($A34&amp;"!F81:T81"))))</f>
        <v>381875</v>
      </c>
      <c r="H34" s="59" cm="1">
        <f t="array" aca="1" ref="H34" ca="1">IF(INDIRECT($A34&amp;"!E43")="Per Unit",SUM((INDIRECT($A34&amp;"!F54:T54"))),SUM((INDIRECT($A34&amp;"!F82:T82"))))</f>
        <v>0</v>
      </c>
      <c r="I34" s="59" cm="1">
        <f t="array" aca="1" ref="I34" ca="1">IF(INDIRECT($A34&amp;"!E43")="Per Unit",SUM((INDIRECT($A34&amp;"!F55:T55"))),SUM((INDIRECT($A34&amp;"!F83:T83"))))</f>
        <v>0</v>
      </c>
      <c r="J34" s="59" cm="1">
        <f t="array" aca="1" ref="J34" ca="1">IF(INDIRECT($A34&amp;"!E43")="Per Unit",SUM((INDIRECT($A34&amp;"!F56:T56"))),SUM((INDIRECT($A34&amp;"!F84:T84"))))</f>
        <v>1100000</v>
      </c>
      <c r="K34" s="75" cm="1">
        <f t="array" aca="1" ref="K34" ca="1">IF(INDIRECT($A34&amp;"!E43")="Per Unit",SUM((INDIRECT($A34&amp;"!F57:T57"))),SUM((INDIRECT($A34&amp;"!F85:T85"))))</f>
        <v>0</v>
      </c>
      <c r="L34" s="59" cm="1">
        <f t="array" aca="1" ref="L34" ca="1">IF(INDIRECT($A34&amp;"!E43")="Per Unit",SUM((INDIRECT($A34&amp;"!F60:T60"))),SUM((INDIRECT($A34&amp;"!F88:T88"))))</f>
        <v>0</v>
      </c>
      <c r="M34" s="75" cm="1">
        <f t="array" aca="1" ref="M34" ca="1">IF(INDIRECT($A34&amp;"!E43")="Per Unit",SUM((INDIRECT($A34&amp;"!F61:T61"))),SUM((INDIRECT($A34&amp;"!F89:T89"))))</f>
        <v>0</v>
      </c>
      <c r="N34" s="59" cm="1">
        <f t="array" aca="1" ref="N34" ca="1">IF(INDIRECT($A34&amp;"!E43")="Per Unit",SUM((INDIRECT($A34&amp;"!F64:T64"))),SUM((INDIRECT($A34&amp;"!F92:T92"))))</f>
        <v>0</v>
      </c>
      <c r="O34" s="59" cm="1">
        <f t="array" aca="1" ref="O34" ca="1">IF(INDIRECT($A34&amp;"!E43")="Per Unit",SUM((INDIRECT($A34&amp;"!F65:T65"))),SUM((INDIRECT($A34&amp;"!F93:T93"))))</f>
        <v>0</v>
      </c>
      <c r="P34" s="59" cm="1">
        <f t="array" aca="1" ref="P34" ca="1">IF(INDIRECT($A34&amp;"!E43")="Per Unit",SUM((INDIRECT($A34&amp;"!F66:T66"))),SUM((INDIRECT($A34&amp;"!F94:T94"))))</f>
        <v>1552500</v>
      </c>
      <c r="Q34" s="59" cm="1">
        <f t="array" aca="1" ref="Q34" ca="1">IF(INDIRECT($A34&amp;"!E43")="Per Unit",SUM((INDIRECT($A34&amp;"!F67:T67"))),SUM((INDIRECT($A34&amp;"!F95:T95"))))</f>
        <v>0</v>
      </c>
      <c r="R34" s="59" cm="1">
        <f t="array" aca="1" ref="R34" ca="1">IF(INDIRECT($A34&amp;"!E43")="Per Unit",SUM((INDIRECT($A34&amp;"!F68:T68"))),SUM((INDIRECT($A34&amp;"!F96:T96"))))</f>
        <v>56250</v>
      </c>
      <c r="S34" s="59" cm="1">
        <f t="array" aca="1" ref="S34" ca="1">IF(INDIRECT($A34&amp;"!E43")="Per Unit",SUM((INDIRECT($A34&amp;"!F69:T69"))),SUM((INDIRECT($A34&amp;"!F97:T97"))))</f>
        <v>0</v>
      </c>
      <c r="T34" s="461" cm="1">
        <f t="array" aca="1" ref="T34" ca="1">IF(INDIRECT($A34&amp;"!E43")="Per Unit",SUM((INDIRECT($A34&amp;"!F70:T70"))),SUM((INDIRECT($A34&amp;"!F98:T98"))))</f>
        <v>0</v>
      </c>
    </row>
    <row r="35" spans="1:20" x14ac:dyDescent="0.35">
      <c r="A35" s="444" t="s">
        <v>196</v>
      </c>
      <c r="B35" s="460" cm="1">
        <f t="array" aca="1" ref="B35" ca="1">IF(INDIRECT($A35&amp;"!E43")="Per Unit",SUM((INDIRECT($A35&amp;"!F46:T46"))),SUM((INDIRECT($A35&amp;"!F74:T74"))))</f>
        <v>255464.61481604207</v>
      </c>
      <c r="C35" s="59" cm="1">
        <f t="array" aca="1" ref="C35" ca="1">IF(INDIRECT($A35&amp;"!E43")="Per Unit",SUM((INDIRECT($A35&amp;"!F47:T47"))),SUM((INDIRECT($A35&amp;"!F75:T75"))))</f>
        <v>0</v>
      </c>
      <c r="D35" s="59" cm="1">
        <f t="array" aca="1" ref="D35" ca="1">IF(INDIRECT($A35&amp;"!E43")="Per Unit",SUM((INDIRECT($A35&amp;"!F48:T48"))),SUM((INDIRECT($A35&amp;"!F76:T76"))))</f>
        <v>0</v>
      </c>
      <c r="E35" s="75" cm="1">
        <f t="array" aca="1" ref="E35" ca="1">IF(INDIRECT($A35&amp;"!E43")="Per Unit",SUM((INDIRECT($A35&amp;"!F49:T49"))),SUM((INDIRECT($A35&amp;"!F77:T77"))))</f>
        <v>0</v>
      </c>
      <c r="F35" s="59" cm="1">
        <f t="array" aca="1" ref="F35" ca="1">IF(INDIRECT($A35&amp;"!E43")="Per Unit",SUM((INDIRECT($A35&amp;"!F52:T52"))),SUM((INDIRECT($A35&amp;"!F80:T80"))))</f>
        <v>0</v>
      </c>
      <c r="G35" s="59" cm="1">
        <f t="array" aca="1" ref="G35" ca="1">IF(INDIRECT($A35&amp;"!E43")="Per Unit",SUM((INDIRECT($A35&amp;"!F53:T53"))),SUM((INDIRECT($A35&amp;"!F81:T81"))))</f>
        <v>0</v>
      </c>
      <c r="H35" s="59" cm="1">
        <f t="array" aca="1" ref="H35" ca="1">IF(INDIRECT($A35&amp;"!E43")="Per Unit",SUM((INDIRECT($A35&amp;"!F54:T54"))),SUM((INDIRECT($A35&amp;"!F82:T82"))))</f>
        <v>0</v>
      </c>
      <c r="I35" s="59" cm="1">
        <f t="array" aca="1" ref="I35" ca="1">IF(INDIRECT($A35&amp;"!E43")="Per Unit",SUM((INDIRECT($A35&amp;"!F55:T55"))),SUM((INDIRECT($A35&amp;"!F83:T83"))))</f>
        <v>1067500</v>
      </c>
      <c r="J35" s="59" cm="1">
        <f t="array" aca="1" ref="J35" ca="1">IF(INDIRECT($A35&amp;"!E43")="Per Unit",SUM((INDIRECT($A35&amp;"!F56:T56"))),SUM((INDIRECT($A35&amp;"!F84:T84"))))</f>
        <v>0</v>
      </c>
      <c r="K35" s="75" cm="1">
        <f t="array" aca="1" ref="K35" ca="1">IF(INDIRECT($A35&amp;"!E43")="Per Unit",SUM((INDIRECT($A35&amp;"!F57:T57"))),SUM((INDIRECT($A35&amp;"!F85:T85"))))</f>
        <v>0</v>
      </c>
      <c r="L35" s="59" cm="1">
        <f t="array" aca="1" ref="L35" ca="1">IF(INDIRECT($A35&amp;"!E43")="Per Unit",SUM((INDIRECT($A35&amp;"!F60:T60"))),SUM((INDIRECT($A35&amp;"!F88:T88"))))</f>
        <v>0</v>
      </c>
      <c r="M35" s="75" cm="1">
        <f t="array" aca="1" ref="M35" ca="1">IF(INDIRECT($A35&amp;"!E43")="Per Unit",SUM((INDIRECT($A35&amp;"!F61:T61"))),SUM((INDIRECT($A35&amp;"!F89:T89"))))</f>
        <v>0</v>
      </c>
      <c r="N35" s="59" cm="1">
        <f t="array" aca="1" ref="N35" ca="1">IF(INDIRECT($A35&amp;"!E43")="Per Unit",SUM((INDIRECT($A35&amp;"!F64:T64"))),SUM((INDIRECT($A35&amp;"!F92:T92"))))</f>
        <v>0</v>
      </c>
      <c r="O35" s="59" cm="1">
        <f t="array" aca="1" ref="O35" ca="1">IF(INDIRECT($A35&amp;"!E43")="Per Unit",SUM((INDIRECT($A35&amp;"!F65:T65"))),SUM((INDIRECT($A35&amp;"!F93:T93"))))</f>
        <v>0</v>
      </c>
      <c r="P35" s="59" cm="1">
        <f t="array" aca="1" ref="P35" ca="1">IF(INDIRECT($A35&amp;"!E43")="Per Unit",SUM((INDIRECT($A35&amp;"!F66:T66"))),SUM((INDIRECT($A35&amp;"!F94:T94"))))</f>
        <v>0</v>
      </c>
      <c r="Q35" s="59" cm="1">
        <f t="array" aca="1" ref="Q35" ca="1">IF(INDIRECT($A35&amp;"!E43")="Per Unit",SUM((INDIRECT($A35&amp;"!F67:T67"))),SUM((INDIRECT($A35&amp;"!F95:T95"))))</f>
        <v>0</v>
      </c>
      <c r="R35" s="59" cm="1">
        <f t="array" aca="1" ref="R35" ca="1">IF(INDIRECT($A35&amp;"!E43")="Per Unit",SUM((INDIRECT($A35&amp;"!F68:T68"))),SUM((INDIRECT($A35&amp;"!F96:T96"))))</f>
        <v>0</v>
      </c>
      <c r="S35" s="59" cm="1">
        <f t="array" aca="1" ref="S35" ca="1">IF(INDIRECT($A35&amp;"!E43")="Per Unit",SUM((INDIRECT($A35&amp;"!F69:T69"))),SUM((INDIRECT($A35&amp;"!F97:T97"))))</f>
        <v>0</v>
      </c>
      <c r="T35" s="461" cm="1">
        <f t="array" aca="1" ref="T35" ca="1">IF(INDIRECT($A35&amp;"!E43")="Per Unit",SUM((INDIRECT($A35&amp;"!F70:T70"))),SUM((INDIRECT($A35&amp;"!F98:T98"))))</f>
        <v>0</v>
      </c>
    </row>
    <row r="36" spans="1:20" x14ac:dyDescent="0.35">
      <c r="A36" s="444" t="s">
        <v>197</v>
      </c>
      <c r="B36" s="460" cm="1">
        <f t="array" aca="1" ref="B36" ca="1">IF(INDIRECT($A36&amp;"!E43")="Per Unit",SUM((INDIRECT($A36&amp;"!F46:T46"))),SUM((INDIRECT($A36&amp;"!F74:T74"))))</f>
        <v>1040105.9317510284</v>
      </c>
      <c r="C36" s="59" cm="1">
        <f t="array" aca="1" ref="C36" ca="1">IF(INDIRECT($A36&amp;"!E43")="Per Unit",SUM((INDIRECT($A36&amp;"!F47:T47"))),SUM((INDIRECT($A36&amp;"!F75:T75"))))</f>
        <v>0</v>
      </c>
      <c r="D36" s="59" cm="1">
        <f t="array" aca="1" ref="D36" ca="1">IF(INDIRECT($A36&amp;"!E43")="Per Unit",SUM((INDIRECT($A36&amp;"!F48:T48"))),SUM((INDIRECT($A36&amp;"!F76:T76"))))</f>
        <v>0</v>
      </c>
      <c r="E36" s="75" cm="1">
        <f t="array" aca="1" ref="E36" ca="1">IF(INDIRECT($A36&amp;"!E43")="Per Unit",SUM((INDIRECT($A36&amp;"!F49:T49"))),SUM((INDIRECT($A36&amp;"!F77:T77"))))</f>
        <v>896300.8695497975</v>
      </c>
      <c r="F36" s="59" cm="1">
        <f t="array" aca="1" ref="F36" ca="1">IF(INDIRECT($A36&amp;"!E43")="Per Unit",SUM((INDIRECT($A36&amp;"!F52:T52"))),SUM((INDIRECT($A36&amp;"!F80:T80"))))</f>
        <v>0</v>
      </c>
      <c r="G36" s="59" cm="1">
        <f t="array" aca="1" ref="G36" ca="1">IF(INDIRECT($A36&amp;"!E43")="Per Unit",SUM((INDIRECT($A36&amp;"!F53:T53"))),SUM((INDIRECT($A36&amp;"!F81:T81"))))</f>
        <v>0</v>
      </c>
      <c r="H36" s="59" cm="1">
        <f t="array" aca="1" ref="H36" ca="1">IF(INDIRECT($A36&amp;"!E43")="Per Unit",SUM((INDIRECT($A36&amp;"!F54:T54"))),SUM((INDIRECT($A36&amp;"!F82:T82"))))</f>
        <v>0</v>
      </c>
      <c r="I36" s="59" cm="1">
        <f t="array" aca="1" ref="I36" ca="1">IF(INDIRECT($A36&amp;"!E43")="Per Unit",SUM((INDIRECT($A36&amp;"!F55:T55"))),SUM((INDIRECT($A36&amp;"!F83:T83"))))</f>
        <v>434625</v>
      </c>
      <c r="J36" s="59" cm="1">
        <f t="array" aca="1" ref="J36" ca="1">IF(INDIRECT($A36&amp;"!E43")="Per Unit",SUM((INDIRECT($A36&amp;"!F56:T56"))),SUM((INDIRECT($A36&amp;"!F84:T84"))))</f>
        <v>0</v>
      </c>
      <c r="K36" s="75" cm="1">
        <f t="array" aca="1" ref="K36" ca="1">IF(INDIRECT($A36&amp;"!E43")="Per Unit",SUM((INDIRECT($A36&amp;"!F57:T57"))),SUM((INDIRECT($A36&amp;"!F85:T85"))))</f>
        <v>0</v>
      </c>
      <c r="L36" s="59" cm="1">
        <f t="array" aca="1" ref="L36" ca="1">IF(INDIRECT($A36&amp;"!E43")="Per Unit",SUM((INDIRECT($A36&amp;"!F60:T60"))),SUM((INDIRECT($A36&amp;"!F88:T88"))))</f>
        <v>0</v>
      </c>
      <c r="M36" s="75" cm="1">
        <f t="array" aca="1" ref="M36" ca="1">IF(INDIRECT($A36&amp;"!E43")="Per Unit",SUM((INDIRECT($A36&amp;"!F61:T61"))),SUM((INDIRECT($A36&amp;"!F89:T89"))))</f>
        <v>320625</v>
      </c>
      <c r="N36" s="59" cm="1">
        <f t="array" aca="1" ref="N36" ca="1">IF(INDIRECT($A36&amp;"!E43")="Per Unit",SUM((INDIRECT($A36&amp;"!F64:T64"))),SUM((INDIRECT($A36&amp;"!F92:T92"))))</f>
        <v>1346625</v>
      </c>
      <c r="O36" s="59" cm="1">
        <f t="array" aca="1" ref="O36" ca="1">IF(INDIRECT($A36&amp;"!E43")="Per Unit",SUM((INDIRECT($A36&amp;"!F65:T65"))),SUM((INDIRECT($A36&amp;"!F93:T93"))))</f>
        <v>0</v>
      </c>
      <c r="P36" s="59" cm="1">
        <f t="array" aca="1" ref="P36" ca="1">IF(INDIRECT($A36&amp;"!E43")="Per Unit",SUM((INDIRECT($A36&amp;"!F66:T66"))),SUM((INDIRECT($A36&amp;"!F94:T94"))))</f>
        <v>0</v>
      </c>
      <c r="Q36" s="59" cm="1">
        <f t="array" aca="1" ref="Q36" ca="1">IF(INDIRECT($A36&amp;"!E43")="Per Unit",SUM((INDIRECT($A36&amp;"!F67:T67"))),SUM((INDIRECT($A36&amp;"!F95:T95"))))</f>
        <v>0</v>
      </c>
      <c r="R36" s="59" cm="1">
        <f t="array" aca="1" ref="R36" ca="1">IF(INDIRECT($A36&amp;"!E43")="Per Unit",SUM((INDIRECT($A36&amp;"!F68:T68"))),SUM((INDIRECT($A36&amp;"!F96:T96"))))</f>
        <v>0</v>
      </c>
      <c r="S36" s="59" cm="1">
        <f t="array" aca="1" ref="S36" ca="1">IF(INDIRECT($A36&amp;"!E43")="Per Unit",SUM((INDIRECT($A36&amp;"!F69:T69"))),SUM((INDIRECT($A36&amp;"!F97:T97"))))</f>
        <v>0</v>
      </c>
      <c r="T36" s="461" cm="1">
        <f t="array" aca="1" ref="T36" ca="1">IF(INDIRECT($A36&amp;"!E43")="Per Unit",SUM((INDIRECT($A36&amp;"!F70:T70"))),SUM((INDIRECT($A36&amp;"!F98:T98"))))</f>
        <v>0</v>
      </c>
    </row>
    <row r="37" spans="1:20" ht="15" thickBot="1" x14ac:dyDescent="0.4">
      <c r="A37" s="445" t="s">
        <v>198</v>
      </c>
      <c r="B37" s="462" cm="1">
        <f t="array" aca="1" ref="B37" ca="1">IF(INDIRECT($A37&amp;"!E43")="Per Unit",SUM((INDIRECT($A37&amp;"!F46:T46"))),SUM((INDIRECT($A37&amp;"!F74:T74"))))</f>
        <v>0</v>
      </c>
      <c r="C37" s="463" cm="1">
        <f t="array" aca="1" ref="C37" ca="1">IF(INDIRECT($A37&amp;"!E43")="Per Unit",SUM((INDIRECT($A37&amp;"!F47:T47"))),SUM((INDIRECT($A37&amp;"!F75:T75"))))</f>
        <v>0</v>
      </c>
      <c r="D37" s="463" cm="1">
        <f t="array" aca="1" ref="D37" ca="1">IF(INDIRECT($A37&amp;"!E43")="Per Unit",SUM((INDIRECT($A37&amp;"!F48:T48"))),SUM((INDIRECT($A37&amp;"!F76:T76"))))</f>
        <v>156925.60292585689</v>
      </c>
      <c r="E37" s="466" cm="1">
        <f t="array" aca="1" ref="E37" ca="1">IF(INDIRECT($A37&amp;"!E43")="Per Unit",SUM((INDIRECT($A37&amp;"!F49:T49"))),SUM((INDIRECT($A37&amp;"!F77:T77"))))</f>
        <v>0</v>
      </c>
      <c r="F37" s="463" cm="1">
        <f t="array" aca="1" ref="F37" ca="1">IF(INDIRECT($A37&amp;"!E43")="Per Unit",SUM((INDIRECT($A37&amp;"!F52:T52"))),SUM((INDIRECT($A37&amp;"!F80:T80"))))</f>
        <v>0</v>
      </c>
      <c r="G37" s="463" cm="1">
        <f t="array" aca="1" ref="G37" ca="1">IF(INDIRECT($A37&amp;"!E43")="Per Unit",SUM((INDIRECT($A37&amp;"!F53:T53"))),SUM((INDIRECT($A37&amp;"!F81:T81"))))</f>
        <v>0</v>
      </c>
      <c r="H37" s="463" cm="1">
        <f t="array" aca="1" ref="H37" ca="1">IF(INDIRECT($A37&amp;"!E43")="Per Unit",SUM((INDIRECT($A37&amp;"!F54:T54"))),SUM((INDIRECT($A37&amp;"!F82:T82"))))</f>
        <v>0</v>
      </c>
      <c r="I37" s="463" cm="1">
        <f t="array" aca="1" ref="I37" ca="1">IF(INDIRECT($A37&amp;"!E43")="Per Unit",SUM((INDIRECT($A37&amp;"!F55:T55"))),SUM((INDIRECT($A37&amp;"!F83:T83"))))</f>
        <v>0</v>
      </c>
      <c r="J37" s="463" cm="1">
        <f t="array" aca="1" ref="J37" ca="1">IF(INDIRECT($A37&amp;"!E43")="Per Unit",SUM((INDIRECT($A37&amp;"!F56:T56"))),SUM((INDIRECT($A37&amp;"!F84:T84"))))</f>
        <v>0</v>
      </c>
      <c r="K37" s="466" cm="1">
        <f t="array" aca="1" ref="K37" ca="1">IF(INDIRECT($A37&amp;"!E43")="Per Unit",SUM((INDIRECT($A37&amp;"!F57:T57"))),SUM((INDIRECT($A37&amp;"!F85:T85"))))</f>
        <v>0</v>
      </c>
      <c r="L37" s="463" cm="1">
        <f t="array" aca="1" ref="L37" ca="1">IF(INDIRECT($A37&amp;"!E43")="Per Unit",SUM((INDIRECT($A37&amp;"!F60:T60"))),SUM((INDIRECT($A37&amp;"!F88:T88"))))</f>
        <v>3026100</v>
      </c>
      <c r="M37" s="466" cm="1">
        <f t="array" aca="1" ref="M37" ca="1">IF(INDIRECT($A37&amp;"!E43")="Per Unit",SUM((INDIRECT($A37&amp;"!F61:T61"))),SUM((INDIRECT($A37&amp;"!F89:T89"))))</f>
        <v>0</v>
      </c>
      <c r="N37" s="463" cm="1">
        <f t="array" aca="1" ref="N37" ca="1">IF(INDIRECT($A37&amp;"!E43")="Per Unit",SUM((INDIRECT($A37&amp;"!F64:T64"))),SUM((INDIRECT($A37&amp;"!F92:T92"))))</f>
        <v>0</v>
      </c>
      <c r="O37" s="463" cm="1">
        <f t="array" aca="1" ref="O37" ca="1">IF(INDIRECT($A37&amp;"!E43")="Per Unit",SUM((INDIRECT($A37&amp;"!F65:T65"))),SUM((INDIRECT($A37&amp;"!F93:T93"))))</f>
        <v>0</v>
      </c>
      <c r="P37" s="463" cm="1">
        <f t="array" aca="1" ref="P37" ca="1">IF(INDIRECT($A37&amp;"!E43")="Per Unit",SUM((INDIRECT($A37&amp;"!F66:T66"))),SUM((INDIRECT($A37&amp;"!F94:T94"))))</f>
        <v>0</v>
      </c>
      <c r="Q37" s="463" cm="1">
        <f t="array" aca="1" ref="Q37" ca="1">IF(INDIRECT($A37&amp;"!E43")="Per Unit",SUM((INDIRECT($A37&amp;"!F67:T67"))),SUM((INDIRECT($A37&amp;"!F95:T95"))))</f>
        <v>0</v>
      </c>
      <c r="R37" s="463" cm="1">
        <f t="array" aca="1" ref="R37" ca="1">IF(INDIRECT($A37&amp;"!E43")="Per Unit",SUM((INDIRECT($A37&amp;"!F68:T68"))),SUM((INDIRECT($A37&amp;"!F96:T96"))))</f>
        <v>924000</v>
      </c>
      <c r="S37" s="463" cm="1">
        <f t="array" aca="1" ref="S37" ca="1">IF(INDIRECT($A37&amp;"!E43")="Per Unit",SUM((INDIRECT($A37&amp;"!F69:T69"))),SUM((INDIRECT($A37&amp;"!F97:T97"))))</f>
        <v>0</v>
      </c>
      <c r="T37" s="464" cm="1">
        <f t="array" aca="1" ref="T37" ca="1">IF(INDIRECT($A37&amp;"!E43")="Per Unit",SUM((INDIRECT($A37&amp;"!F70:T70"))),SUM((INDIRECT($A37&amp;"!F98:T98"))))</f>
        <v>0</v>
      </c>
    </row>
    <row r="38" spans="1:20" ht="15" thickBot="1" x14ac:dyDescent="0.4">
      <c r="A38" s="433"/>
      <c r="B38" s="446">
        <f t="shared" ref="B38:T38" ca="1" si="0">SUM(B7:B37)</f>
        <v>9222478.463779483</v>
      </c>
      <c r="C38" s="446">
        <f t="shared" ca="1" si="0"/>
        <v>8977244.3502545692</v>
      </c>
      <c r="D38" s="446">
        <f t="shared" ca="1" si="0"/>
        <v>1277851.5076348947</v>
      </c>
      <c r="E38" s="447">
        <f t="shared" ca="1" si="0"/>
        <v>6394943.410557121</v>
      </c>
      <c r="F38" s="446">
        <f t="shared" ca="1" si="0"/>
        <v>2807800</v>
      </c>
      <c r="G38" s="446">
        <f t="shared" ca="1" si="0"/>
        <v>11215375</v>
      </c>
      <c r="H38" s="446">
        <f t="shared" ca="1" si="0"/>
        <v>2731417.3333333335</v>
      </c>
      <c r="I38" s="446">
        <f t="shared" ca="1" si="0"/>
        <v>9127125</v>
      </c>
      <c r="J38" s="446">
        <f t="shared" ca="1" si="0"/>
        <v>4972000</v>
      </c>
      <c r="K38" s="447">
        <f t="shared" ca="1" si="0"/>
        <v>2034333.3333333333</v>
      </c>
      <c r="L38" s="446">
        <f t="shared" ca="1" si="0"/>
        <v>5475800</v>
      </c>
      <c r="M38" s="447">
        <f t="shared" ca="1" si="0"/>
        <v>7307125</v>
      </c>
      <c r="N38" s="446">
        <f t="shared" ca="1" si="0"/>
        <v>54040245</v>
      </c>
      <c r="O38" s="446">
        <f t="shared" ca="1" si="0"/>
        <v>0</v>
      </c>
      <c r="P38" s="446">
        <f t="shared" ca="1" si="0"/>
        <v>7245000</v>
      </c>
      <c r="Q38" s="446">
        <f t="shared" ca="1" si="0"/>
        <v>0</v>
      </c>
      <c r="R38" s="446">
        <f t="shared" ca="1" si="0"/>
        <v>28991450</v>
      </c>
      <c r="S38" s="446">
        <f t="shared" ca="1" si="0"/>
        <v>25270500</v>
      </c>
      <c r="T38" s="446">
        <f t="shared" ca="1" si="0"/>
        <v>110880</v>
      </c>
    </row>
    <row r="39" spans="1:20" ht="15" thickTop="1" x14ac:dyDescent="0.35">
      <c r="B39" s="470">
        <f ca="1">SUM(B38:E38)</f>
        <v>25872517.732226066</v>
      </c>
      <c r="C39" s="470"/>
      <c r="D39" s="470"/>
      <c r="E39" s="488"/>
      <c r="F39" s="489">
        <f ca="1">SUM(F38:K38)</f>
        <v>32888050.666666668</v>
      </c>
      <c r="G39" s="470"/>
      <c r="H39" s="470"/>
      <c r="I39" s="470"/>
      <c r="J39" s="470"/>
      <c r="K39" s="488"/>
      <c r="L39" s="489">
        <f ca="1">SUM(L38:M38)</f>
        <v>12782925</v>
      </c>
      <c r="M39" s="488"/>
      <c r="N39" s="489">
        <f ca="1">SUM(N38:T38)</f>
        <v>115658075</v>
      </c>
      <c r="O39" s="470"/>
      <c r="P39" s="470"/>
      <c r="Q39" s="470"/>
      <c r="R39" s="470"/>
      <c r="S39" s="470"/>
      <c r="T39" s="470"/>
    </row>
    <row r="40" spans="1:20" x14ac:dyDescent="0.35">
      <c r="B40" s="289"/>
    </row>
    <row r="42" spans="1:20" ht="15.5" x14ac:dyDescent="0.35">
      <c r="A42" s="492"/>
      <c r="B42" s="564" t="s">
        <v>214</v>
      </c>
      <c r="C42" s="564"/>
      <c r="D42" s="564"/>
      <c r="E42" s="564"/>
      <c r="F42" s="564"/>
      <c r="G42" s="564"/>
      <c r="H42" s="564"/>
      <c r="I42" s="564"/>
      <c r="J42" s="564"/>
      <c r="K42" s="564"/>
      <c r="L42" s="564"/>
      <c r="M42" s="564"/>
      <c r="N42" s="564"/>
      <c r="O42" s="564"/>
      <c r="P42" s="564"/>
      <c r="Q42" s="564"/>
      <c r="R42" s="564"/>
      <c r="S42" s="564"/>
      <c r="T42" s="565"/>
    </row>
    <row r="43" spans="1:20" ht="16" thickBot="1" x14ac:dyDescent="0.4">
      <c r="A43" s="492"/>
      <c r="B43" s="566" t="s">
        <v>50</v>
      </c>
      <c r="C43" s="567"/>
      <c r="D43" s="567"/>
      <c r="E43" s="567"/>
      <c r="F43" s="566" t="s">
        <v>55</v>
      </c>
      <c r="G43" s="567"/>
      <c r="H43" s="567"/>
      <c r="I43" s="567"/>
      <c r="J43" s="567"/>
      <c r="K43" s="567"/>
      <c r="L43" s="566" t="s">
        <v>62</v>
      </c>
      <c r="M43" s="567"/>
      <c r="N43" s="566" t="s">
        <v>65</v>
      </c>
      <c r="O43" s="567"/>
      <c r="P43" s="567"/>
      <c r="Q43" s="567"/>
      <c r="R43" s="567"/>
      <c r="S43" s="567"/>
      <c r="T43" s="567"/>
    </row>
    <row r="44" spans="1:20" ht="32" thickBot="1" x14ac:dyDescent="0.4">
      <c r="A44" s="492"/>
      <c r="B44" s="288" t="s">
        <v>51</v>
      </c>
      <c r="C44" s="288" t="s">
        <v>52</v>
      </c>
      <c r="D44" s="288" t="s">
        <v>53</v>
      </c>
      <c r="E44" s="288" t="s">
        <v>54</v>
      </c>
      <c r="F44" s="374" t="s">
        <v>56</v>
      </c>
      <c r="G44" s="374" t="s">
        <v>57</v>
      </c>
      <c r="H44" s="374" t="s">
        <v>58</v>
      </c>
      <c r="I44" s="374" t="s">
        <v>59</v>
      </c>
      <c r="J44" s="374" t="s">
        <v>60</v>
      </c>
      <c r="K44" s="374" t="s">
        <v>61</v>
      </c>
      <c r="L44" s="374" t="s">
        <v>63</v>
      </c>
      <c r="M44" s="374" t="s">
        <v>64</v>
      </c>
      <c r="N44" s="374" t="s">
        <v>66</v>
      </c>
      <c r="O44" s="374" t="s">
        <v>67</v>
      </c>
      <c r="P44" s="374" t="s">
        <v>68</v>
      </c>
      <c r="Q44" s="374" t="s">
        <v>69</v>
      </c>
      <c r="R44" s="374" t="s">
        <v>70</v>
      </c>
      <c r="S44" s="374" t="s">
        <v>71</v>
      </c>
      <c r="T44" s="375" t="s">
        <v>72</v>
      </c>
    </row>
    <row r="45" spans="1:20" x14ac:dyDescent="0.35">
      <c r="A45" s="443" t="s">
        <v>168</v>
      </c>
      <c r="B45" s="449" cm="1">
        <f t="array" aca="1" ref="B45" ca="1">IF(INDIRECT($A7&amp;"!E43")="Per Unit",NPV('Inputs and assumptions'!$C$5,(INDIRECT($A7&amp;"!F46:T46"))),NPV('Inputs and assumptions'!$C$5,(INDIRECT($A7&amp;"!F74:T74"))))</f>
        <v>681357.1871982374</v>
      </c>
      <c r="C45" s="450" cm="1">
        <f t="array" aca="1" ref="C45" ca="1">IF(INDIRECT($A7&amp;"!E43")="Per Unit",NPV('Inputs and assumptions'!$C$5,(INDIRECT($A7&amp;"!F47:T47"))),NPV('Inputs and assumptions'!$C$5,(INDIRECT($A7&amp;"!F75:T75"))))</f>
        <v>490021.47562039975</v>
      </c>
      <c r="D45" s="450" cm="1">
        <f t="array" aca="1" ref="D45" ca="1">IF(INDIRECT($A7&amp;"!E43")="Per Unit",NPV('Inputs and assumptions'!$C$5,(INDIRECT($A7&amp;"!F48:T48"))),NPV('Inputs and assumptions'!$C$5,(INDIRECT($A7&amp;"!F76:T76"))))</f>
        <v>95122.929688096541</v>
      </c>
      <c r="E45" s="467" cm="1">
        <f t="array" aca="1" ref="E45" ca="1">IF(INDIRECT($A7&amp;"!E43")="Per Unit",NPV('Inputs and assumptions'!$C$5,(INDIRECT($A7&amp;"!F49:T49"))),NPV('Inputs and assumptions'!$C$5,(INDIRECT($A7&amp;"!F77:T77"))))</f>
        <v>587152.73196419864</v>
      </c>
      <c r="F45" s="450" cm="1">
        <f t="array" aca="1" ref="F45" ca="1">IF(INDIRECT($A7&amp;"!E43")="Per Unit",NPV('Inputs and assumptions'!$C$5,(INDIRECT($A7&amp;"!F52:T52"))),NPV('Inputs and assumptions'!$C$5,(INDIRECT($A7&amp;"!F80:T80"))))</f>
        <v>0</v>
      </c>
      <c r="G45" s="450" cm="1">
        <f t="array" aca="1" ref="G45" ca="1">IF(INDIRECT($A7&amp;"!E43")="Per Unit",NPV('Inputs and assumptions'!$C$5,(INDIRECT($A7&amp;"!F53:T53"))),NPV('Inputs and assumptions'!$C$5,(INDIRECT($A7&amp;"!F81:T81"))))</f>
        <v>0</v>
      </c>
      <c r="H45" s="450" cm="1">
        <f t="array" aca="1" ref="H45" ca="1">IF(INDIRECT($A7&amp;"!E43")="Per Unit",NPV('Inputs and assumptions'!$C$5,(INDIRECT($A7&amp;"!F54:T54"))),NPV('Inputs and assumptions'!$C$5,(INDIRECT($A7&amp;"!F82:T82"))))</f>
        <v>0</v>
      </c>
      <c r="I45" s="450" cm="1">
        <f t="array" aca="1" ref="I45" ca="1">IF(INDIRECT($A7&amp;"!E43")="Per Unit",NPV('Inputs and assumptions'!$C$5,(INDIRECT($A7&amp;"!F55:T55"))),NPV('Inputs and assumptions'!$C$5,(INDIRECT($A7&amp;"!F83:T83"))))</f>
        <v>0</v>
      </c>
      <c r="J45" s="450" cm="1">
        <f t="array" aca="1" ref="J45" ca="1">IF(INDIRECT($A7&amp;"!E43")="Per Unit",NPV('Inputs and assumptions'!$C$5,(INDIRECT($A7&amp;"!F56:T56"))),NPV('Inputs and assumptions'!$C$5,(INDIRECT($A7&amp;"!F84:T84"))))</f>
        <v>0</v>
      </c>
      <c r="K45" s="467" cm="1">
        <f t="array" aca="1" ref="K45" ca="1">IF(INDIRECT($A7&amp;"!E43")="Per Unit",NPV('Inputs and assumptions'!$C$5,(INDIRECT($A7&amp;"!F57:T57"))),NPV('Inputs and assumptions'!$C$5,(INDIRECT($A7&amp;"!F85:T85"))))</f>
        <v>793470.99925146543</v>
      </c>
      <c r="L45" s="450" cm="1">
        <f t="array" aca="1" ref="L45" ca="1">IF(INDIRECT($A7&amp;"!E43")="Per Unit",NPV('Inputs and assumptions'!$C$5,(INDIRECT($A7&amp;"!F60:T60"))),NPV('Inputs and assumptions'!$C$5,(INDIRECT($A7&amp;"!F88:T88"))))</f>
        <v>0</v>
      </c>
      <c r="M45" s="467" cm="1">
        <f t="array" aca="1" ref="M45" ca="1">IF(INDIRECT($A7&amp;"!E43")="Per Unit",NPV('Inputs and assumptions'!$C$5,(INDIRECT($A7&amp;"!F61:T61"))),NPV('Inputs and assumptions'!$C$5,(INDIRECT($A7&amp;"!F89:T89"))))</f>
        <v>1400242.9398555274</v>
      </c>
      <c r="N45" s="450" cm="1">
        <f t="array" aca="1" ref="N45" ca="1">IF(INDIRECT($A7&amp;"!E43")="Per Unit",NPV('Inputs and assumptions'!$C$5,(INDIRECT($A7&amp;"!F64:T64"))),NPV('Inputs and assumptions'!$C$5,(INDIRECT($A7&amp;"!F92:T92"))))</f>
        <v>1999546.9181136929</v>
      </c>
      <c r="O45" s="450" cm="1">
        <f t="array" aca="1" ref="O45" ca="1">IF(INDIRECT($A7&amp;"!E43")="Per Unit",NPV('Inputs and assumptions'!$C$5,(INDIRECT($A7&amp;"!F65:T65"))),NPV('Inputs and assumptions'!$C$5,(INDIRECT($A7&amp;"!F93:T93"))))</f>
        <v>0</v>
      </c>
      <c r="P45" s="450" cm="1">
        <f t="array" aca="1" ref="P45" ca="1">IF(INDIRECT($A7&amp;"!E43")="Per Unit",NPV('Inputs and assumptions'!$C$5,(INDIRECT($A7&amp;"!F66:T66"))),NPV('Inputs and assumptions'!$C$5,(INDIRECT($A7&amp;"!F94:T94"))))</f>
        <v>0</v>
      </c>
      <c r="Q45" s="450" cm="1">
        <f t="array" aca="1" ref="Q45" ca="1">IF(INDIRECT($A7&amp;"!E43")="Per Unit",NPV('Inputs and assumptions'!$C$5,(INDIRECT($A7&amp;"!F67:T67"))),NPV('Inputs and assumptions'!$C$5,(INDIRECT($A7&amp;"!F95:T95"))))</f>
        <v>0</v>
      </c>
      <c r="R45" s="450" cm="1">
        <f t="array" aca="1" ref="R45" ca="1">IF(INDIRECT($A7&amp;"!E43")="Per Unit",NPV('Inputs and assumptions'!$C$5,(INDIRECT($A7&amp;"!F68:T68"))),NPV('Inputs and assumptions'!$C$5,(INDIRECT($A7&amp;"!F96:T96"))))</f>
        <v>0</v>
      </c>
      <c r="S45" s="450" cm="1">
        <f t="array" aca="1" ref="S45" ca="1">IF(INDIRECT($A7&amp;"!E43")="Per Unit",NPV('Inputs and assumptions'!$C$5,(INDIRECT($A7&amp;"!F69:T69"))),NPV('Inputs and assumptions'!$C$5,(INDIRECT($A7&amp;"!F97:T97"))))</f>
        <v>0</v>
      </c>
      <c r="T45" s="451" cm="1">
        <f t="array" aca="1" ref="T45" ca="1">IF(INDIRECT($A7&amp;"!E43")="Per Unit",NPV('Inputs and assumptions'!$C$5,(INDIRECT($A7&amp;"!F70:T70"))),NPV('Inputs and assumptions'!$C$5,(INDIRECT($A7&amp;"!F98:T98"))))</f>
        <v>0</v>
      </c>
    </row>
    <row r="46" spans="1:20" x14ac:dyDescent="0.35">
      <c r="A46" s="444" t="s">
        <v>169</v>
      </c>
      <c r="B46" s="452" cm="1">
        <f t="array" aca="1" ref="B46" ca="1">IF(INDIRECT($A8&amp;"!E43")="Per Unit",NPV('Inputs and assumptions'!$C$5,(INDIRECT($A8&amp;"!F46:T46"))),NPV('Inputs and assumptions'!$C$5,(INDIRECT($A8&amp;"!F74:T74"))))</f>
        <v>216212.74827029309</v>
      </c>
      <c r="C46" s="448" cm="1">
        <f t="array" aca="1" ref="C46" ca="1">IF(INDIRECT($A8&amp;"!E43")="Per Unit",NPV('Inputs and assumptions'!$C$5,(INDIRECT($A8&amp;"!F47:T47"))),NPV('Inputs and assumptions'!$C$5,(INDIRECT($A8&amp;"!F75:T75"))))</f>
        <v>155496.84063804522</v>
      </c>
      <c r="D46" s="448" cm="1">
        <f t="array" aca="1" ref="D46" ca="1">IF(INDIRECT($A8&amp;"!E43")="Per Unit",NPV('Inputs and assumptions'!$C$5,(INDIRECT($A8&amp;"!F48:T48"))),NPV('Inputs and assumptions'!$C$5,(INDIRECT($A8&amp;"!F76:T76"))))</f>
        <v>30185.034278359213</v>
      </c>
      <c r="E46" s="468" cm="1">
        <f t="array" aca="1" ref="E46" ca="1">IF(INDIRECT($A8&amp;"!E43")="Per Unit",NPV('Inputs and assumptions'!$C$5,(INDIRECT($A8&amp;"!F49:T49"))),NPV('Inputs and assumptions'!$C$5,(INDIRECT($A8&amp;"!F77:T77"))))</f>
        <v>186319.17035235543</v>
      </c>
      <c r="F46" s="448" cm="1">
        <f t="array" aca="1" ref="F46" ca="1">IF(INDIRECT($A8&amp;"!E43")="Per Unit",NPV('Inputs and assumptions'!$C$5,(INDIRECT($A8&amp;"!F52:T52"))),NPV('Inputs and assumptions'!$C$5,(INDIRECT($A8&amp;"!F80:T80"))))</f>
        <v>0</v>
      </c>
      <c r="G46" s="448" cm="1">
        <f t="array" aca="1" ref="G46" ca="1">IF(INDIRECT($A8&amp;"!E43")="Per Unit",NPV('Inputs and assumptions'!$C$5,(INDIRECT($A8&amp;"!F53:T53"))),NPV('Inputs and assumptions'!$C$5,(INDIRECT($A8&amp;"!F81:T81"))))</f>
        <v>0</v>
      </c>
      <c r="H46" s="448" cm="1">
        <f t="array" aca="1" ref="H46" ca="1">IF(INDIRECT($A8&amp;"!E43")="Per Unit",NPV('Inputs and assumptions'!$C$5,(INDIRECT($A8&amp;"!F54:T54"))),NPV('Inputs and assumptions'!$C$5,(INDIRECT($A8&amp;"!F82:T82"))))</f>
        <v>62159.407460004295</v>
      </c>
      <c r="I46" s="448" cm="1">
        <f t="array" aca="1" ref="I46" ca="1">IF(INDIRECT($A8&amp;"!E43")="Per Unit",NPV('Inputs and assumptions'!$C$5,(INDIRECT($A8&amp;"!F55:T55"))),NPV('Inputs and assumptions'!$C$5,(INDIRECT($A8&amp;"!F83:T83"))))</f>
        <v>0</v>
      </c>
      <c r="J46" s="448" cm="1">
        <f t="array" aca="1" ref="J46" ca="1">IF(INDIRECT($A8&amp;"!E43")="Per Unit",NPV('Inputs and assumptions'!$C$5,(INDIRECT($A8&amp;"!F56:T56"))),NPV('Inputs and assumptions'!$C$5,(INDIRECT($A8&amp;"!F84:T84"))))</f>
        <v>0</v>
      </c>
      <c r="K46" s="468" cm="1">
        <f t="array" aca="1" ref="K46" ca="1">IF(INDIRECT($A8&amp;"!E43")="Per Unit",NPV('Inputs and assumptions'!$C$5,(INDIRECT($A8&amp;"!F57:T57"))),NPV('Inputs and assumptions'!$C$5,(INDIRECT($A8&amp;"!F85:T85"))))</f>
        <v>251789.44119807304</v>
      </c>
      <c r="L46" s="448" cm="1">
        <f t="array" aca="1" ref="L46" ca="1">IF(INDIRECT($A8&amp;"!E43")="Per Unit",NPV('Inputs and assumptions'!$C$5,(INDIRECT($A8&amp;"!F60:T60"))),NPV('Inputs and assumptions'!$C$5,(INDIRECT($A8&amp;"!F88:T88"))))</f>
        <v>0</v>
      </c>
      <c r="M46" s="468" cm="1">
        <f t="array" aca="1" ref="M46" ca="1">IF(INDIRECT($A8&amp;"!E43")="Per Unit",NPV('Inputs and assumptions'!$C$5,(INDIRECT($A8&amp;"!F61:T61"))),NPV('Inputs and assumptions'!$C$5,(INDIRECT($A8&amp;"!F89:T89"))))</f>
        <v>444334.30799659941</v>
      </c>
      <c r="N46" s="448" cm="1">
        <f t="array" aca="1" ref="N46" ca="1">IF(INDIRECT($A8&amp;"!E43")="Per Unit",NPV('Inputs and assumptions'!$C$5,(INDIRECT($A8&amp;"!F64:T64"))),NPV('Inputs and assumptions'!$C$5,(INDIRECT($A8&amp;"!F92:T92"))))</f>
        <v>671833.47369085846</v>
      </c>
      <c r="O46" s="448" cm="1">
        <f t="array" aca="1" ref="O46" ca="1">IF(INDIRECT($A8&amp;"!E43")="Per Unit",NPV('Inputs and assumptions'!$C$5,(INDIRECT($A8&amp;"!F65:T65"))),NPV('Inputs and assumptions'!$C$5,(INDIRECT($A8&amp;"!F93:T93"))))</f>
        <v>0</v>
      </c>
      <c r="P46" s="448" cm="1">
        <f t="array" aca="1" ref="P46" ca="1">IF(INDIRECT($A8&amp;"!E43")="Per Unit",NPV('Inputs and assumptions'!$C$5,(INDIRECT($A8&amp;"!F66:T66"))),NPV('Inputs and assumptions'!$C$5,(INDIRECT($A8&amp;"!F94:T94"))))</f>
        <v>0</v>
      </c>
      <c r="Q46" s="448" cm="1">
        <f t="array" aca="1" ref="Q46" ca="1">IF(INDIRECT($A8&amp;"!E43")="Per Unit",NPV('Inputs and assumptions'!$C$5,(INDIRECT($A8&amp;"!F67:T67"))),NPV('Inputs and assumptions'!$C$5,(INDIRECT($A8&amp;"!F95:T95"))))</f>
        <v>0</v>
      </c>
      <c r="R46" s="448" cm="1">
        <f t="array" aca="1" ref="R46" ca="1">IF(INDIRECT($A8&amp;"!E43")="Per Unit",NPV('Inputs and assumptions'!$C$5,(INDIRECT($A8&amp;"!F68:T68"))),NPV('Inputs and assumptions'!$C$5,(INDIRECT($A8&amp;"!F96:T96"))))</f>
        <v>0</v>
      </c>
      <c r="S46" s="448" cm="1">
        <f t="array" aca="1" ref="S46" ca="1">IF(INDIRECT($A8&amp;"!E43")="Per Unit",NPV('Inputs and assumptions'!$C$5,(INDIRECT($A8&amp;"!F69:T69"))),NPV('Inputs and assumptions'!$C$5,(INDIRECT($A8&amp;"!F97:T97"))))</f>
        <v>0</v>
      </c>
      <c r="T46" s="453" cm="1">
        <f t="array" aca="1" ref="T46" ca="1">IF(INDIRECT($A8&amp;"!E43")="Per Unit",NPV('Inputs and assumptions'!$C$5,(INDIRECT($A8&amp;"!F70:T70"))),NPV('Inputs and assumptions'!$C$5,(INDIRECT($A8&amp;"!F98:T98"))))</f>
        <v>0</v>
      </c>
    </row>
    <row r="47" spans="1:20" x14ac:dyDescent="0.35">
      <c r="A47" s="444" t="s">
        <v>170</v>
      </c>
      <c r="B47" s="452" cm="1">
        <f t="array" aca="1" ref="B47" ca="1">IF(INDIRECT($A9&amp;"!E43")="Per Unit",NPV('Inputs and assumptions'!$C$5,(INDIRECT($A9&amp;"!F46:T46"))),NPV('Inputs and assumptions'!$C$5,(INDIRECT($A9&amp;"!F74:T74"))))</f>
        <v>0</v>
      </c>
      <c r="C47" s="448" cm="1">
        <f t="array" aca="1" ref="C47" ca="1">IF(INDIRECT($A9&amp;"!E43")="Per Unit",NPV('Inputs and assumptions'!$C$5,(INDIRECT($A9&amp;"!F47:T47"))),NPV('Inputs and assumptions'!$C$5,(INDIRECT($A9&amp;"!F75:T75"))))</f>
        <v>0</v>
      </c>
      <c r="D47" s="448" cm="1">
        <f t="array" aca="1" ref="D47" ca="1">IF(INDIRECT($A9&amp;"!E43")="Per Unit",NPV('Inputs and assumptions'!$C$5,(INDIRECT($A9&amp;"!F48:T48"))),NPV('Inputs and assumptions'!$C$5,(INDIRECT($A9&amp;"!F76:T76"))))</f>
        <v>0</v>
      </c>
      <c r="E47" s="468" cm="1">
        <f t="array" aca="1" ref="E47" ca="1">IF(INDIRECT($A9&amp;"!E43")="Per Unit",NPV('Inputs and assumptions'!$C$5,(INDIRECT($A9&amp;"!F49:T49"))),NPV('Inputs and assumptions'!$C$5,(INDIRECT($A9&amp;"!F77:T77"))))</f>
        <v>0</v>
      </c>
      <c r="F47" s="448" cm="1">
        <f t="array" aca="1" ref="F47" ca="1">IF(INDIRECT($A9&amp;"!E43")="Per Unit",NPV('Inputs and assumptions'!$C$5,(INDIRECT($A9&amp;"!F52:T52"))),NPV('Inputs and assumptions'!$C$5,(INDIRECT($A9&amp;"!F80:T80"))))</f>
        <v>0</v>
      </c>
      <c r="G47" s="448" cm="1">
        <f t="array" aca="1" ref="G47" ca="1">IF(INDIRECT($A9&amp;"!E43")="Per Unit",NPV('Inputs and assumptions'!$C$5,(INDIRECT($A9&amp;"!F53:T53"))),NPV('Inputs and assumptions'!$C$5,(INDIRECT($A9&amp;"!F81:T81"))))</f>
        <v>0</v>
      </c>
      <c r="H47" s="448" cm="1">
        <f t="array" aca="1" ref="H47" ca="1">IF(INDIRECT($A9&amp;"!E43")="Per Unit",NPV('Inputs and assumptions'!$C$5,(INDIRECT($A9&amp;"!F54:T54"))),NPV('Inputs and assumptions'!$C$5,(INDIRECT($A9&amp;"!F82:T82"))))</f>
        <v>0</v>
      </c>
      <c r="I47" s="448" cm="1">
        <f t="array" aca="1" ref="I47" ca="1">IF(INDIRECT($A9&amp;"!E43")="Per Unit",NPV('Inputs and assumptions'!$C$5,(INDIRECT($A9&amp;"!F55:T55"))),NPV('Inputs and assumptions'!$C$5,(INDIRECT($A9&amp;"!F83:T83"))))</f>
        <v>0</v>
      </c>
      <c r="J47" s="448" cm="1">
        <f t="array" aca="1" ref="J47" ca="1">IF(INDIRECT($A9&amp;"!E43")="Per Unit",NPV('Inputs and assumptions'!$C$5,(INDIRECT($A9&amp;"!F56:T56"))),NPV('Inputs and assumptions'!$C$5,(INDIRECT($A9&amp;"!F84:T84"))))</f>
        <v>0</v>
      </c>
      <c r="K47" s="468" cm="1">
        <f t="array" aca="1" ref="K47" ca="1">IF(INDIRECT($A9&amp;"!E43")="Per Unit",NPV('Inputs and assumptions'!$C$5,(INDIRECT($A9&amp;"!F57:T57"))),NPV('Inputs and assumptions'!$C$5,(INDIRECT($A9&amp;"!F85:T85"))))</f>
        <v>0</v>
      </c>
      <c r="L47" s="448" cm="1">
        <f t="array" aca="1" ref="L47" ca="1">IF(INDIRECT($A9&amp;"!E43")="Per Unit",NPV('Inputs and assumptions'!$C$5,(INDIRECT($A9&amp;"!F60:T60"))),NPV('Inputs and assumptions'!$C$5,(INDIRECT($A9&amp;"!F88:T88"))))</f>
        <v>0</v>
      </c>
      <c r="M47" s="468" cm="1">
        <f t="array" aca="1" ref="M47" ca="1">IF(INDIRECT($A9&amp;"!E43")="Per Unit",NPV('Inputs and assumptions'!$C$5,(INDIRECT($A9&amp;"!F61:T61"))),NPV('Inputs and assumptions'!$C$5,(INDIRECT($A9&amp;"!F89:T89"))))</f>
        <v>913078.50700495241</v>
      </c>
      <c r="N47" s="448" cm="1">
        <f t="array" aca="1" ref="N47" ca="1">IF(INDIRECT($A9&amp;"!E43")="Per Unit",NPV('Inputs and assumptions'!$C$5,(INDIRECT($A9&amp;"!F64:T64"))),NPV('Inputs and assumptions'!$C$5,(INDIRECT($A9&amp;"!F92:T92"))))</f>
        <v>3834929.7294208007</v>
      </c>
      <c r="O47" s="448" cm="1">
        <f t="array" aca="1" ref="O47" ca="1">IF(INDIRECT($A9&amp;"!E43")="Per Unit",NPV('Inputs and assumptions'!$C$5,(INDIRECT($A9&amp;"!F65:T65"))),NPV('Inputs and assumptions'!$C$5,(INDIRECT($A9&amp;"!F93:T93"))))</f>
        <v>0</v>
      </c>
      <c r="P47" s="448" cm="1">
        <f t="array" aca="1" ref="P47" ca="1">IF(INDIRECT($A9&amp;"!E43")="Per Unit",NPV('Inputs and assumptions'!$C$5,(INDIRECT($A9&amp;"!F66:T66"))),NPV('Inputs and assumptions'!$C$5,(INDIRECT($A9&amp;"!F94:T94"))))</f>
        <v>0</v>
      </c>
      <c r="Q47" s="448" cm="1">
        <f t="array" aca="1" ref="Q47" ca="1">IF(INDIRECT($A9&amp;"!E43")="Per Unit",NPV('Inputs and assumptions'!$C$5,(INDIRECT($A9&amp;"!F67:T67"))),NPV('Inputs and assumptions'!$C$5,(INDIRECT($A9&amp;"!F95:T95"))))</f>
        <v>0</v>
      </c>
      <c r="R47" s="448" cm="1">
        <f t="array" aca="1" ref="R47" ca="1">IF(INDIRECT($A9&amp;"!E43")="Per Unit",NPV('Inputs and assumptions'!$C$5,(INDIRECT($A9&amp;"!F68:T68"))),NPV('Inputs and assumptions'!$C$5,(INDIRECT($A9&amp;"!F96:T96"))))</f>
        <v>0</v>
      </c>
      <c r="S47" s="448" cm="1">
        <f t="array" aca="1" ref="S47" ca="1">IF(INDIRECT($A9&amp;"!E43")="Per Unit",NPV('Inputs and assumptions'!$C$5,(INDIRECT($A9&amp;"!F69:T69"))),NPV('Inputs and assumptions'!$C$5,(INDIRECT($A9&amp;"!F97:T97"))))</f>
        <v>0</v>
      </c>
      <c r="T47" s="453" cm="1">
        <f t="array" aca="1" ref="T47" ca="1">IF(INDIRECT($A9&amp;"!E43")="Per Unit",NPV('Inputs and assumptions'!$C$5,(INDIRECT($A9&amp;"!F70:T70"))),NPV('Inputs and assumptions'!$C$5,(INDIRECT($A9&amp;"!F98:T98"))))</f>
        <v>0</v>
      </c>
    </row>
    <row r="48" spans="1:20" x14ac:dyDescent="0.35">
      <c r="A48" s="444" t="s">
        <v>171</v>
      </c>
      <c r="B48" s="452" cm="1">
        <f t="array" aca="1" ref="B48" ca="1">IF(INDIRECT($A10&amp;"!E43")="Per Unit",NPV('Inputs and assumptions'!$C$5,(INDIRECT($A10&amp;"!F46:T46"))),NPV('Inputs and assumptions'!$C$5,(INDIRECT($A10&amp;"!F74:T74"))))</f>
        <v>0</v>
      </c>
      <c r="C48" s="448" cm="1">
        <f t="array" aca="1" ref="C48" ca="1">IF(INDIRECT($A10&amp;"!E43")="Per Unit",NPV('Inputs and assumptions'!$C$5,(INDIRECT($A10&amp;"!F47:T47"))),NPV('Inputs and assumptions'!$C$5,(INDIRECT($A10&amp;"!F75:T75"))))</f>
        <v>0</v>
      </c>
      <c r="D48" s="448" cm="1">
        <f t="array" aca="1" ref="D48" ca="1">IF(INDIRECT($A10&amp;"!E43")="Per Unit",NPV('Inputs and assumptions'!$C$5,(INDIRECT($A10&amp;"!F48:T48"))),NPV('Inputs and assumptions'!$C$5,(INDIRECT($A10&amp;"!F76:T76"))))</f>
        <v>0</v>
      </c>
      <c r="E48" s="468" cm="1">
        <f t="array" aca="1" ref="E48" ca="1">IF(INDIRECT($A10&amp;"!E43")="Per Unit",NPV('Inputs and assumptions'!$C$5,(INDIRECT($A10&amp;"!F49:T49"))),NPV('Inputs and assumptions'!$C$5,(INDIRECT($A10&amp;"!F77:T77"))))</f>
        <v>0</v>
      </c>
      <c r="F48" s="448" cm="1">
        <f t="array" aca="1" ref="F48" ca="1">IF(INDIRECT($A10&amp;"!E43")="Per Unit",NPV('Inputs and assumptions'!$C$5,(INDIRECT($A10&amp;"!F52:T52"))),NPV('Inputs and assumptions'!$C$5,(INDIRECT($A10&amp;"!F80:T80"))))</f>
        <v>0</v>
      </c>
      <c r="G48" s="448" cm="1">
        <f t="array" aca="1" ref="G48" ca="1">IF(INDIRECT($A10&amp;"!E43")="Per Unit",NPV('Inputs and assumptions'!$C$5,(INDIRECT($A10&amp;"!F53:T53"))),NPV('Inputs and assumptions'!$C$5,(INDIRECT($A10&amp;"!F81:T81"))))</f>
        <v>0</v>
      </c>
      <c r="H48" s="448" cm="1">
        <f t="array" aca="1" ref="H48" ca="1">IF(INDIRECT($A10&amp;"!E43")="Per Unit",NPV('Inputs and assumptions'!$C$5,(INDIRECT($A10&amp;"!F54:T54"))),NPV('Inputs and assumptions'!$C$5,(INDIRECT($A10&amp;"!F82:T82"))))</f>
        <v>0</v>
      </c>
      <c r="I48" s="448" cm="1">
        <f t="array" aca="1" ref="I48" ca="1">IF(INDIRECT($A10&amp;"!E43")="Per Unit",NPV('Inputs and assumptions'!$C$5,(INDIRECT($A10&amp;"!F55:T55"))),NPV('Inputs and assumptions'!$C$5,(INDIRECT($A10&amp;"!F83:T83"))))</f>
        <v>0</v>
      </c>
      <c r="J48" s="448" cm="1">
        <f t="array" aca="1" ref="J48" ca="1">IF(INDIRECT($A10&amp;"!E43")="Per Unit",NPV('Inputs and assumptions'!$C$5,(INDIRECT($A10&amp;"!F56:T56"))),NPV('Inputs and assumptions'!$C$5,(INDIRECT($A10&amp;"!F84:T84"))))</f>
        <v>0</v>
      </c>
      <c r="K48" s="468" cm="1">
        <f t="array" aca="1" ref="K48" ca="1">IF(INDIRECT($A10&amp;"!E43")="Per Unit",NPV('Inputs and assumptions'!$C$5,(INDIRECT($A10&amp;"!F57:T57"))),NPV('Inputs and assumptions'!$C$5,(INDIRECT($A10&amp;"!F85:T85"))))</f>
        <v>0</v>
      </c>
      <c r="L48" s="448" cm="1">
        <f t="array" aca="1" ref="L48" ca="1">IF(INDIRECT($A10&amp;"!E43")="Per Unit",NPV('Inputs and assumptions'!$C$5,(INDIRECT($A10&amp;"!F60:T60"))),NPV('Inputs and assumptions'!$C$5,(INDIRECT($A10&amp;"!F88:T88"))))</f>
        <v>694999.81719560374</v>
      </c>
      <c r="M48" s="468" cm="1">
        <f t="array" aca="1" ref="M48" ca="1">IF(INDIRECT($A10&amp;"!E43")="Per Unit",NPV('Inputs and assumptions'!$C$5,(INDIRECT($A10&amp;"!F61:T61"))),NPV('Inputs and assumptions'!$C$5,(INDIRECT($A10&amp;"!F89:T89"))))</f>
        <v>0</v>
      </c>
      <c r="N48" s="448" cm="1">
        <f t="array" aca="1" ref="N48" ca="1">IF(INDIRECT($A10&amp;"!E43")="Per Unit",NPV('Inputs and assumptions'!$C$5,(INDIRECT($A10&amp;"!F64:T64"))),NPV('Inputs and assumptions'!$C$5,(INDIRECT($A10&amp;"!F92:T92"))))</f>
        <v>0</v>
      </c>
      <c r="O48" s="448" cm="1">
        <f t="array" aca="1" ref="O48" ca="1">IF(INDIRECT($A10&amp;"!E43")="Per Unit",NPV('Inputs and assumptions'!$C$5,(INDIRECT($A10&amp;"!F65:T65"))),NPV('Inputs and assumptions'!$C$5,(INDIRECT($A10&amp;"!F93:T93"))))</f>
        <v>0</v>
      </c>
      <c r="P48" s="448" cm="1">
        <f t="array" aca="1" ref="P48" ca="1">IF(INDIRECT($A10&amp;"!E43")="Per Unit",NPV('Inputs and assumptions'!$C$5,(INDIRECT($A10&amp;"!F66:T66"))),NPV('Inputs and assumptions'!$C$5,(INDIRECT($A10&amp;"!F94:T94"))))</f>
        <v>0</v>
      </c>
      <c r="Q48" s="448" cm="1">
        <f t="array" aca="1" ref="Q48" ca="1">IF(INDIRECT($A10&amp;"!E43")="Per Unit",NPV('Inputs and assumptions'!$C$5,(INDIRECT($A10&amp;"!F67:T67"))),NPV('Inputs and assumptions'!$C$5,(INDIRECT($A10&amp;"!F95:T95"))))</f>
        <v>0</v>
      </c>
      <c r="R48" s="448" cm="1">
        <f t="array" aca="1" ref="R48" ca="1">IF(INDIRECT($A10&amp;"!E43")="Per Unit",NPV('Inputs and assumptions'!$C$5,(INDIRECT($A10&amp;"!F68:T68"))),NPV('Inputs and assumptions'!$C$5,(INDIRECT($A10&amp;"!F96:T96"))))</f>
        <v>4774807.9043972762</v>
      </c>
      <c r="S48" s="448" cm="1">
        <f t="array" aca="1" ref="S48" ca="1">IF(INDIRECT($A10&amp;"!E43")="Per Unit",NPV('Inputs and assumptions'!$C$5,(INDIRECT($A10&amp;"!F69:T69"))),NPV('Inputs and assumptions'!$C$5,(INDIRECT($A10&amp;"!F97:T97"))))</f>
        <v>6087880.0781065281</v>
      </c>
      <c r="T48" s="453" cm="1">
        <f t="array" aca="1" ref="T48" ca="1">IF(INDIRECT($A10&amp;"!E43")="Per Unit",NPV('Inputs and assumptions'!$C$5,(INDIRECT($A10&amp;"!F70:T70"))),NPV('Inputs and assumptions'!$C$5,(INDIRECT($A10&amp;"!F98:T98"))))</f>
        <v>0</v>
      </c>
    </row>
    <row r="49" spans="1:20" x14ac:dyDescent="0.35">
      <c r="A49" s="444" t="s">
        <v>172</v>
      </c>
      <c r="B49" s="452" cm="1">
        <f t="array" aca="1" ref="B49" ca="1">IF(INDIRECT($A11&amp;"!E43")="Per Unit",NPV('Inputs and assumptions'!$C$5,(INDIRECT($A11&amp;"!F46:T46"))),NPV('Inputs and assumptions'!$C$5,(INDIRECT($A11&amp;"!F74:T74"))))</f>
        <v>0</v>
      </c>
      <c r="C49" s="448" cm="1">
        <f t="array" aca="1" ref="C49" ca="1">IF(INDIRECT($A11&amp;"!E43")="Per Unit",NPV('Inputs and assumptions'!$C$5,(INDIRECT($A11&amp;"!F47:T47"))),NPV('Inputs and assumptions'!$C$5,(INDIRECT($A11&amp;"!F75:T75"))))</f>
        <v>0</v>
      </c>
      <c r="D49" s="448" cm="1">
        <f t="array" aca="1" ref="D49" ca="1">IF(INDIRECT($A11&amp;"!E43")="Per Unit",NPV('Inputs and assumptions'!$C$5,(INDIRECT($A11&amp;"!F48:T48"))),NPV('Inputs and assumptions'!$C$5,(INDIRECT($A11&amp;"!F76:T76"))))</f>
        <v>0</v>
      </c>
      <c r="E49" s="468" cm="1">
        <f t="array" aca="1" ref="E49" ca="1">IF(INDIRECT($A11&amp;"!E43")="Per Unit",NPV('Inputs and assumptions'!$C$5,(INDIRECT($A11&amp;"!F49:T49"))),NPV('Inputs and assumptions'!$C$5,(INDIRECT($A11&amp;"!F77:T77"))))</f>
        <v>0</v>
      </c>
      <c r="F49" s="448" cm="1">
        <f t="array" aca="1" ref="F49" ca="1">IF(INDIRECT($A11&amp;"!E43")="Per Unit",NPV('Inputs and assumptions'!$C$5,(INDIRECT($A11&amp;"!F52:T52"))),NPV('Inputs and assumptions'!$C$5,(INDIRECT($A11&amp;"!F80:T80"))))</f>
        <v>0</v>
      </c>
      <c r="G49" s="448" cm="1">
        <f t="array" aca="1" ref="G49" ca="1">IF(INDIRECT($A11&amp;"!E43")="Per Unit",NPV('Inputs and assumptions'!$C$5,(INDIRECT($A11&amp;"!F53:T53"))),NPV('Inputs and assumptions'!$C$5,(INDIRECT($A11&amp;"!F81:T81"))))</f>
        <v>0</v>
      </c>
      <c r="H49" s="448" cm="1">
        <f t="array" aca="1" ref="H49" ca="1">IF(INDIRECT($A11&amp;"!E43")="Per Unit",NPV('Inputs and assumptions'!$C$5,(INDIRECT($A11&amp;"!F54:T54"))),NPV('Inputs and assumptions'!$C$5,(INDIRECT($A11&amp;"!F82:T82"))))</f>
        <v>0</v>
      </c>
      <c r="I49" s="448" cm="1">
        <f t="array" aca="1" ref="I49" ca="1">IF(INDIRECT($A11&amp;"!E43")="Per Unit",NPV('Inputs and assumptions'!$C$5,(INDIRECT($A11&amp;"!F55:T55"))),NPV('Inputs and assumptions'!$C$5,(INDIRECT($A11&amp;"!F83:T83"))))</f>
        <v>0</v>
      </c>
      <c r="J49" s="448" cm="1">
        <f t="array" aca="1" ref="J49" ca="1">IF(INDIRECT($A11&amp;"!E43")="Per Unit",NPV('Inputs and assumptions'!$C$5,(INDIRECT($A11&amp;"!F56:T56"))),NPV('Inputs and assumptions'!$C$5,(INDIRECT($A11&amp;"!F84:T84"))))</f>
        <v>0</v>
      </c>
      <c r="K49" s="468" cm="1">
        <f t="array" aca="1" ref="K49" ca="1">IF(INDIRECT($A11&amp;"!E43")="Per Unit",NPV('Inputs and assumptions'!$C$5,(INDIRECT($A11&amp;"!F57:T57"))),NPV('Inputs and assumptions'!$C$5,(INDIRECT($A11&amp;"!F85:T85"))))</f>
        <v>0</v>
      </c>
      <c r="L49" s="448" cm="1">
        <f t="array" aca="1" ref="L49" ca="1">IF(INDIRECT($A11&amp;"!E43")="Per Unit",NPV('Inputs and assumptions'!$C$5,(INDIRECT($A11&amp;"!F60:T60"))),NPV('Inputs and assumptions'!$C$5,(INDIRECT($A11&amp;"!F88:T88"))))</f>
        <v>0</v>
      </c>
      <c r="M49" s="468" cm="1">
        <f t="array" aca="1" ref="M49" ca="1">IF(INDIRECT($A11&amp;"!E43")="Per Unit",NPV('Inputs and assumptions'!$C$5,(INDIRECT($A11&amp;"!F61:T61"))),NPV('Inputs and assumptions'!$C$5,(INDIRECT($A11&amp;"!F89:T89"))))</f>
        <v>0</v>
      </c>
      <c r="N49" s="448" cm="1">
        <f t="array" aca="1" ref="N49" ca="1">IF(INDIRECT($A11&amp;"!E43")="Per Unit",NPV('Inputs and assumptions'!$C$5,(INDIRECT($A11&amp;"!F64:T64"))),NPV('Inputs and assumptions'!$C$5,(INDIRECT($A11&amp;"!F92:T92"))))</f>
        <v>0</v>
      </c>
      <c r="O49" s="448" cm="1">
        <f t="array" aca="1" ref="O49" ca="1">IF(INDIRECT($A11&amp;"!E43")="Per Unit",NPV('Inputs and assumptions'!$C$5,(INDIRECT($A11&amp;"!F65:T65"))),NPV('Inputs and assumptions'!$C$5,(INDIRECT($A11&amp;"!F93:T93"))))</f>
        <v>0</v>
      </c>
      <c r="P49" s="448" cm="1">
        <f t="array" aca="1" ref="P49" ca="1">IF(INDIRECT($A11&amp;"!E43")="Per Unit",NPV('Inputs and assumptions'!$C$5,(INDIRECT($A11&amp;"!F66:T66"))),NPV('Inputs and assumptions'!$C$5,(INDIRECT($A11&amp;"!F94:T94"))))</f>
        <v>0</v>
      </c>
      <c r="Q49" s="448" cm="1">
        <f t="array" aca="1" ref="Q49" ca="1">IF(INDIRECT($A11&amp;"!E43")="Per Unit",NPV('Inputs and assumptions'!$C$5,(INDIRECT($A11&amp;"!F67:T67"))),NPV('Inputs and assumptions'!$C$5,(INDIRECT($A11&amp;"!F95:T95"))))</f>
        <v>0</v>
      </c>
      <c r="R49" s="448" cm="1">
        <f t="array" aca="1" ref="R49" ca="1">IF(INDIRECT($A11&amp;"!E43")="Per Unit",NPV('Inputs and assumptions'!$C$5,(INDIRECT($A11&amp;"!F68:T68"))),NPV('Inputs and assumptions'!$C$5,(INDIRECT($A11&amp;"!F96:T96"))))</f>
        <v>5060008.6013501706</v>
      </c>
      <c r="S49" s="448" cm="1">
        <f t="array" aca="1" ref="S49" ca="1">IF(INDIRECT($A11&amp;"!E43")="Per Unit",NPV('Inputs and assumptions'!$C$5,(INDIRECT($A11&amp;"!F69:T69"))),NPV('Inputs and assumptions'!$C$5,(INDIRECT($A11&amp;"!F97:T97"))))</f>
        <v>6451510.9667214686</v>
      </c>
      <c r="T49" s="453" cm="1">
        <f t="array" aca="1" ref="T49" ca="1">IF(INDIRECT($A11&amp;"!E43")="Per Unit",NPV('Inputs and assumptions'!$C$5,(INDIRECT($A11&amp;"!F70:T70"))),NPV('Inputs and assumptions'!$C$5,(INDIRECT($A11&amp;"!F98:T98"))))</f>
        <v>0</v>
      </c>
    </row>
    <row r="50" spans="1:20" x14ac:dyDescent="0.35">
      <c r="A50" s="444" t="s">
        <v>173</v>
      </c>
      <c r="B50" s="452" cm="1">
        <f t="array" aca="1" ref="B50" ca="1">IF(INDIRECT($A12&amp;"!E43")="Per Unit",NPV('Inputs and assumptions'!$C$5,(INDIRECT($A12&amp;"!F46:T46"))),NPV('Inputs and assumptions'!$C$5,(INDIRECT($A12&amp;"!F74:T74"))))</f>
        <v>0</v>
      </c>
      <c r="C50" s="448" cm="1">
        <f t="array" aca="1" ref="C50" ca="1">IF(INDIRECT($A12&amp;"!E43")="Per Unit",NPV('Inputs and assumptions'!$C$5,(INDIRECT($A12&amp;"!F47:T47"))),NPV('Inputs and assumptions'!$C$5,(INDIRECT($A12&amp;"!F75:T75"))))</f>
        <v>0</v>
      </c>
      <c r="D50" s="448" cm="1">
        <f t="array" aca="1" ref="D50" ca="1">IF(INDIRECT($A12&amp;"!E43")="Per Unit",NPV('Inputs and assumptions'!$C$5,(INDIRECT($A12&amp;"!F48:T48"))),NPV('Inputs and assumptions'!$C$5,(INDIRECT($A12&amp;"!F76:T76"))))</f>
        <v>0</v>
      </c>
      <c r="E50" s="468" cm="1">
        <f t="array" aca="1" ref="E50" ca="1">IF(INDIRECT($A12&amp;"!E43")="Per Unit",NPV('Inputs and assumptions'!$C$5,(INDIRECT($A12&amp;"!F49:T49"))),NPV('Inputs and assumptions'!$C$5,(INDIRECT($A12&amp;"!F77:T77"))))</f>
        <v>0</v>
      </c>
      <c r="F50" s="448" cm="1">
        <f t="array" aca="1" ref="F50" ca="1">IF(INDIRECT($A12&amp;"!E43")="Per Unit",NPV('Inputs and assumptions'!$C$5,(INDIRECT($A12&amp;"!F52:T52"))),NPV('Inputs and assumptions'!$C$5,(INDIRECT($A12&amp;"!F80:T80"))))</f>
        <v>0</v>
      </c>
      <c r="G50" s="448" cm="1">
        <f t="array" aca="1" ref="G50" ca="1">IF(INDIRECT($A12&amp;"!E43")="Per Unit",NPV('Inputs and assumptions'!$C$5,(INDIRECT($A12&amp;"!F53:T53"))),NPV('Inputs and assumptions'!$C$5,(INDIRECT($A12&amp;"!F81:T81"))))</f>
        <v>0</v>
      </c>
      <c r="H50" s="448" cm="1">
        <f t="array" aca="1" ref="H50" ca="1">IF(INDIRECT($A12&amp;"!E43")="Per Unit",NPV('Inputs and assumptions'!$C$5,(INDIRECT($A12&amp;"!F54:T54"))),NPV('Inputs and assumptions'!$C$5,(INDIRECT($A12&amp;"!F82:T82"))))</f>
        <v>0</v>
      </c>
      <c r="I50" s="448" cm="1">
        <f t="array" aca="1" ref="I50" ca="1">IF(INDIRECT($A12&amp;"!E43")="Per Unit",NPV('Inputs and assumptions'!$C$5,(INDIRECT($A12&amp;"!F55:T55"))),NPV('Inputs and assumptions'!$C$5,(INDIRECT($A12&amp;"!F83:T83"))))</f>
        <v>0</v>
      </c>
      <c r="J50" s="448" cm="1">
        <f t="array" aca="1" ref="J50" ca="1">IF(INDIRECT($A12&amp;"!E43")="Per Unit",NPV('Inputs and assumptions'!$C$5,(INDIRECT($A12&amp;"!F56:T56"))),NPV('Inputs and assumptions'!$C$5,(INDIRECT($A12&amp;"!F84:T84"))))</f>
        <v>0</v>
      </c>
      <c r="K50" s="468" cm="1">
        <f t="array" aca="1" ref="K50" ca="1">IF(INDIRECT($A12&amp;"!E43")="Per Unit",NPV('Inputs and assumptions'!$C$5,(INDIRECT($A12&amp;"!F57:T57"))),NPV('Inputs and assumptions'!$C$5,(INDIRECT($A12&amp;"!F85:T85"))))</f>
        <v>0</v>
      </c>
      <c r="L50" s="448" cm="1">
        <f t="array" aca="1" ref="L50" ca="1">IF(INDIRECT($A12&amp;"!E43")="Per Unit",NPV('Inputs and assumptions'!$C$5,(INDIRECT($A12&amp;"!F60:T60"))),NPV('Inputs and assumptions'!$C$5,(INDIRECT($A12&amp;"!F88:T88"))))</f>
        <v>0</v>
      </c>
      <c r="M50" s="468" cm="1">
        <f t="array" aca="1" ref="M50" ca="1">IF(INDIRECT($A12&amp;"!E43")="Per Unit",NPV('Inputs and assumptions'!$C$5,(INDIRECT($A12&amp;"!F61:T61"))),NPV('Inputs and assumptions'!$C$5,(INDIRECT($A12&amp;"!F89:T89"))))</f>
        <v>0</v>
      </c>
      <c r="N50" s="448" cm="1">
        <f t="array" aca="1" ref="N50" ca="1">IF(INDIRECT($A12&amp;"!E43")="Per Unit",NPV('Inputs and assumptions'!$C$5,(INDIRECT($A12&amp;"!F64:T64"))),NPV('Inputs and assumptions'!$C$5,(INDIRECT($A12&amp;"!F92:T92"))))</f>
        <v>0</v>
      </c>
      <c r="O50" s="448" cm="1">
        <f t="array" aca="1" ref="O50" ca="1">IF(INDIRECT($A12&amp;"!E43")="Per Unit",NPV('Inputs and assumptions'!$C$5,(INDIRECT($A12&amp;"!F65:T65"))),NPV('Inputs and assumptions'!$C$5,(INDIRECT($A12&amp;"!F93:T93"))))</f>
        <v>0</v>
      </c>
      <c r="P50" s="448" cm="1">
        <f t="array" aca="1" ref="P50" ca="1">IF(INDIRECT($A12&amp;"!E43")="Per Unit",NPV('Inputs and assumptions'!$C$5,(INDIRECT($A12&amp;"!F66:T66"))),NPV('Inputs and assumptions'!$C$5,(INDIRECT($A12&amp;"!F94:T94"))))</f>
        <v>0</v>
      </c>
      <c r="Q50" s="448" cm="1">
        <f t="array" aca="1" ref="Q50" ca="1">IF(INDIRECT($A12&amp;"!E43")="Per Unit",NPV('Inputs and assumptions'!$C$5,(INDIRECT($A12&amp;"!F67:T67"))),NPV('Inputs and assumptions'!$C$5,(INDIRECT($A12&amp;"!F95:T95"))))</f>
        <v>0</v>
      </c>
      <c r="R50" s="448" cm="1">
        <f t="array" aca="1" ref="R50" ca="1">IF(INDIRECT($A12&amp;"!E43")="Per Unit",NPV('Inputs and assumptions'!$C$5,(INDIRECT($A12&amp;"!F68:T68"))),NPV('Inputs and assumptions'!$C$5,(INDIRECT($A12&amp;"!F96:T96"))))</f>
        <v>3554674.4639727953</v>
      </c>
      <c r="S50" s="448" cm="1">
        <f t="array" aca="1" ref="S50" ca="1">IF(INDIRECT($A12&amp;"!E43")="Per Unit",NPV('Inputs and assumptions'!$C$5,(INDIRECT($A12&amp;"!F69:T69"))),NPV('Inputs and assumptions'!$C$5,(INDIRECT($A12&amp;"!F97:T97"))))</f>
        <v>4532209.9415653143</v>
      </c>
      <c r="T50" s="453" cm="1">
        <f t="array" aca="1" ref="T50" ca="1">IF(INDIRECT($A12&amp;"!E43")="Per Unit",NPV('Inputs and assumptions'!$C$5,(INDIRECT($A12&amp;"!F70:T70"))),NPV('Inputs and assumptions'!$C$5,(INDIRECT($A12&amp;"!F98:T98"))))</f>
        <v>0</v>
      </c>
    </row>
    <row r="51" spans="1:20" x14ac:dyDescent="0.35">
      <c r="A51" s="444" t="s">
        <v>174</v>
      </c>
      <c r="B51" s="452" cm="1">
        <f t="array" aca="1" ref="B51" ca="1">IF(INDIRECT($A13&amp;"!E43")="Per Unit",NPV('Inputs and assumptions'!$C$5,(INDIRECT($A13&amp;"!F46:T46"))),NPV('Inputs and assumptions'!$C$5,(INDIRECT($A13&amp;"!F74:T74"))))</f>
        <v>0</v>
      </c>
      <c r="C51" s="448" cm="1">
        <f t="array" aca="1" ref="C51" ca="1">IF(INDIRECT($A13&amp;"!E43")="Per Unit",NPV('Inputs and assumptions'!$C$5,(INDIRECT($A13&amp;"!F47:T47"))),NPV('Inputs and assumptions'!$C$5,(INDIRECT($A13&amp;"!F75:T75"))))</f>
        <v>0</v>
      </c>
      <c r="D51" s="448" cm="1">
        <f t="array" aca="1" ref="D51" ca="1">IF(INDIRECT($A13&amp;"!E43")="Per Unit",NPV('Inputs and assumptions'!$C$5,(INDIRECT($A13&amp;"!F48:T48"))),NPV('Inputs and assumptions'!$C$5,(INDIRECT($A13&amp;"!F76:T76"))))</f>
        <v>0</v>
      </c>
      <c r="E51" s="468" cm="1">
        <f t="array" aca="1" ref="E51" ca="1">IF(INDIRECT($A13&amp;"!E43")="Per Unit",NPV('Inputs and assumptions'!$C$5,(INDIRECT($A13&amp;"!F49:T49"))),NPV('Inputs and assumptions'!$C$5,(INDIRECT($A13&amp;"!F77:T77"))))</f>
        <v>0</v>
      </c>
      <c r="F51" s="448" cm="1">
        <f t="array" aca="1" ref="F51" ca="1">IF(INDIRECT($A13&amp;"!E43")="Per Unit",NPV('Inputs and assumptions'!$C$5,(INDIRECT($A13&amp;"!F52:T52"))),NPV('Inputs and assumptions'!$C$5,(INDIRECT($A13&amp;"!F80:T80"))))</f>
        <v>0</v>
      </c>
      <c r="G51" s="448" cm="1">
        <f t="array" aca="1" ref="G51" ca="1">IF(INDIRECT($A13&amp;"!E43")="Per Unit",NPV('Inputs and assumptions'!$C$5,(INDIRECT($A13&amp;"!F53:T53"))),NPV('Inputs and assumptions'!$C$5,(INDIRECT($A13&amp;"!F81:T81"))))</f>
        <v>0</v>
      </c>
      <c r="H51" s="448" cm="1">
        <f t="array" aca="1" ref="H51" ca="1">IF(INDIRECT($A13&amp;"!E43")="Per Unit",NPV('Inputs and assumptions'!$C$5,(INDIRECT($A13&amp;"!F54:T54"))),NPV('Inputs and assumptions'!$C$5,(INDIRECT($A13&amp;"!F82:T82"))))</f>
        <v>0</v>
      </c>
      <c r="I51" s="448" cm="1">
        <f t="array" aca="1" ref="I51" ca="1">IF(INDIRECT($A13&amp;"!E43")="Per Unit",NPV('Inputs and assumptions'!$C$5,(INDIRECT($A13&amp;"!F55:T55"))),NPV('Inputs and assumptions'!$C$5,(INDIRECT($A13&amp;"!F83:T83"))))</f>
        <v>0</v>
      </c>
      <c r="J51" s="448" cm="1">
        <f t="array" aca="1" ref="J51" ca="1">IF(INDIRECT($A13&amp;"!E43")="Per Unit",NPV('Inputs and assumptions'!$C$5,(INDIRECT($A13&amp;"!F56:T56"))),NPV('Inputs and assumptions'!$C$5,(INDIRECT($A13&amp;"!F84:T84"))))</f>
        <v>0</v>
      </c>
      <c r="K51" s="468" cm="1">
        <f t="array" aca="1" ref="K51" ca="1">IF(INDIRECT($A13&amp;"!E43")="Per Unit",NPV('Inputs and assumptions'!$C$5,(INDIRECT($A13&amp;"!F57:T57"))),NPV('Inputs and assumptions'!$C$5,(INDIRECT($A13&amp;"!F85:T85"))))</f>
        <v>0</v>
      </c>
      <c r="L51" s="448" cm="1">
        <f t="array" aca="1" ref="L51" ca="1">IF(INDIRECT($A13&amp;"!E43")="Per Unit",NPV('Inputs and assumptions'!$C$5,(INDIRECT($A13&amp;"!F60:T60"))),NPV('Inputs and assumptions'!$C$5,(INDIRECT($A13&amp;"!F88:T88"))))</f>
        <v>0</v>
      </c>
      <c r="M51" s="468" cm="1">
        <f t="array" aca="1" ref="M51" ca="1">IF(INDIRECT($A13&amp;"!E43")="Per Unit",NPV('Inputs and assumptions'!$C$5,(INDIRECT($A13&amp;"!F61:T61"))),NPV('Inputs and assumptions'!$C$5,(INDIRECT($A13&amp;"!F89:T89"))))</f>
        <v>0</v>
      </c>
      <c r="N51" s="448" cm="1">
        <f t="array" aca="1" ref="N51" ca="1">IF(INDIRECT($A13&amp;"!E43")="Per Unit",NPV('Inputs and assumptions'!$C$5,(INDIRECT($A13&amp;"!F64:T64"))),NPV('Inputs and assumptions'!$C$5,(INDIRECT($A13&amp;"!F92:T92"))))</f>
        <v>0</v>
      </c>
      <c r="O51" s="448" cm="1">
        <f t="array" aca="1" ref="O51" ca="1">IF(INDIRECT($A13&amp;"!E43")="Per Unit",NPV('Inputs and assumptions'!$C$5,(INDIRECT($A13&amp;"!F65:T65"))),NPV('Inputs and assumptions'!$C$5,(INDIRECT($A13&amp;"!F93:T93"))))</f>
        <v>0</v>
      </c>
      <c r="P51" s="448" cm="1">
        <f t="array" aca="1" ref="P51" ca="1">IF(INDIRECT($A13&amp;"!E43")="Per Unit",NPV('Inputs and assumptions'!$C$5,(INDIRECT($A13&amp;"!F66:T66"))),NPV('Inputs and assumptions'!$C$5,(INDIRECT($A13&amp;"!F94:T94"))))</f>
        <v>0</v>
      </c>
      <c r="Q51" s="448" cm="1">
        <f t="array" aca="1" ref="Q51" ca="1">IF(INDIRECT($A13&amp;"!E43")="Per Unit",NPV('Inputs and assumptions'!$C$5,(INDIRECT($A13&amp;"!F67:T67"))),NPV('Inputs and assumptions'!$C$5,(INDIRECT($A13&amp;"!F95:T95"))))</f>
        <v>0</v>
      </c>
      <c r="R51" s="448" cm="1">
        <f t="array" aca="1" ref="R51" ca="1">IF(INDIRECT($A13&amp;"!E43")="Per Unit",NPV('Inputs and assumptions'!$C$5,(INDIRECT($A13&amp;"!F68:T68"))),NPV('Inputs and assumptions'!$C$5,(INDIRECT($A13&amp;"!F96:T96"))))</f>
        <v>3470013.468185497</v>
      </c>
      <c r="S51" s="448" cm="1">
        <f t="array" aca="1" ref="S51" ca="1">IF(INDIRECT($A13&amp;"!E43")="Per Unit",NPV('Inputs and assumptions'!$C$5,(INDIRECT($A13&amp;"!F69:T69"))),NPV('Inputs and assumptions'!$C$5,(INDIRECT($A13&amp;"!F97:T97"))))</f>
        <v>0</v>
      </c>
      <c r="T51" s="453" cm="1">
        <f t="array" aca="1" ref="T51" ca="1">IF(INDIRECT($A13&amp;"!E43")="Per Unit",NPV('Inputs and assumptions'!$C$5,(INDIRECT($A13&amp;"!F70:T70"))),NPV('Inputs and assumptions'!$C$5,(INDIRECT($A13&amp;"!F98:T98"))))</f>
        <v>0</v>
      </c>
    </row>
    <row r="52" spans="1:20" x14ac:dyDescent="0.35">
      <c r="A52" s="444" t="s">
        <v>175</v>
      </c>
      <c r="B52" s="452" cm="1">
        <f t="array" aca="1" ref="B52" ca="1">IF(INDIRECT($A14&amp;"!E43")="Per Unit",NPV('Inputs and assumptions'!$C$5,(INDIRECT($A14&amp;"!F46:T46"))),NPV('Inputs and assumptions'!$C$5,(INDIRECT($A14&amp;"!F74:T74"))))</f>
        <v>0</v>
      </c>
      <c r="C52" s="448" cm="1">
        <f t="array" aca="1" ref="C52" ca="1">IF(INDIRECT($A14&amp;"!E43")="Per Unit",NPV('Inputs and assumptions'!$C$5,(INDIRECT($A14&amp;"!F47:T47"))),NPV('Inputs and assumptions'!$C$5,(INDIRECT($A14&amp;"!F75:T75"))))</f>
        <v>0</v>
      </c>
      <c r="D52" s="448" cm="1">
        <f t="array" aca="1" ref="D52" ca="1">IF(INDIRECT($A14&amp;"!E43")="Per Unit",NPV('Inputs and assumptions'!$C$5,(INDIRECT($A14&amp;"!F48:T48"))),NPV('Inputs and assumptions'!$C$5,(INDIRECT($A14&amp;"!F76:T76"))))</f>
        <v>0</v>
      </c>
      <c r="E52" s="468" cm="1">
        <f t="array" aca="1" ref="E52" ca="1">IF(INDIRECT($A14&amp;"!E43")="Per Unit",NPV('Inputs and assumptions'!$C$5,(INDIRECT($A14&amp;"!F49:T49"))),NPV('Inputs and assumptions'!$C$5,(INDIRECT($A14&amp;"!F77:T77"))))</f>
        <v>0</v>
      </c>
      <c r="F52" s="448" cm="1">
        <f t="array" aca="1" ref="F52" ca="1">IF(INDIRECT($A14&amp;"!E43")="Per Unit",NPV('Inputs and assumptions'!$C$5,(INDIRECT($A14&amp;"!F52:T52"))),NPV('Inputs and assumptions'!$C$5,(INDIRECT($A14&amp;"!F80:T80"))))</f>
        <v>0</v>
      </c>
      <c r="G52" s="448" cm="1">
        <f t="array" aca="1" ref="G52" ca="1">IF(INDIRECT($A14&amp;"!E43")="Per Unit",NPV('Inputs and assumptions'!$C$5,(INDIRECT($A14&amp;"!F53:T53"))),NPV('Inputs and assumptions'!$C$5,(INDIRECT($A14&amp;"!F81:T81"))))</f>
        <v>0</v>
      </c>
      <c r="H52" s="448" cm="1">
        <f t="array" aca="1" ref="H52" ca="1">IF(INDIRECT($A14&amp;"!E43")="Per Unit",NPV('Inputs and assumptions'!$C$5,(INDIRECT($A14&amp;"!F54:T54"))),NPV('Inputs and assumptions'!$C$5,(INDIRECT($A14&amp;"!F82:T82"))))</f>
        <v>0</v>
      </c>
      <c r="I52" s="448" cm="1">
        <f t="array" aca="1" ref="I52" ca="1">IF(INDIRECT($A14&amp;"!E43")="Per Unit",NPV('Inputs and assumptions'!$C$5,(INDIRECT($A14&amp;"!F55:T55"))),NPV('Inputs and assumptions'!$C$5,(INDIRECT($A14&amp;"!F83:T83"))))</f>
        <v>0</v>
      </c>
      <c r="J52" s="448" cm="1">
        <f t="array" aca="1" ref="J52" ca="1">IF(INDIRECT($A14&amp;"!E43")="Per Unit",NPV('Inputs and assumptions'!$C$5,(INDIRECT($A14&amp;"!F56:T56"))),NPV('Inputs and assumptions'!$C$5,(INDIRECT($A14&amp;"!F84:T84"))))</f>
        <v>0</v>
      </c>
      <c r="K52" s="468" cm="1">
        <f t="array" aca="1" ref="K52" ca="1">IF(INDIRECT($A14&amp;"!E43")="Per Unit",NPV('Inputs and assumptions'!$C$5,(INDIRECT($A14&amp;"!F57:T57"))),NPV('Inputs and assumptions'!$C$5,(INDIRECT($A14&amp;"!F85:T85"))))</f>
        <v>0</v>
      </c>
      <c r="L52" s="448" cm="1">
        <f t="array" aca="1" ref="L52" ca="1">IF(INDIRECT($A14&amp;"!E43")="Per Unit",NPV('Inputs and assumptions'!$C$5,(INDIRECT($A14&amp;"!F60:T60"))),NPV('Inputs and assumptions'!$C$5,(INDIRECT($A14&amp;"!F88:T88"))))</f>
        <v>0</v>
      </c>
      <c r="M52" s="468" cm="1">
        <f t="array" aca="1" ref="M52" ca="1">IF(INDIRECT($A14&amp;"!E43")="Per Unit",NPV('Inputs and assumptions'!$C$5,(INDIRECT($A14&amp;"!F61:T61"))),NPV('Inputs and assumptions'!$C$5,(INDIRECT($A14&amp;"!F89:T89"))))</f>
        <v>0</v>
      </c>
      <c r="N52" s="448" cm="1">
        <f t="array" aca="1" ref="N52" ca="1">IF(INDIRECT($A14&amp;"!E43")="Per Unit",NPV('Inputs and assumptions'!$C$5,(INDIRECT($A14&amp;"!F64:T64"))),NPV('Inputs and assumptions'!$C$5,(INDIRECT($A14&amp;"!F92:T92"))))</f>
        <v>0</v>
      </c>
      <c r="O52" s="448" cm="1">
        <f t="array" aca="1" ref="O52" ca="1">IF(INDIRECT($A14&amp;"!E43")="Per Unit",NPV('Inputs and assumptions'!$C$5,(INDIRECT($A14&amp;"!F65:T65"))),NPV('Inputs and assumptions'!$C$5,(INDIRECT($A14&amp;"!F93:T93"))))</f>
        <v>0</v>
      </c>
      <c r="P52" s="448" cm="1">
        <f t="array" aca="1" ref="P52" ca="1">IF(INDIRECT($A14&amp;"!E43")="Per Unit",NPV('Inputs and assumptions'!$C$5,(INDIRECT($A14&amp;"!F66:T66"))),NPV('Inputs and assumptions'!$C$5,(INDIRECT($A14&amp;"!F94:T94"))))</f>
        <v>0</v>
      </c>
      <c r="Q52" s="448" cm="1">
        <f t="array" aca="1" ref="Q52" ca="1">IF(INDIRECT($A14&amp;"!E43")="Per Unit",NPV('Inputs and assumptions'!$C$5,(INDIRECT($A14&amp;"!F67:T67"))),NPV('Inputs and assumptions'!$C$5,(INDIRECT($A14&amp;"!F95:T95"))))</f>
        <v>0</v>
      </c>
      <c r="R52" s="448" cm="1">
        <f t="array" aca="1" ref="R52" ca="1">IF(INDIRECT($A14&amp;"!E43")="Per Unit",NPV('Inputs and assumptions'!$C$5,(INDIRECT($A14&amp;"!F68:T68"))),NPV('Inputs and assumptions'!$C$5,(INDIRECT($A14&amp;"!F96:T96"))))</f>
        <v>1662500.9336287114</v>
      </c>
      <c r="S52" s="448" cm="1">
        <f t="array" aca="1" ref="S52" ca="1">IF(INDIRECT($A14&amp;"!E43")="Per Unit",NPV('Inputs and assumptions'!$C$5,(INDIRECT($A14&amp;"!F69:T69"))),NPV('Inputs and assumptions'!$C$5,(INDIRECT($A14&amp;"!F97:T97"))))</f>
        <v>0</v>
      </c>
      <c r="T52" s="453" cm="1">
        <f t="array" aca="1" ref="T52" ca="1">IF(INDIRECT($A14&amp;"!E43")="Per Unit",NPV('Inputs and assumptions'!$C$5,(INDIRECT($A14&amp;"!F70:T70"))),NPV('Inputs and assumptions'!$C$5,(INDIRECT($A14&amp;"!F98:T98"))))</f>
        <v>0</v>
      </c>
    </row>
    <row r="53" spans="1:20" x14ac:dyDescent="0.35">
      <c r="A53" s="444" t="s">
        <v>176</v>
      </c>
      <c r="B53" s="452" cm="1">
        <f t="array" aca="1" ref="B53" ca="1">IF(INDIRECT($A15&amp;"!E43")="Per Unit",NPV('Inputs and assumptions'!$C$5,(INDIRECT($A15&amp;"!F46:T46"))),NPV('Inputs and assumptions'!$C$5,(INDIRECT($A15&amp;"!F74:T74"))))</f>
        <v>0</v>
      </c>
      <c r="C53" s="448" cm="1">
        <f t="array" aca="1" ref="C53" ca="1">IF(INDIRECT($A15&amp;"!E43")="Per Unit",NPV('Inputs and assumptions'!$C$5,(INDIRECT($A15&amp;"!F47:T47"))),NPV('Inputs and assumptions'!$C$5,(INDIRECT($A15&amp;"!F75:T75"))))</f>
        <v>0</v>
      </c>
      <c r="D53" s="448" cm="1">
        <f t="array" aca="1" ref="D53" ca="1">IF(INDIRECT($A15&amp;"!E43")="Per Unit",NPV('Inputs and assumptions'!$C$5,(INDIRECT($A15&amp;"!F48:T48"))),NPV('Inputs and assumptions'!$C$5,(INDIRECT($A15&amp;"!F76:T76"))))</f>
        <v>0</v>
      </c>
      <c r="E53" s="468" cm="1">
        <f t="array" aca="1" ref="E53" ca="1">IF(INDIRECT($A15&amp;"!E43")="Per Unit",NPV('Inputs and assumptions'!$C$5,(INDIRECT($A15&amp;"!F49:T49"))),NPV('Inputs and assumptions'!$C$5,(INDIRECT($A15&amp;"!F77:T77"))))</f>
        <v>0</v>
      </c>
      <c r="F53" s="448" cm="1">
        <f t="array" aca="1" ref="F53" ca="1">IF(INDIRECT($A15&amp;"!E43")="Per Unit",NPV('Inputs and assumptions'!$C$5,(INDIRECT($A15&amp;"!F52:T52"))),NPV('Inputs and assumptions'!$C$5,(INDIRECT($A15&amp;"!F80:T80"))))</f>
        <v>0</v>
      </c>
      <c r="G53" s="448" cm="1">
        <f t="array" aca="1" ref="G53" ca="1">IF(INDIRECT($A15&amp;"!E43")="Per Unit",NPV('Inputs and assumptions'!$C$5,(INDIRECT($A15&amp;"!F53:T53"))),NPV('Inputs and assumptions'!$C$5,(INDIRECT($A15&amp;"!F81:T81"))))</f>
        <v>278449.49967786903</v>
      </c>
      <c r="H53" s="448" cm="1">
        <f t="array" aca="1" ref="H53" ca="1">IF(INDIRECT($A15&amp;"!E43")="Per Unit",NPV('Inputs and assumptions'!$C$5,(INDIRECT($A15&amp;"!F54:T54"))),NPV('Inputs and assumptions'!$C$5,(INDIRECT($A15&amp;"!F82:T82"))))</f>
        <v>0</v>
      </c>
      <c r="I53" s="448" cm="1">
        <f t="array" aca="1" ref="I53" ca="1">IF(INDIRECT($A15&amp;"!E43")="Per Unit",NPV('Inputs and assumptions'!$C$5,(INDIRECT($A15&amp;"!F55:T55"))),NPV('Inputs and assumptions'!$C$5,(INDIRECT($A15&amp;"!F83:T83"))))</f>
        <v>0</v>
      </c>
      <c r="J53" s="448" cm="1">
        <f t="array" aca="1" ref="J53" ca="1">IF(INDIRECT($A15&amp;"!E43")="Per Unit",NPV('Inputs and assumptions'!$C$5,(INDIRECT($A15&amp;"!F56:T56"))),NPV('Inputs and assumptions'!$C$5,(INDIRECT($A15&amp;"!F84:T84"))))</f>
        <v>0</v>
      </c>
      <c r="K53" s="468" cm="1">
        <f t="array" aca="1" ref="K53" ca="1">IF(INDIRECT($A15&amp;"!E43")="Per Unit",NPV('Inputs and assumptions'!$C$5,(INDIRECT($A15&amp;"!F57:T57"))),NPV('Inputs and assumptions'!$C$5,(INDIRECT($A15&amp;"!F85:T85"))))</f>
        <v>0</v>
      </c>
      <c r="L53" s="448" cm="1">
        <f t="array" aca="1" ref="L53" ca="1">IF(INDIRECT($A15&amp;"!E43")="Per Unit",NPV('Inputs and assumptions'!$C$5,(INDIRECT($A15&amp;"!F60:T60"))),NPV('Inputs and assumptions'!$C$5,(INDIRECT($A15&amp;"!F88:T88"))))</f>
        <v>0</v>
      </c>
      <c r="M53" s="468" cm="1">
        <f t="array" aca="1" ref="M53" ca="1">IF(INDIRECT($A15&amp;"!E43")="Per Unit",NPV('Inputs and assumptions'!$C$5,(INDIRECT($A15&amp;"!F61:T61"))),NPV('Inputs and assumptions'!$C$5,(INDIRECT($A15&amp;"!F89:T89"))))</f>
        <v>0</v>
      </c>
      <c r="N53" s="448" cm="1">
        <f t="array" aca="1" ref="N53" ca="1">IF(INDIRECT($A15&amp;"!E43")="Per Unit",NPV('Inputs and assumptions'!$C$5,(INDIRECT($A15&amp;"!F64:T64"))),NPV('Inputs and assumptions'!$C$5,(INDIRECT($A15&amp;"!F92:T92"))))</f>
        <v>0</v>
      </c>
      <c r="O53" s="448" cm="1">
        <f t="array" aca="1" ref="O53" ca="1">IF(INDIRECT($A15&amp;"!E43")="Per Unit",NPV('Inputs and assumptions'!$C$5,(INDIRECT($A15&amp;"!F65:T65"))),NPV('Inputs and assumptions'!$C$5,(INDIRECT($A15&amp;"!F93:T93"))))</f>
        <v>0</v>
      </c>
      <c r="P53" s="448" cm="1">
        <f t="array" aca="1" ref="P53" ca="1">IF(INDIRECT($A15&amp;"!E43")="Per Unit",NPV('Inputs and assumptions'!$C$5,(INDIRECT($A15&amp;"!F66:T66"))),NPV('Inputs and assumptions'!$C$5,(INDIRECT($A15&amp;"!F94:T94"))))</f>
        <v>0</v>
      </c>
      <c r="Q53" s="448" cm="1">
        <f t="array" aca="1" ref="Q53" ca="1">IF(INDIRECT($A15&amp;"!E43")="Per Unit",NPV('Inputs and assumptions'!$C$5,(INDIRECT($A15&amp;"!F67:T67"))),NPV('Inputs and assumptions'!$C$5,(INDIRECT($A15&amp;"!F95:T95"))))</f>
        <v>0</v>
      </c>
      <c r="R53" s="448" cm="1">
        <f t="array" aca="1" ref="R53" ca="1">IF(INDIRECT($A15&amp;"!E43")="Per Unit",NPV('Inputs and assumptions'!$C$5,(INDIRECT($A15&amp;"!F68:T68"))),NPV('Inputs and assumptions'!$C$5,(INDIRECT($A15&amp;"!F96:T96"))))</f>
        <v>0</v>
      </c>
      <c r="S53" s="448" cm="1">
        <f t="array" aca="1" ref="S53" ca="1">IF(INDIRECT($A15&amp;"!E43")="Per Unit",NPV('Inputs and assumptions'!$C$5,(INDIRECT($A15&amp;"!F69:T69"))),NPV('Inputs and assumptions'!$C$5,(INDIRECT($A15&amp;"!F97:T97"))))</f>
        <v>0</v>
      </c>
      <c r="T53" s="453" cm="1">
        <f t="array" aca="1" ref="T53" ca="1">IF(INDIRECT($A15&amp;"!E43")="Per Unit",NPV('Inputs and assumptions'!$C$5,(INDIRECT($A15&amp;"!F70:T70"))),NPV('Inputs and assumptions'!$C$5,(INDIRECT($A15&amp;"!F98:T98"))))</f>
        <v>0</v>
      </c>
    </row>
    <row r="54" spans="1:20" x14ac:dyDescent="0.35">
      <c r="A54" s="444" t="s">
        <v>177</v>
      </c>
      <c r="B54" s="452" cm="1">
        <f t="array" aca="1" ref="B54" ca="1">IF(INDIRECT($A16&amp;"!E43")="Per Unit",NPV('Inputs and assumptions'!$C$5,(INDIRECT($A16&amp;"!F46:T46"))),NPV('Inputs and assumptions'!$C$5,(INDIRECT($A16&amp;"!F74:T74"))))</f>
        <v>0</v>
      </c>
      <c r="C54" s="448" cm="1">
        <f t="array" aca="1" ref="C54" ca="1">IF(INDIRECT($A16&amp;"!E43")="Per Unit",NPV('Inputs and assumptions'!$C$5,(INDIRECT($A16&amp;"!F47:T47"))),NPV('Inputs and assumptions'!$C$5,(INDIRECT($A16&amp;"!F75:T75"))))</f>
        <v>0</v>
      </c>
      <c r="D54" s="448" cm="1">
        <f t="array" aca="1" ref="D54" ca="1">IF(INDIRECT($A16&amp;"!E43")="Per Unit",NPV('Inputs and assumptions'!$C$5,(INDIRECT($A16&amp;"!F48:T48"))),NPV('Inputs and assumptions'!$C$5,(INDIRECT($A16&amp;"!F76:T76"))))</f>
        <v>0</v>
      </c>
      <c r="E54" s="468" cm="1">
        <f t="array" aca="1" ref="E54" ca="1">IF(INDIRECT($A16&amp;"!E43")="Per Unit",NPV('Inputs and assumptions'!$C$5,(INDIRECT($A16&amp;"!F49:T49"))),NPV('Inputs and assumptions'!$C$5,(INDIRECT($A16&amp;"!F77:T77"))))</f>
        <v>0</v>
      </c>
      <c r="F54" s="448" cm="1">
        <f t="array" aca="1" ref="F54" ca="1">IF(INDIRECT($A16&amp;"!E43")="Per Unit",NPV('Inputs and assumptions'!$C$5,(INDIRECT($A16&amp;"!F52:T52"))),NPV('Inputs and assumptions'!$C$5,(INDIRECT($A16&amp;"!F80:T80"))))</f>
        <v>1646999.1683073952</v>
      </c>
      <c r="G54" s="448" cm="1">
        <f t="array" aca="1" ref="G54" ca="1">IF(INDIRECT($A16&amp;"!E43")="Per Unit",NPV('Inputs and assumptions'!$C$5,(INDIRECT($A16&amp;"!F53:T53"))),NPV('Inputs and assumptions'!$C$5,(INDIRECT($A16&amp;"!F81:T81"))))</f>
        <v>2784494.9967786893</v>
      </c>
      <c r="H54" s="448" cm="1">
        <f t="array" aca="1" ref="H54" ca="1">IF(INDIRECT($A16&amp;"!E43")="Per Unit",NPV('Inputs and assumptions'!$C$5,(INDIRECT($A16&amp;"!F54:T54"))),NPV('Inputs and assumptions'!$C$5,(INDIRECT($A16&amp;"!F82:T82"))))</f>
        <v>0</v>
      </c>
      <c r="I54" s="448" cm="1">
        <f t="array" aca="1" ref="I54" ca="1">IF(INDIRECT($A16&amp;"!E43")="Per Unit",NPV('Inputs and assumptions'!$C$5,(INDIRECT($A16&amp;"!F55:T55"))),NPV('Inputs and assumptions'!$C$5,(INDIRECT($A16&amp;"!F83:T83"))))</f>
        <v>0</v>
      </c>
      <c r="J54" s="448" cm="1">
        <f t="array" aca="1" ref="J54" ca="1">IF(INDIRECT($A16&amp;"!E43")="Per Unit",NPV('Inputs and assumptions'!$C$5,(INDIRECT($A16&amp;"!F56:T56"))),NPV('Inputs and assumptions'!$C$5,(INDIRECT($A16&amp;"!F84:T84"))))</f>
        <v>0</v>
      </c>
      <c r="K54" s="468" cm="1">
        <f t="array" aca="1" ref="K54" ca="1">IF(INDIRECT($A16&amp;"!E43")="Per Unit",NPV('Inputs and assumptions'!$C$5,(INDIRECT($A16&amp;"!F57:T57"))),NPV('Inputs and assumptions'!$C$5,(INDIRECT($A16&amp;"!F85:T85"))))</f>
        <v>0</v>
      </c>
      <c r="L54" s="448" cm="1">
        <f t="array" aca="1" ref="L54" ca="1">IF(INDIRECT($A16&amp;"!E43")="Per Unit",NPV('Inputs and assumptions'!$C$5,(INDIRECT($A16&amp;"!F60:T60"))),NPV('Inputs and assumptions'!$C$5,(INDIRECT($A16&amp;"!F88:T88"))))</f>
        <v>0</v>
      </c>
      <c r="M54" s="468" cm="1">
        <f t="array" aca="1" ref="M54" ca="1">IF(INDIRECT($A16&amp;"!E43")="Per Unit",NPV('Inputs and assumptions'!$C$5,(INDIRECT($A16&amp;"!F61:T61"))),NPV('Inputs and assumptions'!$C$5,(INDIRECT($A16&amp;"!F89:T89"))))</f>
        <v>0</v>
      </c>
      <c r="N54" s="448" cm="1">
        <f t="array" aca="1" ref="N54" ca="1">IF(INDIRECT($A16&amp;"!E43")="Per Unit",NPV('Inputs and assumptions'!$C$5,(INDIRECT($A16&amp;"!F64:T64"))),NPV('Inputs and assumptions'!$C$5,(INDIRECT($A16&amp;"!F92:T92"))))</f>
        <v>746481.637434287</v>
      </c>
      <c r="O54" s="448" cm="1">
        <f t="array" aca="1" ref="O54" ca="1">IF(INDIRECT($A16&amp;"!E43")="Per Unit",NPV('Inputs and assumptions'!$C$5,(INDIRECT($A16&amp;"!F65:T65"))),NPV('Inputs and assumptions'!$C$5,(INDIRECT($A16&amp;"!F93:T93"))))</f>
        <v>0</v>
      </c>
      <c r="P54" s="448" cm="1">
        <f t="array" aca="1" ref="P54" ca="1">IF(INDIRECT($A16&amp;"!E43")="Per Unit",NPV('Inputs and assumptions'!$C$5,(INDIRECT($A16&amp;"!F66:T66"))),NPV('Inputs and assumptions'!$C$5,(INDIRECT($A16&amp;"!F94:T94"))))</f>
        <v>0</v>
      </c>
      <c r="Q54" s="448" cm="1">
        <f t="array" aca="1" ref="Q54" ca="1">IF(INDIRECT($A16&amp;"!E43")="Per Unit",NPV('Inputs and assumptions'!$C$5,(INDIRECT($A16&amp;"!F67:T67"))),NPV('Inputs and assumptions'!$C$5,(INDIRECT($A16&amp;"!F95:T95"))))</f>
        <v>0</v>
      </c>
      <c r="R54" s="448" cm="1">
        <f t="array" aca="1" ref="R54" ca="1">IF(INDIRECT($A16&amp;"!E43")="Per Unit",NPV('Inputs and assumptions'!$C$5,(INDIRECT($A16&amp;"!F68:T68"))),NPV('Inputs and assumptions'!$C$5,(INDIRECT($A16&amp;"!F96:T96"))))</f>
        <v>3554.6744639727958</v>
      </c>
      <c r="S54" s="448" cm="1">
        <f t="array" aca="1" ref="S54" ca="1">IF(INDIRECT($A16&amp;"!E43")="Per Unit",NPV('Inputs and assumptions'!$C$5,(INDIRECT($A16&amp;"!F69:T69"))),NPV('Inputs and assumptions'!$C$5,(INDIRECT($A16&amp;"!F97:T97"))))</f>
        <v>453220.99415653152</v>
      </c>
      <c r="T54" s="453" cm="1">
        <f t="array" aca="1" ref="T54" ca="1">IF(INDIRECT($A16&amp;"!E43")="Per Unit",NPV('Inputs and assumptions'!$C$5,(INDIRECT($A16&amp;"!F70:T70"))),NPV('Inputs and assumptions'!$C$5,(INDIRECT($A16&amp;"!F98:T98"))))</f>
        <v>0</v>
      </c>
    </row>
    <row r="55" spans="1:20" x14ac:dyDescent="0.35">
      <c r="A55" s="444" t="s">
        <v>178</v>
      </c>
      <c r="B55" s="452" cm="1">
        <f t="array" aca="1" ref="B55" ca="1">IF(INDIRECT($A17&amp;"!E43")="Per Unit",NPV('Inputs and assumptions'!$C$5,(INDIRECT($A17&amp;"!F46:T46"))),NPV('Inputs and assumptions'!$C$5,(INDIRECT($A17&amp;"!F74:T74"))))</f>
        <v>0</v>
      </c>
      <c r="C55" s="448" cm="1">
        <f t="array" aca="1" ref="C55" ca="1">IF(INDIRECT($A17&amp;"!E43")="Per Unit",NPV('Inputs and assumptions'!$C$5,(INDIRECT($A17&amp;"!F47:T47"))),NPV('Inputs and assumptions'!$C$5,(INDIRECT($A17&amp;"!F75:T75"))))</f>
        <v>0</v>
      </c>
      <c r="D55" s="448" cm="1">
        <f t="array" aca="1" ref="D55" ca="1">IF(INDIRECT($A17&amp;"!E43")="Per Unit",NPV('Inputs and assumptions'!$C$5,(INDIRECT($A17&amp;"!F48:T48"))),NPV('Inputs and assumptions'!$C$5,(INDIRECT($A17&amp;"!F76:T76"))))</f>
        <v>0</v>
      </c>
      <c r="E55" s="468" cm="1">
        <f t="array" aca="1" ref="E55" ca="1">IF(INDIRECT($A17&amp;"!E43")="Per Unit",NPV('Inputs and assumptions'!$C$5,(INDIRECT($A17&amp;"!F49:T49"))),NPV('Inputs and assumptions'!$C$5,(INDIRECT($A17&amp;"!F77:T77"))))</f>
        <v>0</v>
      </c>
      <c r="F55" s="448" cm="1">
        <f t="array" aca="1" ref="F55" ca="1">IF(INDIRECT($A17&amp;"!E43")="Per Unit",NPV('Inputs and assumptions'!$C$5,(INDIRECT($A17&amp;"!F52:T52"))),NPV('Inputs and assumptions'!$C$5,(INDIRECT($A17&amp;"!F80:T80"))))</f>
        <v>0</v>
      </c>
      <c r="G55" s="448" cm="1">
        <f t="array" aca="1" ref="G55" ca="1">IF(INDIRECT($A17&amp;"!E43")="Per Unit",NPV('Inputs and assumptions'!$C$5,(INDIRECT($A17&amp;"!F53:T53"))),NPV('Inputs and assumptions'!$C$5,(INDIRECT($A17&amp;"!F81:T81"))))</f>
        <v>2738194.4225863144</v>
      </c>
      <c r="H55" s="448" cm="1">
        <f t="array" aca="1" ref="H55" ca="1">IF(INDIRECT($A17&amp;"!E43")="Per Unit",NPV('Inputs and assumptions'!$C$5,(INDIRECT($A17&amp;"!F54:T54"))),NPV('Inputs and assumptions'!$C$5,(INDIRECT($A17&amp;"!F82:T82"))))</f>
        <v>0</v>
      </c>
      <c r="I55" s="448" cm="1">
        <f t="array" aca="1" ref="I55" ca="1">IF(INDIRECT($A17&amp;"!E43")="Per Unit",NPV('Inputs and assumptions'!$C$5,(INDIRECT($A17&amp;"!F55:T55"))),NPV('Inputs and assumptions'!$C$5,(INDIRECT($A17&amp;"!F83:T83"))))</f>
        <v>0</v>
      </c>
      <c r="J55" s="448" cm="1">
        <f t="array" aca="1" ref="J55" ca="1">IF(INDIRECT($A17&amp;"!E43")="Per Unit",NPV('Inputs and assumptions'!$C$5,(INDIRECT($A17&amp;"!F56:T56"))),NPV('Inputs and assumptions'!$C$5,(INDIRECT($A17&amp;"!F84:T84"))))</f>
        <v>0</v>
      </c>
      <c r="K55" s="468" cm="1">
        <f t="array" aca="1" ref="K55" ca="1">IF(INDIRECT($A17&amp;"!E43")="Per Unit",NPV('Inputs and assumptions'!$C$5,(INDIRECT($A17&amp;"!F57:T57"))),NPV('Inputs and assumptions'!$C$5,(INDIRECT($A17&amp;"!F85:T85"))))</f>
        <v>0</v>
      </c>
      <c r="L55" s="448" cm="1">
        <f t="array" aca="1" ref="L55" ca="1">IF(INDIRECT($A17&amp;"!E43")="Per Unit",NPV('Inputs and assumptions'!$C$5,(INDIRECT($A17&amp;"!F60:T60"))),NPV('Inputs and assumptions'!$C$5,(INDIRECT($A17&amp;"!F88:T88"))))</f>
        <v>0</v>
      </c>
      <c r="M55" s="468" cm="1">
        <f t="array" aca="1" ref="M55" ca="1">IF(INDIRECT($A17&amp;"!E43")="Per Unit",NPV('Inputs and assumptions'!$C$5,(INDIRECT($A17&amp;"!F61:T61"))),NPV('Inputs and assumptions'!$C$5,(INDIRECT($A17&amp;"!F89:T89"))))</f>
        <v>0</v>
      </c>
      <c r="N55" s="448" cm="1">
        <f t="array" aca="1" ref="N55" ca="1">IF(INDIRECT($A17&amp;"!E43")="Per Unit",NPV('Inputs and assumptions'!$C$5,(INDIRECT($A17&amp;"!F64:T64"))),NPV('Inputs and assumptions'!$C$5,(INDIRECT($A17&amp;"!F92:T92"))))</f>
        <v>3670345.7153816554</v>
      </c>
      <c r="O55" s="448" cm="1">
        <f t="array" aca="1" ref="O55" ca="1">IF(INDIRECT($A17&amp;"!E43")="Per Unit",NPV('Inputs and assumptions'!$C$5,(INDIRECT($A17&amp;"!F65:T65"))),NPV('Inputs and assumptions'!$C$5,(INDIRECT($A17&amp;"!F93:T93"))))</f>
        <v>0</v>
      </c>
      <c r="P55" s="448" cm="1">
        <f t="array" aca="1" ref="P55" ca="1">IF(INDIRECT($A17&amp;"!E43")="Per Unit",NPV('Inputs and assumptions'!$C$5,(INDIRECT($A17&amp;"!F66:T66"))),NPV('Inputs and assumptions'!$C$5,(INDIRECT($A17&amp;"!F94:T94"))))</f>
        <v>0</v>
      </c>
      <c r="Q55" s="448" cm="1">
        <f t="array" aca="1" ref="Q55" ca="1">IF(INDIRECT($A17&amp;"!E43")="Per Unit",NPV('Inputs and assumptions'!$C$5,(INDIRECT($A17&amp;"!F67:T67"))),NPV('Inputs and assumptions'!$C$5,(INDIRECT($A17&amp;"!F95:T95"))))</f>
        <v>0</v>
      </c>
      <c r="R55" s="448" cm="1">
        <f t="array" aca="1" ref="R55" ca="1">IF(INDIRECT($A17&amp;"!E43")="Per Unit",NPV('Inputs and assumptions'!$C$5,(INDIRECT($A17&amp;"!F68:T68"))),NPV('Inputs and assumptions'!$C$5,(INDIRECT($A17&amp;"!F96:T96"))))</f>
        <v>17477.836739912647</v>
      </c>
      <c r="S55" s="448" cm="1">
        <f t="array" aca="1" ref="S55" ca="1">IF(INDIRECT($A17&amp;"!E43")="Per Unit",NPV('Inputs and assumptions'!$C$5,(INDIRECT($A17&amp;"!F69:T69"))),NPV('Inputs and assumptions'!$C$5,(INDIRECT($A17&amp;"!F97:T97"))))</f>
        <v>222842.41843388623</v>
      </c>
      <c r="T55" s="453" cm="1">
        <f t="array" aca="1" ref="T55" ca="1">IF(INDIRECT($A17&amp;"!E43")="Per Unit",NPV('Inputs and assumptions'!$C$5,(INDIRECT($A17&amp;"!F70:T70"))),NPV('Inputs and assumptions'!$C$5,(INDIRECT($A17&amp;"!F98:T98"))))</f>
        <v>0</v>
      </c>
    </row>
    <row r="56" spans="1:20" x14ac:dyDescent="0.35">
      <c r="A56" s="444" t="s">
        <v>179</v>
      </c>
      <c r="B56" s="452" cm="1">
        <f t="array" aca="1" ref="B56" ca="1">IF(INDIRECT($A18&amp;"!E43")="Per Unit",NPV('Inputs and assumptions'!$C$5,(INDIRECT($A18&amp;"!F46:T46"))),NPV('Inputs and assumptions'!$C$5,(INDIRECT($A18&amp;"!F74:T74"))))</f>
        <v>0</v>
      </c>
      <c r="C56" s="448" cm="1">
        <f t="array" aca="1" ref="C56" ca="1">IF(INDIRECT($A18&amp;"!E43")="Per Unit",NPV('Inputs and assumptions'!$C$5,(INDIRECT($A18&amp;"!F47:T47"))),NPV('Inputs and assumptions'!$C$5,(INDIRECT($A18&amp;"!F75:T75"))))</f>
        <v>0</v>
      </c>
      <c r="D56" s="448" cm="1">
        <f t="array" aca="1" ref="D56" ca="1">IF(INDIRECT($A18&amp;"!E43")="Per Unit",NPV('Inputs and assumptions'!$C$5,(INDIRECT($A18&amp;"!F48:T48"))),NPV('Inputs and assumptions'!$C$5,(INDIRECT($A18&amp;"!F76:T76"))))</f>
        <v>0</v>
      </c>
      <c r="E56" s="468" cm="1">
        <f t="array" aca="1" ref="E56" ca="1">IF(INDIRECT($A18&amp;"!E43")="Per Unit",NPV('Inputs and assumptions'!$C$5,(INDIRECT($A18&amp;"!F49:T49"))),NPV('Inputs and assumptions'!$C$5,(INDIRECT($A18&amp;"!F77:T77"))))</f>
        <v>0</v>
      </c>
      <c r="F56" s="448" cm="1">
        <f t="array" aca="1" ref="F56" ca="1">IF(INDIRECT($A18&amp;"!E43")="Per Unit",NPV('Inputs and assumptions'!$C$5,(INDIRECT($A18&amp;"!F52:T52"))),NPV('Inputs and assumptions'!$C$5,(INDIRECT($A18&amp;"!F80:T80"))))</f>
        <v>0</v>
      </c>
      <c r="G56" s="448" cm="1">
        <f t="array" aca="1" ref="G56" ca="1">IF(INDIRECT($A18&amp;"!E43")="Per Unit",NPV('Inputs and assumptions'!$C$5,(INDIRECT($A18&amp;"!F53:T53"))),NPV('Inputs and assumptions'!$C$5,(INDIRECT($A18&amp;"!F81:T81"))))</f>
        <v>1392247.4983893447</v>
      </c>
      <c r="H56" s="448" cm="1">
        <f t="array" aca="1" ref="H56" ca="1">IF(INDIRECT($A18&amp;"!E43")="Per Unit",NPV('Inputs and assumptions'!$C$5,(INDIRECT($A18&amp;"!F54:T54"))),NPV('Inputs and assumptions'!$C$5,(INDIRECT($A18&amp;"!F82:T82"))))</f>
        <v>0</v>
      </c>
      <c r="I56" s="448" cm="1">
        <f t="array" aca="1" ref="I56" ca="1">IF(INDIRECT($A18&amp;"!E43")="Per Unit",NPV('Inputs and assumptions'!$C$5,(INDIRECT($A18&amp;"!F55:T55"))),NPV('Inputs and assumptions'!$C$5,(INDIRECT($A18&amp;"!F83:T83"))))</f>
        <v>2710439.2787792566</v>
      </c>
      <c r="J56" s="448" cm="1">
        <f t="array" aca="1" ref="J56" ca="1">IF(INDIRECT($A18&amp;"!E43")="Per Unit",NPV('Inputs and assumptions'!$C$5,(INDIRECT($A18&amp;"!F56:T56"))),NPV('Inputs and assumptions'!$C$5,(INDIRECT($A18&amp;"!F84:T84"))))</f>
        <v>0</v>
      </c>
      <c r="K56" s="468" cm="1">
        <f t="array" aca="1" ref="K56" ca="1">IF(INDIRECT($A18&amp;"!E43")="Per Unit",NPV('Inputs and assumptions'!$C$5,(INDIRECT($A18&amp;"!F57:T57"))),NPV('Inputs and assumptions'!$C$5,(INDIRECT($A18&amp;"!F85:T85"))))</f>
        <v>0</v>
      </c>
      <c r="L56" s="448" cm="1">
        <f t="array" aca="1" ref="L56" ca="1">IF(INDIRECT($A18&amp;"!E43")="Per Unit",NPV('Inputs and assumptions'!$C$5,(INDIRECT($A18&amp;"!F60:T60"))),NPV('Inputs and assumptions'!$C$5,(INDIRECT($A18&amp;"!F88:T88"))))</f>
        <v>0</v>
      </c>
      <c r="M56" s="468" cm="1">
        <f t="array" aca="1" ref="M56" ca="1">IF(INDIRECT($A18&amp;"!E43")="Per Unit",NPV('Inputs and assumptions'!$C$5,(INDIRECT($A18&amp;"!F61:T61"))),NPV('Inputs and assumptions'!$C$5,(INDIRECT($A18&amp;"!F89:T89"))))</f>
        <v>0</v>
      </c>
      <c r="N56" s="448" cm="1">
        <f t="array" aca="1" ref="N56" ca="1">IF(INDIRECT($A18&amp;"!E43")="Per Unit",NPV('Inputs and assumptions'!$C$5,(INDIRECT($A18&amp;"!F64:T64"))),NPV('Inputs and assumptions'!$C$5,(INDIRECT($A18&amp;"!F92:T92"))))</f>
        <v>0</v>
      </c>
      <c r="O56" s="448" cm="1">
        <f t="array" aca="1" ref="O56" ca="1">IF(INDIRECT($A18&amp;"!E43")="Per Unit",NPV('Inputs and assumptions'!$C$5,(INDIRECT($A18&amp;"!F65:T65"))),NPV('Inputs and assumptions'!$C$5,(INDIRECT($A18&amp;"!F93:T93"))))</f>
        <v>0</v>
      </c>
      <c r="P56" s="448" cm="1">
        <f t="array" aca="1" ref="P56" ca="1">IF(INDIRECT($A18&amp;"!E43")="Per Unit",NPV('Inputs and assumptions'!$C$5,(INDIRECT($A18&amp;"!F66:T66"))),NPV('Inputs and assumptions'!$C$5,(INDIRECT($A18&amp;"!F94:T94"))))</f>
        <v>0</v>
      </c>
      <c r="Q56" s="448" cm="1">
        <f t="array" aca="1" ref="Q56" ca="1">IF(INDIRECT($A18&amp;"!E43")="Per Unit",NPV('Inputs and assumptions'!$C$5,(INDIRECT($A18&amp;"!F67:T67"))),NPV('Inputs and assumptions'!$C$5,(INDIRECT($A18&amp;"!F95:T95"))))</f>
        <v>0</v>
      </c>
      <c r="R56" s="448" cm="1">
        <f t="array" aca="1" ref="R56" ca="1">IF(INDIRECT($A18&amp;"!E43")="Per Unit",NPV('Inputs and assumptions'!$C$5,(INDIRECT($A18&amp;"!F68:T68"))),NPV('Inputs and assumptions'!$C$5,(INDIRECT($A18&amp;"!F96:T96"))))</f>
        <v>0</v>
      </c>
      <c r="S56" s="448" cm="1">
        <f t="array" aca="1" ref="S56" ca="1">IF(INDIRECT($A18&amp;"!E43")="Per Unit",NPV('Inputs and assumptions'!$C$5,(INDIRECT($A18&amp;"!F69:T69"))),NPV('Inputs and assumptions'!$C$5,(INDIRECT($A18&amp;"!F97:T97"))))</f>
        <v>0</v>
      </c>
      <c r="T56" s="453" cm="1">
        <f t="array" aca="1" ref="T56" ca="1">IF(INDIRECT($A18&amp;"!E43")="Per Unit",NPV('Inputs and assumptions'!$C$5,(INDIRECT($A18&amp;"!F70:T70"))),NPV('Inputs and assumptions'!$C$5,(INDIRECT($A18&amp;"!F98:T98"))))</f>
        <v>0</v>
      </c>
    </row>
    <row r="57" spans="1:20" x14ac:dyDescent="0.35">
      <c r="A57" s="444" t="s">
        <v>180</v>
      </c>
      <c r="B57" s="452" cm="1">
        <f t="array" aca="1" ref="B57" ca="1">IF(INDIRECT($A19&amp;"!E43")="Per Unit",NPV('Inputs and assumptions'!$C$5,(INDIRECT($A19&amp;"!F46:T46"))),NPV('Inputs and assumptions'!$C$5,(INDIRECT($A19&amp;"!F74:T74"))))</f>
        <v>422126.50193166017</v>
      </c>
      <c r="C57" s="448" cm="1">
        <f t="array" aca="1" ref="C57" ca="1">IF(INDIRECT($A19&amp;"!E43")="Per Unit",NPV('Inputs and assumptions'!$C$5,(INDIRECT($A19&amp;"!F47:T47"))),NPV('Inputs and assumptions'!$C$5,(INDIRECT($A19&amp;"!F75:T75"))))</f>
        <v>303586.80477945466</v>
      </c>
      <c r="D57" s="448" cm="1">
        <f t="array" aca="1" ref="D57" ca="1">IF(INDIRECT($A19&amp;"!E43")="Per Unit",NPV('Inputs and assumptions'!$C$5,(INDIRECT($A19&amp;"!F48:T48"))),NPV('Inputs and assumptions'!$C$5,(INDIRECT($A19&amp;"!F76:T76"))))</f>
        <v>58932.246283100969</v>
      </c>
      <c r="E57" s="468" cm="1">
        <f t="array" aca="1" ref="E57" ca="1">IF(INDIRECT($A19&amp;"!E43")="Per Unit",NPV('Inputs and assumptions'!$C$5,(INDIRECT($A19&amp;"!F49:T49"))),NPV('Inputs and assumptions'!$C$5,(INDIRECT($A19&amp;"!F77:T77"))))</f>
        <v>0</v>
      </c>
      <c r="F57" s="448" cm="1">
        <f t="array" aca="1" ref="F57" ca="1">IF(INDIRECT($A19&amp;"!E43")="Per Unit",NPV('Inputs and assumptions'!$C$5,(INDIRECT($A19&amp;"!F52:T52"))),NPV('Inputs and assumptions'!$C$5,(INDIRECT($A19&amp;"!F80:T80"))))</f>
        <v>0</v>
      </c>
      <c r="G57" s="448" cm="1">
        <f t="array" aca="1" ref="G57" ca="1">IF(INDIRECT($A19&amp;"!E43")="Per Unit",NPV('Inputs and assumptions'!$C$5,(INDIRECT($A19&amp;"!F53:T53"))),NPV('Inputs and assumptions'!$C$5,(INDIRECT($A19&amp;"!F81:T81"))))</f>
        <v>0</v>
      </c>
      <c r="H57" s="448" cm="1">
        <f t="array" aca="1" ref="H57" ca="1">IF(INDIRECT($A19&amp;"!E43")="Per Unit",NPV('Inputs and assumptions'!$C$5,(INDIRECT($A19&amp;"!F54:T54"))),NPV('Inputs and assumptions'!$C$5,(INDIRECT($A19&amp;"!F82:T82"))))</f>
        <v>0</v>
      </c>
      <c r="I57" s="448" cm="1">
        <f t="array" aca="1" ref="I57" ca="1">IF(INDIRECT($A19&amp;"!E43")="Per Unit",NPV('Inputs and assumptions'!$C$5,(INDIRECT($A19&amp;"!F55:T55"))),NPV('Inputs and assumptions'!$C$5,(INDIRECT($A19&amp;"!F83:T83"))))</f>
        <v>0</v>
      </c>
      <c r="J57" s="448" cm="1">
        <f t="array" aca="1" ref="J57" ca="1">IF(INDIRECT($A19&amp;"!E43")="Per Unit",NPV('Inputs and assumptions'!$C$5,(INDIRECT($A19&amp;"!F56:T56"))),NPV('Inputs and assumptions'!$C$5,(INDIRECT($A19&amp;"!F84:T84"))))</f>
        <v>0</v>
      </c>
      <c r="K57" s="468" cm="1">
        <f t="array" aca="1" ref="K57" ca="1">IF(INDIRECT($A19&amp;"!E43")="Per Unit",NPV('Inputs and assumptions'!$C$5,(INDIRECT($A19&amp;"!F57:T57"))),NPV('Inputs and assumptions'!$C$5,(INDIRECT($A19&amp;"!F85:T85"))))</f>
        <v>0</v>
      </c>
      <c r="L57" s="448" cm="1">
        <f t="array" aca="1" ref="L57" ca="1">IF(INDIRECT($A19&amp;"!E43")="Per Unit",NPV('Inputs and assumptions'!$C$5,(INDIRECT($A19&amp;"!F60:T60"))),NPV('Inputs and assumptions'!$C$5,(INDIRECT($A19&amp;"!F88:T88"))))</f>
        <v>0</v>
      </c>
      <c r="M57" s="468" cm="1">
        <f t="array" aca="1" ref="M57" ca="1">IF(INDIRECT($A19&amp;"!E43")="Per Unit",NPV('Inputs and assumptions'!$C$5,(INDIRECT($A19&amp;"!F61:T61"))),NPV('Inputs and assumptions'!$C$5,(INDIRECT($A19&amp;"!F89:T89"))))</f>
        <v>0</v>
      </c>
      <c r="N57" s="448" cm="1">
        <f t="array" aca="1" ref="N57" ca="1">IF(INDIRECT($A19&amp;"!E43")="Per Unit",NPV('Inputs and assumptions'!$C$5,(INDIRECT($A19&amp;"!F64:T64"))),NPV('Inputs and assumptions'!$C$5,(INDIRECT($A19&amp;"!F92:T92"))))</f>
        <v>728702.82831895433</v>
      </c>
      <c r="O57" s="448" cm="1">
        <f t="array" aca="1" ref="O57" ca="1">IF(INDIRECT($A19&amp;"!E43")="Per Unit",NPV('Inputs and assumptions'!$C$5,(INDIRECT($A19&amp;"!F65:T65"))),NPV('Inputs and assumptions'!$C$5,(INDIRECT($A19&amp;"!F93:T93"))))</f>
        <v>0</v>
      </c>
      <c r="P57" s="448" cm="1">
        <f t="array" aca="1" ref="P57" ca="1">IF(INDIRECT($A19&amp;"!E43")="Per Unit",NPV('Inputs and assumptions'!$C$5,(INDIRECT($A19&amp;"!F66:T66"))),NPV('Inputs and assumptions'!$C$5,(INDIRECT($A19&amp;"!F94:T94"))))</f>
        <v>0</v>
      </c>
      <c r="Q57" s="448" cm="1">
        <f t="array" aca="1" ref="Q57" ca="1">IF(INDIRECT($A19&amp;"!E43")="Per Unit",NPV('Inputs and assumptions'!$C$5,(INDIRECT($A19&amp;"!F67:T67"))),NPV('Inputs and assumptions'!$C$5,(INDIRECT($A19&amp;"!F95:T95"))))</f>
        <v>0</v>
      </c>
      <c r="R57" s="448" cm="1">
        <f t="array" aca="1" ref="R57" ca="1">IF(INDIRECT($A19&amp;"!E43")="Per Unit",NPV('Inputs and assumptions'!$C$5,(INDIRECT($A19&amp;"!F68:T68"))),NPV('Inputs and assumptions'!$C$5,(INDIRECT($A19&amp;"!F96:T96"))))</f>
        <v>0</v>
      </c>
      <c r="S57" s="448" cm="1">
        <f t="array" aca="1" ref="S57" ca="1">IF(INDIRECT($A19&amp;"!E43")="Per Unit",NPV('Inputs and assumptions'!$C$5,(INDIRECT($A19&amp;"!F69:T69"))),NPV('Inputs and assumptions'!$C$5,(INDIRECT($A19&amp;"!F97:T97"))))</f>
        <v>0</v>
      </c>
      <c r="T57" s="453" cm="1">
        <f t="array" aca="1" ref="T57" ca="1">IF(INDIRECT($A19&amp;"!E43")="Per Unit",NPV('Inputs and assumptions'!$C$5,(INDIRECT($A19&amp;"!F70:T70"))),NPV('Inputs and assumptions'!$C$5,(INDIRECT($A19&amp;"!F98:T98"))))</f>
        <v>0</v>
      </c>
    </row>
    <row r="58" spans="1:20" x14ac:dyDescent="0.35">
      <c r="A58" s="444" t="s">
        <v>181</v>
      </c>
      <c r="B58" s="452" cm="1">
        <f t="array" aca="1" ref="B58" ca="1">IF(INDIRECT($A20&amp;"!E43")="Per Unit",NPV('Inputs and assumptions'!$C$5,(INDIRECT($A20&amp;"!F46:T46"))),NPV('Inputs and assumptions'!$C$5,(INDIRECT($A20&amp;"!F74:T74"))))</f>
        <v>36354.461460050821</v>
      </c>
      <c r="C58" s="448" cm="1">
        <f t="array" aca="1" ref="C58" ca="1">IF(INDIRECT($A20&amp;"!E43")="Per Unit",NPV('Inputs and assumptions'!$C$5,(INDIRECT($A20&amp;"!F47:T47"))),NPV('Inputs and assumptions'!$C$5,(INDIRECT($A20&amp;"!F75:T75"))))</f>
        <v>0</v>
      </c>
      <c r="D58" s="448" cm="1">
        <f t="array" aca="1" ref="D58" ca="1">IF(INDIRECT($A20&amp;"!E43")="Per Unit",NPV('Inputs and assumptions'!$C$5,(INDIRECT($A20&amp;"!F48:T48"))),NPV('Inputs and assumptions'!$C$5,(INDIRECT($A20&amp;"!F76:T76"))))</f>
        <v>5075.3744824106479</v>
      </c>
      <c r="E58" s="468" cm="1">
        <f t="array" aca="1" ref="E58" ca="1">IF(INDIRECT($A20&amp;"!E43")="Per Unit",NPV('Inputs and assumptions'!$C$5,(INDIRECT($A20&amp;"!F49:T49"))),NPV('Inputs and assumptions'!$C$5,(INDIRECT($A20&amp;"!F77:T77"))))</f>
        <v>0</v>
      </c>
      <c r="F58" s="448" cm="1">
        <f t="array" aca="1" ref="F58" ca="1">IF(INDIRECT($A20&amp;"!E43")="Per Unit",NPV('Inputs and assumptions'!$C$5,(INDIRECT($A20&amp;"!F52:T52"))),NPV('Inputs and assumptions'!$C$5,(INDIRECT($A20&amp;"!F80:T80"))))</f>
        <v>0</v>
      </c>
      <c r="G58" s="448" cm="1">
        <f t="array" aca="1" ref="G58" ca="1">IF(INDIRECT($A20&amp;"!E43")="Per Unit",NPV('Inputs and assumptions'!$C$5,(INDIRECT($A20&amp;"!F53:T53"))),NPV('Inputs and assumptions'!$C$5,(INDIRECT($A20&amp;"!F81:T81"))))</f>
        <v>0</v>
      </c>
      <c r="H58" s="448" cm="1">
        <f t="array" aca="1" ref="H58" ca="1">IF(INDIRECT($A20&amp;"!E43")="Per Unit",NPV('Inputs and assumptions'!$C$5,(INDIRECT($A20&amp;"!F54:T54"))),NPV('Inputs and assumptions'!$C$5,(INDIRECT($A20&amp;"!F82:T82"))))</f>
        <v>0</v>
      </c>
      <c r="I58" s="448" cm="1">
        <f t="array" aca="1" ref="I58" ca="1">IF(INDIRECT($A20&amp;"!E43")="Per Unit",NPV('Inputs and assumptions'!$C$5,(INDIRECT($A20&amp;"!F55:T55"))),NPV('Inputs and assumptions'!$C$5,(INDIRECT($A20&amp;"!F83:T83"))))</f>
        <v>0</v>
      </c>
      <c r="J58" s="448" cm="1">
        <f t="array" aca="1" ref="J58" ca="1">IF(INDIRECT($A20&amp;"!E43")="Per Unit",NPV('Inputs and assumptions'!$C$5,(INDIRECT($A20&amp;"!F56:T56"))),NPV('Inputs and assumptions'!$C$5,(INDIRECT($A20&amp;"!F84:T84"))))</f>
        <v>0</v>
      </c>
      <c r="K58" s="468" cm="1">
        <f t="array" aca="1" ref="K58" ca="1">IF(INDIRECT($A20&amp;"!E43")="Per Unit",NPV('Inputs and assumptions'!$C$5,(INDIRECT($A20&amp;"!F57:T57"))),NPV('Inputs and assumptions'!$C$5,(INDIRECT($A20&amp;"!F85:T85"))))</f>
        <v>0</v>
      </c>
      <c r="L58" s="448" cm="1">
        <f t="array" aca="1" ref="L58" ca="1">IF(INDIRECT($A20&amp;"!E43")="Per Unit",NPV('Inputs and assumptions'!$C$5,(INDIRECT($A20&amp;"!F60:T60"))),NPV('Inputs and assumptions'!$C$5,(INDIRECT($A20&amp;"!F88:T88"))))</f>
        <v>0</v>
      </c>
      <c r="M58" s="468" cm="1">
        <f t="array" aca="1" ref="M58" ca="1">IF(INDIRECT($A20&amp;"!E43")="Per Unit",NPV('Inputs and assumptions'!$C$5,(INDIRECT($A20&amp;"!F61:T61"))),NPV('Inputs and assumptions'!$C$5,(INDIRECT($A20&amp;"!F89:T89"))))</f>
        <v>298845.18104819191</v>
      </c>
      <c r="N58" s="448" cm="1">
        <f t="array" aca="1" ref="N58" ca="1">IF(INDIRECT($A20&amp;"!E43")="Per Unit",NPV('Inputs and assumptions'!$C$5,(INDIRECT($A20&amp;"!F64:T64"))),NPV('Inputs and assumptions'!$C$5,(INDIRECT($A20&amp;"!F92:T92"))))</f>
        <v>627574.88020120293</v>
      </c>
      <c r="O58" s="448" cm="1">
        <f t="array" aca="1" ref="O58" ca="1">IF(INDIRECT($A20&amp;"!E43")="Per Unit",NPV('Inputs and assumptions'!$C$5,(INDIRECT($A20&amp;"!F65:T65"))),NPV('Inputs and assumptions'!$C$5,(INDIRECT($A20&amp;"!F93:T93"))))</f>
        <v>0</v>
      </c>
      <c r="P58" s="448" cm="1">
        <f t="array" aca="1" ref="P58" ca="1">IF(INDIRECT($A20&amp;"!E43")="Per Unit",NPV('Inputs and assumptions'!$C$5,(INDIRECT($A20&amp;"!F66:T66"))),NPV('Inputs and assumptions'!$C$5,(INDIRECT($A20&amp;"!F94:T94"))))</f>
        <v>0</v>
      </c>
      <c r="Q58" s="448" cm="1">
        <f t="array" aca="1" ref="Q58" ca="1">IF(INDIRECT($A20&amp;"!E43")="Per Unit",NPV('Inputs and assumptions'!$C$5,(INDIRECT($A20&amp;"!F67:T67"))),NPV('Inputs and assumptions'!$C$5,(INDIRECT($A20&amp;"!F95:T95"))))</f>
        <v>0</v>
      </c>
      <c r="R58" s="448" cm="1">
        <f t="array" aca="1" ref="R58" ca="1">IF(INDIRECT($A20&amp;"!E43")="Per Unit",NPV('Inputs and assumptions'!$C$5,(INDIRECT($A20&amp;"!F68:T68"))),NPV('Inputs and assumptions'!$C$5,(INDIRECT($A20&amp;"!F96:T96"))))</f>
        <v>0</v>
      </c>
      <c r="S58" s="448" cm="1">
        <f t="array" aca="1" ref="S58" ca="1">IF(INDIRECT($A20&amp;"!E43")="Per Unit",NPV('Inputs and assumptions'!$C$5,(INDIRECT($A20&amp;"!F69:T69"))),NPV('Inputs and assumptions'!$C$5,(INDIRECT($A20&amp;"!F97:T97"))))</f>
        <v>0</v>
      </c>
      <c r="T58" s="453" cm="1">
        <f t="array" aca="1" ref="T58" ca="1">IF(INDIRECT($A20&amp;"!E43")="Per Unit",NPV('Inputs and assumptions'!$C$5,(INDIRECT($A20&amp;"!F70:T70"))),NPV('Inputs and assumptions'!$C$5,(INDIRECT($A20&amp;"!F98:T98"))))</f>
        <v>0</v>
      </c>
    </row>
    <row r="59" spans="1:20" x14ac:dyDescent="0.35">
      <c r="A59" s="444" t="s">
        <v>182</v>
      </c>
      <c r="B59" s="452" cm="1">
        <f t="array" aca="1" ref="B59" ca="1">IF(INDIRECT($A21&amp;"!E43")="Per Unit",NPV('Inputs and assumptions'!$C$5,(INDIRECT($A21&amp;"!F46:T46"))),NPV('Inputs and assumptions'!$C$5,(INDIRECT($A21&amp;"!F74:T74"))))</f>
        <v>0</v>
      </c>
      <c r="C59" s="448" cm="1">
        <f t="array" aca="1" ref="C59" ca="1">IF(INDIRECT($A21&amp;"!E43")="Per Unit",NPV('Inputs and assumptions'!$C$5,(INDIRECT($A21&amp;"!F47:T47"))),NPV('Inputs and assumptions'!$C$5,(INDIRECT($A21&amp;"!F75:T75"))))</f>
        <v>0</v>
      </c>
      <c r="D59" s="448" cm="1">
        <f t="array" aca="1" ref="D59" ca="1">IF(INDIRECT($A21&amp;"!E43")="Per Unit",NPV('Inputs and assumptions'!$C$5,(INDIRECT($A21&amp;"!F48:T48"))),NPV('Inputs and assumptions'!$C$5,(INDIRECT($A21&amp;"!F76:T76"))))</f>
        <v>0</v>
      </c>
      <c r="E59" s="468" cm="1">
        <f t="array" aca="1" ref="E59" ca="1">IF(INDIRECT($A21&amp;"!E43")="Per Unit",NPV('Inputs and assumptions'!$C$5,(INDIRECT($A21&amp;"!F49:T49"))),NPV('Inputs and assumptions'!$C$5,(INDIRECT($A21&amp;"!F77:T77"))))</f>
        <v>0</v>
      </c>
      <c r="F59" s="448" cm="1">
        <f t="array" aca="1" ref="F59" ca="1">IF(INDIRECT($A21&amp;"!E43")="Per Unit",NPV('Inputs and assumptions'!$C$5,(INDIRECT($A21&amp;"!F52:T52"))),NPV('Inputs and assumptions'!$C$5,(INDIRECT($A21&amp;"!F80:T80"))))</f>
        <v>0</v>
      </c>
      <c r="G59" s="448" cm="1">
        <f t="array" aca="1" ref="G59" ca="1">IF(INDIRECT($A21&amp;"!E43")="Per Unit",NPV('Inputs and assumptions'!$C$5,(INDIRECT($A21&amp;"!F53:T53"))),NPV('Inputs and assumptions'!$C$5,(INDIRECT($A21&amp;"!F81:T81"))))</f>
        <v>1392247.4983893447</v>
      </c>
      <c r="H59" s="448" cm="1">
        <f t="array" aca="1" ref="H59" ca="1">IF(INDIRECT($A21&amp;"!E43")="Per Unit",NPV('Inputs and assumptions'!$C$5,(INDIRECT($A21&amp;"!F54:T54"))),NPV('Inputs and assumptions'!$C$5,(INDIRECT($A21&amp;"!F82:T82"))))</f>
        <v>0</v>
      </c>
      <c r="I59" s="448" cm="1">
        <f t="array" aca="1" ref="I59" ca="1">IF(INDIRECT($A21&amp;"!E43")="Per Unit",NPV('Inputs and assumptions'!$C$5,(INDIRECT($A21&amp;"!F55:T55"))),NPV('Inputs and assumptions'!$C$5,(INDIRECT($A21&amp;"!F83:T83"))))</f>
        <v>0</v>
      </c>
      <c r="J59" s="448" cm="1">
        <f t="array" aca="1" ref="J59" ca="1">IF(INDIRECT($A21&amp;"!E43")="Per Unit",NPV('Inputs and assumptions'!$C$5,(INDIRECT($A21&amp;"!F56:T56"))),NPV('Inputs and assumptions'!$C$5,(INDIRECT($A21&amp;"!F84:T84"))))</f>
        <v>0</v>
      </c>
      <c r="K59" s="468" cm="1">
        <f t="array" aca="1" ref="K59" ca="1">IF(INDIRECT($A21&amp;"!E43")="Per Unit",NPV('Inputs and assumptions'!$C$5,(INDIRECT($A21&amp;"!F57:T57"))),NPV('Inputs and assumptions'!$C$5,(INDIRECT($A21&amp;"!F85:T85"))))</f>
        <v>0</v>
      </c>
      <c r="L59" s="448" cm="1">
        <f t="array" aca="1" ref="L59" ca="1">IF(INDIRECT($A21&amp;"!E43")="Per Unit",NPV('Inputs and assumptions'!$C$5,(INDIRECT($A21&amp;"!F60:T60"))),NPV('Inputs and assumptions'!$C$5,(INDIRECT($A21&amp;"!F88:T88"))))</f>
        <v>0</v>
      </c>
      <c r="M59" s="468" cm="1">
        <f t="array" aca="1" ref="M59" ca="1">IF(INDIRECT($A21&amp;"!E43")="Per Unit",NPV('Inputs and assumptions'!$C$5,(INDIRECT($A21&amp;"!F61:T61"))),NPV('Inputs and assumptions'!$C$5,(INDIRECT($A21&amp;"!F89:T89"))))</f>
        <v>888668.61599319882</v>
      </c>
      <c r="N59" s="448" cm="1">
        <f t="array" aca="1" ref="N59" ca="1">IF(INDIRECT($A21&amp;"!E43")="Per Unit",NPV('Inputs and assumptions'!$C$5,(INDIRECT($A21&amp;"!F64:T64"))),NPV('Inputs and assumptions'!$C$5,(INDIRECT($A21&amp;"!F92:T92"))))</f>
        <v>14929632.748685742</v>
      </c>
      <c r="O59" s="448" cm="1">
        <f t="array" aca="1" ref="O59" ca="1">IF(INDIRECT($A21&amp;"!E43")="Per Unit",NPV('Inputs and assumptions'!$C$5,(INDIRECT($A21&amp;"!F65:T65"))),NPV('Inputs and assumptions'!$C$5,(INDIRECT($A21&amp;"!F93:T93"))))</f>
        <v>0</v>
      </c>
      <c r="P59" s="448" cm="1">
        <f t="array" aca="1" ref="P59" ca="1">IF(INDIRECT($A21&amp;"!E43")="Per Unit",NPV('Inputs and assumptions'!$C$5,(INDIRECT($A21&amp;"!F66:T66"))),NPV('Inputs and assumptions'!$C$5,(INDIRECT($A21&amp;"!F94:T94"))))</f>
        <v>0</v>
      </c>
      <c r="Q59" s="448" cm="1">
        <f t="array" aca="1" ref="Q59" ca="1">IF(INDIRECT($A21&amp;"!E43")="Per Unit",NPV('Inputs and assumptions'!$C$5,(INDIRECT($A21&amp;"!F67:T67"))),NPV('Inputs and assumptions'!$C$5,(INDIRECT($A21&amp;"!F95:T95"))))</f>
        <v>0</v>
      </c>
      <c r="R59" s="448" cm="1">
        <f t="array" aca="1" ref="R59" ca="1">IF(INDIRECT($A21&amp;"!E43")="Per Unit",NPV('Inputs and assumptions'!$C$5,(INDIRECT($A21&amp;"!F68:T68"))),NPV('Inputs and assumptions'!$C$5,(INDIRECT($A21&amp;"!F96:T96"))))</f>
        <v>0</v>
      </c>
      <c r="S59" s="448" cm="1">
        <f t="array" aca="1" ref="S59" ca="1">IF(INDIRECT($A21&amp;"!E43")="Per Unit",NPV('Inputs and assumptions'!$C$5,(INDIRECT($A21&amp;"!F69:T69"))),NPV('Inputs and assumptions'!$C$5,(INDIRECT($A21&amp;"!F97:T97"))))</f>
        <v>0</v>
      </c>
      <c r="T59" s="453" cm="1">
        <f t="array" aca="1" ref="T59" ca="1">IF(INDIRECT($A21&amp;"!E43")="Per Unit",NPV('Inputs and assumptions'!$C$5,(INDIRECT($A21&amp;"!F70:T70"))),NPV('Inputs and assumptions'!$C$5,(INDIRECT($A21&amp;"!F98:T98"))))</f>
        <v>0</v>
      </c>
    </row>
    <row r="60" spans="1:20" x14ac:dyDescent="0.35">
      <c r="A60" s="444" t="s">
        <v>183</v>
      </c>
      <c r="B60" s="452" cm="1">
        <f t="array" aca="1" ref="B60" ca="1">IF(INDIRECT($A22&amp;"!E43")="Per Unit",NPV('Inputs and assumptions'!$C$5,(INDIRECT($A22&amp;"!F46:T46"))),NPV('Inputs and assumptions'!$C$5,(INDIRECT($A22&amp;"!F74:T74"))))</f>
        <v>404485.86727692297</v>
      </c>
      <c r="C60" s="448" cm="1">
        <f t="array" aca="1" ref="C60" ca="1">IF(INDIRECT($A22&amp;"!E43")="Per Unit",NPV('Inputs and assumptions'!$C$5,(INDIRECT($A22&amp;"!F47:T47"))),NPV('Inputs and assumptions'!$C$5,(INDIRECT($A22&amp;"!F75:T75"))))</f>
        <v>290899.93512164667</v>
      </c>
      <c r="D60" s="448" cm="1">
        <f t="array" aca="1" ref="D60" ca="1">IF(INDIRECT($A22&amp;"!E43")="Per Unit",NPV('Inputs and assumptions'!$C$5,(INDIRECT($A22&amp;"!F48:T48"))),NPV('Inputs and assumptions'!$C$5,(INDIRECT($A22&amp;"!F76:T76"))))</f>
        <v>56469.472158979559</v>
      </c>
      <c r="E60" s="468" cm="1">
        <f t="array" aca="1" ref="E60" ca="1">IF(INDIRECT($A22&amp;"!E43")="Per Unit",NPV('Inputs and assumptions'!$C$5,(INDIRECT($A22&amp;"!F49:T49"))),NPV('Inputs and assumptions'!$C$5,(INDIRECT($A22&amp;"!F77:T77"))))</f>
        <v>0</v>
      </c>
      <c r="F60" s="448" cm="1">
        <f t="array" aca="1" ref="F60" ca="1">IF(INDIRECT($A22&amp;"!E43")="Per Unit",NPV('Inputs and assumptions'!$C$5,(INDIRECT($A22&amp;"!F52:T52"))),NPV('Inputs and assumptions'!$C$5,(INDIRECT($A22&amp;"!F80:T80"))))</f>
        <v>0</v>
      </c>
      <c r="G60" s="448" cm="1">
        <f t="array" aca="1" ref="G60" ca="1">IF(INDIRECT($A22&amp;"!E43")="Per Unit",NPV('Inputs and assumptions'!$C$5,(INDIRECT($A22&amp;"!F53:T53"))),NPV('Inputs and assumptions'!$C$5,(INDIRECT($A22&amp;"!F81:T81"))))</f>
        <v>0</v>
      </c>
      <c r="H60" s="448" cm="1">
        <f t="array" aca="1" ref="H60" ca="1">IF(INDIRECT($A22&amp;"!E43")="Per Unit",NPV('Inputs and assumptions'!$C$5,(INDIRECT($A22&amp;"!F54:T54"))),NPV('Inputs and assumptions'!$C$5,(INDIRECT($A22&amp;"!F82:T82"))))</f>
        <v>116286.39863754962</v>
      </c>
      <c r="I60" s="448" cm="1">
        <f t="array" aca="1" ref="I60" ca="1">IF(INDIRECT($A22&amp;"!E43")="Per Unit",NPV('Inputs and assumptions'!$C$5,(INDIRECT($A22&amp;"!F55:T55"))),NPV('Inputs and assumptions'!$C$5,(INDIRECT($A22&amp;"!F83:T83"))))</f>
        <v>3380418.5650450476</v>
      </c>
      <c r="J60" s="448" cm="1">
        <f t="array" aca="1" ref="J60" ca="1">IF(INDIRECT($A22&amp;"!E43")="Per Unit",NPV('Inputs and assumptions'!$C$5,(INDIRECT($A22&amp;"!F56:T56"))),NPV('Inputs and assumptions'!$C$5,(INDIRECT($A22&amp;"!F84:T84"))))</f>
        <v>0</v>
      </c>
      <c r="K60" s="468" cm="1">
        <f t="array" aca="1" ref="K60" ca="1">IF(INDIRECT($A22&amp;"!E43")="Per Unit",NPV('Inputs and assumptions'!$C$5,(INDIRECT($A22&amp;"!F57:T57"))),NPV('Inputs and assumptions'!$C$5,(INDIRECT($A22&amp;"!F85:T85"))))</f>
        <v>94208.386238960331</v>
      </c>
      <c r="L60" s="448" cm="1">
        <f t="array" aca="1" ref="L60" ca="1">IF(INDIRECT($A22&amp;"!E43")="Per Unit",NPV('Inputs and assumptions'!$C$5,(INDIRECT($A22&amp;"!F60:T60"))),NPV('Inputs and assumptions'!$C$5,(INDIRECT($A22&amp;"!F88:T88"))))</f>
        <v>0</v>
      </c>
      <c r="M60" s="468" cm="1">
        <f t="array" aca="1" ref="M60" ca="1">IF(INDIRECT($A22&amp;"!E43")="Per Unit",NPV('Inputs and assumptions'!$C$5,(INDIRECT($A22&amp;"!F61:T61"))),NPV('Inputs and assumptions'!$C$5,(INDIRECT($A22&amp;"!F89:T89"))))</f>
        <v>0</v>
      </c>
      <c r="N60" s="448" cm="1">
        <f t="array" aca="1" ref="N60" ca="1">IF(INDIRECT($A22&amp;"!E43")="Per Unit",NPV('Inputs and assumptions'!$C$5,(INDIRECT($A22&amp;"!F64:T64"))),NPV('Inputs and assumptions'!$C$5,(INDIRECT($A22&amp;"!F92:T92"))))</f>
        <v>0</v>
      </c>
      <c r="O60" s="448" cm="1">
        <f t="array" aca="1" ref="O60" ca="1">IF(INDIRECT($A22&amp;"!E43")="Per Unit",NPV('Inputs and assumptions'!$C$5,(INDIRECT($A22&amp;"!F65:T65"))),NPV('Inputs and assumptions'!$C$5,(INDIRECT($A22&amp;"!F93:T93"))))</f>
        <v>0</v>
      </c>
      <c r="P60" s="448" cm="1">
        <f t="array" aca="1" ref="P60" ca="1">IF(INDIRECT($A22&amp;"!E43")="Per Unit",NPV('Inputs and assumptions'!$C$5,(INDIRECT($A22&amp;"!F66:T66"))),NPV('Inputs and assumptions'!$C$5,(INDIRECT($A22&amp;"!F94:T94"))))</f>
        <v>0</v>
      </c>
      <c r="Q60" s="448" cm="1">
        <f t="array" aca="1" ref="Q60" ca="1">IF(INDIRECT($A22&amp;"!E43")="Per Unit",NPV('Inputs and assumptions'!$C$5,(INDIRECT($A22&amp;"!F67:T67"))),NPV('Inputs and assumptions'!$C$5,(INDIRECT($A22&amp;"!F95:T95"))))</f>
        <v>0</v>
      </c>
      <c r="R60" s="448" cm="1">
        <f t="array" aca="1" ref="R60" ca="1">IF(INDIRECT($A22&amp;"!E43")="Per Unit",NPV('Inputs and assumptions'!$C$5,(INDIRECT($A22&amp;"!F68:T68"))),NPV('Inputs and assumptions'!$C$5,(INDIRECT($A22&amp;"!F96:T96"))))</f>
        <v>0</v>
      </c>
      <c r="S60" s="448" cm="1">
        <f t="array" aca="1" ref="S60" ca="1">IF(INDIRECT($A22&amp;"!E43")="Per Unit",NPV('Inputs and assumptions'!$C$5,(INDIRECT($A22&amp;"!F69:T69"))),NPV('Inputs and assumptions'!$C$5,(INDIRECT($A22&amp;"!F97:T97"))))</f>
        <v>0</v>
      </c>
      <c r="T60" s="453" cm="1">
        <f t="array" aca="1" ref="T60" ca="1">IF(INDIRECT($A22&amp;"!E43")="Per Unit",NPV('Inputs and assumptions'!$C$5,(INDIRECT($A22&amp;"!F70:T70"))),NPV('Inputs and assumptions'!$C$5,(INDIRECT($A22&amp;"!F98:T98"))))</f>
        <v>0</v>
      </c>
    </row>
    <row r="61" spans="1:20" x14ac:dyDescent="0.35">
      <c r="A61" s="444" t="s">
        <v>184</v>
      </c>
      <c r="B61" s="452" cm="1">
        <f t="array" aca="1" ref="B61" ca="1">IF(INDIRECT($A23&amp;"!E43")="Per Unit",NPV('Inputs and assumptions'!$C$5,(INDIRECT($A23&amp;"!F46:T46"))),NPV('Inputs and assumptions'!$C$5,(INDIRECT($A23&amp;"!F74:T74"))))</f>
        <v>3791546.7573302435</v>
      </c>
      <c r="C61" s="448" cm="1">
        <f t="array" aca="1" ref="C61" ca="1">IF(INDIRECT($A23&amp;"!E43")="Per Unit",NPV('Inputs and assumptions'!$C$5,(INDIRECT($A23&amp;"!F47:T47"))),NPV('Inputs and assumptions'!$C$5,(INDIRECT($A23&amp;"!F75:T75"))))</f>
        <v>5453642.7348792301</v>
      </c>
      <c r="D61" s="448" cm="1">
        <f t="array" aca="1" ref="D61" ca="1">IF(INDIRECT($A23&amp;"!E43")="Per Unit",NPV('Inputs and assumptions'!$C$5,(INDIRECT($A23&amp;"!F48:T48"))),NPV('Inputs and assumptions'!$C$5,(INDIRECT($A23&amp;"!F76:T76"))))</f>
        <v>529330.34593751503</v>
      </c>
      <c r="E61" s="468" cm="1">
        <f t="array" aca="1" ref="E61" ca="1">IF(INDIRECT($A23&amp;"!E43")="Per Unit",NPV('Inputs and assumptions'!$C$5,(INDIRECT($A23&amp;"!F49:T49"))),NPV('Inputs and assumptions'!$C$5,(INDIRECT($A23&amp;"!F77:T77"))))</f>
        <v>3267327.4440543088</v>
      </c>
      <c r="F61" s="448" cm="1">
        <f t="array" aca="1" ref="F61" ca="1">IF(INDIRECT($A23&amp;"!E43")="Per Unit",NPV('Inputs and assumptions'!$C$5,(INDIRECT($A23&amp;"!F52:T52"))),NPV('Inputs and assumptions'!$C$5,(INDIRECT($A23&amp;"!F80:T80"))))</f>
        <v>0</v>
      </c>
      <c r="G61" s="448" cm="1">
        <f t="array" aca="1" ref="G61" ca="1">IF(INDIRECT($A23&amp;"!E43")="Per Unit",NPV('Inputs and assumptions'!$C$5,(INDIRECT($A23&amp;"!F53:T53"))),NPV('Inputs and assumptions'!$C$5,(INDIRECT($A23&amp;"!F81:T81"))))</f>
        <v>0</v>
      </c>
      <c r="H61" s="448" cm="1">
        <f t="array" aca="1" ref="H61" ca="1">IF(INDIRECT($A23&amp;"!E43")="Per Unit",NPV('Inputs and assumptions'!$C$5,(INDIRECT($A23&amp;"!F54:T54"))),NPV('Inputs and assumptions'!$C$5,(INDIRECT($A23&amp;"!F82:T82"))))</f>
        <v>0</v>
      </c>
      <c r="I61" s="448" cm="1">
        <f t="array" aca="1" ref="I61" ca="1">IF(INDIRECT($A23&amp;"!E43")="Per Unit",NPV('Inputs and assumptions'!$C$5,(INDIRECT($A23&amp;"!F55:T55"))),NPV('Inputs and assumptions'!$C$5,(INDIRECT($A23&amp;"!F83:T83"))))</f>
        <v>0</v>
      </c>
      <c r="J61" s="448" cm="1">
        <f t="array" aca="1" ref="J61" ca="1">IF(INDIRECT($A23&amp;"!E43")="Per Unit",NPV('Inputs and assumptions'!$C$5,(INDIRECT($A23&amp;"!F56:T56"))),NPV('Inputs and assumptions'!$C$5,(INDIRECT($A23&amp;"!F84:T84"))))</f>
        <v>0</v>
      </c>
      <c r="K61" s="468" cm="1">
        <f t="array" aca="1" ref="K61" ca="1">IF(INDIRECT($A23&amp;"!E43")="Per Unit",NPV('Inputs and assumptions'!$C$5,(INDIRECT($A23&amp;"!F57:T57"))),NPV('Inputs and assumptions'!$C$5,(INDIRECT($A23&amp;"!F85:T85"))))</f>
        <v>0</v>
      </c>
      <c r="L61" s="448" cm="1">
        <f t="array" aca="1" ref="L61" ca="1">IF(INDIRECT($A23&amp;"!E43")="Per Unit",NPV('Inputs and assumptions'!$C$5,(INDIRECT($A23&amp;"!F60:T60"))),NPV('Inputs and assumptions'!$C$5,(INDIRECT($A23&amp;"!F88:T88"))))</f>
        <v>0</v>
      </c>
      <c r="M61" s="468" cm="1">
        <f t="array" aca="1" ref="M61" ca="1">IF(INDIRECT($A23&amp;"!E43")="Per Unit",NPV('Inputs and assumptions'!$C$5,(INDIRECT($A23&amp;"!F61:T61"))),NPV('Inputs and assumptions'!$C$5,(INDIRECT($A23&amp;"!F89:T89"))))</f>
        <v>0</v>
      </c>
      <c r="N61" s="448" cm="1">
        <f t="array" aca="1" ref="N61" ca="1">IF(INDIRECT($A23&amp;"!E43")="Per Unit",NPV('Inputs and assumptions'!$C$5,(INDIRECT($A23&amp;"!F64:T64"))),NPV('Inputs and assumptions'!$C$5,(INDIRECT($A23&amp;"!F92:T92"))))</f>
        <v>0</v>
      </c>
      <c r="O61" s="448" cm="1">
        <f t="array" aca="1" ref="O61" ca="1">IF(INDIRECT($A23&amp;"!E43")="Per Unit",NPV('Inputs and assumptions'!$C$5,(INDIRECT($A23&amp;"!F65:T65"))),NPV('Inputs and assumptions'!$C$5,(INDIRECT($A23&amp;"!F93:T93"))))</f>
        <v>0</v>
      </c>
      <c r="P61" s="448" cm="1">
        <f t="array" aca="1" ref="P61" ca="1">IF(INDIRECT($A23&amp;"!E43")="Per Unit",NPV('Inputs and assumptions'!$C$5,(INDIRECT($A23&amp;"!F66:T66"))),NPV('Inputs and assumptions'!$C$5,(INDIRECT($A23&amp;"!F94:T94"))))</f>
        <v>0</v>
      </c>
      <c r="Q61" s="448" cm="1">
        <f t="array" aca="1" ref="Q61" ca="1">IF(INDIRECT($A23&amp;"!E43")="Per Unit",NPV('Inputs and assumptions'!$C$5,(INDIRECT($A23&amp;"!F67:T67"))),NPV('Inputs and assumptions'!$C$5,(INDIRECT($A23&amp;"!F95:T95"))))</f>
        <v>0</v>
      </c>
      <c r="R61" s="448" cm="1">
        <f t="array" aca="1" ref="R61" ca="1">IF(INDIRECT($A23&amp;"!E43")="Per Unit",NPV('Inputs and assumptions'!$C$5,(INDIRECT($A23&amp;"!F68:T68"))),NPV('Inputs and assumptions'!$C$5,(INDIRECT($A23&amp;"!F96:T96"))))</f>
        <v>0</v>
      </c>
      <c r="S61" s="448" cm="1">
        <f t="array" aca="1" ref="S61" ca="1">IF(INDIRECT($A23&amp;"!E43")="Per Unit",NPV('Inputs and assumptions'!$C$5,(INDIRECT($A23&amp;"!F69:T69"))),NPV('Inputs and assumptions'!$C$5,(INDIRECT($A23&amp;"!F97:T97"))))</f>
        <v>0</v>
      </c>
      <c r="T61" s="453" cm="1">
        <f t="array" aca="1" ref="T61" ca="1">IF(INDIRECT($A23&amp;"!E43")="Per Unit",NPV('Inputs and assumptions'!$C$5,(INDIRECT($A23&amp;"!F70:T70"))),NPV('Inputs and assumptions'!$C$5,(INDIRECT($A23&amp;"!F98:T98"))))</f>
        <v>0</v>
      </c>
    </row>
    <row r="62" spans="1:20" x14ac:dyDescent="0.35">
      <c r="A62" s="444" t="s">
        <v>185</v>
      </c>
      <c r="B62" s="452" cm="1">
        <f t="array" aca="1" ref="B62" ca="1">IF(INDIRECT($A24&amp;"!E43")="Per Unit",NPV('Inputs and assumptions'!$C$5,(INDIRECT($A24&amp;"!F46:T46"))),NPV('Inputs and assumptions'!$C$5,(INDIRECT($A24&amp;"!F74:T74"))))</f>
        <v>21621.274827029312</v>
      </c>
      <c r="C62" s="448" cm="1">
        <f t="array" aca="1" ref="C62" ca="1">IF(INDIRECT($A24&amp;"!E43")="Per Unit",NPV('Inputs and assumptions'!$C$5,(INDIRECT($A24&amp;"!F47:T47"))),NPV('Inputs and assumptions'!$C$5,(INDIRECT($A24&amp;"!F75:T75"))))</f>
        <v>77748.420319022611</v>
      </c>
      <c r="D62" s="448" cm="1">
        <f t="array" aca="1" ref="D62" ca="1">IF(INDIRECT($A24&amp;"!E43")="Per Unit",NPV('Inputs and assumptions'!$C$5,(INDIRECT($A24&amp;"!F48:T48"))),NPV('Inputs and assumptions'!$C$5,(INDIRECT($A24&amp;"!F76:T76"))))</f>
        <v>15092.517139179607</v>
      </c>
      <c r="E62" s="468" cm="1">
        <f t="array" aca="1" ref="E62" ca="1">IF(INDIRECT($A24&amp;"!E43")="Per Unit",NPV('Inputs and assumptions'!$C$5,(INDIRECT($A24&amp;"!F49:T49"))),NPV('Inputs and assumptions'!$C$5,(INDIRECT($A24&amp;"!F77:T77"))))</f>
        <v>93159.585176177716</v>
      </c>
      <c r="F62" s="448" cm="1">
        <f t="array" aca="1" ref="F62" ca="1">IF(INDIRECT($A24&amp;"!E43")="Per Unit",NPV('Inputs and assumptions'!$C$5,(INDIRECT($A24&amp;"!F52:T52"))),NPV('Inputs and assumptions'!$C$5,(INDIRECT($A24&amp;"!F80:T80"))))</f>
        <v>0</v>
      </c>
      <c r="G62" s="448" cm="1">
        <f t="array" aca="1" ref="G62" ca="1">IF(INDIRECT($A24&amp;"!E43")="Per Unit",NPV('Inputs and assumptions'!$C$5,(INDIRECT($A24&amp;"!F53:T53"))),NPV('Inputs and assumptions'!$C$5,(INDIRECT($A24&amp;"!F81:T81"))))</f>
        <v>0</v>
      </c>
      <c r="H62" s="448" cm="1">
        <f t="array" aca="1" ref="H62" ca="1">IF(INDIRECT($A24&amp;"!E43")="Per Unit",NPV('Inputs and assumptions'!$C$5,(INDIRECT($A24&amp;"!F54:T54"))),NPV('Inputs and assumptions'!$C$5,(INDIRECT($A24&amp;"!F82:T82"))))</f>
        <v>310797.03730002145</v>
      </c>
      <c r="I62" s="448" cm="1">
        <f t="array" aca="1" ref="I62" ca="1">IF(INDIRECT($A24&amp;"!E43")="Per Unit",NPV('Inputs and assumptions'!$C$5,(INDIRECT($A24&amp;"!F55:T55"))),NPV('Inputs and assumptions'!$C$5,(INDIRECT($A24&amp;"!F83:T83"))))</f>
        <v>0</v>
      </c>
      <c r="J62" s="448" cm="1">
        <f t="array" aca="1" ref="J62" ca="1">IF(INDIRECT($A24&amp;"!E43")="Per Unit",NPV('Inputs and assumptions'!$C$5,(INDIRECT($A24&amp;"!F56:T56"))),NPV('Inputs and assumptions'!$C$5,(INDIRECT($A24&amp;"!F84:T84"))))</f>
        <v>0</v>
      </c>
      <c r="K62" s="468" cm="1">
        <f t="array" aca="1" ref="K62" ca="1">IF(INDIRECT($A24&amp;"!E43")="Per Unit",NPV('Inputs and assumptions'!$C$5,(INDIRECT($A24&amp;"!F57:T57"))),NPV('Inputs and assumptions'!$C$5,(INDIRECT($A24&amp;"!F85:T85"))))</f>
        <v>251789.44119807304</v>
      </c>
      <c r="L62" s="448" cm="1">
        <f t="array" aca="1" ref="L62" ca="1">IF(INDIRECT($A24&amp;"!E43")="Per Unit",NPV('Inputs and assumptions'!$C$5,(INDIRECT($A24&amp;"!F60:T60"))),NPV('Inputs and assumptions'!$C$5,(INDIRECT($A24&amp;"!F88:T88"))))</f>
        <v>77610.392463406024</v>
      </c>
      <c r="M62" s="468" cm="1">
        <f t="array" aca="1" ref="M62" ca="1">IF(INDIRECT($A24&amp;"!E43")="Per Unit",NPV('Inputs and assumptions'!$C$5,(INDIRECT($A24&amp;"!F61:T61"))),NPV('Inputs and assumptions'!$C$5,(INDIRECT($A24&amp;"!F89:T89"))))</f>
        <v>17773.372319863978</v>
      </c>
      <c r="N62" s="448" cm="1">
        <f t="array" aca="1" ref="N62" ca="1">IF(INDIRECT($A24&amp;"!E43")="Per Unit",NPV('Inputs and assumptions'!$C$5,(INDIRECT($A24&amp;"!F64:T64"))),NPV('Inputs and assumptions'!$C$5,(INDIRECT($A24&amp;"!F92:T92"))))</f>
        <v>746481.637434287</v>
      </c>
      <c r="O62" s="448" cm="1">
        <f t="array" aca="1" ref="O62" ca="1">IF(INDIRECT($A24&amp;"!E43")="Per Unit",NPV('Inputs and assumptions'!$C$5,(INDIRECT($A24&amp;"!F65:T65"))),NPV('Inputs and assumptions'!$C$5,(INDIRECT($A24&amp;"!F93:T93"))))</f>
        <v>0</v>
      </c>
      <c r="P62" s="448" cm="1">
        <f t="array" aca="1" ref="P62" ca="1">IF(INDIRECT($A24&amp;"!E43")="Per Unit",NPV('Inputs and assumptions'!$C$5,(INDIRECT($A24&amp;"!F66:T66"))),NPV('Inputs and assumptions'!$C$5,(INDIRECT($A24&amp;"!F94:T94"))))</f>
        <v>0</v>
      </c>
      <c r="Q62" s="448" cm="1">
        <f t="array" aca="1" ref="Q62" ca="1">IF(INDIRECT($A24&amp;"!E43")="Per Unit",NPV('Inputs and assumptions'!$C$5,(INDIRECT($A24&amp;"!F67:T67"))),NPV('Inputs and assumptions'!$C$5,(INDIRECT($A24&amp;"!F95:T95"))))</f>
        <v>0</v>
      </c>
      <c r="R62" s="448" cm="1">
        <f t="array" aca="1" ref="R62" ca="1">IF(INDIRECT($A24&amp;"!E43")="Per Unit",NPV('Inputs and assumptions'!$C$5,(INDIRECT($A24&amp;"!F68:T68"))),NPV('Inputs and assumptions'!$C$5,(INDIRECT($A24&amp;"!F96:T96"))))</f>
        <v>0</v>
      </c>
      <c r="S62" s="448" cm="1">
        <f t="array" aca="1" ref="S62" ca="1">IF(INDIRECT($A24&amp;"!E43")="Per Unit",NPV('Inputs and assumptions'!$C$5,(INDIRECT($A24&amp;"!F69:T69"))),NPV('Inputs and assumptions'!$C$5,(INDIRECT($A24&amp;"!F97:T97"))))</f>
        <v>0</v>
      </c>
      <c r="T62" s="453" cm="1">
        <f t="array" aca="1" ref="T62" ca="1">IF(INDIRECT($A24&amp;"!E43")="Per Unit",NPV('Inputs and assumptions'!$C$5,(INDIRECT($A24&amp;"!F70:T70"))),NPV('Inputs and assumptions'!$C$5,(INDIRECT($A24&amp;"!F98:T98"))))</f>
        <v>0</v>
      </c>
    </row>
    <row r="63" spans="1:20" x14ac:dyDescent="0.35">
      <c r="A63" s="444" t="s">
        <v>186</v>
      </c>
      <c r="B63" s="452" cm="1">
        <f t="array" aca="1" ref="B63" ca="1">IF(INDIRECT($A25&amp;"!E43")="Per Unit",NPV('Inputs and assumptions'!$C$5,(INDIRECT($A25&amp;"!F46:T46"))),NPV('Inputs and assumptions'!$C$5,(INDIRECT($A25&amp;"!F74:T74"))))</f>
        <v>0</v>
      </c>
      <c r="C63" s="448" cm="1">
        <f t="array" aca="1" ref="C63" ca="1">IF(INDIRECT($A25&amp;"!E43")="Per Unit",NPV('Inputs and assumptions'!$C$5,(INDIRECT($A25&amp;"!F47:T47"))),NPV('Inputs and assumptions'!$C$5,(INDIRECT($A25&amp;"!F75:T75"))))</f>
        <v>0</v>
      </c>
      <c r="D63" s="448" cm="1">
        <f t="array" aca="1" ref="D63" ca="1">IF(INDIRECT($A25&amp;"!E43")="Per Unit",NPV('Inputs and assumptions'!$C$5,(INDIRECT($A25&amp;"!F48:T48"))),NPV('Inputs and assumptions'!$C$5,(INDIRECT($A25&amp;"!F76:T76"))))</f>
        <v>0</v>
      </c>
      <c r="E63" s="468" cm="1">
        <f t="array" aca="1" ref="E63" ca="1">IF(INDIRECT($A25&amp;"!E43")="Per Unit",NPV('Inputs and assumptions'!$C$5,(INDIRECT($A25&amp;"!F49:T49"))),NPV('Inputs and assumptions'!$C$5,(INDIRECT($A25&amp;"!F77:T77"))))</f>
        <v>0</v>
      </c>
      <c r="F63" s="448" cm="1">
        <f t="array" aca="1" ref="F63" ca="1">IF(INDIRECT($A25&amp;"!E43")="Per Unit",NPV('Inputs and assumptions'!$C$5,(INDIRECT($A25&amp;"!F52:T52"))),NPV('Inputs and assumptions'!$C$5,(INDIRECT($A25&amp;"!F80:T80"))))</f>
        <v>0</v>
      </c>
      <c r="G63" s="448" cm="1">
        <f t="array" aca="1" ref="G63" ca="1">IF(INDIRECT($A25&amp;"!E43")="Per Unit",NPV('Inputs and assumptions'!$C$5,(INDIRECT($A25&amp;"!F53:T53"))),NPV('Inputs and assumptions'!$C$5,(INDIRECT($A25&amp;"!F81:T81"))))</f>
        <v>0</v>
      </c>
      <c r="H63" s="448" cm="1">
        <f t="array" aca="1" ref="H63" ca="1">IF(INDIRECT($A25&amp;"!E43")="Per Unit",NPV('Inputs and assumptions'!$C$5,(INDIRECT($A25&amp;"!F54:T54"))),NPV('Inputs and assumptions'!$C$5,(INDIRECT($A25&amp;"!F82:T82"))))</f>
        <v>1553985.1865001072</v>
      </c>
      <c r="I63" s="448" cm="1">
        <f t="array" aca="1" ref="I63" ca="1">IF(INDIRECT($A25&amp;"!E43")="Per Unit",NPV('Inputs and assumptions'!$C$5,(INDIRECT($A25&amp;"!F55:T55"))),NPV('Inputs and assumptions'!$C$5,(INDIRECT($A25&amp;"!F83:T83"))))</f>
        <v>0</v>
      </c>
      <c r="J63" s="448" cm="1">
        <f t="array" aca="1" ref="J63" ca="1">IF(INDIRECT($A25&amp;"!E43")="Per Unit",NPV('Inputs and assumptions'!$C$5,(INDIRECT($A25&amp;"!F56:T56"))),NPV('Inputs and assumptions'!$C$5,(INDIRECT($A25&amp;"!F84:T84"))))</f>
        <v>0</v>
      </c>
      <c r="K63" s="468" cm="1">
        <f t="array" aca="1" ref="K63" ca="1">IF(INDIRECT($A25&amp;"!E43")="Per Unit",NPV('Inputs and assumptions'!$C$5,(INDIRECT($A25&amp;"!F57:T57"))),NPV('Inputs and assumptions'!$C$5,(INDIRECT($A25&amp;"!F85:T85"))))</f>
        <v>0</v>
      </c>
      <c r="L63" s="448" cm="1">
        <f t="array" aca="1" ref="L63" ca="1">IF(INDIRECT($A25&amp;"!E43")="Per Unit",NPV('Inputs and assumptions'!$C$5,(INDIRECT($A25&amp;"!F60:T60"))),NPV('Inputs and assumptions'!$C$5,(INDIRECT($A25&amp;"!F88:T88"))))</f>
        <v>0</v>
      </c>
      <c r="M63" s="468" cm="1">
        <f t="array" aca="1" ref="M63" ca="1">IF(INDIRECT($A25&amp;"!E43")="Per Unit",NPV('Inputs and assumptions'!$C$5,(INDIRECT($A25&amp;"!F61:T61"))),NPV('Inputs and assumptions'!$C$5,(INDIRECT($A25&amp;"!F89:T89"))))</f>
        <v>0</v>
      </c>
      <c r="N63" s="448" cm="1">
        <f t="array" aca="1" ref="N63" ca="1">IF(INDIRECT($A25&amp;"!E43")="Per Unit",NPV('Inputs and assumptions'!$C$5,(INDIRECT($A25&amp;"!F64:T64"))),NPV('Inputs and assumptions'!$C$5,(INDIRECT($A25&amp;"!F92:T92"))))</f>
        <v>0</v>
      </c>
      <c r="O63" s="448" cm="1">
        <f t="array" aca="1" ref="O63" ca="1">IF(INDIRECT($A25&amp;"!E43")="Per Unit",NPV('Inputs and assumptions'!$C$5,(INDIRECT($A25&amp;"!F65:T65"))),NPV('Inputs and assumptions'!$C$5,(INDIRECT($A25&amp;"!F93:T93"))))</f>
        <v>0</v>
      </c>
      <c r="P63" s="448" cm="1">
        <f t="array" aca="1" ref="P63" ca="1">IF(INDIRECT($A25&amp;"!E43")="Per Unit",NPV('Inputs and assumptions'!$C$5,(INDIRECT($A25&amp;"!F66:T66"))),NPV('Inputs and assumptions'!$C$5,(INDIRECT($A25&amp;"!F94:T94"))))</f>
        <v>0</v>
      </c>
      <c r="Q63" s="448" cm="1">
        <f t="array" aca="1" ref="Q63" ca="1">IF(INDIRECT($A25&amp;"!E43")="Per Unit",NPV('Inputs and assumptions'!$C$5,(INDIRECT($A25&amp;"!F67:T67"))),NPV('Inputs and assumptions'!$C$5,(INDIRECT($A25&amp;"!F95:T95"))))</f>
        <v>0</v>
      </c>
      <c r="R63" s="448" cm="1">
        <f t="array" aca="1" ref="R63" ca="1">IF(INDIRECT($A25&amp;"!E43")="Per Unit",NPV('Inputs and assumptions'!$C$5,(INDIRECT($A25&amp;"!F68:T68"))),NPV('Inputs and assumptions'!$C$5,(INDIRECT($A25&amp;"!F96:T96"))))</f>
        <v>0</v>
      </c>
      <c r="S63" s="448" cm="1">
        <f t="array" aca="1" ref="S63" ca="1">IF(INDIRECT($A25&amp;"!E43")="Per Unit",NPV('Inputs and assumptions'!$C$5,(INDIRECT($A25&amp;"!F69:T69"))),NPV('Inputs and assumptions'!$C$5,(INDIRECT($A25&amp;"!F97:T97"))))</f>
        <v>0</v>
      </c>
      <c r="T63" s="453" cm="1">
        <f t="array" aca="1" ref="T63" ca="1">IF(INDIRECT($A25&amp;"!E43")="Per Unit",NPV('Inputs and assumptions'!$C$5,(INDIRECT($A25&amp;"!F70:T70"))),NPV('Inputs and assumptions'!$C$5,(INDIRECT($A25&amp;"!F98:T98"))))</f>
        <v>0</v>
      </c>
    </row>
    <row r="64" spans="1:20" x14ac:dyDescent="0.35">
      <c r="A64" s="444" t="s">
        <v>187</v>
      </c>
      <c r="B64" s="452" cm="1">
        <f t="array" aca="1" ref="B64" ca="1">IF(INDIRECT($A26&amp;"!E43")="Per Unit",NPV('Inputs and assumptions'!$C$5,(INDIRECT($A26&amp;"!F46:T46"))),NPV('Inputs and assumptions'!$C$5,(INDIRECT($A26&amp;"!F74:T74"))))</f>
        <v>0</v>
      </c>
      <c r="C64" s="448" cm="1">
        <f t="array" aca="1" ref="C64" ca="1">IF(INDIRECT($A26&amp;"!E43")="Per Unit",NPV('Inputs and assumptions'!$C$5,(INDIRECT($A26&amp;"!F47:T47"))),NPV('Inputs and assumptions'!$C$5,(INDIRECT($A26&amp;"!F75:T75"))))</f>
        <v>0</v>
      </c>
      <c r="D64" s="448" cm="1">
        <f t="array" aca="1" ref="D64" ca="1">IF(INDIRECT($A26&amp;"!E43")="Per Unit",NPV('Inputs and assumptions'!$C$5,(INDIRECT($A26&amp;"!F48:T48"))),NPV('Inputs and assumptions'!$C$5,(INDIRECT($A26&amp;"!F76:T76"))))</f>
        <v>0</v>
      </c>
      <c r="E64" s="468" cm="1">
        <f t="array" aca="1" ref="E64" ca="1">IF(INDIRECT($A26&amp;"!E43")="Per Unit",NPV('Inputs and assumptions'!$C$5,(INDIRECT($A26&amp;"!F49:T49"))),NPV('Inputs and assumptions'!$C$5,(INDIRECT($A26&amp;"!F77:T77"))))</f>
        <v>0</v>
      </c>
      <c r="F64" s="448" cm="1">
        <f t="array" aca="1" ref="F64" ca="1">IF(INDIRECT($A26&amp;"!E43")="Per Unit",NPV('Inputs and assumptions'!$C$5,(INDIRECT($A26&amp;"!F52:T52"))),NPV('Inputs and assumptions'!$C$5,(INDIRECT($A26&amp;"!F80:T80"))))</f>
        <v>411749.7920768488</v>
      </c>
      <c r="G64" s="448" cm="1">
        <f t="array" aca="1" ref="G64" ca="1">IF(INDIRECT($A26&amp;"!E43")="Per Unit",NPV('Inputs and assumptions'!$C$5,(INDIRECT($A26&amp;"!F53:T53"))),NPV('Inputs and assumptions'!$C$5,(INDIRECT($A26&amp;"!F81:T81"))))</f>
        <v>0</v>
      </c>
      <c r="H64" s="448" cm="1">
        <f t="array" aca="1" ref="H64" ca="1">IF(INDIRECT($A26&amp;"!E43")="Per Unit",NPV('Inputs and assumptions'!$C$5,(INDIRECT($A26&amp;"!F54:T54"))),NPV('Inputs and assumptions'!$C$5,(INDIRECT($A26&amp;"!F82:T82"))))</f>
        <v>0</v>
      </c>
      <c r="I64" s="448" cm="1">
        <f t="array" aca="1" ref="I64" ca="1">IF(INDIRECT($A26&amp;"!E43")="Per Unit",NPV('Inputs and assumptions'!$C$5,(INDIRECT($A26&amp;"!F55:T55"))),NPV('Inputs and assumptions'!$C$5,(INDIRECT($A26&amp;"!F83:T83"))))</f>
        <v>0</v>
      </c>
      <c r="J64" s="448" cm="1">
        <f t="array" aca="1" ref="J64" ca="1">IF(INDIRECT($A26&amp;"!E43")="Per Unit",NPV('Inputs and assumptions'!$C$5,(INDIRECT($A26&amp;"!F56:T56"))),NPV('Inputs and assumptions'!$C$5,(INDIRECT($A26&amp;"!F84:T84"))))</f>
        <v>0</v>
      </c>
      <c r="K64" s="468" cm="1">
        <f t="array" aca="1" ref="K64" ca="1">IF(INDIRECT($A26&amp;"!E43")="Per Unit",NPV('Inputs and assumptions'!$C$5,(INDIRECT($A26&amp;"!F57:T57"))),NPV('Inputs and assumptions'!$C$5,(INDIRECT($A26&amp;"!F85:T85"))))</f>
        <v>0</v>
      </c>
      <c r="L64" s="448" cm="1">
        <f t="array" aca="1" ref="L64" ca="1">IF(INDIRECT($A26&amp;"!E43")="Per Unit",NPV('Inputs and assumptions'!$C$5,(INDIRECT($A26&amp;"!F60:T60"))),NPV('Inputs and assumptions'!$C$5,(INDIRECT($A26&amp;"!F88:T88"))))</f>
        <v>0</v>
      </c>
      <c r="M64" s="468" cm="1">
        <f t="array" aca="1" ref="M64" ca="1">IF(INDIRECT($A26&amp;"!E43")="Per Unit",NPV('Inputs and assumptions'!$C$5,(INDIRECT($A26&amp;"!F61:T61"))),NPV('Inputs and assumptions'!$C$5,(INDIRECT($A26&amp;"!F89:T89"))))</f>
        <v>853121.87135347095</v>
      </c>
      <c r="N64" s="448" cm="1">
        <f t="array" aca="1" ref="N64" ca="1">IF(INDIRECT($A26&amp;"!E43")="Per Unit",NPV('Inputs and assumptions'!$C$5,(INDIRECT($A26&amp;"!F64:T64"))),NPV('Inputs and assumptions'!$C$5,(INDIRECT($A26&amp;"!F92:T92"))))</f>
        <v>0</v>
      </c>
      <c r="O64" s="448" cm="1">
        <f t="array" aca="1" ref="O64" ca="1">IF(INDIRECT($A26&amp;"!E43")="Per Unit",NPV('Inputs and assumptions'!$C$5,(INDIRECT($A26&amp;"!F65:T65"))),NPV('Inputs and assumptions'!$C$5,(INDIRECT($A26&amp;"!F93:T93"))))</f>
        <v>0</v>
      </c>
      <c r="P64" s="448" cm="1">
        <f t="array" aca="1" ref="P64" ca="1">IF(INDIRECT($A26&amp;"!E43")="Per Unit",NPV('Inputs and assumptions'!$C$5,(INDIRECT($A26&amp;"!F66:T66"))),NPV('Inputs and assumptions'!$C$5,(INDIRECT($A26&amp;"!F94:T94"))))</f>
        <v>0</v>
      </c>
      <c r="Q64" s="448" cm="1">
        <f t="array" aca="1" ref="Q64" ca="1">IF(INDIRECT($A26&amp;"!E43")="Per Unit",NPV('Inputs and assumptions'!$C$5,(INDIRECT($A26&amp;"!F67:T67"))),NPV('Inputs and assumptions'!$C$5,(INDIRECT($A26&amp;"!F95:T95"))))</f>
        <v>0</v>
      </c>
      <c r="R64" s="448" cm="1">
        <f t="array" aca="1" ref="R64" ca="1">IF(INDIRECT($A26&amp;"!E43")="Per Unit",NPV('Inputs and assumptions'!$C$5,(INDIRECT($A26&amp;"!F68:T68"))),NPV('Inputs and assumptions'!$C$5,(INDIRECT($A26&amp;"!F96:T96"))))</f>
        <v>0</v>
      </c>
      <c r="S64" s="448" cm="1">
        <f t="array" aca="1" ref="S64" ca="1">IF(INDIRECT($A26&amp;"!E43")="Per Unit",NPV('Inputs and assumptions'!$C$5,(INDIRECT($A26&amp;"!F69:T69"))),NPV('Inputs and assumptions'!$C$5,(INDIRECT($A26&amp;"!F97:T97"))))</f>
        <v>0</v>
      </c>
      <c r="T64" s="453" cm="1">
        <f t="array" aca="1" ref="T64" ca="1">IF(INDIRECT($A26&amp;"!E43")="Per Unit",NPV('Inputs and assumptions'!$C$5,(INDIRECT($A26&amp;"!F70:T70"))),NPV('Inputs and assumptions'!$C$5,(INDIRECT($A26&amp;"!F98:T98"))))</f>
        <v>93843.405848881797</v>
      </c>
    </row>
    <row r="65" spans="1:20" x14ac:dyDescent="0.35">
      <c r="A65" s="444" t="s">
        <v>189</v>
      </c>
      <c r="B65" s="452" cm="1">
        <f t="array" aca="1" ref="B65" ca="1">IF(INDIRECT($A27&amp;"!E43")="Per Unit",NPV('Inputs and assumptions'!$C$5,(INDIRECT($A27&amp;"!F46:T46"))),NPV('Inputs and assumptions'!$C$5,(INDIRECT($A27&amp;"!F74:T74"))))</f>
        <v>0</v>
      </c>
      <c r="C65" s="448" cm="1">
        <f t="array" aca="1" ref="C65" ca="1">IF(INDIRECT($A27&amp;"!E43")="Per Unit",NPV('Inputs and assumptions'!$C$5,(INDIRECT($A27&amp;"!F47:T47"))),NPV('Inputs and assumptions'!$C$5,(INDIRECT($A27&amp;"!F75:T75"))))</f>
        <v>0</v>
      </c>
      <c r="D65" s="448" cm="1">
        <f t="array" aca="1" ref="D65" ca="1">IF(INDIRECT($A27&amp;"!E43")="Per Unit",NPV('Inputs and assumptions'!$C$5,(INDIRECT($A27&amp;"!F48:T48"))),NPV('Inputs and assumptions'!$C$5,(INDIRECT($A27&amp;"!F76:T76"))))</f>
        <v>0</v>
      </c>
      <c r="E65" s="468" cm="1">
        <f t="array" aca="1" ref="E65" ca="1">IF(INDIRECT($A27&amp;"!E43")="Per Unit",NPV('Inputs and assumptions'!$C$5,(INDIRECT($A27&amp;"!F49:T49"))),NPV('Inputs and assumptions'!$C$5,(INDIRECT($A27&amp;"!F77:T77"))))</f>
        <v>0</v>
      </c>
      <c r="F65" s="448" cm="1">
        <f t="array" aca="1" ref="F65" ca="1">IF(INDIRECT($A27&amp;"!E43")="Per Unit",NPV('Inputs and assumptions'!$C$5,(INDIRECT($A27&amp;"!F52:T52"))),NPV('Inputs and assumptions'!$C$5,(INDIRECT($A27&amp;"!F80:T80"))))</f>
        <v>282127.69642596843</v>
      </c>
      <c r="G65" s="448" cm="1">
        <f t="array" aca="1" ref="G65" ca="1">IF(INDIRECT($A27&amp;"!E43")="Per Unit",NPV('Inputs and assumptions'!$C$5,(INDIRECT($A27&amp;"!F53:T53"))),NPV('Inputs and assumptions'!$C$5,(INDIRECT($A27&amp;"!F81:T81"))))</f>
        <v>476978.47956908325</v>
      </c>
      <c r="H65" s="448" cm="1">
        <f t="array" aca="1" ref="H65" ca="1">IF(INDIRECT($A27&amp;"!E43")="Per Unit",NPV('Inputs and assumptions'!$C$5,(INDIRECT($A27&amp;"!F54:T54"))),NPV('Inputs and assumptions'!$C$5,(INDIRECT($A27&amp;"!F82:T82"))))</f>
        <v>0</v>
      </c>
      <c r="I65" s="448" cm="1">
        <f t="array" aca="1" ref="I65" ca="1">IF(INDIRECT($A27&amp;"!E43")="Per Unit",NPV('Inputs and assumptions'!$C$5,(INDIRECT($A27&amp;"!F55:T55"))),NPV('Inputs and assumptions'!$C$5,(INDIRECT($A27&amp;"!F83:T83"))))</f>
        <v>0</v>
      </c>
      <c r="J65" s="448" cm="1">
        <f t="array" aca="1" ref="J65" ca="1">IF(INDIRECT($A27&amp;"!E43")="Per Unit",NPV('Inputs and assumptions'!$C$5,(INDIRECT($A27&amp;"!F56:T56"))),NPV('Inputs and assumptions'!$C$5,(INDIRECT($A27&amp;"!F84:T84"))))</f>
        <v>0</v>
      </c>
      <c r="K65" s="468" cm="1">
        <f t="array" aca="1" ref="K65" ca="1">IF(INDIRECT($A27&amp;"!E43")="Per Unit",NPV('Inputs and assumptions'!$C$5,(INDIRECT($A27&amp;"!F57:T57"))),NPV('Inputs and assumptions'!$C$5,(INDIRECT($A27&amp;"!F85:T85"))))</f>
        <v>0</v>
      </c>
      <c r="L65" s="448" cm="1">
        <f t="array" aca="1" ref="L65" ca="1">IF(INDIRECT($A27&amp;"!E43")="Per Unit",NPV('Inputs and assumptions'!$C$5,(INDIRECT($A27&amp;"!F60:T60"))),NPV('Inputs and assumptions'!$C$5,(INDIRECT($A27&amp;"!F88:T88"))))</f>
        <v>0</v>
      </c>
      <c r="M65" s="468" cm="1">
        <f t="array" aca="1" ref="M65" ca="1">IF(INDIRECT($A27&amp;"!E43")="Per Unit",NPV('Inputs and assumptions'!$C$5,(INDIRECT($A27&amp;"!F61:T61"))),NPV('Inputs and assumptions'!$C$5,(INDIRECT($A27&amp;"!F89:T89"))))</f>
        <v>304454.34866111696</v>
      </c>
      <c r="N65" s="448" cm="1">
        <f t="array" aca="1" ref="N65" ca="1">IF(INDIRECT($A27&amp;"!E43")="Per Unit",NPV('Inputs and assumptions'!$C$5,(INDIRECT($A27&amp;"!F64:T64"))),NPV('Inputs and assumptions'!$C$5,(INDIRECT($A27&amp;"!F92:T92"))))</f>
        <v>1278708.2643766911</v>
      </c>
      <c r="O65" s="448" cm="1">
        <f t="array" aca="1" ref="O65" ca="1">IF(INDIRECT($A27&amp;"!E43")="Per Unit",NPV('Inputs and assumptions'!$C$5,(INDIRECT($A27&amp;"!F65:T65"))),NPV('Inputs and assumptions'!$C$5,(INDIRECT($A27&amp;"!F93:T93"))))</f>
        <v>0</v>
      </c>
      <c r="P65" s="448" cm="1">
        <f t="array" aca="1" ref="P65" ca="1">IF(INDIRECT($A27&amp;"!E43")="Per Unit",NPV('Inputs and assumptions'!$C$5,(INDIRECT($A27&amp;"!F66:T66"))),NPV('Inputs and assumptions'!$C$5,(INDIRECT($A27&amp;"!F94:T94"))))</f>
        <v>2100735.0057617077</v>
      </c>
      <c r="Q65" s="448" cm="1">
        <f t="array" aca="1" ref="Q65" ca="1">IF(INDIRECT($A27&amp;"!E43")="Per Unit",NPV('Inputs and assumptions'!$C$5,(INDIRECT($A27&amp;"!F67:T67"))),NPV('Inputs and assumptions'!$C$5,(INDIRECT($A27&amp;"!F95:T95"))))</f>
        <v>0</v>
      </c>
      <c r="R65" s="448" cm="1">
        <f t="array" aca="1" ref="R65" ca="1">IF(INDIRECT($A27&amp;"!E43")="Per Unit",NPV('Inputs and assumptions'!$C$5,(INDIRECT($A27&amp;"!F68:T68"))),NPV('Inputs and assumptions'!$C$5,(INDIRECT($A27&amp;"!F96:T96"))))</f>
        <v>1522271.7433055844</v>
      </c>
      <c r="S65" s="448" cm="1">
        <f t="array" aca="1" ref="S65" ca="1">IF(INDIRECT($A27&amp;"!E43")="Per Unit",NPV('Inputs and assumptions'!$C$5,(INDIRECT($A27&amp;"!F69:T69"))),NPV('Inputs and assumptions'!$C$5,(INDIRECT($A27&amp;"!F97:T97"))))</f>
        <v>776358.5890858483</v>
      </c>
      <c r="T65" s="453" cm="1">
        <f t="array" aca="1" ref="T65" ca="1">IF(INDIRECT($A27&amp;"!E43")="Per Unit",NPV('Inputs and assumptions'!$C$5,(INDIRECT($A27&amp;"!F70:T70"))),NPV('Inputs and assumptions'!$C$5,(INDIRECT($A27&amp;"!F98:T98"))))</f>
        <v>0</v>
      </c>
    </row>
    <row r="66" spans="1:20" x14ac:dyDescent="0.35">
      <c r="A66" s="444" t="s">
        <v>191</v>
      </c>
      <c r="B66" s="452" cm="1">
        <f t="array" aca="1" ref="B66" ca="1">IF(INDIRECT($A28&amp;"!E43")="Per Unit",NPV('Inputs and assumptions'!$C$5,(INDIRECT($A28&amp;"!F46:T46"))),NPV('Inputs and assumptions'!$C$5,(INDIRECT($A28&amp;"!F74:T74"))))</f>
        <v>0</v>
      </c>
      <c r="C66" s="448" cm="1">
        <f t="array" aca="1" ref="C66" ca="1">IF(INDIRECT($A28&amp;"!E43")="Per Unit",NPV('Inputs and assumptions'!$C$5,(INDIRECT($A28&amp;"!F47:T47"))),NPV('Inputs and assumptions'!$C$5,(INDIRECT($A28&amp;"!F75:T75"))))</f>
        <v>0</v>
      </c>
      <c r="D66" s="448" cm="1">
        <f t="array" aca="1" ref="D66" ca="1">IF(INDIRECT($A28&amp;"!E43")="Per Unit",NPV('Inputs and assumptions'!$C$5,(INDIRECT($A28&amp;"!F48:T48"))),NPV('Inputs and assumptions'!$C$5,(INDIRECT($A28&amp;"!F76:T76"))))</f>
        <v>0</v>
      </c>
      <c r="E66" s="468" cm="1">
        <f t="array" aca="1" ref="E66" ca="1">IF(INDIRECT($A28&amp;"!E43")="Per Unit",NPV('Inputs and assumptions'!$C$5,(INDIRECT($A28&amp;"!F49:T49"))),NPV('Inputs and assumptions'!$C$5,(INDIRECT($A28&amp;"!F77:T77"))))</f>
        <v>0</v>
      </c>
      <c r="F66" s="448" cm="1">
        <f t="array" aca="1" ref="F66" ca="1">IF(INDIRECT($A28&amp;"!E43")="Per Unit",NPV('Inputs and assumptions'!$C$5,(INDIRECT($A28&amp;"!F52:T52"))),NPV('Inputs and assumptions'!$C$5,(INDIRECT($A28&amp;"!F80:T80"))))</f>
        <v>0</v>
      </c>
      <c r="G66" s="448" cm="1">
        <f t="array" aca="1" ref="G66" ca="1">IF(INDIRECT($A28&amp;"!E43")="Per Unit",NPV('Inputs and assumptions'!$C$5,(INDIRECT($A28&amp;"!F53:T53"))),NPV('Inputs and assumptions'!$C$5,(INDIRECT($A28&amp;"!F81:T81"))))</f>
        <v>0</v>
      </c>
      <c r="H66" s="448" cm="1">
        <f t="array" aca="1" ref="H66" ca="1">IF(INDIRECT($A28&amp;"!E43")="Per Unit",NPV('Inputs and assumptions'!$C$5,(INDIRECT($A28&amp;"!F54:T54"))),NPV('Inputs and assumptions'!$C$5,(INDIRECT($A28&amp;"!F82:T82"))))</f>
        <v>0</v>
      </c>
      <c r="I66" s="448" cm="1">
        <f t="array" aca="1" ref="I66" ca="1">IF(INDIRECT($A28&amp;"!E43")="Per Unit",NPV('Inputs and assumptions'!$C$5,(INDIRECT($A28&amp;"!F55:T55"))),NPV('Inputs and assumptions'!$C$5,(INDIRECT($A28&amp;"!F83:T83"))))</f>
        <v>0</v>
      </c>
      <c r="J66" s="448" cm="1">
        <f t="array" aca="1" ref="J66" ca="1">IF(INDIRECT($A28&amp;"!E43")="Per Unit",NPV('Inputs and assumptions'!$C$5,(INDIRECT($A28&amp;"!F56:T56"))),NPV('Inputs and assumptions'!$C$5,(INDIRECT($A28&amp;"!F84:T84"))))</f>
        <v>2776714.8863637811</v>
      </c>
      <c r="K66" s="468" cm="1">
        <f t="array" aca="1" ref="K66" ca="1">IF(INDIRECT($A28&amp;"!E43")="Per Unit",NPV('Inputs and assumptions'!$C$5,(INDIRECT($A28&amp;"!F57:T57"))),NPV('Inputs and assumptions'!$C$5,(INDIRECT($A28&amp;"!F85:T85"))))</f>
        <v>0</v>
      </c>
      <c r="L66" s="448" cm="1">
        <f t="array" aca="1" ref="L66" ca="1">IF(INDIRECT($A28&amp;"!E43")="Per Unit",NPV('Inputs and assumptions'!$C$5,(INDIRECT($A28&amp;"!F60:T60"))),NPV('Inputs and assumptions'!$C$5,(INDIRECT($A28&amp;"!F88:T88"))))</f>
        <v>1033379.6878228844</v>
      </c>
      <c r="M66" s="468" cm="1">
        <f t="array" aca="1" ref="M66" ca="1">IF(INDIRECT($A28&amp;"!E43")="Per Unit",NPV('Inputs and assumptions'!$C$5,(INDIRECT($A28&amp;"!F61:T61"))),NPV('Inputs and assumptions'!$C$5,(INDIRECT($A28&amp;"!F89:T89"))))</f>
        <v>0</v>
      </c>
      <c r="N66" s="448" cm="1">
        <f t="array" aca="1" ref="N66" ca="1">IF(INDIRECT($A28&amp;"!E43")="Per Unit",NPV('Inputs and assumptions'!$C$5,(INDIRECT($A28&amp;"!F64:T64"))),NPV('Inputs and assumptions'!$C$5,(INDIRECT($A28&amp;"!F92:T92"))))</f>
        <v>993937.71500521724</v>
      </c>
      <c r="O66" s="448" cm="1">
        <f t="array" aca="1" ref="O66" ca="1">IF(INDIRECT($A28&amp;"!E43")="Per Unit",NPV('Inputs and assumptions'!$C$5,(INDIRECT($A28&amp;"!F65:T65"))),NPV('Inputs and assumptions'!$C$5,(INDIRECT($A28&amp;"!F93:T93"))))</f>
        <v>0</v>
      </c>
      <c r="P66" s="448" cm="1">
        <f t="array" aca="1" ref="P66" ca="1">IF(INDIRECT($A28&amp;"!E43")="Per Unit",NPV('Inputs and assumptions'!$C$5,(INDIRECT($A28&amp;"!F66:T66"))),NPV('Inputs and assumptions'!$C$5,(INDIRECT($A28&amp;"!F94:T94"))))</f>
        <v>0</v>
      </c>
      <c r="Q66" s="448" cm="1">
        <f t="array" aca="1" ref="Q66" ca="1">IF(INDIRECT($A28&amp;"!E43")="Per Unit",NPV('Inputs and assumptions'!$C$5,(INDIRECT($A28&amp;"!F67:T67"))),NPV('Inputs and assumptions'!$C$5,(INDIRECT($A28&amp;"!F95:T95"))))</f>
        <v>0</v>
      </c>
      <c r="R66" s="448" cm="1">
        <f t="array" aca="1" ref="R66" ca="1">IF(INDIRECT($A28&amp;"!E43")="Per Unit",NPV('Inputs and assumptions'!$C$5,(INDIRECT($A28&amp;"!F68:T68"))),NPV('Inputs and assumptions'!$C$5,(INDIRECT($A28&amp;"!F96:T96"))))</f>
        <v>0</v>
      </c>
      <c r="S66" s="448" cm="1">
        <f t="array" aca="1" ref="S66" ca="1">IF(INDIRECT($A28&amp;"!E43")="Per Unit",NPV('Inputs and assumptions'!$C$5,(INDIRECT($A28&amp;"!F69:T69"))),NPV('Inputs and assumptions'!$C$5,(INDIRECT($A28&amp;"!F97:T97"))))</f>
        <v>0</v>
      </c>
      <c r="T66" s="453" cm="1">
        <f t="array" aca="1" ref="T66" ca="1">IF(INDIRECT($A28&amp;"!E43")="Per Unit",NPV('Inputs and assumptions'!$C$5,(INDIRECT($A28&amp;"!F70:T70"))),NPV('Inputs and assumptions'!$C$5,(INDIRECT($A28&amp;"!F98:T98"))))</f>
        <v>0</v>
      </c>
    </row>
    <row r="67" spans="1:20" x14ac:dyDescent="0.35">
      <c r="A67" s="444" t="s">
        <v>192</v>
      </c>
      <c r="B67" s="452" cm="1">
        <f t="array" aca="1" ref="B67" ca="1">IF(INDIRECT($A29&amp;"!E43")="Per Unit",NPV('Inputs and assumptions'!$C$5,(INDIRECT($A29&amp;"!F46:T46"))),NPV('Inputs and assumptions'!$C$5,(INDIRECT($A29&amp;"!F74:T74"))))</f>
        <v>0</v>
      </c>
      <c r="C67" s="448" cm="1">
        <f t="array" aca="1" ref="C67" ca="1">IF(INDIRECT($A29&amp;"!E43")="Per Unit",NPV('Inputs and assumptions'!$C$5,(INDIRECT($A29&amp;"!F47:T47"))),NPV('Inputs and assumptions'!$C$5,(INDIRECT($A29&amp;"!F75:T75"))))</f>
        <v>0</v>
      </c>
      <c r="D67" s="448" cm="1">
        <f t="array" aca="1" ref="D67" ca="1">IF(INDIRECT($A29&amp;"!E43")="Per Unit",NPV('Inputs and assumptions'!$C$5,(INDIRECT($A29&amp;"!F48:T48"))),NPV('Inputs and assumptions'!$C$5,(INDIRECT($A29&amp;"!F76:T76"))))</f>
        <v>0</v>
      </c>
      <c r="E67" s="468" cm="1">
        <f t="array" aca="1" ref="E67" ca="1">IF(INDIRECT($A29&amp;"!E43")="Per Unit",NPV('Inputs and assumptions'!$C$5,(INDIRECT($A29&amp;"!F49:T49"))),NPV('Inputs and assumptions'!$C$5,(INDIRECT($A29&amp;"!F77:T77"))))</f>
        <v>0</v>
      </c>
      <c r="F67" s="448" cm="1">
        <f t="array" aca="1" ref="F67" ca="1">IF(INDIRECT($A29&amp;"!E43")="Per Unit",NPV('Inputs and assumptions'!$C$5,(INDIRECT($A29&amp;"!F52:T52"))),NPV('Inputs and assumptions'!$C$5,(INDIRECT($A29&amp;"!F80:T80"))))</f>
        <v>0</v>
      </c>
      <c r="G67" s="448" cm="1">
        <f t="array" aca="1" ref="G67" ca="1">IF(INDIRECT($A29&amp;"!E43")="Per Unit",NPV('Inputs and assumptions'!$C$5,(INDIRECT($A29&amp;"!F53:T53"))),NPV('Inputs and assumptions'!$C$5,(INDIRECT($A29&amp;"!F81:T81"))))</f>
        <v>0</v>
      </c>
      <c r="H67" s="448" cm="1">
        <f t="array" aca="1" ref="H67" ca="1">IF(INDIRECT($A29&amp;"!E43")="Per Unit",NPV('Inputs and assumptions'!$C$5,(INDIRECT($A29&amp;"!F54:T54"))),NPV('Inputs and assumptions'!$C$5,(INDIRECT($A29&amp;"!F82:T82"))))</f>
        <v>0</v>
      </c>
      <c r="I67" s="448" cm="1">
        <f t="array" aca="1" ref="I67" ca="1">IF(INDIRECT($A29&amp;"!E43")="Per Unit",NPV('Inputs and assumptions'!$C$5,(INDIRECT($A29&amp;"!F55:T55"))),NPV('Inputs and assumptions'!$C$5,(INDIRECT($A29&amp;"!F83:T83"))))</f>
        <v>0</v>
      </c>
      <c r="J67" s="448" cm="1">
        <f t="array" aca="1" ref="J67" ca="1">IF(INDIRECT($A29&amp;"!E43")="Per Unit",NPV('Inputs and assumptions'!$C$5,(INDIRECT($A29&amp;"!F56:T56"))),NPV('Inputs and assumptions'!$C$5,(INDIRECT($A29&amp;"!F84:T84"))))</f>
        <v>0</v>
      </c>
      <c r="K67" s="468" cm="1">
        <f t="array" aca="1" ref="K67" ca="1">IF(INDIRECT($A29&amp;"!E43")="Per Unit",NPV('Inputs and assumptions'!$C$5,(INDIRECT($A29&amp;"!F57:T57"))),NPV('Inputs and assumptions'!$C$5,(INDIRECT($A29&amp;"!F85:T85"))))</f>
        <v>0</v>
      </c>
      <c r="L67" s="448" cm="1">
        <f t="array" aca="1" ref="L67" ca="1">IF(INDIRECT($A29&amp;"!E43")="Per Unit",NPV('Inputs and assumptions'!$C$5,(INDIRECT($A29&amp;"!F60:T60"))),NPV('Inputs and assumptions'!$C$5,(INDIRECT($A29&amp;"!F88:T88"))))</f>
        <v>0</v>
      </c>
      <c r="M67" s="468" cm="1">
        <f t="array" aca="1" ref="M67" ca="1">IF(INDIRECT($A29&amp;"!E43")="Per Unit",NPV('Inputs and assumptions'!$C$5,(INDIRECT($A29&amp;"!F61:T61"))),NPV('Inputs and assumptions'!$C$5,(INDIRECT($A29&amp;"!F89:T89"))))</f>
        <v>0</v>
      </c>
      <c r="N67" s="448" cm="1">
        <f t="array" aca="1" ref="N67" ca="1">IF(INDIRECT($A29&amp;"!E43")="Per Unit",NPV('Inputs and assumptions'!$C$5,(INDIRECT($A29&amp;"!F64:T64"))),NPV('Inputs and assumptions'!$C$5,(INDIRECT($A29&amp;"!F92:T92"))))</f>
        <v>6564271.6227495167</v>
      </c>
      <c r="O67" s="448" cm="1">
        <f t="array" aca="1" ref="O67" ca="1">IF(INDIRECT($A29&amp;"!E43")="Per Unit",NPV('Inputs and assumptions'!$C$5,(INDIRECT($A29&amp;"!F65:T65"))),NPV('Inputs and assumptions'!$C$5,(INDIRECT($A29&amp;"!F93:T93"))))</f>
        <v>0</v>
      </c>
      <c r="P67" s="448" cm="1">
        <f t="array" aca="1" ref="P67" ca="1">IF(INDIRECT($A29&amp;"!E43")="Per Unit",NPV('Inputs and assumptions'!$C$5,(INDIRECT($A29&amp;"!F66:T66"))),NPV('Inputs and assumptions'!$C$5,(INDIRECT($A29&amp;"!F94:T94"))))</f>
        <v>0</v>
      </c>
      <c r="Q67" s="448" cm="1">
        <f t="array" aca="1" ref="Q67" ca="1">IF(INDIRECT($A29&amp;"!E43")="Per Unit",NPV('Inputs and assumptions'!$C$5,(INDIRECT($A29&amp;"!F67:T67"))),NPV('Inputs and assumptions'!$C$5,(INDIRECT($A29&amp;"!F95:T95"))))</f>
        <v>0</v>
      </c>
      <c r="R67" s="448" cm="1">
        <f t="array" aca="1" ref="R67" ca="1">IF(INDIRECT($A29&amp;"!E43")="Per Unit",NPV('Inputs and assumptions'!$C$5,(INDIRECT($A29&amp;"!F68:T68"))),NPV('Inputs and assumptions'!$C$5,(INDIRECT($A29&amp;"!F96:T96"))))</f>
        <v>0</v>
      </c>
      <c r="S67" s="448" cm="1">
        <f t="array" aca="1" ref="S67" ca="1">IF(INDIRECT($A29&amp;"!E43")="Per Unit",NPV('Inputs and assumptions'!$C$5,(INDIRECT($A29&amp;"!F69:T69"))),NPV('Inputs and assumptions'!$C$5,(INDIRECT($A29&amp;"!F97:T97"))))</f>
        <v>0</v>
      </c>
      <c r="T67" s="453" cm="1">
        <f t="array" aca="1" ref="T67" ca="1">IF(INDIRECT($A29&amp;"!E43")="Per Unit",NPV('Inputs and assumptions'!$C$5,(INDIRECT($A29&amp;"!F70:T70"))),NPV('Inputs and assumptions'!$C$5,(INDIRECT($A29&amp;"!F98:T98"))))</f>
        <v>0</v>
      </c>
    </row>
    <row r="68" spans="1:20" x14ac:dyDescent="0.35">
      <c r="A68" s="444" t="s">
        <v>190</v>
      </c>
      <c r="B68" s="452" cm="1">
        <f t="array" aca="1" ref="B68" ca="1">IF(INDIRECT($A30&amp;"!E43")="Per Unit",NPV('Inputs and assumptions'!$C$5,(INDIRECT($A30&amp;"!F46:T46"))),NPV('Inputs and assumptions'!$C$5,(INDIRECT($A30&amp;"!F74:T74"))))</f>
        <v>0</v>
      </c>
      <c r="C68" s="448" cm="1">
        <f t="array" aca="1" ref="C68" ca="1">IF(INDIRECT($A30&amp;"!E43")="Per Unit",NPV('Inputs and assumptions'!$C$5,(INDIRECT($A30&amp;"!F47:T47"))),NPV('Inputs and assumptions'!$C$5,(INDIRECT($A30&amp;"!F75:T75"))))</f>
        <v>0</v>
      </c>
      <c r="D68" s="448" cm="1">
        <f t="array" aca="1" ref="D68" ca="1">IF(INDIRECT($A30&amp;"!E43")="Per Unit",NPV('Inputs and assumptions'!$C$5,(INDIRECT($A30&amp;"!F48:T48"))),NPV('Inputs and assumptions'!$C$5,(INDIRECT($A30&amp;"!F76:T76"))))</f>
        <v>0</v>
      </c>
      <c r="E68" s="468" cm="1">
        <f t="array" aca="1" ref="E68" ca="1">IF(INDIRECT($A30&amp;"!E43")="Per Unit",NPV('Inputs and assumptions'!$C$5,(INDIRECT($A30&amp;"!F49:T49"))),NPV('Inputs and assumptions'!$C$5,(INDIRECT($A30&amp;"!F77:T77"))))</f>
        <v>0</v>
      </c>
      <c r="F68" s="448" cm="1">
        <f t="array" aca="1" ref="F68" ca="1">IF(INDIRECT($A30&amp;"!E43")="Per Unit",NPV('Inputs and assumptions'!$C$5,(INDIRECT($A30&amp;"!F52:T52"))),NPV('Inputs and assumptions'!$C$5,(INDIRECT($A30&amp;"!F80:T80"))))</f>
        <v>0</v>
      </c>
      <c r="G68" s="448" cm="1">
        <f t="array" aca="1" ref="G68" ca="1">IF(INDIRECT($A30&amp;"!E43")="Per Unit",NPV('Inputs and assumptions'!$C$5,(INDIRECT($A30&amp;"!F53:T53"))),NPV('Inputs and assumptions'!$C$5,(INDIRECT($A30&amp;"!F81:T81"))))</f>
        <v>0</v>
      </c>
      <c r="H68" s="448" cm="1">
        <f t="array" aca="1" ref="H68" ca="1">IF(INDIRECT($A30&amp;"!E43")="Per Unit",NPV('Inputs and assumptions'!$C$5,(INDIRECT($A30&amp;"!F54:T54"))),NPV('Inputs and assumptions'!$C$5,(INDIRECT($A30&amp;"!F82:T82"))))</f>
        <v>0</v>
      </c>
      <c r="I68" s="448" cm="1">
        <f t="array" aca="1" ref="I68" ca="1">IF(INDIRECT($A30&amp;"!E43")="Per Unit",NPV('Inputs and assumptions'!$C$5,(INDIRECT($A30&amp;"!F55:T55"))),NPV('Inputs and assumptions'!$C$5,(INDIRECT($A30&amp;"!F83:T83"))))</f>
        <v>0</v>
      </c>
      <c r="J68" s="448" cm="1">
        <f t="array" aca="1" ref="J68" ca="1">IF(INDIRECT($A30&amp;"!E43")="Per Unit",NPV('Inputs and assumptions'!$C$5,(INDIRECT($A30&amp;"!F56:T56"))),NPV('Inputs and assumptions'!$C$5,(INDIRECT($A30&amp;"!F84:T84"))))</f>
        <v>0</v>
      </c>
      <c r="K68" s="468" cm="1">
        <f t="array" aca="1" ref="K68" ca="1">IF(INDIRECT($A30&amp;"!E43")="Per Unit",NPV('Inputs and assumptions'!$C$5,(INDIRECT($A30&amp;"!F57:T57"))),NPV('Inputs and assumptions'!$C$5,(INDIRECT($A30&amp;"!F85:T85"))))</f>
        <v>0</v>
      </c>
      <c r="L68" s="448" cm="1">
        <f t="array" aca="1" ref="L68" ca="1">IF(INDIRECT($A30&amp;"!E43")="Per Unit",NPV('Inputs and assumptions'!$C$5,(INDIRECT($A30&amp;"!F60:T60"))),NPV('Inputs and assumptions'!$C$5,(INDIRECT($A30&amp;"!F88:T88"))))</f>
        <v>0</v>
      </c>
      <c r="M68" s="468" cm="1">
        <f t="array" aca="1" ref="M68" ca="1">IF(INDIRECT($A30&amp;"!E43")="Per Unit",NPV('Inputs and assumptions'!$C$5,(INDIRECT($A30&amp;"!F61:T61"))),NPV('Inputs and assumptions'!$C$5,(INDIRECT($A30&amp;"!F89:T89"))))</f>
        <v>0</v>
      </c>
      <c r="N68" s="448" cm="1">
        <f t="array" aca="1" ref="N68" ca="1">IF(INDIRECT($A30&amp;"!E43")="Per Unit",NPV('Inputs and assumptions'!$C$5,(INDIRECT($A30&amp;"!F64:T64"))),NPV('Inputs and assumptions'!$C$5,(INDIRECT($A30&amp;"!F92:T92"))))</f>
        <v>2569242.0007671588</v>
      </c>
      <c r="O68" s="448" cm="1">
        <f t="array" aca="1" ref="O68" ca="1">IF(INDIRECT($A30&amp;"!E43")="Per Unit",NPV('Inputs and assumptions'!$C$5,(INDIRECT($A30&amp;"!F65:T65"))),NPV('Inputs and assumptions'!$C$5,(INDIRECT($A30&amp;"!F93:T93"))))</f>
        <v>0</v>
      </c>
      <c r="P68" s="448" cm="1">
        <f t="array" aca="1" ref="P68" ca="1">IF(INDIRECT($A30&amp;"!E43")="Per Unit",NPV('Inputs and assumptions'!$C$5,(INDIRECT($A30&amp;"!F66:T66"))),NPV('Inputs and assumptions'!$C$5,(INDIRECT($A30&amp;"!F94:T94"))))</f>
        <v>0</v>
      </c>
      <c r="Q68" s="448" cm="1">
        <f t="array" aca="1" ref="Q68" ca="1">IF(INDIRECT($A30&amp;"!E43")="Per Unit",NPV('Inputs and assumptions'!$C$5,(INDIRECT($A30&amp;"!F67:T67"))),NPV('Inputs and assumptions'!$C$5,(INDIRECT($A30&amp;"!F95:T95"))))</f>
        <v>0</v>
      </c>
      <c r="R68" s="448" cm="1">
        <f t="array" aca="1" ref="R68" ca="1">IF(INDIRECT($A30&amp;"!E43")="Per Unit",NPV('Inputs and assumptions'!$C$5,(INDIRECT($A30&amp;"!F68:T68"))),NPV('Inputs and assumptions'!$C$5,(INDIRECT($A30&amp;"!F96:T96"))))</f>
        <v>0</v>
      </c>
      <c r="S68" s="448" cm="1">
        <f t="array" aca="1" ref="S68" ca="1">IF(INDIRECT($A30&amp;"!E43")="Per Unit",NPV('Inputs and assumptions'!$C$5,(INDIRECT($A30&amp;"!F69:T69"))),NPV('Inputs and assumptions'!$C$5,(INDIRECT($A30&amp;"!F97:T97"))))</f>
        <v>0</v>
      </c>
      <c r="T68" s="453" cm="1">
        <f t="array" aca="1" ref="T68" ca="1">IF(INDIRECT($A30&amp;"!E43")="Per Unit",NPV('Inputs and assumptions'!$C$5,(INDIRECT($A30&amp;"!F70:T70"))),NPV('Inputs and assumptions'!$C$5,(INDIRECT($A30&amp;"!F98:T98"))))</f>
        <v>0</v>
      </c>
    </row>
    <row r="69" spans="1:20" x14ac:dyDescent="0.35">
      <c r="A69" s="444" t="s">
        <v>193</v>
      </c>
      <c r="B69" s="452" cm="1">
        <f t="array" aca="1" ref="B69" ca="1">IF(INDIRECT($A31&amp;"!E43")="Per Unit",NPV('Inputs and assumptions'!$C$5,(INDIRECT($A31&amp;"!F46:T46"))),NPV('Inputs and assumptions'!$C$5,(INDIRECT($A31&amp;"!F74:T74"))))</f>
        <v>398605.65572534385</v>
      </c>
      <c r="C69" s="448" cm="1">
        <f t="array" aca="1" ref="C69" ca="1">IF(INDIRECT($A31&amp;"!E43")="Per Unit",NPV('Inputs and assumptions'!$C$5,(INDIRECT($A31&amp;"!F47:T47"))),NPV('Inputs and assumptions'!$C$5,(INDIRECT($A31&amp;"!F75:T75"))))</f>
        <v>0</v>
      </c>
      <c r="D69" s="448" cm="1">
        <f t="array" aca="1" ref="D69" ca="1">IF(INDIRECT($A31&amp;"!E43")="Per Unit",NPV('Inputs and assumptions'!$C$5,(INDIRECT($A31&amp;"!F48:T48"))),NPV('Inputs and assumptions'!$C$5,(INDIRECT($A31&amp;"!F76:T76"))))</f>
        <v>55648.547450939084</v>
      </c>
      <c r="E69" s="468" cm="1">
        <f t="array" aca="1" ref="E69" ca="1">IF(INDIRECT($A31&amp;"!E43")="Per Unit",NPV('Inputs and assumptions'!$C$5,(INDIRECT($A31&amp;"!F49:T49"))),NPV('Inputs and assumptions'!$C$5,(INDIRECT($A31&amp;"!F77:T77"))))</f>
        <v>0</v>
      </c>
      <c r="F69" s="448" cm="1">
        <f t="array" aca="1" ref="F69" ca="1">IF(INDIRECT($A31&amp;"!E43")="Per Unit",NPV('Inputs and assumptions'!$C$5,(INDIRECT($A31&amp;"!F52:T52"))),NPV('Inputs and assumptions'!$C$5,(INDIRECT($A31&amp;"!F80:T80"))))</f>
        <v>0</v>
      </c>
      <c r="G69" s="448" cm="1">
        <f t="array" aca="1" ref="G69" ca="1">IF(INDIRECT($A31&amp;"!E43")="Per Unit",NPV('Inputs and assumptions'!$C$5,(INDIRECT($A31&amp;"!F53:T53"))),NPV('Inputs and assumptions'!$C$5,(INDIRECT($A31&amp;"!F81:T81"))))</f>
        <v>0</v>
      </c>
      <c r="H69" s="448" cm="1">
        <f t="array" aca="1" ref="H69" ca="1">IF(INDIRECT($A31&amp;"!E43")="Per Unit",NPV('Inputs and assumptions'!$C$5,(INDIRECT($A31&amp;"!F54:T54"))),NPV('Inputs and assumptions'!$C$5,(INDIRECT($A31&amp;"!F82:T82"))))</f>
        <v>114595.88561873033</v>
      </c>
      <c r="I69" s="448" cm="1">
        <f t="array" aca="1" ref="I69" ca="1">IF(INDIRECT($A31&amp;"!E43")="Per Unit",NPV('Inputs and assumptions'!$C$5,(INDIRECT($A31&amp;"!F55:T55"))),NPV('Inputs and assumptions'!$C$5,(INDIRECT($A31&amp;"!F83:T83"))))</f>
        <v>0</v>
      </c>
      <c r="J69" s="448" cm="1">
        <f t="array" aca="1" ref="J69" ca="1">IF(INDIRECT($A31&amp;"!E43")="Per Unit",NPV('Inputs and assumptions'!$C$5,(INDIRECT($A31&amp;"!F56:T56"))),NPV('Inputs and assumptions'!$C$5,(INDIRECT($A31&amp;"!F84:T84"))))</f>
        <v>0</v>
      </c>
      <c r="K69" s="468" cm="1">
        <f t="array" aca="1" ref="K69" ca="1">IF(INDIRECT($A31&amp;"!E43")="Per Unit",NPV('Inputs and assumptions'!$C$5,(INDIRECT($A31&amp;"!F57:T57"))),NPV('Inputs and assumptions'!$C$5,(INDIRECT($A31&amp;"!F85:T85"))))</f>
        <v>92838.832230195185</v>
      </c>
      <c r="L69" s="448" cm="1">
        <f t="array" aca="1" ref="L69" ca="1">IF(INDIRECT($A31&amp;"!E43")="Per Unit",NPV('Inputs and assumptions'!$C$5,(INDIRECT($A31&amp;"!F60:T60"))),NPV('Inputs and assumptions'!$C$5,(INDIRECT($A31&amp;"!F88:T88"))))</f>
        <v>0</v>
      </c>
      <c r="M69" s="468" cm="1">
        <f t="array" aca="1" ref="M69" ca="1">IF(INDIRECT($A31&amp;"!E43")="Per Unit",NPV('Inputs and assumptions'!$C$5,(INDIRECT($A31&amp;"!F61:T61"))),NPV('Inputs and assumptions'!$C$5,(INDIRECT($A31&amp;"!F89:T89"))))</f>
        <v>327666.46669480653</v>
      </c>
      <c r="N69" s="448" cm="1">
        <f t="array" aca="1" ref="N69" ca="1">IF(INDIRECT($A31&amp;"!E43")="Per Unit",NPV('Inputs and assumptions'!$C$5,(INDIRECT($A31&amp;"!F64:T64"))),NPV('Inputs and assumptions'!$C$5,(INDIRECT($A31&amp;"!F92:T92"))))</f>
        <v>1376199.1601181871</v>
      </c>
      <c r="O69" s="448" cm="1">
        <f t="array" aca="1" ref="O69" ca="1">IF(INDIRECT($A31&amp;"!E43")="Per Unit",NPV('Inputs and assumptions'!$C$5,(INDIRECT($A31&amp;"!F65:T65"))),NPV('Inputs and assumptions'!$C$5,(INDIRECT($A31&amp;"!F93:T93"))))</f>
        <v>0</v>
      </c>
      <c r="P69" s="448" cm="1">
        <f t="array" aca="1" ref="P69" ca="1">IF(INDIRECT($A31&amp;"!E43")="Per Unit",NPV('Inputs and assumptions'!$C$5,(INDIRECT($A31&amp;"!F66:T66"))),NPV('Inputs and assumptions'!$C$5,(INDIRECT($A31&amp;"!F94:T94"))))</f>
        <v>0</v>
      </c>
      <c r="Q69" s="448" cm="1">
        <f t="array" aca="1" ref="Q69" ca="1">IF(INDIRECT($A31&amp;"!E43")="Per Unit",NPV('Inputs and assumptions'!$C$5,(INDIRECT($A31&amp;"!F67:T67"))),NPV('Inputs and assumptions'!$C$5,(INDIRECT($A31&amp;"!F95:T95"))))</f>
        <v>0</v>
      </c>
      <c r="R69" s="448" cm="1">
        <f t="array" aca="1" ref="R69" ca="1">IF(INDIRECT($A31&amp;"!E43")="Per Unit",NPV('Inputs and assumptions'!$C$5,(INDIRECT($A31&amp;"!F68:T68"))),NPV('Inputs and assumptions'!$C$5,(INDIRECT($A31&amp;"!F96:T96"))))</f>
        <v>65533.293338961295</v>
      </c>
      <c r="S69" s="448" cm="1">
        <f t="array" aca="1" ref="S69" ca="1">IF(INDIRECT($A31&amp;"!E43")="Per Unit",NPV('Inputs and assumptions'!$C$5,(INDIRECT($A31&amp;"!F69:T69"))),NPV('Inputs and assumptions'!$C$5,(INDIRECT($A31&amp;"!F97:T97"))))</f>
        <v>835549.49007175653</v>
      </c>
      <c r="T69" s="453" cm="1">
        <f t="array" aca="1" ref="T69" ca="1">IF(INDIRECT($A31&amp;"!E43")="Per Unit",NPV('Inputs and assumptions'!$C$5,(INDIRECT($A31&amp;"!F70:T70"))),NPV('Inputs and assumptions'!$C$5,(INDIRECT($A31&amp;"!F98:T98"))))</f>
        <v>0</v>
      </c>
    </row>
    <row r="70" spans="1:20" x14ac:dyDescent="0.35">
      <c r="A70" s="444" t="s">
        <v>188</v>
      </c>
      <c r="B70" s="452" cm="1">
        <f t="array" aca="1" ref="B70" ca="1">IF(INDIRECT($A32&amp;"!E43")="Per Unit",NPV('Inputs and assumptions'!$C$5,(INDIRECT($A32&amp;"!F46:T46"))),NPV('Inputs and assumptions'!$C$5,(INDIRECT($A32&amp;"!F74:T74"))))</f>
        <v>0</v>
      </c>
      <c r="C70" s="448" cm="1">
        <f t="array" aca="1" ref="C70" ca="1">IF(INDIRECT($A32&amp;"!E43")="Per Unit",NPV('Inputs and assumptions'!$C$5,(INDIRECT($A32&amp;"!F47:T47"))),NPV('Inputs and assumptions'!$C$5,(INDIRECT($A32&amp;"!F75:T75"))))</f>
        <v>0</v>
      </c>
      <c r="D70" s="448" cm="1">
        <f t="array" aca="1" ref="D70" ca="1">IF(INDIRECT($A32&amp;"!E43")="Per Unit",NPV('Inputs and assumptions'!$C$5,(INDIRECT($A32&amp;"!F48:T48"))),NPV('Inputs and assumptions'!$C$5,(INDIRECT($A32&amp;"!F76:T76"))))</f>
        <v>0</v>
      </c>
      <c r="E70" s="468" cm="1">
        <f t="array" aca="1" ref="E70" ca="1">IF(INDIRECT($A32&amp;"!E43")="Per Unit",NPV('Inputs and assumptions'!$C$5,(INDIRECT($A32&amp;"!F49:T49"))),NPV('Inputs and assumptions'!$C$5,(INDIRECT($A32&amp;"!F77:T77"))))</f>
        <v>0</v>
      </c>
      <c r="F70" s="448" cm="1">
        <f t="array" aca="1" ref="F70" ca="1">IF(INDIRECT($A32&amp;"!E43")="Per Unit",NPV('Inputs and assumptions'!$C$5,(INDIRECT($A32&amp;"!F52:T52"))),NPV('Inputs and assumptions'!$C$5,(INDIRECT($A32&amp;"!F80:T80"))))</f>
        <v>0</v>
      </c>
      <c r="G70" s="448" cm="1">
        <f t="array" aca="1" ref="G70" ca="1">IF(INDIRECT($A32&amp;"!E43")="Per Unit",NPV('Inputs and assumptions'!$C$5,(INDIRECT($A32&amp;"!F53:T53"))),NPV('Inputs and assumptions'!$C$5,(INDIRECT($A32&amp;"!F81:T81"))))</f>
        <v>0</v>
      </c>
      <c r="H70" s="448" cm="1">
        <f t="array" aca="1" ref="H70" ca="1">IF(INDIRECT($A32&amp;"!E43")="Per Unit",NPV('Inputs and assumptions'!$C$5,(INDIRECT($A32&amp;"!F54:T54"))),NPV('Inputs and assumptions'!$C$5,(INDIRECT($A32&amp;"!F82:T82"))))</f>
        <v>0</v>
      </c>
      <c r="I70" s="448" cm="1">
        <f t="array" aca="1" ref="I70" ca="1">IF(INDIRECT($A32&amp;"!E43")="Per Unit",NPV('Inputs and assumptions'!$C$5,(INDIRECT($A32&amp;"!F55:T55"))),NPV('Inputs and assumptions'!$C$5,(INDIRECT($A32&amp;"!F83:T83"))))</f>
        <v>0</v>
      </c>
      <c r="J70" s="448" cm="1">
        <f t="array" aca="1" ref="J70" ca="1">IF(INDIRECT($A32&amp;"!E43")="Per Unit",NPV('Inputs and assumptions'!$C$5,(INDIRECT($A32&amp;"!F56:T56"))),NPV('Inputs and assumptions'!$C$5,(INDIRECT($A32&amp;"!F84:T84"))))</f>
        <v>0</v>
      </c>
      <c r="K70" s="468" cm="1">
        <f t="array" aca="1" ref="K70" ca="1">IF(INDIRECT($A32&amp;"!E43")="Per Unit",NPV('Inputs and assumptions'!$C$5,(INDIRECT($A32&amp;"!F57:T57"))),NPV('Inputs and assumptions'!$C$5,(INDIRECT($A32&amp;"!F85:T85"))))</f>
        <v>0</v>
      </c>
      <c r="L70" s="448" cm="1">
        <f t="array" aca="1" ref="L70" ca="1">IF(INDIRECT($A32&amp;"!E43")="Per Unit",NPV('Inputs and assumptions'!$C$5,(INDIRECT($A32&amp;"!F60:T60"))),NPV('Inputs and assumptions'!$C$5,(INDIRECT($A32&amp;"!F88:T88"))))</f>
        <v>0</v>
      </c>
      <c r="M70" s="468" cm="1">
        <f t="array" aca="1" ref="M70" ca="1">IF(INDIRECT($A32&amp;"!E43")="Per Unit",NPV('Inputs and assumptions'!$C$5,(INDIRECT($A32&amp;"!F61:T61"))),NPV('Inputs and assumptions'!$C$5,(INDIRECT($A32&amp;"!F89:T89"))))</f>
        <v>0</v>
      </c>
      <c r="N70" s="448" cm="1">
        <f t="array" aca="1" ref="N70" ca="1">IF(INDIRECT($A32&amp;"!E43")="Per Unit",NPV('Inputs and assumptions'!$C$5,(INDIRECT($A32&amp;"!F64:T64"))),NPV('Inputs and assumptions'!$C$5,(INDIRECT($A32&amp;"!F92:T92"))))</f>
        <v>0</v>
      </c>
      <c r="O70" s="448" cm="1">
        <f t="array" aca="1" ref="O70" ca="1">IF(INDIRECT($A32&amp;"!E43")="Per Unit",NPV('Inputs and assumptions'!$C$5,(INDIRECT($A32&amp;"!F65:T65"))),NPV('Inputs and assumptions'!$C$5,(INDIRECT($A32&amp;"!F93:T93"))))</f>
        <v>0</v>
      </c>
      <c r="P70" s="448" cm="1">
        <f t="array" aca="1" ref="P70" ca="1">IF(INDIRECT($A32&amp;"!E43")="Per Unit",NPV('Inputs and assumptions'!$C$5,(INDIRECT($A32&amp;"!F66:T66"))),NPV('Inputs and assumptions'!$C$5,(INDIRECT($A32&amp;"!F94:T94"))))</f>
        <v>2452725.3801412289</v>
      </c>
      <c r="Q70" s="448" cm="1">
        <f t="array" aca="1" ref="Q70" ca="1">IF(INDIRECT($A32&amp;"!E43")="Per Unit",NPV('Inputs and assumptions'!$C$5,(INDIRECT($A32&amp;"!F67:T67"))),NPV('Inputs and assumptions'!$C$5,(INDIRECT($A32&amp;"!F95:T95"))))</f>
        <v>0</v>
      </c>
      <c r="R70" s="448" cm="1">
        <f t="array" aca="1" ref="R70" ca="1">IF(INDIRECT($A32&amp;"!E43")="Per Unit",NPV('Inputs and assumptions'!$C$5,(INDIRECT($A32&amp;"!F68:T68"))),NPV('Inputs and assumptions'!$C$5,(INDIRECT($A32&amp;"!F96:T96"))))</f>
        <v>1777337.2319863976</v>
      </c>
      <c r="S70" s="448" cm="1">
        <f t="array" aca="1" ref="S70" ca="1">IF(INDIRECT($A32&amp;"!E43")="Per Unit",NPV('Inputs and assumptions'!$C$5,(INDIRECT($A32&amp;"!F69:T69"))),NPV('Inputs and assumptions'!$C$5,(INDIRECT($A32&amp;"!F97:T97"))))</f>
        <v>453220.99415653152</v>
      </c>
      <c r="T70" s="453" cm="1">
        <f t="array" aca="1" ref="T70" ca="1">IF(INDIRECT($A32&amp;"!E43")="Per Unit",NPV('Inputs and assumptions'!$C$5,(INDIRECT($A32&amp;"!F70:T70"))),NPV('Inputs and assumptions'!$C$5,(INDIRECT($A32&amp;"!F98:T98"))))</f>
        <v>0</v>
      </c>
    </row>
    <row r="71" spans="1:20" x14ac:dyDescent="0.35">
      <c r="A71" s="444" t="s">
        <v>194</v>
      </c>
      <c r="B71" s="452" cm="1">
        <f t="array" aca="1" ref="B71" ca="1">IF(INDIRECT($A33&amp;"!E43")="Per Unit",NPV('Inputs and assumptions'!$C$5,(INDIRECT($A33&amp;"!F46:T46"))),NPV('Inputs and assumptions'!$C$5,(INDIRECT($A33&amp;"!F74:T74"))))</f>
        <v>40448.586727692295</v>
      </c>
      <c r="C71" s="448" cm="1">
        <f t="array" aca="1" ref="C71" ca="1">IF(INDIRECT($A33&amp;"!E43")="Per Unit",NPV('Inputs and assumptions'!$C$5,(INDIRECT($A33&amp;"!F47:T47"))),NPV('Inputs and assumptions'!$C$5,(INDIRECT($A33&amp;"!F75:T75"))))</f>
        <v>29089.99351216467</v>
      </c>
      <c r="D71" s="448" cm="1">
        <f t="array" aca="1" ref="D71" ca="1">IF(INDIRECT($A33&amp;"!E43")="Per Unit",NPV('Inputs and assumptions'!$C$5,(INDIRECT($A33&amp;"!F48:T48"))),NPV('Inputs and assumptions'!$C$5,(INDIRECT($A33&amp;"!F76:T76"))))</f>
        <v>5646.947215897957</v>
      </c>
      <c r="E71" s="468" cm="1">
        <f t="array" aca="1" ref="E71" ca="1">IF(INDIRECT($A33&amp;"!E43")="Per Unit",NPV('Inputs and assumptions'!$C$5,(INDIRECT($A33&amp;"!F49:T49"))),NPV('Inputs and assumptions'!$C$5,(INDIRECT($A33&amp;"!F77:T77"))))</f>
        <v>34856.16450149157</v>
      </c>
      <c r="F71" s="448" cm="1">
        <f t="array" aca="1" ref="F71" ca="1">IF(INDIRECT($A33&amp;"!E43")="Per Unit",NPV('Inputs and assumptions'!$C$5,(INDIRECT($A33&amp;"!F52:T52"))),NPV('Inputs and assumptions'!$C$5,(INDIRECT($A33&amp;"!F80:T80"))))</f>
        <v>0</v>
      </c>
      <c r="G71" s="448" cm="1">
        <f t="array" aca="1" ref="G71" ca="1">IF(INDIRECT($A33&amp;"!E43")="Per Unit",NPV('Inputs and assumptions'!$C$5,(INDIRECT($A33&amp;"!F53:T53"))),NPV('Inputs and assumptions'!$C$5,(INDIRECT($A33&amp;"!F81:T81"))))</f>
        <v>0</v>
      </c>
      <c r="H71" s="448" cm="1">
        <f t="array" aca="1" ref="H71" ca="1">IF(INDIRECT($A33&amp;"!E43")="Per Unit",NPV('Inputs and assumptions'!$C$5,(INDIRECT($A33&amp;"!F54:T54"))),NPV('Inputs and assumptions'!$C$5,(INDIRECT($A33&amp;"!F82:T82"))))</f>
        <v>116286.39863754962</v>
      </c>
      <c r="I71" s="448" cm="1">
        <f t="array" aca="1" ref="I71" ca="1">IF(INDIRECT($A33&amp;"!E43")="Per Unit",NPV('Inputs and assumptions'!$C$5,(INDIRECT($A33&amp;"!F55:T55"))),NPV('Inputs and assumptions'!$C$5,(INDIRECT($A33&amp;"!F83:T83"))))</f>
        <v>0</v>
      </c>
      <c r="J71" s="448" cm="1">
        <f t="array" aca="1" ref="J71" ca="1">IF(INDIRECT($A33&amp;"!E43")="Per Unit",NPV('Inputs and assumptions'!$C$5,(INDIRECT($A33&amp;"!F56:T56"))),NPV('Inputs and assumptions'!$C$5,(INDIRECT($A33&amp;"!F84:T84"))))</f>
        <v>0</v>
      </c>
      <c r="K71" s="468" cm="1">
        <f t="array" aca="1" ref="K71" ca="1">IF(INDIRECT($A33&amp;"!E43")="Per Unit",NPV('Inputs and assumptions'!$C$5,(INDIRECT($A33&amp;"!F57:T57"))),NPV('Inputs and assumptions'!$C$5,(INDIRECT($A33&amp;"!F85:T85"))))</f>
        <v>94208.386238960331</v>
      </c>
      <c r="L71" s="448" cm="1">
        <f t="array" aca="1" ref="L71" ca="1">IF(INDIRECT($A33&amp;"!E43")="Per Unit",NPV('Inputs and assumptions'!$C$5,(INDIRECT($A33&amp;"!F60:T60"))),NPV('Inputs and assumptions'!$C$5,(INDIRECT($A33&amp;"!F88:T88"))))</f>
        <v>0</v>
      </c>
      <c r="M71" s="468" cm="1">
        <f t="array" aca="1" ref="M71" ca="1">IF(INDIRECT($A33&amp;"!E43")="Per Unit",NPV('Inputs and assumptions'!$C$5,(INDIRECT($A33&amp;"!F61:T61"))),NPV('Inputs and assumptions'!$C$5,(INDIRECT($A33&amp;"!F89:T89"))))</f>
        <v>33250.018672574231</v>
      </c>
      <c r="N71" s="448" cm="1">
        <f t="array" aca="1" ref="N71" ca="1">IF(INDIRECT($A33&amp;"!E43")="Per Unit",NPV('Inputs and assumptions'!$C$5,(INDIRECT($A33&amp;"!F64:T64"))),NPV('Inputs and assumptions'!$C$5,(INDIRECT($A33&amp;"!F92:T92"))))</f>
        <v>1396500.7842481176</v>
      </c>
      <c r="O71" s="448" cm="1">
        <f t="array" aca="1" ref="O71" ca="1">IF(INDIRECT($A33&amp;"!E43")="Per Unit",NPV('Inputs and assumptions'!$C$5,(INDIRECT($A33&amp;"!F65:T65"))),NPV('Inputs and assumptions'!$C$5,(INDIRECT($A33&amp;"!F93:T93"))))</f>
        <v>0</v>
      </c>
      <c r="P71" s="448" cm="1">
        <f t="array" aca="1" ref="P71" ca="1">IF(INDIRECT($A33&amp;"!E43")="Per Unit",NPV('Inputs and assumptions'!$C$5,(INDIRECT($A33&amp;"!F66:T66"))),NPV('Inputs and assumptions'!$C$5,(INDIRECT($A33&amp;"!F94:T94"))))</f>
        <v>0</v>
      </c>
      <c r="Q71" s="448" cm="1">
        <f t="array" aca="1" ref="Q71" ca="1">IF(INDIRECT($A33&amp;"!E43")="Per Unit",NPV('Inputs and assumptions'!$C$5,(INDIRECT($A33&amp;"!F67:T67"))),NPV('Inputs and assumptions'!$C$5,(INDIRECT($A33&amp;"!F95:T95"))))</f>
        <v>0</v>
      </c>
      <c r="R71" s="448" cm="1">
        <f t="array" aca="1" ref="R71" ca="1">IF(INDIRECT($A33&amp;"!E43")="Per Unit",NPV('Inputs and assumptions'!$C$5,(INDIRECT($A33&amp;"!F68:T68"))),NPV('Inputs and assumptions'!$C$5,(INDIRECT($A33&amp;"!F96:T96"))))</f>
        <v>0</v>
      </c>
      <c r="S71" s="448" cm="1">
        <f t="array" aca="1" ref="S71" ca="1">IF(INDIRECT($A33&amp;"!E43")="Per Unit",NPV('Inputs and assumptions'!$C$5,(INDIRECT($A33&amp;"!F69:T69"))),NPV('Inputs and assumptions'!$C$5,(INDIRECT($A33&amp;"!F97:T97"))))</f>
        <v>0</v>
      </c>
      <c r="T71" s="453" cm="1">
        <f t="array" aca="1" ref="T71" ca="1">IF(INDIRECT($A33&amp;"!E43")="Per Unit",NPV('Inputs and assumptions'!$C$5,(INDIRECT($A33&amp;"!F70:T70"))),NPV('Inputs and assumptions'!$C$5,(INDIRECT($A33&amp;"!F98:T98"))))</f>
        <v>0</v>
      </c>
    </row>
    <row r="72" spans="1:20" x14ac:dyDescent="0.35">
      <c r="A72" s="444" t="s">
        <v>195</v>
      </c>
      <c r="B72" s="452" cm="1">
        <f t="array" aca="1" ref="B72" ca="1">IF(INDIRECT($A34&amp;"!E43")="Per Unit",NPV('Inputs and assumptions'!$C$5,(INDIRECT($A34&amp;"!F46:T46"))),NPV('Inputs and assumptions'!$C$5,(INDIRECT($A34&amp;"!F74:T74"))))</f>
        <v>0</v>
      </c>
      <c r="C72" s="448" cm="1">
        <f t="array" aca="1" ref="C72" ca="1">IF(INDIRECT($A34&amp;"!E43")="Per Unit",NPV('Inputs and assumptions'!$C$5,(INDIRECT($A34&amp;"!F47:T47"))),NPV('Inputs and assumptions'!$C$5,(INDIRECT($A34&amp;"!F75:T75"))))</f>
        <v>0</v>
      </c>
      <c r="D72" s="448" cm="1">
        <f t="array" aca="1" ref="D72" ca="1">IF(INDIRECT($A34&amp;"!E43")="Per Unit",NPV('Inputs and assumptions'!$C$5,(INDIRECT($A34&amp;"!F48:T48"))),NPV('Inputs and assumptions'!$C$5,(INDIRECT($A34&amp;"!F76:T76"))))</f>
        <v>0</v>
      </c>
      <c r="E72" s="468" cm="1">
        <f t="array" aca="1" ref="E72" ca="1">IF(INDIRECT($A34&amp;"!E43")="Per Unit",NPV('Inputs and assumptions'!$C$5,(INDIRECT($A34&amp;"!F49:T49"))),NPV('Inputs and assumptions'!$C$5,(INDIRECT($A34&amp;"!F77:T77"))))</f>
        <v>0</v>
      </c>
      <c r="F72" s="448" cm="1">
        <f t="array" aca="1" ref="F72" ca="1">IF(INDIRECT($A34&amp;"!E43")="Per Unit",NPV('Inputs and assumptions'!$C$5,(INDIRECT($A34&amp;"!F52:T52"))),NPV('Inputs and assumptions'!$C$5,(INDIRECT($A34&amp;"!F80:T80"))))</f>
        <v>0</v>
      </c>
      <c r="G72" s="448" cm="1">
        <f t="array" aca="1" ref="G72" ca="1">IF(INDIRECT($A34&amp;"!E43")="Per Unit",NPV('Inputs and assumptions'!$C$5,(INDIRECT($A34&amp;"!F53:T53"))),NPV('Inputs and assumptions'!$C$5,(INDIRECT($A34&amp;"!F81:T81"))))</f>
        <v>281475.99995742738</v>
      </c>
      <c r="H72" s="448" cm="1">
        <f t="array" aca="1" ref="H72" ca="1">IF(INDIRECT($A34&amp;"!E43")="Per Unit",NPV('Inputs and assumptions'!$C$5,(INDIRECT($A34&amp;"!F54:T54"))),NPV('Inputs and assumptions'!$C$5,(INDIRECT($A34&amp;"!F82:T82"))))</f>
        <v>0</v>
      </c>
      <c r="I72" s="448" cm="1">
        <f t="array" aca="1" ref="I72" ca="1">IF(INDIRECT($A34&amp;"!E43")="Per Unit",NPV('Inputs and assumptions'!$C$5,(INDIRECT($A34&amp;"!F55:T55"))),NPV('Inputs and assumptions'!$C$5,(INDIRECT($A34&amp;"!F83:T83"))))</f>
        <v>0</v>
      </c>
      <c r="J72" s="448" cm="1">
        <f t="array" aca="1" ref="J72" ca="1">IF(INDIRECT($A34&amp;"!E43")="Per Unit",NPV('Inputs and assumptions'!$C$5,(INDIRECT($A34&amp;"!F56:T56"))),NPV('Inputs and assumptions'!$C$5,(INDIRECT($A34&amp;"!F84:T84"))))</f>
        <v>810798.29774970864</v>
      </c>
      <c r="K72" s="468" cm="1">
        <f t="array" aca="1" ref="K72" ca="1">IF(INDIRECT($A34&amp;"!E43")="Per Unit",NPV('Inputs and assumptions'!$C$5,(INDIRECT($A34&amp;"!F57:T57"))),NPV('Inputs and assumptions'!$C$5,(INDIRECT($A34&amp;"!F85:T85"))))</f>
        <v>0</v>
      </c>
      <c r="L72" s="448" cm="1">
        <f t="array" aca="1" ref="L72" ca="1">IF(INDIRECT($A34&amp;"!E43")="Per Unit",NPV('Inputs and assumptions'!$C$5,(INDIRECT($A34&amp;"!F60:T60"))),NPV('Inputs and assumptions'!$C$5,(INDIRECT($A34&amp;"!F88:T88"))))</f>
        <v>0</v>
      </c>
      <c r="M72" s="468" cm="1">
        <f t="array" aca="1" ref="M72" ca="1">IF(INDIRECT($A34&amp;"!E43")="Per Unit",NPV('Inputs and assumptions'!$C$5,(INDIRECT($A34&amp;"!F61:T61"))),NPV('Inputs and assumptions'!$C$5,(INDIRECT($A34&amp;"!F89:T89"))))</f>
        <v>0</v>
      </c>
      <c r="N72" s="448" cm="1">
        <f t="array" aca="1" ref="N72" ca="1">IF(INDIRECT($A34&amp;"!E43")="Per Unit",NPV('Inputs and assumptions'!$C$5,(INDIRECT($A34&amp;"!F64:T64"))),NPV('Inputs and assumptions'!$C$5,(INDIRECT($A34&amp;"!F92:T92"))))</f>
        <v>0</v>
      </c>
      <c r="O72" s="448" cm="1">
        <f t="array" aca="1" ref="O72" ca="1">IF(INDIRECT($A34&amp;"!E43")="Per Unit",NPV('Inputs and assumptions'!$C$5,(INDIRECT($A34&amp;"!F65:T65"))),NPV('Inputs and assumptions'!$C$5,(INDIRECT($A34&amp;"!F93:T93"))))</f>
        <v>0</v>
      </c>
      <c r="P72" s="448" cm="1">
        <f t="array" aca="1" ref="P72" ca="1">IF(INDIRECT($A34&amp;"!E43")="Per Unit",NPV('Inputs and assumptions'!$C$5,(INDIRECT($A34&amp;"!F66:T66"))),NPV('Inputs and assumptions'!$C$5,(INDIRECT($A34&amp;"!F94:T94"))))</f>
        <v>1144331.2338694755</v>
      </c>
      <c r="Q72" s="448" cm="1">
        <f t="array" aca="1" ref="Q72" ca="1">IF(INDIRECT($A34&amp;"!E43")="Per Unit",NPV('Inputs and assumptions'!$C$5,(INDIRECT($A34&amp;"!F67:T67"))),NPV('Inputs and assumptions'!$C$5,(INDIRECT($A34&amp;"!F95:T95"))))</f>
        <v>0</v>
      </c>
      <c r="R72" s="448" cm="1">
        <f t="array" aca="1" ref="R72" ca="1">IF(INDIRECT($A34&amp;"!E43")="Per Unit",NPV('Inputs and assumptions'!$C$5,(INDIRECT($A34&amp;"!F68:T68"))),NPV('Inputs and assumptions'!$C$5,(INDIRECT($A34&amp;"!F96:T96"))))</f>
        <v>41461.276589473753</v>
      </c>
      <c r="S72" s="448" cm="1">
        <f t="array" aca="1" ref="S72" ca="1">IF(INDIRECT($A34&amp;"!E43")="Per Unit",NPV('Inputs and assumptions'!$C$5,(INDIRECT($A34&amp;"!F69:T69"))),NPV('Inputs and assumptions'!$C$5,(INDIRECT($A34&amp;"!F97:T97"))))</f>
        <v>0</v>
      </c>
      <c r="T72" s="453" cm="1">
        <f t="array" aca="1" ref="T72" ca="1">IF(INDIRECT($A34&amp;"!E43")="Per Unit",NPV('Inputs and assumptions'!$C$5,(INDIRECT($A34&amp;"!F70:T70"))),NPV('Inputs and assumptions'!$C$5,(INDIRECT($A34&amp;"!F98:T98"))))</f>
        <v>0</v>
      </c>
    </row>
    <row r="73" spans="1:20" x14ac:dyDescent="0.35">
      <c r="A73" s="444" t="s">
        <v>196</v>
      </c>
      <c r="B73" s="452" cm="1">
        <f t="array" aca="1" ref="B73" ca="1">IF(INDIRECT($A35&amp;"!E43")="Per Unit",NPV('Inputs and assumptions'!$C$5,(INDIRECT($A35&amp;"!F46:T46"))),NPV('Inputs and assumptions'!$C$5,(INDIRECT($A35&amp;"!F74:T74"))))</f>
        <v>193618.16859007036</v>
      </c>
      <c r="C73" s="448" cm="1">
        <f t="array" aca="1" ref="C73" ca="1">IF(INDIRECT($A35&amp;"!E43")="Per Unit",NPV('Inputs and assumptions'!$C$5,(INDIRECT($A35&amp;"!F47:T47"))),NPV('Inputs and assumptions'!$C$5,(INDIRECT($A35&amp;"!F75:T75"))))</f>
        <v>0</v>
      </c>
      <c r="D73" s="448" cm="1">
        <f t="array" aca="1" ref="D73" ca="1">IF(INDIRECT($A35&amp;"!E43")="Per Unit",NPV('Inputs and assumptions'!$C$5,(INDIRECT($A35&amp;"!F48:T48"))),NPV('Inputs and assumptions'!$C$5,(INDIRECT($A35&amp;"!F76:T76"))))</f>
        <v>0</v>
      </c>
      <c r="E73" s="468" cm="1">
        <f t="array" aca="1" ref="E73" ca="1">IF(INDIRECT($A35&amp;"!E43")="Per Unit",NPV('Inputs and assumptions'!$C$5,(INDIRECT($A35&amp;"!F49:T49"))),NPV('Inputs and assumptions'!$C$5,(INDIRECT($A35&amp;"!F77:T77"))))</f>
        <v>0</v>
      </c>
      <c r="F73" s="448" cm="1">
        <f t="array" aca="1" ref="F73" ca="1">IF(INDIRECT($A35&amp;"!E43")="Per Unit",NPV('Inputs and assumptions'!$C$5,(INDIRECT($A35&amp;"!F52:T52"))),NPV('Inputs and assumptions'!$C$5,(INDIRECT($A35&amp;"!F80:T80"))))</f>
        <v>0</v>
      </c>
      <c r="G73" s="448" cm="1">
        <f t="array" aca="1" ref="G73" ca="1">IF(INDIRECT($A35&amp;"!E43")="Per Unit",NPV('Inputs and assumptions'!$C$5,(INDIRECT($A35&amp;"!F53:T53"))),NPV('Inputs and assumptions'!$C$5,(INDIRECT($A35&amp;"!F81:T81"))))</f>
        <v>0</v>
      </c>
      <c r="H73" s="448" cm="1">
        <f t="array" aca="1" ref="H73" ca="1">IF(INDIRECT($A35&amp;"!E43")="Per Unit",NPV('Inputs and assumptions'!$C$5,(INDIRECT($A35&amp;"!F54:T54"))),NPV('Inputs and assumptions'!$C$5,(INDIRECT($A35&amp;"!F82:T82"))))</f>
        <v>0</v>
      </c>
      <c r="I73" s="448" cm="1">
        <f t="array" aca="1" ref="I73" ca="1">IF(INDIRECT($A35&amp;"!E43")="Per Unit",NPV('Inputs and assumptions'!$C$5,(INDIRECT($A35&amp;"!F55:T55"))),NPV('Inputs and assumptions'!$C$5,(INDIRECT($A35&amp;"!F83:T83"))))</f>
        <v>809064.67268953868</v>
      </c>
      <c r="J73" s="448" cm="1">
        <f t="array" aca="1" ref="J73" ca="1">IF(INDIRECT($A35&amp;"!E43")="Per Unit",NPV('Inputs and assumptions'!$C$5,(INDIRECT($A35&amp;"!F56:T56"))),NPV('Inputs and assumptions'!$C$5,(INDIRECT($A35&amp;"!F84:T84"))))</f>
        <v>0</v>
      </c>
      <c r="K73" s="468" cm="1">
        <f t="array" aca="1" ref="K73" ca="1">IF(INDIRECT($A35&amp;"!E43")="Per Unit",NPV('Inputs and assumptions'!$C$5,(INDIRECT($A35&amp;"!F57:T57"))),NPV('Inputs and assumptions'!$C$5,(INDIRECT($A35&amp;"!F85:T85"))))</f>
        <v>0</v>
      </c>
      <c r="L73" s="448" cm="1">
        <f t="array" aca="1" ref="L73" ca="1">IF(INDIRECT($A35&amp;"!E43")="Per Unit",NPV('Inputs and assumptions'!$C$5,(INDIRECT($A35&amp;"!F60:T60"))),NPV('Inputs and assumptions'!$C$5,(INDIRECT($A35&amp;"!F88:T88"))))</f>
        <v>0</v>
      </c>
      <c r="M73" s="468" cm="1">
        <f t="array" aca="1" ref="M73" ca="1">IF(INDIRECT($A35&amp;"!E43")="Per Unit",NPV('Inputs and assumptions'!$C$5,(INDIRECT($A35&amp;"!F61:T61"))),NPV('Inputs and assumptions'!$C$5,(INDIRECT($A35&amp;"!F89:T89"))))</f>
        <v>0</v>
      </c>
      <c r="N73" s="448" cm="1">
        <f t="array" aca="1" ref="N73" ca="1">IF(INDIRECT($A35&amp;"!E43")="Per Unit",NPV('Inputs and assumptions'!$C$5,(INDIRECT($A35&amp;"!F64:T64"))),NPV('Inputs and assumptions'!$C$5,(INDIRECT($A35&amp;"!F92:T92"))))</f>
        <v>0</v>
      </c>
      <c r="O73" s="448" cm="1">
        <f t="array" aca="1" ref="O73" ca="1">IF(INDIRECT($A35&amp;"!E43")="Per Unit",NPV('Inputs and assumptions'!$C$5,(INDIRECT($A35&amp;"!F65:T65"))),NPV('Inputs and assumptions'!$C$5,(INDIRECT($A35&amp;"!F93:T93"))))</f>
        <v>0</v>
      </c>
      <c r="P73" s="448" cm="1">
        <f t="array" aca="1" ref="P73" ca="1">IF(INDIRECT($A35&amp;"!E43")="Per Unit",NPV('Inputs and assumptions'!$C$5,(INDIRECT($A35&amp;"!F66:T66"))),NPV('Inputs and assumptions'!$C$5,(INDIRECT($A35&amp;"!F94:T94"))))</f>
        <v>0</v>
      </c>
      <c r="Q73" s="448" cm="1">
        <f t="array" aca="1" ref="Q73" ca="1">IF(INDIRECT($A35&amp;"!E43")="Per Unit",NPV('Inputs and assumptions'!$C$5,(INDIRECT($A35&amp;"!F67:T67"))),NPV('Inputs and assumptions'!$C$5,(INDIRECT($A35&amp;"!F95:T95"))))</f>
        <v>0</v>
      </c>
      <c r="R73" s="448" cm="1">
        <f t="array" aca="1" ref="R73" ca="1">IF(INDIRECT($A35&amp;"!E43")="Per Unit",NPV('Inputs and assumptions'!$C$5,(INDIRECT($A35&amp;"!F68:T68"))),NPV('Inputs and assumptions'!$C$5,(INDIRECT($A35&amp;"!F96:T96"))))</f>
        <v>0</v>
      </c>
      <c r="S73" s="448" cm="1">
        <f t="array" aca="1" ref="S73" ca="1">IF(INDIRECT($A35&amp;"!E43")="Per Unit",NPV('Inputs and assumptions'!$C$5,(INDIRECT($A35&amp;"!F69:T69"))),NPV('Inputs and assumptions'!$C$5,(INDIRECT($A35&amp;"!F97:T97"))))</f>
        <v>0</v>
      </c>
      <c r="T73" s="453" cm="1">
        <f t="array" aca="1" ref="T73" ca="1">IF(INDIRECT($A35&amp;"!E43")="Per Unit",NPV('Inputs and assumptions'!$C$5,(INDIRECT($A35&amp;"!F70:T70"))),NPV('Inputs and assumptions'!$C$5,(INDIRECT($A35&amp;"!F98:T98"))))</f>
        <v>0</v>
      </c>
    </row>
    <row r="74" spans="1:20" x14ac:dyDescent="0.35">
      <c r="A74" s="444" t="s">
        <v>197</v>
      </c>
      <c r="B74" s="452" cm="1">
        <f t="array" aca="1" ref="B74" ca="1">IF(INDIRECT($A36&amp;"!E43")="Per Unit",NPV('Inputs and assumptions'!$C$5,(INDIRECT($A36&amp;"!F46:T46"))),NPV('Inputs and assumptions'!$C$5,(INDIRECT($A36&amp;"!F74:T74"))))</f>
        <v>791917.75673604116</v>
      </c>
      <c r="C74" s="448" cm="1">
        <f t="array" aca="1" ref="C74" ca="1">IF(INDIRECT($A36&amp;"!E43")="Per Unit",NPV('Inputs and assumptions'!$C$5,(INDIRECT($A36&amp;"!F47:T47"))),NPV('Inputs and assumptions'!$C$5,(INDIRECT($A36&amp;"!F75:T75"))))</f>
        <v>0</v>
      </c>
      <c r="D74" s="448" cm="1">
        <f t="array" aca="1" ref="D74" ca="1">IF(INDIRECT($A36&amp;"!E43")="Per Unit",NPV('Inputs and assumptions'!$C$5,(INDIRECT($A36&amp;"!F48:T48"))),NPV('Inputs and assumptions'!$C$5,(INDIRECT($A36&amp;"!F76:T76"))))</f>
        <v>0</v>
      </c>
      <c r="E74" s="468" cm="1">
        <f t="array" aca="1" ref="E74" ca="1">IF(INDIRECT($A36&amp;"!E43")="Per Unit",NPV('Inputs and assumptions'!$C$5,(INDIRECT($A36&amp;"!F49:T49"))),NPV('Inputs and assumptions'!$C$5,(INDIRECT($A36&amp;"!F77:T77"))))</f>
        <v>682427.19544872665</v>
      </c>
      <c r="F74" s="448" cm="1">
        <f t="array" aca="1" ref="F74" ca="1">IF(INDIRECT($A36&amp;"!E43")="Per Unit",NPV('Inputs and assumptions'!$C$5,(INDIRECT($A36&amp;"!F52:T52"))),NPV('Inputs and assumptions'!$C$5,(INDIRECT($A36&amp;"!F80:T80"))))</f>
        <v>0</v>
      </c>
      <c r="G74" s="448" cm="1">
        <f t="array" aca="1" ref="G74" ca="1">IF(INDIRECT($A36&amp;"!E43")="Per Unit",NPV('Inputs and assumptions'!$C$5,(INDIRECT($A36&amp;"!F53:T53"))),NPV('Inputs and assumptions'!$C$5,(INDIRECT($A36&amp;"!F81:T81"))))</f>
        <v>0</v>
      </c>
      <c r="H74" s="448" cm="1">
        <f t="array" aca="1" ref="H74" ca="1">IF(INDIRECT($A36&amp;"!E43")="Per Unit",NPV('Inputs and assumptions'!$C$5,(INDIRECT($A36&amp;"!F54:T54"))),NPV('Inputs and assumptions'!$C$5,(INDIRECT($A36&amp;"!F82:T82"))))</f>
        <v>0</v>
      </c>
      <c r="I74" s="448" cm="1">
        <f t="array" aca="1" ref="I74" ca="1">IF(INDIRECT($A36&amp;"!E43")="Per Unit",NPV('Inputs and assumptions'!$C$5,(INDIRECT($A36&amp;"!F55:T55"))),NPV('Inputs and assumptions'!$C$5,(INDIRECT($A36&amp;"!F83:T83"))))</f>
        <v>330915.57745657628</v>
      </c>
      <c r="J74" s="448" cm="1">
        <f t="array" aca="1" ref="J74" ca="1">IF(INDIRECT($A36&amp;"!E43")="Per Unit",NPV('Inputs and assumptions'!$C$5,(INDIRECT($A36&amp;"!F56:T56"))),NPV('Inputs and assumptions'!$C$5,(INDIRECT($A36&amp;"!F84:T84"))))</f>
        <v>0</v>
      </c>
      <c r="K74" s="468" cm="1">
        <f t="array" aca="1" ref="K74" ca="1">IF(INDIRECT($A36&amp;"!E43")="Per Unit",NPV('Inputs and assumptions'!$C$5,(INDIRECT($A36&amp;"!F57:T57"))),NPV('Inputs and assumptions'!$C$5,(INDIRECT($A36&amp;"!F85:T85"))))</f>
        <v>0</v>
      </c>
      <c r="L74" s="448" cm="1">
        <f t="array" aca="1" ref="L74" ca="1">IF(INDIRECT($A36&amp;"!E43")="Per Unit",NPV('Inputs and assumptions'!$C$5,(INDIRECT($A36&amp;"!F60:T60"))),NPV('Inputs and assumptions'!$C$5,(INDIRECT($A36&amp;"!F88:T88"))))</f>
        <v>0</v>
      </c>
      <c r="M74" s="468" cm="1">
        <f t="array" aca="1" ref="M74" ca="1">IF(INDIRECT($A36&amp;"!E43")="Per Unit",NPV('Inputs and assumptions'!$C$5,(INDIRECT($A36&amp;"!F61:T61"))),NPV('Inputs and assumptions'!$C$5,(INDIRECT($A36&amp;"!F89:T89"))))</f>
        <v>244118.04894337596</v>
      </c>
      <c r="N74" s="448" cm="1">
        <f t="array" aca="1" ref="N74" ca="1">IF(INDIRECT($A36&amp;"!E43")="Per Unit",NPV('Inputs and assumptions'!$C$5,(INDIRECT($A36&amp;"!F64:T64"))),NPV('Inputs and assumptions'!$C$5,(INDIRECT($A36&amp;"!F92:T92"))))</f>
        <v>1025295.805562179</v>
      </c>
      <c r="O74" s="448" cm="1">
        <f t="array" aca="1" ref="O74" ca="1">IF(INDIRECT($A36&amp;"!E43")="Per Unit",NPV('Inputs and assumptions'!$C$5,(INDIRECT($A36&amp;"!F65:T65"))),NPV('Inputs and assumptions'!$C$5,(INDIRECT($A36&amp;"!F93:T93"))))</f>
        <v>0</v>
      </c>
      <c r="P74" s="448" cm="1">
        <f t="array" aca="1" ref="P74" ca="1">IF(INDIRECT($A36&amp;"!E43")="Per Unit",NPV('Inputs and assumptions'!$C$5,(INDIRECT($A36&amp;"!F66:T66"))),NPV('Inputs and assumptions'!$C$5,(INDIRECT($A36&amp;"!F94:T94"))))</f>
        <v>0</v>
      </c>
      <c r="Q74" s="448" cm="1">
        <f t="array" aca="1" ref="Q74" ca="1">IF(INDIRECT($A36&amp;"!E43")="Per Unit",NPV('Inputs and assumptions'!$C$5,(INDIRECT($A36&amp;"!F67:T67"))),NPV('Inputs and assumptions'!$C$5,(INDIRECT($A36&amp;"!F95:T95"))))</f>
        <v>0</v>
      </c>
      <c r="R74" s="448" cm="1">
        <f t="array" aca="1" ref="R74" ca="1">IF(INDIRECT($A36&amp;"!E43")="Per Unit",NPV('Inputs and assumptions'!$C$5,(INDIRECT($A36&amp;"!F68:T68"))),NPV('Inputs and assumptions'!$C$5,(INDIRECT($A36&amp;"!F96:T96"))))</f>
        <v>0</v>
      </c>
      <c r="S74" s="448" cm="1">
        <f t="array" aca="1" ref="S74" ca="1">IF(INDIRECT($A36&amp;"!E43")="Per Unit",NPV('Inputs and assumptions'!$C$5,(INDIRECT($A36&amp;"!F69:T69"))),NPV('Inputs and assumptions'!$C$5,(INDIRECT($A36&amp;"!F97:T97"))))</f>
        <v>0</v>
      </c>
      <c r="T74" s="453" cm="1">
        <f t="array" aca="1" ref="T74" ca="1">IF(INDIRECT($A36&amp;"!E43")="Per Unit",NPV('Inputs and assumptions'!$C$5,(INDIRECT($A36&amp;"!F70:T70"))),NPV('Inputs and assumptions'!$C$5,(INDIRECT($A36&amp;"!F98:T98"))))</f>
        <v>0</v>
      </c>
    </row>
    <row r="75" spans="1:20" ht="15" thickBot="1" x14ac:dyDescent="0.4">
      <c r="A75" s="445" t="s">
        <v>198</v>
      </c>
      <c r="B75" s="454" cm="1">
        <f t="array" aca="1" ref="B75" ca="1">IF(INDIRECT($A37&amp;"!E43")="Per Unit",NPV('Inputs and assumptions'!$C$5,(INDIRECT($A37&amp;"!F46:T46"))),NPV('Inputs and assumptions'!$C$5,(INDIRECT($A37&amp;"!F74:T74"))))</f>
        <v>0</v>
      </c>
      <c r="C75" s="455" cm="1">
        <f t="array" aca="1" ref="C75" ca="1">IF(INDIRECT($A37&amp;"!E43")="Per Unit",NPV('Inputs and assumptions'!$C$5,(INDIRECT($A37&amp;"!F47:T47"))),NPV('Inputs and assumptions'!$C$5,(INDIRECT($A37&amp;"!F75:T75"))))</f>
        <v>0</v>
      </c>
      <c r="D75" s="455" cm="1">
        <f t="array" aca="1" ref="D75" ca="1">IF(INDIRECT($A37&amp;"!E43")="Per Unit",NPV('Inputs and assumptions'!$C$5,(INDIRECT($A37&amp;"!F48:T48"))),NPV('Inputs and assumptions'!$C$5,(INDIRECT($A37&amp;"!F76:T76"))))</f>
        <v>107645.97935303292</v>
      </c>
      <c r="E75" s="469" cm="1">
        <f t="array" aca="1" ref="E75" ca="1">IF(INDIRECT($A37&amp;"!E43")="Per Unit",NPV('Inputs and assumptions'!$C$5,(INDIRECT($A37&amp;"!F49:T49"))),NPV('Inputs and assumptions'!$C$5,(INDIRECT($A37&amp;"!F77:T77"))))</f>
        <v>0</v>
      </c>
      <c r="F75" s="455" cm="1">
        <f t="array" aca="1" ref="F75" ca="1">IF(INDIRECT($A37&amp;"!E43")="Per Unit",NPV('Inputs and assumptions'!$C$5,(INDIRECT($A37&amp;"!F52:T52"))),NPV('Inputs and assumptions'!$C$5,(INDIRECT($A37&amp;"!F80:T80"))))</f>
        <v>0</v>
      </c>
      <c r="G75" s="455" cm="1">
        <f t="array" aca="1" ref="G75" ca="1">IF(INDIRECT($A37&amp;"!E43")="Per Unit",NPV('Inputs and assumptions'!$C$5,(INDIRECT($A37&amp;"!F53:T53"))),NPV('Inputs and assumptions'!$C$5,(INDIRECT($A37&amp;"!F81:T81"))))</f>
        <v>0</v>
      </c>
      <c r="H75" s="455" cm="1">
        <f t="array" aca="1" ref="H75" ca="1">IF(INDIRECT($A37&amp;"!E43")="Per Unit",NPV('Inputs and assumptions'!$C$5,(INDIRECT($A37&amp;"!F54:T54"))),NPV('Inputs and assumptions'!$C$5,(INDIRECT($A37&amp;"!F82:T82"))))</f>
        <v>0</v>
      </c>
      <c r="I75" s="455" cm="1">
        <f t="array" aca="1" ref="I75" ca="1">IF(INDIRECT($A37&amp;"!E43")="Per Unit",NPV('Inputs and assumptions'!$C$5,(INDIRECT($A37&amp;"!F55:T55"))),NPV('Inputs and assumptions'!$C$5,(INDIRECT($A37&amp;"!F83:T83"))))</f>
        <v>0</v>
      </c>
      <c r="J75" s="455" cm="1">
        <f t="array" aca="1" ref="J75" ca="1">IF(INDIRECT($A37&amp;"!E43")="Per Unit",NPV('Inputs and assumptions'!$C$5,(INDIRECT($A37&amp;"!F56:T56"))),NPV('Inputs and assumptions'!$C$5,(INDIRECT($A37&amp;"!F84:T84"))))</f>
        <v>0</v>
      </c>
      <c r="K75" s="469" cm="1">
        <f t="array" aca="1" ref="K75" ca="1">IF(INDIRECT($A37&amp;"!E43")="Per Unit",NPV('Inputs and assumptions'!$C$5,(INDIRECT($A37&amp;"!F57:T57"))),NPV('Inputs and assumptions'!$C$5,(INDIRECT($A37&amp;"!F85:T85"))))</f>
        <v>0</v>
      </c>
      <c r="L75" s="455" cm="1">
        <f t="array" aca="1" ref="L75" ca="1">IF(INDIRECT($A37&amp;"!E43")="Per Unit",NPV('Inputs and assumptions'!$C$5,(INDIRECT($A37&amp;"!F60:T60"))),NPV('Inputs and assumptions'!$C$5,(INDIRECT($A37&amp;"!F88:T88"))))</f>
        <v>2075808.485337601</v>
      </c>
      <c r="M75" s="469" cm="1">
        <f t="array" aca="1" ref="M75" ca="1">IF(INDIRECT($A37&amp;"!E43")="Per Unit",NPV('Inputs and assumptions'!$C$5,(INDIRECT($A37&amp;"!F61:T61"))),NPV('Inputs and assumptions'!$C$5,(INDIRECT($A37&amp;"!F89:T89"))))</f>
        <v>0</v>
      </c>
      <c r="N75" s="455" cm="1">
        <f t="array" aca="1" ref="N75" ca="1">IF(INDIRECT($A37&amp;"!E43")="Per Unit",NPV('Inputs and assumptions'!$C$5,(INDIRECT($A37&amp;"!F64:T64"))),NPV('Inputs and assumptions'!$C$5,(INDIRECT($A37&amp;"!F92:T92"))))</f>
        <v>0</v>
      </c>
      <c r="O75" s="455" cm="1">
        <f t="array" aca="1" ref="O75" ca="1">IF(INDIRECT($A37&amp;"!E43")="Per Unit",NPV('Inputs and assumptions'!$C$5,(INDIRECT($A37&amp;"!F65:T65"))),NPV('Inputs and assumptions'!$C$5,(INDIRECT($A37&amp;"!F93:T93"))))</f>
        <v>0</v>
      </c>
      <c r="P75" s="455" cm="1">
        <f t="array" aca="1" ref="P75" ca="1">IF(INDIRECT($A37&amp;"!E43")="Per Unit",NPV('Inputs and assumptions'!$C$5,(INDIRECT($A37&amp;"!F66:T66"))),NPV('Inputs and assumptions'!$C$5,(INDIRECT($A37&amp;"!F94:T94"))))</f>
        <v>0</v>
      </c>
      <c r="Q75" s="455" cm="1">
        <f t="array" aca="1" ref="Q75" ca="1">IF(INDIRECT($A37&amp;"!E43")="Per Unit",NPV('Inputs and assumptions'!$C$5,(INDIRECT($A37&amp;"!F67:T67"))),NPV('Inputs and assumptions'!$C$5,(INDIRECT($A37&amp;"!F95:T95"))))</f>
        <v>0</v>
      </c>
      <c r="R75" s="455" cm="1">
        <f t="array" aca="1" ref="R75" ca="1">IF(INDIRECT($A37&amp;"!E43")="Per Unit",NPV('Inputs and assumptions'!$C$5,(INDIRECT($A37&amp;"!F68:T68"))),NPV('Inputs and assumptions'!$C$5,(INDIRECT($A37&amp;"!F96:T96"))))</f>
        <v>633834.65201148123</v>
      </c>
      <c r="S75" s="455" cm="1">
        <f t="array" aca="1" ref="S75" ca="1">IF(INDIRECT($A37&amp;"!E43")="Per Unit",NPV('Inputs and assumptions'!$C$5,(INDIRECT($A37&amp;"!F69:T69"))),NPV('Inputs and assumptions'!$C$5,(INDIRECT($A37&amp;"!F97:T97"))))</f>
        <v>0</v>
      </c>
      <c r="T75" s="456" cm="1">
        <f t="array" aca="1" ref="T75" ca="1">IF(INDIRECT($A37&amp;"!E43")="Per Unit",NPV('Inputs and assumptions'!$C$5,(INDIRECT($A37&amp;"!F70:T70"))),NPV('Inputs and assumptions'!$C$5,(INDIRECT($A37&amp;"!F98:T98"))))</f>
        <v>0</v>
      </c>
    </row>
    <row r="76" spans="1:20" ht="15" thickBot="1" x14ac:dyDescent="0.4">
      <c r="A76" s="433"/>
      <c r="B76" s="446">
        <f t="shared" ref="B76:T76" ca="1" si="1">SUM(B45:B75)</f>
        <v>6998294.9660735866</v>
      </c>
      <c r="C76" s="446">
        <f t="shared" ca="1" si="1"/>
        <v>6800486.2048699632</v>
      </c>
      <c r="D76" s="446">
        <f t="shared" ca="1" si="1"/>
        <v>959149.39398751152</v>
      </c>
      <c r="E76" s="447">
        <f t="shared" ca="1" si="1"/>
        <v>4851242.2914972585</v>
      </c>
      <c r="F76" s="446">
        <f t="shared" ca="1" si="1"/>
        <v>2340876.6568102124</v>
      </c>
      <c r="G76" s="446">
        <f t="shared" ca="1" si="1"/>
        <v>9344088.3953480721</v>
      </c>
      <c r="H76" s="446">
        <f t="shared" ca="1" si="1"/>
        <v>2274110.3141539623</v>
      </c>
      <c r="I76" s="446">
        <f t="shared" ca="1" si="1"/>
        <v>7230838.0939704198</v>
      </c>
      <c r="J76" s="446">
        <f t="shared" ca="1" si="1"/>
        <v>3587513.1841134895</v>
      </c>
      <c r="K76" s="447">
        <f t="shared" ca="1" si="1"/>
        <v>1578305.4863557273</v>
      </c>
      <c r="L76" s="446">
        <f t="shared" ca="1" si="1"/>
        <v>3881798.3828194952</v>
      </c>
      <c r="M76" s="447">
        <f t="shared" ca="1" si="1"/>
        <v>5725553.6785436794</v>
      </c>
      <c r="N76" s="446">
        <f t="shared" ca="1" si="1"/>
        <v>43159684.921508543</v>
      </c>
      <c r="O76" s="446">
        <f t="shared" ca="1" si="1"/>
        <v>0</v>
      </c>
      <c r="P76" s="446">
        <f t="shared" ca="1" si="1"/>
        <v>5697791.6197724119</v>
      </c>
      <c r="Q76" s="446">
        <f t="shared" ca="1" si="1"/>
        <v>0</v>
      </c>
      <c r="R76" s="446">
        <f t="shared" ca="1" si="1"/>
        <v>22583476.079970237</v>
      </c>
      <c r="S76" s="446">
        <f t="shared" ca="1" si="1"/>
        <v>19812793.472297862</v>
      </c>
      <c r="T76" s="446">
        <f t="shared" ca="1" si="1"/>
        <v>93843.405848881797</v>
      </c>
    </row>
    <row r="77" spans="1:20" ht="15" thickTop="1" x14ac:dyDescent="0.35">
      <c r="B77" s="470">
        <f ca="1">SUM(B76:E76)</f>
        <v>19609172.856428321</v>
      </c>
      <c r="C77" s="470"/>
      <c r="D77" s="470"/>
      <c r="E77" s="488"/>
      <c r="F77" s="489">
        <f ca="1">SUM(F76:K76)</f>
        <v>26355732.130751882</v>
      </c>
      <c r="G77" s="470"/>
      <c r="H77" s="470"/>
      <c r="I77" s="470"/>
      <c r="J77" s="470"/>
      <c r="K77" s="488"/>
      <c r="L77" s="489">
        <f ca="1">SUM(L76:M76)</f>
        <v>9607352.0613631755</v>
      </c>
      <c r="M77" s="488"/>
      <c r="N77" s="489">
        <f ca="1">SUM(N76:T76)</f>
        <v>91347589.499397933</v>
      </c>
      <c r="O77" s="470"/>
      <c r="P77" s="470"/>
      <c r="Q77" s="470"/>
      <c r="R77" s="470"/>
      <c r="S77" s="470"/>
      <c r="T77" s="470"/>
    </row>
    <row r="80" spans="1:20" ht="15.5" x14ac:dyDescent="0.35">
      <c r="A80" s="492"/>
      <c r="B80" s="564" t="s">
        <v>215</v>
      </c>
      <c r="C80" s="564"/>
      <c r="D80" s="564"/>
      <c r="E80" s="564"/>
      <c r="F80" s="564"/>
      <c r="G80" s="564"/>
      <c r="H80" s="564"/>
      <c r="I80" s="564"/>
      <c r="J80" s="564"/>
      <c r="K80" s="564"/>
      <c r="L80" s="564"/>
      <c r="M80" s="564"/>
      <c r="N80" s="564"/>
      <c r="O80" s="564"/>
      <c r="P80" s="564"/>
      <c r="Q80" s="564"/>
      <c r="R80" s="564"/>
      <c r="S80" s="564"/>
      <c r="T80" s="565"/>
    </row>
    <row r="81" spans="1:20" ht="16" thickBot="1" x14ac:dyDescent="0.4">
      <c r="A81" s="492"/>
      <c r="B81" s="566" t="s">
        <v>50</v>
      </c>
      <c r="C81" s="567"/>
      <c r="D81" s="567"/>
      <c r="E81" s="567"/>
      <c r="F81" s="566" t="s">
        <v>55</v>
      </c>
      <c r="G81" s="567"/>
      <c r="H81" s="567"/>
      <c r="I81" s="567"/>
      <c r="J81" s="567"/>
      <c r="K81" s="568"/>
      <c r="L81" s="567" t="s">
        <v>62</v>
      </c>
      <c r="M81" s="567"/>
      <c r="N81" s="566" t="s">
        <v>65</v>
      </c>
      <c r="O81" s="567"/>
      <c r="P81" s="567"/>
      <c r="Q81" s="567"/>
      <c r="R81" s="567"/>
      <c r="S81" s="567"/>
      <c r="T81" s="567"/>
    </row>
    <row r="82" spans="1:20" ht="32" thickBot="1" x14ac:dyDescent="0.4">
      <c r="A82" s="492"/>
      <c r="B82" s="288" t="s">
        <v>51</v>
      </c>
      <c r="C82" s="288" t="s">
        <v>52</v>
      </c>
      <c r="D82" s="288" t="s">
        <v>53</v>
      </c>
      <c r="E82" s="288" t="s">
        <v>54</v>
      </c>
      <c r="F82" s="374" t="s">
        <v>56</v>
      </c>
      <c r="G82" s="374" t="s">
        <v>57</v>
      </c>
      <c r="H82" s="374" t="s">
        <v>58</v>
      </c>
      <c r="I82" s="374" t="s">
        <v>59</v>
      </c>
      <c r="J82" s="374" t="s">
        <v>60</v>
      </c>
      <c r="K82" s="495" t="s">
        <v>61</v>
      </c>
      <c r="L82" s="373" t="s">
        <v>63</v>
      </c>
      <c r="M82" s="495" t="s">
        <v>64</v>
      </c>
      <c r="N82" s="373" t="s">
        <v>66</v>
      </c>
      <c r="O82" s="374" t="s">
        <v>67</v>
      </c>
      <c r="P82" s="374" t="s">
        <v>68</v>
      </c>
      <c r="Q82" s="374" t="s">
        <v>69</v>
      </c>
      <c r="R82" s="374" t="s">
        <v>70</v>
      </c>
      <c r="S82" s="374" t="s">
        <v>71</v>
      </c>
      <c r="T82" s="375" t="s">
        <v>72</v>
      </c>
    </row>
    <row r="83" spans="1:20" x14ac:dyDescent="0.35">
      <c r="A83" s="443" t="s">
        <v>168</v>
      </c>
      <c r="B83" s="381" cm="1">
        <f t="array" aca="1" ref="B83" ca="1">IF(INDIRECT($A7&amp;"!E43")="Per Unit",NPV('Inputs and assumptions'!$C$5,(INDIRECT($A7&amp;"!F46:j46"))),NPV('Inputs and assumptions'!$C$5,(INDIRECT($A7&amp;"!F74:j74"))))</f>
        <v>167218.10711340164</v>
      </c>
      <c r="C83" s="376" cm="1">
        <f t="array" aca="1" ref="C83" ca="1">IF(INDIRECT($A7&amp;"!E43")="Per Unit",NPV('Inputs and assumptions'!$C$5,(INDIRECT($A7&amp;"!F47:j47"))),NPV('Inputs and assumptions'!$C$5,(INDIRECT($A7&amp;"!F75:j75"))))</f>
        <v>120260.65790118244</v>
      </c>
      <c r="D83" s="376" cm="1">
        <f t="array" aca="1" ref="D83" ca="1">IF(INDIRECT($A7&amp;"!E43")="Per Unit",NPV('Inputs and assumptions'!$C$5,(INDIRECT($A7&amp;"!F48:j48"))),NPV('Inputs and assumptions'!$C$5,(INDIRECT($A7&amp;"!F76:j76"))))</f>
        <v>23344.989301326401</v>
      </c>
      <c r="E83" s="482" cm="1">
        <f t="array" aca="1" ref="E83" ca="1">IF(INDIRECT($A7&amp;"!E43")="Per Unit",NPV('Inputs and assumptions'!$C$5,(INDIRECT($A7&amp;"!F49:j49"))),NPV('Inputs and assumptions'!$C$5,(INDIRECT($A7&amp;"!F77:j77"))))</f>
        <v>144098.52903914556</v>
      </c>
      <c r="F83" s="376" cm="1">
        <f t="array" aca="1" ref="F83" ca="1">IF(INDIRECT($A7&amp;"!E43")="Per Unit",NPV('Inputs and assumptions'!$C$5,(INDIRECT($A7&amp;"!F52:j52"))),NPV('Inputs and assumptions'!$C$5,(INDIRECT($A7&amp;"!F80:j80"))))</f>
        <v>0</v>
      </c>
      <c r="G83" s="376" cm="1">
        <f t="array" aca="1" ref="G83" ca="1">IF(INDIRECT($A7&amp;"!E43")="Per Unit",NPV('Inputs and assumptions'!$C$5,(INDIRECT($A7&amp;"!F53:j53"))),NPV('Inputs and assumptions'!$C$5,(INDIRECT($A7&amp;"!F81:j81"))))</f>
        <v>0</v>
      </c>
      <c r="H83" s="376" cm="1">
        <f t="array" aca="1" ref="H83" ca="1">IF(INDIRECT($A7&amp;"!E43")="Per Unit",NPV('Inputs and assumptions'!$C$5,(INDIRECT($A7&amp;"!F54:j54"))),NPV('Inputs and assumptions'!$C$5,(INDIRECT($A7&amp;"!F82:j82"))))</f>
        <v>0</v>
      </c>
      <c r="I83" s="376" cm="1">
        <f t="array" aca="1" ref="I83" ca="1">IF(INDIRECT($A7&amp;"!E43")="Per Unit",NPV('Inputs and assumptions'!$C$5,(INDIRECT($A7&amp;"!F55:j55"))),NPV('Inputs and assumptions'!$C$5,(INDIRECT($A7&amp;"!F83:j83"))))</f>
        <v>0</v>
      </c>
      <c r="J83" s="376" cm="1">
        <f t="array" aca="1" ref="J83" ca="1">IF(INDIRECT($A7&amp;"!E43")="Per Unit",NPV('Inputs and assumptions'!$C$5,(INDIRECT($A7&amp;"!F56:j56"))),NPV('Inputs and assumptions'!$C$5,(INDIRECT($A7&amp;"!F84:j84"))))</f>
        <v>0</v>
      </c>
      <c r="K83" s="482" cm="1">
        <f t="array" aca="1" ref="K83" ca="1">IF(INDIRECT($A7&amp;"!E43")="Per Unit",NPV('Inputs and assumptions'!$C$5,(INDIRECT($A7&amp;"!F57:j57"))),NPV('Inputs and assumptions'!$C$5,(INDIRECT($A7&amp;"!F85:j85"))))</f>
        <v>194732.98445680892</v>
      </c>
      <c r="L83" s="376" cm="1">
        <f t="array" aca="1" ref="L83" ca="1">IF(INDIRECT($A7&amp;"!E43")="Per Unit",NPV('Inputs and assumptions'!$C$5,(INDIRECT($A7&amp;"!F60:j60"))),NPV('Inputs and assumptions'!$C$5,(INDIRECT($A7&amp;"!F88:j88"))))</f>
        <v>0</v>
      </c>
      <c r="M83" s="482" cm="1">
        <f t="array" aca="1" ref="M83" ca="1">IF(INDIRECT($A7&amp;"!E43")="Per Unit",NPV('Inputs and assumptions'!$C$5,(INDIRECT($A7&amp;"!F61:j61"))),NPV('Inputs and assumptions'!$C$5,(INDIRECT($A7&amp;"!F89:j89"))))</f>
        <v>343646.44315907452</v>
      </c>
      <c r="N83" s="376" cm="1">
        <f t="array" aca="1" ref="N83" ca="1">IF(INDIRECT($A7&amp;"!E43")="Per Unit",NPV('Inputs and assumptions'!$C$5,(INDIRECT($A7&amp;"!F64:j64"))),NPV('Inputs and assumptions'!$C$5,(INDIRECT($A7&amp;"!F92:j92"))))</f>
        <v>490727.12083115842</v>
      </c>
      <c r="O83" s="376" cm="1">
        <f t="array" aca="1" ref="O83" ca="1">IF(INDIRECT($A7&amp;"!E43")="Per Unit",NPV('Inputs and assumptions'!$C$5,(INDIRECT($A7&amp;"!F65:j65"))),NPV('Inputs and assumptions'!$C$5,(INDIRECT($A7&amp;"!F93:j93"))))</f>
        <v>0</v>
      </c>
      <c r="P83" s="376" cm="1">
        <f t="array" aca="1" ref="P83" ca="1">IF(INDIRECT($A7&amp;"!E43")="Per Unit",NPV('Inputs and assumptions'!$C$5,(INDIRECT($A7&amp;"!F66:j66"))),NPV('Inputs and assumptions'!$C$5,(INDIRECT($A7&amp;"!F94:j94"))))</f>
        <v>0</v>
      </c>
      <c r="Q83" s="376" cm="1">
        <f t="array" aca="1" ref="Q83" ca="1">IF(INDIRECT($A7&amp;"!E43")="Per Unit",NPV('Inputs and assumptions'!$C$5,(INDIRECT($A7&amp;"!F67:j67"))),NPV('Inputs and assumptions'!$C$5,(INDIRECT($A7&amp;"!F95:j95"))))</f>
        <v>0</v>
      </c>
      <c r="R83" s="376" cm="1">
        <f t="array" aca="1" ref="R83" ca="1">IF(INDIRECT($A7&amp;"!E43")="Per Unit",NPV('Inputs and assumptions'!$C$5,(INDIRECT($A7&amp;"!F68:j68"))),NPV('Inputs and assumptions'!$C$5,(INDIRECT($A7&amp;"!F96:j96"))))</f>
        <v>0</v>
      </c>
      <c r="S83" s="376" cm="1">
        <f t="array" aca="1" ref="S83" ca="1">IF(INDIRECT($A7&amp;"!E43")="Per Unit",NPV('Inputs and assumptions'!$C$5,(INDIRECT($A7&amp;"!F69:j69"))),NPV('Inputs and assumptions'!$C$5,(INDIRECT($A7&amp;"!F97:j97"))))</f>
        <v>0</v>
      </c>
      <c r="T83" s="377" cm="1">
        <f t="array" aca="1" ref="T83" ca="1">IF(INDIRECT($A7&amp;"!E43")="Per Unit",NPV('Inputs and assumptions'!$C$5,(INDIRECT($A7&amp;"!F70:j70"))),NPV('Inputs and assumptions'!$C$5,(INDIRECT($A7&amp;"!F98:j98"))))</f>
        <v>0</v>
      </c>
    </row>
    <row r="84" spans="1:20" x14ac:dyDescent="0.35">
      <c r="A84" s="444" t="s">
        <v>169</v>
      </c>
      <c r="B84" s="382" cm="1">
        <f t="array" aca="1" ref="B84" ca="1">IF(INDIRECT($A8&amp;"!E43")="Per Unit",NPV('Inputs and assumptions'!$C$5,(INDIRECT($A8&amp;"!F46:j46"))),NPV('Inputs and assumptions'!$C$5,(INDIRECT($A8&amp;"!F74:j74"))))</f>
        <v>129775.69257976789</v>
      </c>
      <c r="C84" s="59" cm="1">
        <f t="array" aca="1" ref="C84" ca="1">IF(INDIRECT($A8&amp;"!E43")="Per Unit",NPV('Inputs and assumptions'!$C$5,(INDIRECT($A8&amp;"!F47:j47"))),NPV('Inputs and assumptions'!$C$5,(INDIRECT($A8&amp;"!F75:j75"))))</f>
        <v>93332.656604230098</v>
      </c>
      <c r="D84" s="59" cm="1">
        <f t="array" aca="1" ref="D84" ca="1">IF(INDIRECT($A8&amp;"!E43")="Per Unit",NPV('Inputs and assumptions'!$C$5,(INDIRECT($A8&amp;"!F48:j48"))),NPV('Inputs and assumptions'!$C$5,(INDIRECT($A8&amp;"!F76:j76"))))</f>
        <v>18117.727841473086</v>
      </c>
      <c r="E84" s="483" cm="1">
        <f t="array" aca="1" ref="E84" ca="1">IF(INDIRECT($A8&amp;"!E43")="Per Unit",NPV('Inputs and assumptions'!$C$5,(INDIRECT($A8&amp;"!F49:j49"))),NPV('Inputs and assumptions'!$C$5,(INDIRECT($A8&amp;"!F77:j77"))))</f>
        <v>111832.90331769438</v>
      </c>
      <c r="F84" s="59" cm="1">
        <f t="array" aca="1" ref="F84" ca="1">IF(INDIRECT($A8&amp;"!E43")="Per Unit",NPV('Inputs and assumptions'!$C$5,(INDIRECT($A8&amp;"!F52:j52"))),NPV('Inputs and assumptions'!$C$5,(INDIRECT($A8&amp;"!F80:j80"))))</f>
        <v>0</v>
      </c>
      <c r="G84" s="59" cm="1">
        <f t="array" aca="1" ref="G84" ca="1">IF(INDIRECT($A8&amp;"!E43")="Per Unit",NPV('Inputs and assumptions'!$C$5,(INDIRECT($A8&amp;"!F53:j53"))),NPV('Inputs and assumptions'!$C$5,(INDIRECT($A8&amp;"!F81:j81"))))</f>
        <v>0</v>
      </c>
      <c r="H84" s="59" cm="1">
        <f t="array" aca="1" ref="H84" ca="1">IF(INDIRECT($A8&amp;"!E43")="Per Unit",NPV('Inputs and assumptions'!$C$5,(INDIRECT($A8&amp;"!F54:j54"))),NPV('Inputs and assumptions'!$C$5,(INDIRECT($A8&amp;"!F82:j82"))))</f>
        <v>37309.456625497209</v>
      </c>
      <c r="I84" s="59" cm="1">
        <f t="array" aca="1" ref="I84" ca="1">IF(INDIRECT($A8&amp;"!E43")="Per Unit",NPV('Inputs and assumptions'!$C$5,(INDIRECT($A8&amp;"!F55:j55"))),NPV('Inputs and assumptions'!$C$5,(INDIRECT($A8&amp;"!F83:j83"))))</f>
        <v>0</v>
      </c>
      <c r="J84" s="59" cm="1">
        <f t="array" aca="1" ref="J84" ca="1">IF(INDIRECT($A8&amp;"!E43")="Per Unit",NPV('Inputs and assumptions'!$C$5,(INDIRECT($A8&amp;"!F56:j56"))),NPV('Inputs and assumptions'!$C$5,(INDIRECT($A8&amp;"!F84:j84"))))</f>
        <v>0</v>
      </c>
      <c r="K84" s="483" cm="1">
        <f t="array" aca="1" ref="K84" ca="1">IF(INDIRECT($A8&amp;"!E43")="Per Unit",NPV('Inputs and assumptions'!$C$5,(INDIRECT($A8&amp;"!F57:j57"))),NPV('Inputs and assumptions'!$C$5,(INDIRECT($A8&amp;"!F85:j85"))))</f>
        <v>151129.61366599612</v>
      </c>
      <c r="L84" s="59" cm="1">
        <f t="array" aca="1" ref="L84" ca="1">IF(INDIRECT($A8&amp;"!E43")="Per Unit",NPV('Inputs and assumptions'!$C$5,(INDIRECT($A8&amp;"!F60:j60"))),NPV('Inputs and assumptions'!$C$5,(INDIRECT($A8&amp;"!F88:j88"))))</f>
        <v>0</v>
      </c>
      <c r="M84" s="483" cm="1">
        <f t="array" aca="1" ref="M84" ca="1">IF(INDIRECT($A8&amp;"!E43")="Per Unit",NPV('Inputs and assumptions'!$C$5,(INDIRECT($A8&amp;"!F61:j61"))),NPV('Inputs and assumptions'!$C$5,(INDIRECT($A8&amp;"!F89:j89"))))</f>
        <v>266699.31823411077</v>
      </c>
      <c r="N84" s="59" cm="1">
        <f t="array" aca="1" ref="N84" ca="1">IF(INDIRECT($A8&amp;"!E43")="Per Unit",NPV('Inputs and assumptions'!$C$5,(INDIRECT($A8&amp;"!F64:j64"))),NPV('Inputs and assumptions'!$C$5,(INDIRECT($A8&amp;"!F92:j92"))))</f>
        <v>403249.36916997551</v>
      </c>
      <c r="O84" s="59" cm="1">
        <f t="array" aca="1" ref="O84" ca="1">IF(INDIRECT($A8&amp;"!E43")="Per Unit",NPV('Inputs and assumptions'!$C$5,(INDIRECT($A8&amp;"!F65:j65"))),NPV('Inputs and assumptions'!$C$5,(INDIRECT($A8&amp;"!F93:j93"))))</f>
        <v>0</v>
      </c>
      <c r="P84" s="59" cm="1">
        <f t="array" aca="1" ref="P84" ca="1">IF(INDIRECT($A8&amp;"!E43")="Per Unit",NPV('Inputs and assumptions'!$C$5,(INDIRECT($A8&amp;"!F66:j66"))),NPV('Inputs and assumptions'!$C$5,(INDIRECT($A8&amp;"!F94:j94"))))</f>
        <v>0</v>
      </c>
      <c r="Q84" s="59" cm="1">
        <f t="array" aca="1" ref="Q84" ca="1">IF(INDIRECT($A8&amp;"!E43")="Per Unit",NPV('Inputs and assumptions'!$C$5,(INDIRECT($A8&amp;"!F67:j67"))),NPV('Inputs and assumptions'!$C$5,(INDIRECT($A8&amp;"!F95:j95"))))</f>
        <v>0</v>
      </c>
      <c r="R84" s="59" cm="1">
        <f t="array" aca="1" ref="R84" ca="1">IF(INDIRECT($A8&amp;"!E43")="Per Unit",NPV('Inputs and assumptions'!$C$5,(INDIRECT($A8&amp;"!F68:j68"))),NPV('Inputs and assumptions'!$C$5,(INDIRECT($A8&amp;"!F96:j96"))))</f>
        <v>0</v>
      </c>
      <c r="S84" s="59" cm="1">
        <f t="array" aca="1" ref="S84" ca="1">IF(INDIRECT($A8&amp;"!E43")="Per Unit",NPV('Inputs and assumptions'!$C$5,(INDIRECT($A8&amp;"!F69:j69"))),NPV('Inputs and assumptions'!$C$5,(INDIRECT($A8&amp;"!F97:j97"))))</f>
        <v>0</v>
      </c>
      <c r="T84" s="378" cm="1">
        <f t="array" aca="1" ref="T84" ca="1">IF(INDIRECT($A8&amp;"!E43")="Per Unit",NPV('Inputs and assumptions'!$C$5,(INDIRECT($A8&amp;"!F70:j70"))),NPV('Inputs and assumptions'!$C$5,(INDIRECT($A8&amp;"!F98:j98"))))</f>
        <v>0</v>
      </c>
    </row>
    <row r="85" spans="1:20" x14ac:dyDescent="0.35">
      <c r="A85" s="444" t="s">
        <v>170</v>
      </c>
      <c r="B85" s="382" cm="1">
        <f t="array" aca="1" ref="B85" ca="1">IF(INDIRECT($A9&amp;"!E43")="Per Unit",NPV('Inputs and assumptions'!$C$5,(INDIRECT($A9&amp;"!F46:j46"))),NPV('Inputs and assumptions'!$C$5,(INDIRECT($A9&amp;"!F74:j74"))))</f>
        <v>0</v>
      </c>
      <c r="C85" s="59" cm="1">
        <f t="array" aca="1" ref="C85" ca="1">IF(INDIRECT($A9&amp;"!E43")="Per Unit",NPV('Inputs and assumptions'!$C$5,(INDIRECT($A9&amp;"!F47:j47"))),NPV('Inputs and assumptions'!$C$5,(INDIRECT($A9&amp;"!F75:j75"))))</f>
        <v>0</v>
      </c>
      <c r="D85" s="59" cm="1">
        <f t="array" aca="1" ref="D85" ca="1">IF(INDIRECT($A9&amp;"!E43")="Per Unit",NPV('Inputs and assumptions'!$C$5,(INDIRECT($A9&amp;"!F48:j48"))),NPV('Inputs and assumptions'!$C$5,(INDIRECT($A9&amp;"!F76:j76"))))</f>
        <v>0</v>
      </c>
      <c r="E85" s="483" cm="1">
        <f t="array" aca="1" ref="E85" ca="1">IF(INDIRECT($A9&amp;"!E43")="Per Unit",NPV('Inputs and assumptions'!$C$5,(INDIRECT($A9&amp;"!F49:j49"))),NPV('Inputs and assumptions'!$C$5,(INDIRECT($A9&amp;"!F77:j77"))))</f>
        <v>0</v>
      </c>
      <c r="F85" s="59" cm="1">
        <f t="array" aca="1" ref="F85" ca="1">IF(INDIRECT($A9&amp;"!E43")="Per Unit",NPV('Inputs and assumptions'!$C$5,(INDIRECT($A9&amp;"!F52:j52"))),NPV('Inputs and assumptions'!$C$5,(INDIRECT($A9&amp;"!F80:j80"))))</f>
        <v>0</v>
      </c>
      <c r="G85" s="59" cm="1">
        <f t="array" aca="1" ref="G85" ca="1">IF(INDIRECT($A9&amp;"!E43")="Per Unit",NPV('Inputs and assumptions'!$C$5,(INDIRECT($A9&amp;"!F53:j53"))),NPV('Inputs and assumptions'!$C$5,(INDIRECT($A9&amp;"!F81:j81"))))</f>
        <v>0</v>
      </c>
      <c r="H85" s="59" cm="1">
        <f t="array" aca="1" ref="H85" ca="1">IF(INDIRECT($A9&amp;"!E43")="Per Unit",NPV('Inputs and assumptions'!$C$5,(INDIRECT($A9&amp;"!F54:j54"))),NPV('Inputs and assumptions'!$C$5,(INDIRECT($A9&amp;"!F82:j82"))))</f>
        <v>0</v>
      </c>
      <c r="I85" s="59" cm="1">
        <f t="array" aca="1" ref="I85" ca="1">IF(INDIRECT($A9&amp;"!E43")="Per Unit",NPV('Inputs and assumptions'!$C$5,(INDIRECT($A9&amp;"!F55:j55"))),NPV('Inputs and assumptions'!$C$5,(INDIRECT($A9&amp;"!F83:j83"))))</f>
        <v>0</v>
      </c>
      <c r="J85" s="59" cm="1">
        <f t="array" aca="1" ref="J85" ca="1">IF(INDIRECT($A9&amp;"!E43")="Per Unit",NPV('Inputs and assumptions'!$C$5,(INDIRECT($A9&amp;"!F56:j56"))),NPV('Inputs and assumptions'!$C$5,(INDIRECT($A9&amp;"!F84:j84"))))</f>
        <v>0</v>
      </c>
      <c r="K85" s="483" cm="1">
        <f t="array" aca="1" ref="K85" ca="1">IF(INDIRECT($A9&amp;"!E43")="Per Unit",NPV('Inputs and assumptions'!$C$5,(INDIRECT($A9&amp;"!F57:j57"))),NPV('Inputs and assumptions'!$C$5,(INDIRECT($A9&amp;"!F85:j85"))))</f>
        <v>0</v>
      </c>
      <c r="L85" s="59" cm="1">
        <f t="array" aca="1" ref="L85" ca="1">IF(INDIRECT($A9&amp;"!E43")="Per Unit",NPV('Inputs and assumptions'!$C$5,(INDIRECT($A9&amp;"!F60:j60"))),NPV('Inputs and assumptions'!$C$5,(INDIRECT($A9&amp;"!F88:j88"))))</f>
        <v>0</v>
      </c>
      <c r="M85" s="483" cm="1">
        <f t="array" aca="1" ref="M85" ca="1">IF(INDIRECT($A9&amp;"!E43")="Per Unit",NPV('Inputs and assumptions'!$C$5,(INDIRECT($A9&amp;"!F61:j61"))),NPV('Inputs and assumptions'!$C$5,(INDIRECT($A9&amp;"!F89:j89"))))</f>
        <v>279120.60898708075</v>
      </c>
      <c r="N85" s="59" cm="1">
        <f t="array" aca="1" ref="N85" ca="1">IF(INDIRECT($A9&amp;"!E43")="Per Unit",NPV('Inputs and assumptions'!$C$5,(INDIRECT($A9&amp;"!F64:j64"))),NPV('Inputs and assumptions'!$C$5,(INDIRECT($A9&amp;"!F92:j92"))))</f>
        <v>1172306.5577457394</v>
      </c>
      <c r="O85" s="59" cm="1">
        <f t="array" aca="1" ref="O85" ca="1">IF(INDIRECT($A9&amp;"!E43")="Per Unit",NPV('Inputs and assumptions'!$C$5,(INDIRECT($A9&amp;"!F65:j65"))),NPV('Inputs and assumptions'!$C$5,(INDIRECT($A9&amp;"!F93:j93"))))</f>
        <v>0</v>
      </c>
      <c r="P85" s="59" cm="1">
        <f t="array" aca="1" ref="P85" ca="1">IF(INDIRECT($A9&amp;"!E43")="Per Unit",NPV('Inputs and assumptions'!$C$5,(INDIRECT($A9&amp;"!F66:j66"))),NPV('Inputs and assumptions'!$C$5,(INDIRECT($A9&amp;"!F94:j94"))))</f>
        <v>0</v>
      </c>
      <c r="Q85" s="59" cm="1">
        <f t="array" aca="1" ref="Q85" ca="1">IF(INDIRECT($A9&amp;"!E43")="Per Unit",NPV('Inputs and assumptions'!$C$5,(INDIRECT($A9&amp;"!F67:j67"))),NPV('Inputs and assumptions'!$C$5,(INDIRECT($A9&amp;"!F95:j95"))))</f>
        <v>0</v>
      </c>
      <c r="R85" s="59" cm="1">
        <f t="array" aca="1" ref="R85" ca="1">IF(INDIRECT($A9&amp;"!E43")="Per Unit",NPV('Inputs and assumptions'!$C$5,(INDIRECT($A9&amp;"!F68:j68"))),NPV('Inputs and assumptions'!$C$5,(INDIRECT($A9&amp;"!F96:j96"))))</f>
        <v>0</v>
      </c>
      <c r="S85" s="59" cm="1">
        <f t="array" aca="1" ref="S85" ca="1">IF(INDIRECT($A9&amp;"!E43")="Per Unit",NPV('Inputs and assumptions'!$C$5,(INDIRECT($A9&amp;"!F69:j69"))),NPV('Inputs and assumptions'!$C$5,(INDIRECT($A9&amp;"!F97:j97"))))</f>
        <v>0</v>
      </c>
      <c r="T85" s="378" cm="1">
        <f t="array" aca="1" ref="T85" ca="1">IF(INDIRECT($A9&amp;"!E43")="Per Unit",NPV('Inputs and assumptions'!$C$5,(INDIRECT($A9&amp;"!F70:j70"))),NPV('Inputs and assumptions'!$C$5,(INDIRECT($A9&amp;"!F98:j98"))))</f>
        <v>0</v>
      </c>
    </row>
    <row r="86" spans="1:20" x14ac:dyDescent="0.35">
      <c r="A86" s="444" t="s">
        <v>171</v>
      </c>
      <c r="B86" s="382" cm="1">
        <f t="array" aca="1" ref="B86" ca="1">IF(INDIRECT($A10&amp;"!E43")="Per Unit",NPV('Inputs and assumptions'!$C$5,(INDIRECT($A10&amp;"!F46:j46"))),NPV('Inputs and assumptions'!$C$5,(INDIRECT($A10&amp;"!F74:j74"))))</f>
        <v>0</v>
      </c>
      <c r="C86" s="59" cm="1">
        <f t="array" aca="1" ref="C86" ca="1">IF(INDIRECT($A10&amp;"!E43")="Per Unit",NPV('Inputs and assumptions'!$C$5,(INDIRECT($A10&amp;"!F47:j47"))),NPV('Inputs and assumptions'!$C$5,(INDIRECT($A10&amp;"!F75:j75"))))</f>
        <v>0</v>
      </c>
      <c r="D86" s="59" cm="1">
        <f t="array" aca="1" ref="D86" ca="1">IF(INDIRECT($A10&amp;"!E43")="Per Unit",NPV('Inputs and assumptions'!$C$5,(INDIRECT($A10&amp;"!F48:j48"))),NPV('Inputs and assumptions'!$C$5,(INDIRECT($A10&amp;"!F76:j76"))))</f>
        <v>0</v>
      </c>
      <c r="E86" s="483" cm="1">
        <f t="array" aca="1" ref="E86" ca="1">IF(INDIRECT($A10&amp;"!E43")="Per Unit",NPV('Inputs and assumptions'!$C$5,(INDIRECT($A10&amp;"!F49:j49"))),NPV('Inputs and assumptions'!$C$5,(INDIRECT($A10&amp;"!F77:j77"))))</f>
        <v>0</v>
      </c>
      <c r="F86" s="59" cm="1">
        <f t="array" aca="1" ref="F86" ca="1">IF(INDIRECT($A10&amp;"!E43")="Per Unit",NPV('Inputs and assumptions'!$C$5,(INDIRECT($A10&amp;"!F52:j52"))),NPV('Inputs and assumptions'!$C$5,(INDIRECT($A10&amp;"!F80:j80"))))</f>
        <v>0</v>
      </c>
      <c r="G86" s="59" cm="1">
        <f t="array" aca="1" ref="G86" ca="1">IF(INDIRECT($A10&amp;"!E43")="Per Unit",NPV('Inputs and assumptions'!$C$5,(INDIRECT($A10&amp;"!F53:j53"))),NPV('Inputs and assumptions'!$C$5,(INDIRECT($A10&amp;"!F81:j81"))))</f>
        <v>0</v>
      </c>
      <c r="H86" s="59" cm="1">
        <f t="array" aca="1" ref="H86" ca="1">IF(INDIRECT($A10&amp;"!E43")="Per Unit",NPV('Inputs and assumptions'!$C$5,(INDIRECT($A10&amp;"!F54:j54"))),NPV('Inputs and assumptions'!$C$5,(INDIRECT($A10&amp;"!F82:j82"))))</f>
        <v>0</v>
      </c>
      <c r="I86" s="59" cm="1">
        <f t="array" aca="1" ref="I86" ca="1">IF(INDIRECT($A10&amp;"!E43")="Per Unit",NPV('Inputs and assumptions'!$C$5,(INDIRECT($A10&amp;"!F55:j55"))),NPV('Inputs and assumptions'!$C$5,(INDIRECT($A10&amp;"!F83:j83"))))</f>
        <v>0</v>
      </c>
      <c r="J86" s="59" cm="1">
        <f t="array" aca="1" ref="J86" ca="1">IF(INDIRECT($A10&amp;"!E43")="Per Unit",NPV('Inputs and assumptions'!$C$5,(INDIRECT($A10&amp;"!F56:j56"))),NPV('Inputs and assumptions'!$C$5,(INDIRECT($A10&amp;"!F84:j84"))))</f>
        <v>0</v>
      </c>
      <c r="K86" s="483" cm="1">
        <f t="array" aca="1" ref="K86" ca="1">IF(INDIRECT($A10&amp;"!E43")="Per Unit",NPV('Inputs and assumptions'!$C$5,(INDIRECT($A10&amp;"!F57:j57"))),NPV('Inputs and assumptions'!$C$5,(INDIRECT($A10&amp;"!F85:j85"))))</f>
        <v>0</v>
      </c>
      <c r="L86" s="59" cm="1">
        <f t="array" aca="1" ref="L86" ca="1">IF(INDIRECT($A10&amp;"!E43")="Per Unit",NPV('Inputs and assumptions'!$C$5,(INDIRECT($A10&amp;"!F60:j60"))),NPV('Inputs and assumptions'!$C$5,(INDIRECT($A10&amp;"!F88:j88"))))</f>
        <v>233619.34697148594</v>
      </c>
      <c r="M86" s="483" cm="1">
        <f t="array" aca="1" ref="M86" ca="1">IF(INDIRECT($A10&amp;"!E43")="Per Unit",NPV('Inputs and assumptions'!$C$5,(INDIRECT($A10&amp;"!F61:j61"))),NPV('Inputs and assumptions'!$C$5,(INDIRECT($A10&amp;"!F89:j89"))))</f>
        <v>0</v>
      </c>
      <c r="N86" s="59" cm="1">
        <f t="array" aca="1" ref="N86" ca="1">IF(INDIRECT($A10&amp;"!E43")="Per Unit",NPV('Inputs and assumptions'!$C$5,(INDIRECT($A10&amp;"!F64:j64"))),NPV('Inputs and assumptions'!$C$5,(INDIRECT($A10&amp;"!F92:j92"))))</f>
        <v>0</v>
      </c>
      <c r="O86" s="59" cm="1">
        <f t="array" aca="1" ref="O86" ca="1">IF(INDIRECT($A10&amp;"!E43")="Per Unit",NPV('Inputs and assumptions'!$C$5,(INDIRECT($A10&amp;"!F65:j65"))),NPV('Inputs and assumptions'!$C$5,(INDIRECT($A10&amp;"!F93:j93"))))</f>
        <v>0</v>
      </c>
      <c r="P86" s="59" cm="1">
        <f t="array" aca="1" ref="P86" ca="1">IF(INDIRECT($A10&amp;"!E43")="Per Unit",NPV('Inputs and assumptions'!$C$5,(INDIRECT($A10&amp;"!F66:j66"))),NPV('Inputs and assumptions'!$C$5,(INDIRECT($A10&amp;"!F94:j94"))))</f>
        <v>0</v>
      </c>
      <c r="Q86" s="59" cm="1">
        <f t="array" aca="1" ref="Q86" ca="1">IF(INDIRECT($A10&amp;"!E43")="Per Unit",NPV('Inputs and assumptions'!$C$5,(INDIRECT($A10&amp;"!F67:j67"))),NPV('Inputs and assumptions'!$C$5,(INDIRECT($A10&amp;"!F95:j95"))))</f>
        <v>0</v>
      </c>
      <c r="R86" s="59" cm="1">
        <f t="array" aca="1" ref="R86" ca="1">IF(INDIRECT($A10&amp;"!E43")="Per Unit",NPV('Inputs and assumptions'!$C$5,(INDIRECT($A10&amp;"!F68:j68"))),NPV('Inputs and assumptions'!$C$5,(INDIRECT($A10&amp;"!F96:j96"))))</f>
        <v>1605018.4143079184</v>
      </c>
      <c r="S86" s="59" cm="1">
        <f t="array" aca="1" ref="S86" ca="1">IF(INDIRECT($A10&amp;"!E43")="Per Unit",NPV('Inputs and assumptions'!$C$5,(INDIRECT($A10&amp;"!F69:j69"))),NPV('Inputs and assumptions'!$C$5,(INDIRECT($A10&amp;"!F97:j97"))))</f>
        <v>2046398.4782425961</v>
      </c>
      <c r="T86" s="378" cm="1">
        <f t="array" aca="1" ref="T86" ca="1">IF(INDIRECT($A10&amp;"!E43")="Per Unit",NPV('Inputs and assumptions'!$C$5,(INDIRECT($A10&amp;"!F70:j70"))),NPV('Inputs and assumptions'!$C$5,(INDIRECT($A10&amp;"!F98:j98"))))</f>
        <v>0</v>
      </c>
    </row>
    <row r="87" spans="1:20" x14ac:dyDescent="0.35">
      <c r="A87" s="444" t="s">
        <v>172</v>
      </c>
      <c r="B87" s="382" cm="1">
        <f t="array" aca="1" ref="B87" ca="1">IF(INDIRECT($A11&amp;"!E43")="Per Unit",NPV('Inputs and assumptions'!$C$5,(INDIRECT($A11&amp;"!F46:j46"))),NPV('Inputs and assumptions'!$C$5,(INDIRECT($A11&amp;"!F74:j74"))))</f>
        <v>0</v>
      </c>
      <c r="C87" s="59" cm="1">
        <f t="array" aca="1" ref="C87" ca="1">IF(INDIRECT($A11&amp;"!E43")="Per Unit",NPV('Inputs and assumptions'!$C$5,(INDIRECT($A11&amp;"!F47:j47"))),NPV('Inputs and assumptions'!$C$5,(INDIRECT($A11&amp;"!F75:j75"))))</f>
        <v>0</v>
      </c>
      <c r="D87" s="59" cm="1">
        <f t="array" aca="1" ref="D87" ca="1">IF(INDIRECT($A11&amp;"!E43")="Per Unit",NPV('Inputs and assumptions'!$C$5,(INDIRECT($A11&amp;"!F48:j48"))),NPV('Inputs and assumptions'!$C$5,(INDIRECT($A11&amp;"!F76:j76"))))</f>
        <v>0</v>
      </c>
      <c r="E87" s="483" cm="1">
        <f t="array" aca="1" ref="E87" ca="1">IF(INDIRECT($A11&amp;"!E43")="Per Unit",NPV('Inputs and assumptions'!$C$5,(INDIRECT($A11&amp;"!F49:j49"))),NPV('Inputs and assumptions'!$C$5,(INDIRECT($A11&amp;"!F77:j77"))))</f>
        <v>0</v>
      </c>
      <c r="F87" s="59" cm="1">
        <f t="array" aca="1" ref="F87" ca="1">IF(INDIRECT($A11&amp;"!E43")="Per Unit",NPV('Inputs and assumptions'!$C$5,(INDIRECT($A11&amp;"!F52:j52"))),NPV('Inputs and assumptions'!$C$5,(INDIRECT($A11&amp;"!F80:j80"))))</f>
        <v>0</v>
      </c>
      <c r="G87" s="59" cm="1">
        <f t="array" aca="1" ref="G87" ca="1">IF(INDIRECT($A11&amp;"!E43")="Per Unit",NPV('Inputs and assumptions'!$C$5,(INDIRECT($A11&amp;"!F53:j53"))),NPV('Inputs and assumptions'!$C$5,(INDIRECT($A11&amp;"!F81:j81"))))</f>
        <v>0</v>
      </c>
      <c r="H87" s="59" cm="1">
        <f t="array" aca="1" ref="H87" ca="1">IF(INDIRECT($A11&amp;"!E43")="Per Unit",NPV('Inputs and assumptions'!$C$5,(INDIRECT($A11&amp;"!F54:j54"))),NPV('Inputs and assumptions'!$C$5,(INDIRECT($A11&amp;"!F82:j82"))))</f>
        <v>0</v>
      </c>
      <c r="I87" s="59" cm="1">
        <f t="array" aca="1" ref="I87" ca="1">IF(INDIRECT($A11&amp;"!E43")="Per Unit",NPV('Inputs and assumptions'!$C$5,(INDIRECT($A11&amp;"!F55:j55"))),NPV('Inputs and assumptions'!$C$5,(INDIRECT($A11&amp;"!F83:j83"))))</f>
        <v>0</v>
      </c>
      <c r="J87" s="59" cm="1">
        <f t="array" aca="1" ref="J87" ca="1">IF(INDIRECT($A11&amp;"!E43")="Per Unit",NPV('Inputs and assumptions'!$C$5,(INDIRECT($A11&amp;"!F56:j56"))),NPV('Inputs and assumptions'!$C$5,(INDIRECT($A11&amp;"!F84:j84"))))</f>
        <v>0</v>
      </c>
      <c r="K87" s="483" cm="1">
        <f t="array" aca="1" ref="K87" ca="1">IF(INDIRECT($A11&amp;"!E43")="Per Unit",NPV('Inputs and assumptions'!$C$5,(INDIRECT($A11&amp;"!F57:j57"))),NPV('Inputs and assumptions'!$C$5,(INDIRECT($A11&amp;"!F85:j85"))))</f>
        <v>0</v>
      </c>
      <c r="L87" s="59" cm="1">
        <f t="array" aca="1" ref="L87" ca="1">IF(INDIRECT($A11&amp;"!E43")="Per Unit",NPV('Inputs and assumptions'!$C$5,(INDIRECT($A11&amp;"!F60:j60"))),NPV('Inputs and assumptions'!$C$5,(INDIRECT($A11&amp;"!F88:j88"))))</f>
        <v>0</v>
      </c>
      <c r="M87" s="483" cm="1">
        <f t="array" aca="1" ref="M87" ca="1">IF(INDIRECT($A11&amp;"!E43")="Per Unit",NPV('Inputs and assumptions'!$C$5,(INDIRECT($A11&amp;"!F61:j61"))),NPV('Inputs and assumptions'!$C$5,(INDIRECT($A11&amp;"!F89:j89"))))</f>
        <v>0</v>
      </c>
      <c r="N87" s="59" cm="1">
        <f t="array" aca="1" ref="N87" ca="1">IF(INDIRECT($A11&amp;"!E43")="Per Unit",NPV('Inputs and assumptions'!$C$5,(INDIRECT($A11&amp;"!F64:j64"))),NPV('Inputs and assumptions'!$C$5,(INDIRECT($A11&amp;"!F92:j92"))))</f>
        <v>0</v>
      </c>
      <c r="O87" s="59" cm="1">
        <f t="array" aca="1" ref="O87" ca="1">IF(INDIRECT($A11&amp;"!E43")="Per Unit",NPV('Inputs and assumptions'!$C$5,(INDIRECT($A11&amp;"!F65:j65"))),NPV('Inputs and assumptions'!$C$5,(INDIRECT($A11&amp;"!F93:j93"))))</f>
        <v>0</v>
      </c>
      <c r="P87" s="59" cm="1">
        <f t="array" aca="1" ref="P87" ca="1">IF(INDIRECT($A11&amp;"!E43")="Per Unit",NPV('Inputs and assumptions'!$C$5,(INDIRECT($A11&amp;"!F66:j66"))),NPV('Inputs and assumptions'!$C$5,(INDIRECT($A11&amp;"!F94:j94"))))</f>
        <v>0</v>
      </c>
      <c r="Q87" s="59" cm="1">
        <f t="array" aca="1" ref="Q87" ca="1">IF(INDIRECT($A11&amp;"!E43")="Per Unit",NPV('Inputs and assumptions'!$C$5,(INDIRECT($A11&amp;"!F67:j67"))),NPV('Inputs and assumptions'!$C$5,(INDIRECT($A11&amp;"!F95:j95"))))</f>
        <v>0</v>
      </c>
      <c r="R87" s="59" cm="1">
        <f t="array" aca="1" ref="R87" ca="1">IF(INDIRECT($A11&amp;"!E43")="Per Unit",NPV('Inputs and assumptions'!$C$5,(INDIRECT($A11&amp;"!F68:j68"))),NPV('Inputs and assumptions'!$C$5,(INDIRECT($A11&amp;"!F96:j96"))))</f>
        <v>1890219.1112608132</v>
      </c>
      <c r="S87" s="59" cm="1">
        <f t="array" aca="1" ref="S87" ca="1">IF(INDIRECT($A11&amp;"!E43")="Per Unit",NPV('Inputs and assumptions'!$C$5,(INDIRECT($A11&amp;"!F69:j69"))),NPV('Inputs and assumptions'!$C$5,(INDIRECT($A11&amp;"!F97:j97"))))</f>
        <v>2410029.3668575371</v>
      </c>
      <c r="T87" s="378" cm="1">
        <f t="array" aca="1" ref="T87" ca="1">IF(INDIRECT($A11&amp;"!E43")="Per Unit",NPV('Inputs and assumptions'!$C$5,(INDIRECT($A11&amp;"!F70:j70"))),NPV('Inputs and assumptions'!$C$5,(INDIRECT($A11&amp;"!F98:j98"))))</f>
        <v>0</v>
      </c>
    </row>
    <row r="88" spans="1:20" x14ac:dyDescent="0.35">
      <c r="A88" s="444" t="s">
        <v>173</v>
      </c>
      <c r="B88" s="382" cm="1">
        <f t="array" aca="1" ref="B88" ca="1">IF(INDIRECT($A12&amp;"!E43")="Per Unit",NPV('Inputs and assumptions'!$C$5,(INDIRECT($A12&amp;"!F46:j46"))),NPV('Inputs and assumptions'!$C$5,(INDIRECT($A12&amp;"!F74:j74"))))</f>
        <v>0</v>
      </c>
      <c r="C88" s="59" cm="1">
        <f t="array" aca="1" ref="C88" ca="1">IF(INDIRECT($A12&amp;"!E43")="Per Unit",NPV('Inputs and assumptions'!$C$5,(INDIRECT($A12&amp;"!F47:j47"))),NPV('Inputs and assumptions'!$C$5,(INDIRECT($A12&amp;"!F75:j75"))))</f>
        <v>0</v>
      </c>
      <c r="D88" s="59" cm="1">
        <f t="array" aca="1" ref="D88" ca="1">IF(INDIRECT($A12&amp;"!E43")="Per Unit",NPV('Inputs and assumptions'!$C$5,(INDIRECT($A12&amp;"!F48:j48"))),NPV('Inputs and assumptions'!$C$5,(INDIRECT($A12&amp;"!F76:j76"))))</f>
        <v>0</v>
      </c>
      <c r="E88" s="483" cm="1">
        <f t="array" aca="1" ref="E88" ca="1">IF(INDIRECT($A12&amp;"!E43")="Per Unit",NPV('Inputs and assumptions'!$C$5,(INDIRECT($A12&amp;"!F49:j49"))),NPV('Inputs and assumptions'!$C$5,(INDIRECT($A12&amp;"!F77:j77"))))</f>
        <v>0</v>
      </c>
      <c r="F88" s="59" cm="1">
        <f t="array" aca="1" ref="F88" ca="1">IF(INDIRECT($A12&amp;"!E43")="Per Unit",NPV('Inputs and assumptions'!$C$5,(INDIRECT($A12&amp;"!F52:j52"))),NPV('Inputs and assumptions'!$C$5,(INDIRECT($A12&amp;"!F80:j80"))))</f>
        <v>0</v>
      </c>
      <c r="G88" s="59" cm="1">
        <f t="array" aca="1" ref="G88" ca="1">IF(INDIRECT($A12&amp;"!E43")="Per Unit",NPV('Inputs and assumptions'!$C$5,(INDIRECT($A12&amp;"!F53:j53"))),NPV('Inputs and assumptions'!$C$5,(INDIRECT($A12&amp;"!F81:j81"))))</f>
        <v>0</v>
      </c>
      <c r="H88" s="59" cm="1">
        <f t="array" aca="1" ref="H88" ca="1">IF(INDIRECT($A12&amp;"!E43")="Per Unit",NPV('Inputs and assumptions'!$C$5,(INDIRECT($A12&amp;"!F54:j54"))),NPV('Inputs and assumptions'!$C$5,(INDIRECT($A12&amp;"!F82:j82"))))</f>
        <v>0</v>
      </c>
      <c r="I88" s="59" cm="1">
        <f t="array" aca="1" ref="I88" ca="1">IF(INDIRECT($A12&amp;"!E43")="Per Unit",NPV('Inputs and assumptions'!$C$5,(INDIRECT($A12&amp;"!F55:j55"))),NPV('Inputs and assumptions'!$C$5,(INDIRECT($A12&amp;"!F83:j83"))))</f>
        <v>0</v>
      </c>
      <c r="J88" s="59" cm="1">
        <f t="array" aca="1" ref="J88" ca="1">IF(INDIRECT($A12&amp;"!E43")="Per Unit",NPV('Inputs and assumptions'!$C$5,(INDIRECT($A12&amp;"!F56:j56"))),NPV('Inputs and assumptions'!$C$5,(INDIRECT($A12&amp;"!F84:j84"))))</f>
        <v>0</v>
      </c>
      <c r="K88" s="483" cm="1">
        <f t="array" aca="1" ref="K88" ca="1">IF(INDIRECT($A12&amp;"!E43")="Per Unit",NPV('Inputs and assumptions'!$C$5,(INDIRECT($A12&amp;"!F57:j57"))),NPV('Inputs and assumptions'!$C$5,(INDIRECT($A12&amp;"!F85:j85"))))</f>
        <v>0</v>
      </c>
      <c r="L88" s="59" cm="1">
        <f t="array" aca="1" ref="L88" ca="1">IF(INDIRECT($A12&amp;"!E43")="Per Unit",NPV('Inputs and assumptions'!$C$5,(INDIRECT($A12&amp;"!F60:j60"))),NPV('Inputs and assumptions'!$C$5,(INDIRECT($A12&amp;"!F88:j88"))))</f>
        <v>0</v>
      </c>
      <c r="M88" s="483" cm="1">
        <f t="array" aca="1" ref="M88" ca="1">IF(INDIRECT($A12&amp;"!E43")="Per Unit",NPV('Inputs and assumptions'!$C$5,(INDIRECT($A12&amp;"!F61:j61"))),NPV('Inputs and assumptions'!$C$5,(INDIRECT($A12&amp;"!F89:j89"))))</f>
        <v>0</v>
      </c>
      <c r="N88" s="59" cm="1">
        <f t="array" aca="1" ref="N88" ca="1">IF(INDIRECT($A12&amp;"!E43")="Per Unit",NPV('Inputs and assumptions'!$C$5,(INDIRECT($A12&amp;"!F64:j64"))),NPV('Inputs and assumptions'!$C$5,(INDIRECT($A12&amp;"!F92:j92"))))</f>
        <v>0</v>
      </c>
      <c r="O88" s="59" cm="1">
        <f t="array" aca="1" ref="O88" ca="1">IF(INDIRECT($A12&amp;"!E43")="Per Unit",NPV('Inputs and assumptions'!$C$5,(INDIRECT($A12&amp;"!F65:j65"))),NPV('Inputs and assumptions'!$C$5,(INDIRECT($A12&amp;"!F93:j93"))))</f>
        <v>0</v>
      </c>
      <c r="P88" s="59" cm="1">
        <f t="array" aca="1" ref="P88" ca="1">IF(INDIRECT($A12&amp;"!E43")="Per Unit",NPV('Inputs and assumptions'!$C$5,(INDIRECT($A12&amp;"!F66:j66"))),NPV('Inputs and assumptions'!$C$5,(INDIRECT($A12&amp;"!F94:j94"))))</f>
        <v>0</v>
      </c>
      <c r="Q88" s="59" cm="1">
        <f t="array" aca="1" ref="Q88" ca="1">IF(INDIRECT($A12&amp;"!E43")="Per Unit",NPV('Inputs and assumptions'!$C$5,(INDIRECT($A12&amp;"!F67:j67"))),NPV('Inputs and assumptions'!$C$5,(INDIRECT($A12&amp;"!F95:j95"))))</f>
        <v>0</v>
      </c>
      <c r="R88" s="59" cm="1">
        <f t="array" aca="1" ref="R88" ca="1">IF(INDIRECT($A12&amp;"!E43")="Per Unit",NPV('Inputs and assumptions'!$C$5,(INDIRECT($A12&amp;"!F68:j68"))),NPV('Inputs and assumptions'!$C$5,(INDIRECT($A12&amp;"!F96:j96"))))</f>
        <v>2133594.5458728862</v>
      </c>
      <c r="S88" s="59" cm="1">
        <f t="array" aca="1" ref="S88" ca="1">IF(INDIRECT($A12&amp;"!E43")="Per Unit",NPV('Inputs and assumptions'!$C$5,(INDIRECT($A12&amp;"!F69:j69"))),NPV('Inputs and assumptions'!$C$5,(INDIRECT($A12&amp;"!F97:j97"))))</f>
        <v>2720333.0459879297</v>
      </c>
      <c r="T88" s="378" cm="1">
        <f t="array" aca="1" ref="T88" ca="1">IF(INDIRECT($A12&amp;"!E43")="Per Unit",NPV('Inputs and assumptions'!$C$5,(INDIRECT($A12&amp;"!F70:j70"))),NPV('Inputs and assumptions'!$C$5,(INDIRECT($A12&amp;"!F98:j98"))))</f>
        <v>0</v>
      </c>
    </row>
    <row r="89" spans="1:20" x14ac:dyDescent="0.35">
      <c r="A89" s="444" t="s">
        <v>174</v>
      </c>
      <c r="B89" s="382" cm="1">
        <f t="array" aca="1" ref="B89" ca="1">IF(INDIRECT($A13&amp;"!E43")="Per Unit",NPV('Inputs and assumptions'!$C$5,(INDIRECT($A13&amp;"!F46:j46"))),NPV('Inputs and assumptions'!$C$5,(INDIRECT($A13&amp;"!F74:j74"))))</f>
        <v>0</v>
      </c>
      <c r="C89" s="59" cm="1">
        <f t="array" aca="1" ref="C89" ca="1">IF(INDIRECT($A13&amp;"!E43")="Per Unit",NPV('Inputs and assumptions'!$C$5,(INDIRECT($A13&amp;"!F47:j47"))),NPV('Inputs and assumptions'!$C$5,(INDIRECT($A13&amp;"!F75:j75"))))</f>
        <v>0</v>
      </c>
      <c r="D89" s="59" cm="1">
        <f t="array" aca="1" ref="D89" ca="1">IF(INDIRECT($A13&amp;"!E43")="Per Unit",NPV('Inputs and assumptions'!$C$5,(INDIRECT($A13&amp;"!F48:j48"))),NPV('Inputs and assumptions'!$C$5,(INDIRECT($A13&amp;"!F76:j76"))))</f>
        <v>0</v>
      </c>
      <c r="E89" s="483" cm="1">
        <f t="array" aca="1" ref="E89" ca="1">IF(INDIRECT($A13&amp;"!E43")="Per Unit",NPV('Inputs and assumptions'!$C$5,(INDIRECT($A13&amp;"!F49:j49"))),NPV('Inputs and assumptions'!$C$5,(INDIRECT($A13&amp;"!F77:j77"))))</f>
        <v>0</v>
      </c>
      <c r="F89" s="59" cm="1">
        <f t="array" aca="1" ref="F89" ca="1">IF(INDIRECT($A13&amp;"!E43")="Per Unit",NPV('Inputs and assumptions'!$C$5,(INDIRECT($A13&amp;"!F52:j52"))),NPV('Inputs and assumptions'!$C$5,(INDIRECT($A13&amp;"!F80:j80"))))</f>
        <v>0</v>
      </c>
      <c r="G89" s="59" cm="1">
        <f t="array" aca="1" ref="G89" ca="1">IF(INDIRECT($A13&amp;"!E43")="Per Unit",NPV('Inputs and assumptions'!$C$5,(INDIRECT($A13&amp;"!F53:j53"))),NPV('Inputs and assumptions'!$C$5,(INDIRECT($A13&amp;"!F81:j81"))))</f>
        <v>0</v>
      </c>
      <c r="H89" s="59" cm="1">
        <f t="array" aca="1" ref="H89" ca="1">IF(INDIRECT($A13&amp;"!E43")="Per Unit",NPV('Inputs and assumptions'!$C$5,(INDIRECT($A13&amp;"!F54:j54"))),NPV('Inputs and assumptions'!$C$5,(INDIRECT($A13&amp;"!F82:j82"))))</f>
        <v>0</v>
      </c>
      <c r="I89" s="59" cm="1">
        <f t="array" aca="1" ref="I89" ca="1">IF(INDIRECT($A13&amp;"!E43")="Per Unit",NPV('Inputs and assumptions'!$C$5,(INDIRECT($A13&amp;"!F55:j55"))),NPV('Inputs and assumptions'!$C$5,(INDIRECT($A13&amp;"!F83:j83"))))</f>
        <v>0</v>
      </c>
      <c r="J89" s="59" cm="1">
        <f t="array" aca="1" ref="J89" ca="1">IF(INDIRECT($A13&amp;"!E43")="Per Unit",NPV('Inputs and assumptions'!$C$5,(INDIRECT($A13&amp;"!F56:j56"))),NPV('Inputs and assumptions'!$C$5,(INDIRECT($A13&amp;"!F84:j84"))))</f>
        <v>0</v>
      </c>
      <c r="K89" s="483" cm="1">
        <f t="array" aca="1" ref="K89" ca="1">IF(INDIRECT($A13&amp;"!E43")="Per Unit",NPV('Inputs and assumptions'!$C$5,(INDIRECT($A13&amp;"!F57:j57"))),NPV('Inputs and assumptions'!$C$5,(INDIRECT($A13&amp;"!F85:j85"))))</f>
        <v>0</v>
      </c>
      <c r="L89" s="59" cm="1">
        <f t="array" aca="1" ref="L89" ca="1">IF(INDIRECT($A13&amp;"!E43")="Per Unit",NPV('Inputs and assumptions'!$C$5,(INDIRECT($A13&amp;"!F60:j60"))),NPV('Inputs and assumptions'!$C$5,(INDIRECT($A13&amp;"!F88:j88"))))</f>
        <v>0</v>
      </c>
      <c r="M89" s="483" cm="1">
        <f t="array" aca="1" ref="M89" ca="1">IF(INDIRECT($A13&amp;"!E43")="Per Unit",NPV('Inputs and assumptions'!$C$5,(INDIRECT($A13&amp;"!F61:j61"))),NPV('Inputs and assumptions'!$C$5,(INDIRECT($A13&amp;"!F89:j89"))))</f>
        <v>0</v>
      </c>
      <c r="N89" s="59" cm="1">
        <f t="array" aca="1" ref="N89" ca="1">IF(INDIRECT($A13&amp;"!E43")="Per Unit",NPV('Inputs and assumptions'!$C$5,(INDIRECT($A13&amp;"!F64:j64"))),NPV('Inputs and assumptions'!$C$5,(INDIRECT($A13&amp;"!F92:j92"))))</f>
        <v>0</v>
      </c>
      <c r="O89" s="59" cm="1">
        <f t="array" aca="1" ref="O89" ca="1">IF(INDIRECT($A13&amp;"!E43")="Per Unit",NPV('Inputs and assumptions'!$C$5,(INDIRECT($A13&amp;"!F65:j65"))),NPV('Inputs and assumptions'!$C$5,(INDIRECT($A13&amp;"!F93:j93"))))</f>
        <v>0</v>
      </c>
      <c r="P89" s="59" cm="1">
        <f t="array" aca="1" ref="P89" ca="1">IF(INDIRECT($A13&amp;"!E43")="Per Unit",NPV('Inputs and assumptions'!$C$5,(INDIRECT($A13&amp;"!F66:j66"))),NPV('Inputs and assumptions'!$C$5,(INDIRECT($A13&amp;"!F94:j94"))))</f>
        <v>0</v>
      </c>
      <c r="Q89" s="59" cm="1">
        <f t="array" aca="1" ref="Q89" ca="1">IF(INDIRECT($A13&amp;"!E43")="Per Unit",NPV('Inputs and assumptions'!$C$5,(INDIRECT($A13&amp;"!F67:j67"))),NPV('Inputs and assumptions'!$C$5,(INDIRECT($A13&amp;"!F95:j95"))))</f>
        <v>0</v>
      </c>
      <c r="R89" s="59" cm="1">
        <f t="array" aca="1" ref="R89" ca="1">IF(INDIRECT($A13&amp;"!E43")="Per Unit",NPV('Inputs and assumptions'!$C$5,(INDIRECT($A13&amp;"!F68:j68"))),NPV('Inputs and assumptions'!$C$5,(INDIRECT($A13&amp;"!F96:j96"))))</f>
        <v>1356820.4747925915</v>
      </c>
      <c r="S89" s="59" cm="1">
        <f t="array" aca="1" ref="S89" ca="1">IF(INDIRECT($A13&amp;"!E43")="Per Unit",NPV('Inputs and assumptions'!$C$5,(INDIRECT($A13&amp;"!F69:j69"))),NPV('Inputs and assumptions'!$C$5,(INDIRECT($A13&amp;"!F97:j97"))))</f>
        <v>0</v>
      </c>
      <c r="T89" s="378" cm="1">
        <f t="array" aca="1" ref="T89" ca="1">IF(INDIRECT($A13&amp;"!E43")="Per Unit",NPV('Inputs and assumptions'!$C$5,(INDIRECT($A13&amp;"!F70:j70"))),NPV('Inputs and assumptions'!$C$5,(INDIRECT($A13&amp;"!F98:j98"))))</f>
        <v>0</v>
      </c>
    </row>
    <row r="90" spans="1:20" x14ac:dyDescent="0.35">
      <c r="A90" s="444" t="s">
        <v>175</v>
      </c>
      <c r="B90" s="382" cm="1">
        <f t="array" aca="1" ref="B90" ca="1">IF(INDIRECT($A14&amp;"!E43")="Per Unit",NPV('Inputs and assumptions'!$C$5,(INDIRECT($A14&amp;"!F46:j46"))),NPV('Inputs and assumptions'!$C$5,(INDIRECT($A14&amp;"!F74:j74"))))</f>
        <v>0</v>
      </c>
      <c r="C90" s="59" cm="1">
        <f t="array" aca="1" ref="C90" ca="1">IF(INDIRECT($A14&amp;"!E43")="Per Unit",NPV('Inputs and assumptions'!$C$5,(INDIRECT($A14&amp;"!F47:j47"))),NPV('Inputs and assumptions'!$C$5,(INDIRECT($A14&amp;"!F75:j75"))))</f>
        <v>0</v>
      </c>
      <c r="D90" s="59" cm="1">
        <f t="array" aca="1" ref="D90" ca="1">IF(INDIRECT($A14&amp;"!E43")="Per Unit",NPV('Inputs and assumptions'!$C$5,(INDIRECT($A14&amp;"!F48:j48"))),NPV('Inputs and assumptions'!$C$5,(INDIRECT($A14&amp;"!F76:j76"))))</f>
        <v>0</v>
      </c>
      <c r="E90" s="483" cm="1">
        <f t="array" aca="1" ref="E90" ca="1">IF(INDIRECT($A14&amp;"!E43")="Per Unit",NPV('Inputs and assumptions'!$C$5,(INDIRECT($A14&amp;"!F49:j49"))),NPV('Inputs and assumptions'!$C$5,(INDIRECT($A14&amp;"!F77:j77"))))</f>
        <v>0</v>
      </c>
      <c r="F90" s="59" cm="1">
        <f t="array" aca="1" ref="F90" ca="1">IF(INDIRECT($A14&amp;"!E43")="Per Unit",NPV('Inputs and assumptions'!$C$5,(INDIRECT($A14&amp;"!F52:j52"))),NPV('Inputs and assumptions'!$C$5,(INDIRECT($A14&amp;"!F80:j80"))))</f>
        <v>0</v>
      </c>
      <c r="G90" s="59" cm="1">
        <f t="array" aca="1" ref="G90" ca="1">IF(INDIRECT($A14&amp;"!E43")="Per Unit",NPV('Inputs and assumptions'!$C$5,(INDIRECT($A14&amp;"!F53:j53"))),NPV('Inputs and assumptions'!$C$5,(INDIRECT($A14&amp;"!F81:j81"))))</f>
        <v>0</v>
      </c>
      <c r="H90" s="59" cm="1">
        <f t="array" aca="1" ref="H90" ca="1">IF(INDIRECT($A14&amp;"!E43")="Per Unit",NPV('Inputs and assumptions'!$C$5,(INDIRECT($A14&amp;"!F54:j54"))),NPV('Inputs and assumptions'!$C$5,(INDIRECT($A14&amp;"!F82:j82"))))</f>
        <v>0</v>
      </c>
      <c r="I90" s="59" cm="1">
        <f t="array" aca="1" ref="I90" ca="1">IF(INDIRECT($A14&amp;"!E43")="Per Unit",NPV('Inputs and assumptions'!$C$5,(INDIRECT($A14&amp;"!F55:j55"))),NPV('Inputs and assumptions'!$C$5,(INDIRECT($A14&amp;"!F83:j83"))))</f>
        <v>0</v>
      </c>
      <c r="J90" s="59" cm="1">
        <f t="array" aca="1" ref="J90" ca="1">IF(INDIRECT($A14&amp;"!E43")="Per Unit",NPV('Inputs and assumptions'!$C$5,(INDIRECT($A14&amp;"!F56:j56"))),NPV('Inputs and assumptions'!$C$5,(INDIRECT($A14&amp;"!F84:j84"))))</f>
        <v>0</v>
      </c>
      <c r="K90" s="483" cm="1">
        <f t="array" aca="1" ref="K90" ca="1">IF(INDIRECT($A14&amp;"!E43")="Per Unit",NPV('Inputs and assumptions'!$C$5,(INDIRECT($A14&amp;"!F57:j57"))),NPV('Inputs and assumptions'!$C$5,(INDIRECT($A14&amp;"!F85:j85"))))</f>
        <v>0</v>
      </c>
      <c r="L90" s="59" cm="1">
        <f t="array" aca="1" ref="L90" ca="1">IF(INDIRECT($A14&amp;"!E43")="Per Unit",NPV('Inputs and assumptions'!$C$5,(INDIRECT($A14&amp;"!F60:j60"))),NPV('Inputs and assumptions'!$C$5,(INDIRECT($A14&amp;"!F88:j88"))))</f>
        <v>0</v>
      </c>
      <c r="M90" s="483" cm="1">
        <f t="array" aca="1" ref="M90" ca="1">IF(INDIRECT($A14&amp;"!E43")="Per Unit",NPV('Inputs and assumptions'!$C$5,(INDIRECT($A14&amp;"!F61:j61"))),NPV('Inputs and assumptions'!$C$5,(INDIRECT($A14&amp;"!F89:j89"))))</f>
        <v>0</v>
      </c>
      <c r="N90" s="59" cm="1">
        <f t="array" aca="1" ref="N90" ca="1">IF(INDIRECT($A14&amp;"!E43")="Per Unit",NPV('Inputs and assumptions'!$C$5,(INDIRECT($A14&amp;"!F64:j64"))),NPV('Inputs and assumptions'!$C$5,(INDIRECT($A14&amp;"!F92:j92"))))</f>
        <v>0</v>
      </c>
      <c r="O90" s="59" cm="1">
        <f t="array" aca="1" ref="O90" ca="1">IF(INDIRECT($A14&amp;"!E43")="Per Unit",NPV('Inputs and assumptions'!$C$5,(INDIRECT($A14&amp;"!F65:j65"))),NPV('Inputs and assumptions'!$C$5,(INDIRECT($A14&amp;"!F93:j93"))))</f>
        <v>0</v>
      </c>
      <c r="P90" s="59" cm="1">
        <f t="array" aca="1" ref="P90" ca="1">IF(INDIRECT($A14&amp;"!E43")="Per Unit",NPV('Inputs and assumptions'!$C$5,(INDIRECT($A14&amp;"!F66:j66"))),NPV('Inputs and assumptions'!$C$5,(INDIRECT($A14&amp;"!F94:j94"))))</f>
        <v>0</v>
      </c>
      <c r="Q90" s="59" cm="1">
        <f t="array" aca="1" ref="Q90" ca="1">IF(INDIRECT($A14&amp;"!E43")="Per Unit",NPV('Inputs and assumptions'!$C$5,(INDIRECT($A14&amp;"!F67:j67"))),NPV('Inputs and assumptions'!$C$5,(INDIRECT($A14&amp;"!F95:j95"))))</f>
        <v>0</v>
      </c>
      <c r="R90" s="59" cm="1">
        <f t="array" aca="1" ref="R90" ca="1">IF(INDIRECT($A14&amp;"!E43")="Per Unit",NPV('Inputs and assumptions'!$C$5,(INDIRECT($A14&amp;"!F68:j68"))),NPV('Inputs and assumptions'!$C$5,(INDIRECT($A14&amp;"!F96:j96"))))</f>
        <v>605904.43693225866</v>
      </c>
      <c r="S90" s="59" cm="1">
        <f t="array" aca="1" ref="S90" ca="1">IF(INDIRECT($A14&amp;"!E43")="Per Unit",NPV('Inputs and assumptions'!$C$5,(INDIRECT($A14&amp;"!F69:j69"))),NPV('Inputs and assumptions'!$C$5,(INDIRECT($A14&amp;"!F97:j97"))))</f>
        <v>0</v>
      </c>
      <c r="T90" s="378" cm="1">
        <f t="array" aca="1" ref="T90" ca="1">IF(INDIRECT($A14&amp;"!E43")="Per Unit",NPV('Inputs and assumptions'!$C$5,(INDIRECT($A14&amp;"!F70:j70"))),NPV('Inputs and assumptions'!$C$5,(INDIRECT($A14&amp;"!F98:j98"))))</f>
        <v>0</v>
      </c>
    </row>
    <row r="91" spans="1:20" x14ac:dyDescent="0.35">
      <c r="A91" s="444" t="s">
        <v>176</v>
      </c>
      <c r="B91" s="382" cm="1">
        <f t="array" aca="1" ref="B91" ca="1">IF(INDIRECT($A15&amp;"!E43")="Per Unit",NPV('Inputs and assumptions'!$C$5,(INDIRECT($A15&amp;"!F46:j46"))),NPV('Inputs and assumptions'!$C$5,(INDIRECT($A15&amp;"!F74:j74"))))</f>
        <v>0</v>
      </c>
      <c r="C91" s="59" cm="1">
        <f t="array" aca="1" ref="C91" ca="1">IF(INDIRECT($A15&amp;"!E43")="Per Unit",NPV('Inputs and assumptions'!$C$5,(INDIRECT($A15&amp;"!F47:j47"))),NPV('Inputs and assumptions'!$C$5,(INDIRECT($A15&amp;"!F75:j75"))))</f>
        <v>0</v>
      </c>
      <c r="D91" s="59" cm="1">
        <f t="array" aca="1" ref="D91" ca="1">IF(INDIRECT($A15&amp;"!E43")="Per Unit",NPV('Inputs and assumptions'!$C$5,(INDIRECT($A15&amp;"!F48:j48"))),NPV('Inputs and assumptions'!$C$5,(INDIRECT($A15&amp;"!F76:j76"))))</f>
        <v>0</v>
      </c>
      <c r="E91" s="483" cm="1">
        <f t="array" aca="1" ref="E91" ca="1">IF(INDIRECT($A15&amp;"!E43")="Per Unit",NPV('Inputs and assumptions'!$C$5,(INDIRECT($A15&amp;"!F49:j49"))),NPV('Inputs and assumptions'!$C$5,(INDIRECT($A15&amp;"!F77:j77"))))</f>
        <v>0</v>
      </c>
      <c r="F91" s="59" cm="1">
        <f t="array" aca="1" ref="F91" ca="1">IF(INDIRECT($A15&amp;"!E43")="Per Unit",NPV('Inputs and assumptions'!$C$5,(INDIRECT($A15&amp;"!F52:j52"))),NPV('Inputs and assumptions'!$C$5,(INDIRECT($A15&amp;"!F80:j80"))))</f>
        <v>0</v>
      </c>
      <c r="G91" s="59" cm="1">
        <f t="array" aca="1" ref="G91" ca="1">IF(INDIRECT($A15&amp;"!E43")="Per Unit",NPV('Inputs and assumptions'!$C$5,(INDIRECT($A15&amp;"!F53:j53"))),NPV('Inputs and assumptions'!$C$5,(INDIRECT($A15&amp;"!F81:j81"))))</f>
        <v>167131.57276004279</v>
      </c>
      <c r="H91" s="59" cm="1">
        <f t="array" aca="1" ref="H91" ca="1">IF(INDIRECT($A15&amp;"!E43")="Per Unit",NPV('Inputs and assumptions'!$C$5,(INDIRECT($A15&amp;"!F54:j54"))),NPV('Inputs and assumptions'!$C$5,(INDIRECT($A15&amp;"!F82:j82"))))</f>
        <v>0</v>
      </c>
      <c r="I91" s="59" cm="1">
        <f t="array" aca="1" ref="I91" ca="1">IF(INDIRECT($A15&amp;"!E43")="Per Unit",NPV('Inputs and assumptions'!$C$5,(INDIRECT($A15&amp;"!F55:j55"))),NPV('Inputs and assumptions'!$C$5,(INDIRECT($A15&amp;"!F83:j83"))))</f>
        <v>0</v>
      </c>
      <c r="J91" s="59" cm="1">
        <f t="array" aca="1" ref="J91" ca="1">IF(INDIRECT($A15&amp;"!E43")="Per Unit",NPV('Inputs and assumptions'!$C$5,(INDIRECT($A15&amp;"!F56:j56"))),NPV('Inputs and assumptions'!$C$5,(INDIRECT($A15&amp;"!F84:j84"))))</f>
        <v>0</v>
      </c>
      <c r="K91" s="483" cm="1">
        <f t="array" aca="1" ref="K91" ca="1">IF(INDIRECT($A15&amp;"!E43")="Per Unit",NPV('Inputs and assumptions'!$C$5,(INDIRECT($A15&amp;"!F57:j57"))),NPV('Inputs and assumptions'!$C$5,(INDIRECT($A15&amp;"!F85:j85"))))</f>
        <v>0</v>
      </c>
      <c r="L91" s="59" cm="1">
        <f t="array" aca="1" ref="L91" ca="1">IF(INDIRECT($A15&amp;"!E43")="Per Unit",NPV('Inputs and assumptions'!$C$5,(INDIRECT($A15&amp;"!F60:j60"))),NPV('Inputs and assumptions'!$C$5,(INDIRECT($A15&amp;"!F88:j88"))))</f>
        <v>0</v>
      </c>
      <c r="M91" s="483" cm="1">
        <f t="array" aca="1" ref="M91" ca="1">IF(INDIRECT($A15&amp;"!E43")="Per Unit",NPV('Inputs and assumptions'!$C$5,(INDIRECT($A15&amp;"!F61:j61"))),NPV('Inputs and assumptions'!$C$5,(INDIRECT($A15&amp;"!F89:j89"))))</f>
        <v>0</v>
      </c>
      <c r="N91" s="59" cm="1">
        <f t="array" aca="1" ref="N91" ca="1">IF(INDIRECT($A15&amp;"!E43")="Per Unit",NPV('Inputs and assumptions'!$C$5,(INDIRECT($A15&amp;"!F64:j64"))),NPV('Inputs and assumptions'!$C$5,(INDIRECT($A15&amp;"!F92:j92"))))</f>
        <v>0</v>
      </c>
      <c r="O91" s="59" cm="1">
        <f t="array" aca="1" ref="O91" ca="1">IF(INDIRECT($A15&amp;"!E43")="Per Unit",NPV('Inputs and assumptions'!$C$5,(INDIRECT($A15&amp;"!F65:j65"))),NPV('Inputs and assumptions'!$C$5,(INDIRECT($A15&amp;"!F93:j93"))))</f>
        <v>0</v>
      </c>
      <c r="P91" s="59" cm="1">
        <f t="array" aca="1" ref="P91" ca="1">IF(INDIRECT($A15&amp;"!E43")="Per Unit",NPV('Inputs and assumptions'!$C$5,(INDIRECT($A15&amp;"!F66:j66"))),NPV('Inputs and assumptions'!$C$5,(INDIRECT($A15&amp;"!F94:j94"))))</f>
        <v>0</v>
      </c>
      <c r="Q91" s="59" cm="1">
        <f t="array" aca="1" ref="Q91" ca="1">IF(INDIRECT($A15&amp;"!E43")="Per Unit",NPV('Inputs and assumptions'!$C$5,(INDIRECT($A15&amp;"!F67:j67"))),NPV('Inputs and assumptions'!$C$5,(INDIRECT($A15&amp;"!F95:j95"))))</f>
        <v>0</v>
      </c>
      <c r="R91" s="59" cm="1">
        <f t="array" aca="1" ref="R91" ca="1">IF(INDIRECT($A15&amp;"!E43")="Per Unit",NPV('Inputs and assumptions'!$C$5,(INDIRECT($A15&amp;"!F68:j68"))),NPV('Inputs and assumptions'!$C$5,(INDIRECT($A15&amp;"!F96:j96"))))</f>
        <v>0</v>
      </c>
      <c r="S91" s="59" cm="1">
        <f t="array" aca="1" ref="S91" ca="1">IF(INDIRECT($A15&amp;"!E43")="Per Unit",NPV('Inputs and assumptions'!$C$5,(INDIRECT($A15&amp;"!F69:j69"))),NPV('Inputs and assumptions'!$C$5,(INDIRECT($A15&amp;"!F97:j97"))))</f>
        <v>0</v>
      </c>
      <c r="T91" s="378" cm="1">
        <f t="array" aca="1" ref="T91" ca="1">IF(INDIRECT($A15&amp;"!E43")="Per Unit",NPV('Inputs and assumptions'!$C$5,(INDIRECT($A15&amp;"!F70:j70"))),NPV('Inputs and assumptions'!$C$5,(INDIRECT($A15&amp;"!F98:j98"))))</f>
        <v>0</v>
      </c>
    </row>
    <row r="92" spans="1:20" x14ac:dyDescent="0.35">
      <c r="A92" s="444" t="s">
        <v>177</v>
      </c>
      <c r="B92" s="382" cm="1">
        <f t="array" aca="1" ref="B92" ca="1">IF(INDIRECT($A16&amp;"!E43")="Per Unit",NPV('Inputs and assumptions'!$C$5,(INDIRECT($A16&amp;"!F46:j46"))),NPV('Inputs and assumptions'!$C$5,(INDIRECT($A16&amp;"!F74:j74"))))</f>
        <v>0</v>
      </c>
      <c r="C92" s="59" cm="1">
        <f t="array" aca="1" ref="C92" ca="1">IF(INDIRECT($A16&amp;"!E43")="Per Unit",NPV('Inputs and assumptions'!$C$5,(INDIRECT($A16&amp;"!F47:j47"))),NPV('Inputs and assumptions'!$C$5,(INDIRECT($A16&amp;"!F75:j75"))))</f>
        <v>0</v>
      </c>
      <c r="D92" s="59" cm="1">
        <f t="array" aca="1" ref="D92" ca="1">IF(INDIRECT($A16&amp;"!E43")="Per Unit",NPV('Inputs and assumptions'!$C$5,(INDIRECT($A16&amp;"!F48:j48"))),NPV('Inputs and assumptions'!$C$5,(INDIRECT($A16&amp;"!F76:j76"))))</f>
        <v>0</v>
      </c>
      <c r="E92" s="483" cm="1">
        <f t="array" aca="1" ref="E92" ca="1">IF(INDIRECT($A16&amp;"!E43")="Per Unit",NPV('Inputs and assumptions'!$C$5,(INDIRECT($A16&amp;"!F49:j49"))),NPV('Inputs and assumptions'!$C$5,(INDIRECT($A16&amp;"!F77:j77"))))</f>
        <v>0</v>
      </c>
      <c r="F92" s="59" cm="1">
        <f t="array" aca="1" ref="F92" ca="1">IF(INDIRECT($A16&amp;"!E43")="Per Unit",NPV('Inputs and assumptions'!$C$5,(INDIRECT($A16&amp;"!F52:j52"))),NPV('Inputs and assumptions'!$C$5,(INDIRECT($A16&amp;"!F80:j80"))))</f>
        <v>988565.47292110394</v>
      </c>
      <c r="G92" s="59" cm="1">
        <f t="array" aca="1" ref="G92" ca="1">IF(INDIRECT($A16&amp;"!E43")="Per Unit",NPV('Inputs and assumptions'!$C$5,(INDIRECT($A16&amp;"!F53:j53"))),NPV('Inputs and assumptions'!$C$5,(INDIRECT($A16&amp;"!F81:j81"))))</f>
        <v>1671315.7276004276</v>
      </c>
      <c r="H92" s="59" cm="1">
        <f t="array" aca="1" ref="H92" ca="1">IF(INDIRECT($A16&amp;"!E43")="Per Unit",NPV('Inputs and assumptions'!$C$5,(INDIRECT($A16&amp;"!F54:j54"))),NPV('Inputs and assumptions'!$C$5,(INDIRECT($A16&amp;"!F82:j82"))))</f>
        <v>0</v>
      </c>
      <c r="I92" s="59" cm="1">
        <f t="array" aca="1" ref="I92" ca="1">IF(INDIRECT($A16&amp;"!E43")="Per Unit",NPV('Inputs and assumptions'!$C$5,(INDIRECT($A16&amp;"!F55:j55"))),NPV('Inputs and assumptions'!$C$5,(INDIRECT($A16&amp;"!F83:j83"))))</f>
        <v>0</v>
      </c>
      <c r="J92" s="59" cm="1">
        <f t="array" aca="1" ref="J92" ca="1">IF(INDIRECT($A16&amp;"!E43")="Per Unit",NPV('Inputs and assumptions'!$C$5,(INDIRECT($A16&amp;"!F56:j56"))),NPV('Inputs and assumptions'!$C$5,(INDIRECT($A16&amp;"!F84:j84"))))</f>
        <v>0</v>
      </c>
      <c r="K92" s="483" cm="1">
        <f t="array" aca="1" ref="K92" ca="1">IF(INDIRECT($A16&amp;"!E43")="Per Unit",NPV('Inputs and assumptions'!$C$5,(INDIRECT($A16&amp;"!F57:j57"))),NPV('Inputs and assumptions'!$C$5,(INDIRECT($A16&amp;"!F85:j85"))))</f>
        <v>0</v>
      </c>
      <c r="L92" s="59" cm="1">
        <f t="array" aca="1" ref="L92" ca="1">IF(INDIRECT($A16&amp;"!E43")="Per Unit",NPV('Inputs and assumptions'!$C$5,(INDIRECT($A16&amp;"!F60:j60"))),NPV('Inputs and assumptions'!$C$5,(INDIRECT($A16&amp;"!F88:j88"))))</f>
        <v>0</v>
      </c>
      <c r="M92" s="483" cm="1">
        <f t="array" aca="1" ref="M92" ca="1">IF(INDIRECT($A16&amp;"!E43")="Per Unit",NPV('Inputs and assumptions'!$C$5,(INDIRECT($A16&amp;"!F61:j61"))),NPV('Inputs and assumptions'!$C$5,(INDIRECT($A16&amp;"!F89:j89"))))</f>
        <v>0</v>
      </c>
      <c r="N92" s="59" cm="1">
        <f t="array" aca="1" ref="N92" ca="1">IF(INDIRECT($A16&amp;"!E43")="Per Unit",NPV('Inputs and assumptions'!$C$5,(INDIRECT($A16&amp;"!F64:j64"))),NPV('Inputs and assumptions'!$C$5,(INDIRECT($A16&amp;"!F92:j92"))))</f>
        <v>448054.85463330615</v>
      </c>
      <c r="O92" s="59" cm="1">
        <f t="array" aca="1" ref="O92" ca="1">IF(INDIRECT($A16&amp;"!E43")="Per Unit",NPV('Inputs and assumptions'!$C$5,(INDIRECT($A16&amp;"!F65:j65"))),NPV('Inputs and assumptions'!$C$5,(INDIRECT($A16&amp;"!F93:j93"))))</f>
        <v>0</v>
      </c>
      <c r="P92" s="59" cm="1">
        <f t="array" aca="1" ref="P92" ca="1">IF(INDIRECT($A16&amp;"!E43")="Per Unit",NPV('Inputs and assumptions'!$C$5,(INDIRECT($A16&amp;"!F66:j66"))),NPV('Inputs and assumptions'!$C$5,(INDIRECT($A16&amp;"!F94:j94"))))</f>
        <v>0</v>
      </c>
      <c r="Q92" s="59" cm="1">
        <f t="array" aca="1" ref="Q92" ca="1">IF(INDIRECT($A16&amp;"!E43")="Per Unit",NPV('Inputs and assumptions'!$C$5,(INDIRECT($A16&amp;"!F67:j67"))),NPV('Inputs and assumptions'!$C$5,(INDIRECT($A16&amp;"!F95:j95"))))</f>
        <v>0</v>
      </c>
      <c r="R92" s="59" cm="1">
        <f t="array" aca="1" ref="R92" ca="1">IF(INDIRECT($A16&amp;"!E43")="Per Unit",NPV('Inputs and assumptions'!$C$5,(INDIRECT($A16&amp;"!F68:j68"))),NPV('Inputs and assumptions'!$C$5,(INDIRECT($A16&amp;"!F96:j96"))))</f>
        <v>2133.5945458728866</v>
      </c>
      <c r="S92" s="59" cm="1">
        <f t="array" aca="1" ref="S92" ca="1">IF(INDIRECT($A16&amp;"!E43")="Per Unit",NPV('Inputs and assumptions'!$C$5,(INDIRECT($A16&amp;"!F69:j69"))),NPV('Inputs and assumptions'!$C$5,(INDIRECT($A16&amp;"!F97:j97"))))</f>
        <v>272033.30459879304</v>
      </c>
      <c r="T92" s="378" cm="1">
        <f t="array" aca="1" ref="T92" ca="1">IF(INDIRECT($A16&amp;"!E43")="Per Unit",NPV('Inputs and assumptions'!$C$5,(INDIRECT($A16&amp;"!F70:j70"))),NPV('Inputs and assumptions'!$C$5,(INDIRECT($A16&amp;"!F98:j98"))))</f>
        <v>0</v>
      </c>
    </row>
    <row r="93" spans="1:20" x14ac:dyDescent="0.35">
      <c r="A93" s="444" t="s">
        <v>178</v>
      </c>
      <c r="B93" s="382" cm="1">
        <f t="array" aca="1" ref="B93" ca="1">IF(INDIRECT($A17&amp;"!E43")="Per Unit",NPV('Inputs and assumptions'!$C$5,(INDIRECT($A17&amp;"!F46:j46"))),NPV('Inputs and assumptions'!$C$5,(INDIRECT($A17&amp;"!F74:j74"))))</f>
        <v>0</v>
      </c>
      <c r="C93" s="59" cm="1">
        <f t="array" aca="1" ref="C93" ca="1">IF(INDIRECT($A17&amp;"!E43")="Per Unit",NPV('Inputs and assumptions'!$C$5,(INDIRECT($A17&amp;"!F47:j47"))),NPV('Inputs and assumptions'!$C$5,(INDIRECT($A17&amp;"!F75:j75"))))</f>
        <v>0</v>
      </c>
      <c r="D93" s="59" cm="1">
        <f t="array" aca="1" ref="D93" ca="1">IF(INDIRECT($A17&amp;"!E43")="Per Unit",NPV('Inputs and assumptions'!$C$5,(INDIRECT($A17&amp;"!F48:j48"))),NPV('Inputs and assumptions'!$C$5,(INDIRECT($A17&amp;"!F76:j76"))))</f>
        <v>0</v>
      </c>
      <c r="E93" s="483" cm="1">
        <f t="array" aca="1" ref="E93" ca="1">IF(INDIRECT($A17&amp;"!E43")="Per Unit",NPV('Inputs and assumptions'!$C$5,(INDIRECT($A17&amp;"!F49:j49"))),NPV('Inputs and assumptions'!$C$5,(INDIRECT($A17&amp;"!F77:j77"))))</f>
        <v>0</v>
      </c>
      <c r="F93" s="59" cm="1">
        <f t="array" aca="1" ref="F93" ca="1">IF(INDIRECT($A17&amp;"!E43")="Per Unit",NPV('Inputs and assumptions'!$C$5,(INDIRECT($A17&amp;"!F52:j52"))),NPV('Inputs and assumptions'!$C$5,(INDIRECT($A17&amp;"!F80:j80"))))</f>
        <v>0</v>
      </c>
      <c r="G93" s="59" cm="1">
        <f t="array" aca="1" ref="G93" ca="1">IF(INDIRECT($A17&amp;"!E43")="Per Unit",NPV('Inputs and assumptions'!$C$5,(INDIRECT($A17&amp;"!F53:j53"))),NPV('Inputs and assumptions'!$C$5,(INDIRECT($A17&amp;"!F81:j81"))))</f>
        <v>1451686.1438282088</v>
      </c>
      <c r="H93" s="59" cm="1">
        <f t="array" aca="1" ref="H93" ca="1">IF(INDIRECT($A17&amp;"!E43")="Per Unit",NPV('Inputs and assumptions'!$C$5,(INDIRECT($A17&amp;"!F54:j54"))),NPV('Inputs and assumptions'!$C$5,(INDIRECT($A17&amp;"!F82:j82"))))</f>
        <v>0</v>
      </c>
      <c r="I93" s="59" cm="1">
        <f t="array" aca="1" ref="I93" ca="1">IF(INDIRECT($A17&amp;"!E43")="Per Unit",NPV('Inputs and assumptions'!$C$5,(INDIRECT($A17&amp;"!F55:j55"))),NPV('Inputs and assumptions'!$C$5,(INDIRECT($A17&amp;"!F83:j83"))))</f>
        <v>0</v>
      </c>
      <c r="J93" s="59" cm="1">
        <f t="array" aca="1" ref="J93" ca="1">IF(INDIRECT($A17&amp;"!E43")="Per Unit",NPV('Inputs and assumptions'!$C$5,(INDIRECT($A17&amp;"!F56:j56"))),NPV('Inputs and assumptions'!$C$5,(INDIRECT($A17&amp;"!F84:j84"))))</f>
        <v>0</v>
      </c>
      <c r="K93" s="483" cm="1">
        <f t="array" aca="1" ref="K93" ca="1">IF(INDIRECT($A17&amp;"!E43")="Per Unit",NPV('Inputs and assumptions'!$C$5,(INDIRECT($A17&amp;"!F57:j57"))),NPV('Inputs and assumptions'!$C$5,(INDIRECT($A17&amp;"!F85:j85"))))</f>
        <v>0</v>
      </c>
      <c r="L93" s="59" cm="1">
        <f t="array" aca="1" ref="L93" ca="1">IF(INDIRECT($A17&amp;"!E43")="Per Unit",NPV('Inputs and assumptions'!$C$5,(INDIRECT($A17&amp;"!F60:j60"))),NPV('Inputs and assumptions'!$C$5,(INDIRECT($A17&amp;"!F88:j88"))))</f>
        <v>0</v>
      </c>
      <c r="M93" s="483" cm="1">
        <f t="array" aca="1" ref="M93" ca="1">IF(INDIRECT($A17&amp;"!E43")="Per Unit",NPV('Inputs and assumptions'!$C$5,(INDIRECT($A17&amp;"!F61:j61"))),NPV('Inputs and assumptions'!$C$5,(INDIRECT($A17&amp;"!F89:j89"))))</f>
        <v>0</v>
      </c>
      <c r="N93" s="59" cm="1">
        <f t="array" aca="1" ref="N93" ca="1">IF(INDIRECT($A17&amp;"!E43")="Per Unit",NPV('Inputs and assumptions'!$C$5,(INDIRECT($A17&amp;"!F64:j64"))),NPV('Inputs and assumptions'!$C$5,(INDIRECT($A17&amp;"!F92:j92"))))</f>
        <v>1945877.171514408</v>
      </c>
      <c r="O93" s="59" cm="1">
        <f t="array" aca="1" ref="O93" ca="1">IF(INDIRECT($A17&amp;"!E43")="Per Unit",NPV('Inputs and assumptions'!$C$5,(INDIRECT($A17&amp;"!F65:j65"))),NPV('Inputs and assumptions'!$C$5,(INDIRECT($A17&amp;"!F93:j93"))))</f>
        <v>0</v>
      </c>
      <c r="P93" s="59" cm="1">
        <f t="array" aca="1" ref="P93" ca="1">IF(INDIRECT($A17&amp;"!E43")="Per Unit",NPV('Inputs and assumptions'!$C$5,(INDIRECT($A17&amp;"!F66:j66"))),NPV('Inputs and assumptions'!$C$5,(INDIRECT($A17&amp;"!F94:j94"))))</f>
        <v>0</v>
      </c>
      <c r="Q93" s="59" cm="1">
        <f t="array" aca="1" ref="Q93" ca="1">IF(INDIRECT($A17&amp;"!E43")="Per Unit",NPV('Inputs and assumptions'!$C$5,(INDIRECT($A17&amp;"!F67:j67"))),NPV('Inputs and assumptions'!$C$5,(INDIRECT($A17&amp;"!F95:j95"))))</f>
        <v>0</v>
      </c>
      <c r="R93" s="59" cm="1">
        <f t="array" aca="1" ref="R93" ca="1">IF(INDIRECT($A17&amp;"!E43")="Per Unit",NPV('Inputs and assumptions'!$C$5,(INDIRECT($A17&amp;"!F68:j68"))),NPV('Inputs and assumptions'!$C$5,(INDIRECT($A17&amp;"!F96:j96"))))</f>
        <v>9266.0817691162283</v>
      </c>
      <c r="S93" s="59" cm="1">
        <f t="array" aca="1" ref="S93" ca="1">IF(INDIRECT($A17&amp;"!E43")="Per Unit",NPV('Inputs and assumptions'!$C$5,(INDIRECT($A17&amp;"!F69:j69"))),NPV('Inputs and assumptions'!$C$5,(INDIRECT($A17&amp;"!F97:j97"))))</f>
        <v>118142.5425562319</v>
      </c>
      <c r="T93" s="378" cm="1">
        <f t="array" aca="1" ref="T93" ca="1">IF(INDIRECT($A17&amp;"!E43")="Per Unit",NPV('Inputs and assumptions'!$C$5,(INDIRECT($A17&amp;"!F70:j70"))),NPV('Inputs and assumptions'!$C$5,(INDIRECT($A17&amp;"!F98:j98"))))</f>
        <v>0</v>
      </c>
    </row>
    <row r="94" spans="1:20" x14ac:dyDescent="0.35">
      <c r="A94" s="444" t="s">
        <v>179</v>
      </c>
      <c r="B94" s="382" cm="1">
        <f t="array" aca="1" ref="B94" ca="1">IF(INDIRECT($A18&amp;"!E43")="Per Unit",NPV('Inputs and assumptions'!$C$5,(INDIRECT($A18&amp;"!F46:j46"))),NPV('Inputs and assumptions'!$C$5,(INDIRECT($A18&amp;"!F74:j74"))))</f>
        <v>0</v>
      </c>
      <c r="C94" s="59" cm="1">
        <f t="array" aca="1" ref="C94" ca="1">IF(INDIRECT($A18&amp;"!E43")="Per Unit",NPV('Inputs and assumptions'!$C$5,(INDIRECT($A18&amp;"!F47:j47"))),NPV('Inputs and assumptions'!$C$5,(INDIRECT($A18&amp;"!F75:j75"))))</f>
        <v>0</v>
      </c>
      <c r="D94" s="59" cm="1">
        <f t="array" aca="1" ref="D94" ca="1">IF(INDIRECT($A18&amp;"!E43")="Per Unit",NPV('Inputs and assumptions'!$C$5,(INDIRECT($A18&amp;"!F48:j48"))),NPV('Inputs and assumptions'!$C$5,(INDIRECT($A18&amp;"!F76:j76"))))</f>
        <v>0</v>
      </c>
      <c r="E94" s="483" cm="1">
        <f t="array" aca="1" ref="E94" ca="1">IF(INDIRECT($A18&amp;"!E43")="Per Unit",NPV('Inputs and assumptions'!$C$5,(INDIRECT($A18&amp;"!F49:j49"))),NPV('Inputs and assumptions'!$C$5,(INDIRECT($A18&amp;"!F77:j77"))))</f>
        <v>0</v>
      </c>
      <c r="F94" s="59" cm="1">
        <f t="array" aca="1" ref="F94" ca="1">IF(INDIRECT($A18&amp;"!E43")="Per Unit",NPV('Inputs and assumptions'!$C$5,(INDIRECT($A18&amp;"!F52:j52"))),NPV('Inputs and assumptions'!$C$5,(INDIRECT($A18&amp;"!F80:j80"))))</f>
        <v>0</v>
      </c>
      <c r="G94" s="59" cm="1">
        <f t="array" aca="1" ref="G94" ca="1">IF(INDIRECT($A18&amp;"!E43")="Per Unit",NPV('Inputs and assumptions'!$C$5,(INDIRECT($A18&amp;"!F53:j53"))),NPV('Inputs and assumptions'!$C$5,(INDIRECT($A18&amp;"!F81:j81"))))</f>
        <v>835657.86380021379</v>
      </c>
      <c r="H94" s="59" cm="1">
        <f t="array" aca="1" ref="H94" ca="1">IF(INDIRECT($A18&amp;"!E43")="Per Unit",NPV('Inputs and assumptions'!$C$5,(INDIRECT($A18&amp;"!F54:j54"))),NPV('Inputs and assumptions'!$C$5,(INDIRECT($A18&amp;"!F82:j82"))))</f>
        <v>0</v>
      </c>
      <c r="I94" s="59" cm="1">
        <f t="array" aca="1" ref="I94" ca="1">IF(INDIRECT($A18&amp;"!E43")="Per Unit",NPV('Inputs and assumptions'!$C$5,(INDIRECT($A18&amp;"!F55:j55"))),NPV('Inputs and assumptions'!$C$5,(INDIRECT($A18&amp;"!F83:j83"))))</f>
        <v>1626865.841228076</v>
      </c>
      <c r="J94" s="59" cm="1">
        <f t="array" aca="1" ref="J94" ca="1">IF(INDIRECT($A18&amp;"!E43")="Per Unit",NPV('Inputs and assumptions'!$C$5,(INDIRECT($A18&amp;"!F56:j56"))),NPV('Inputs and assumptions'!$C$5,(INDIRECT($A18&amp;"!F84:j84"))))</f>
        <v>0</v>
      </c>
      <c r="K94" s="483" cm="1">
        <f t="array" aca="1" ref="K94" ca="1">IF(INDIRECT($A18&amp;"!E43")="Per Unit",NPV('Inputs and assumptions'!$C$5,(INDIRECT($A18&amp;"!F57:j57"))),NPV('Inputs and assumptions'!$C$5,(INDIRECT($A18&amp;"!F85:j85"))))</f>
        <v>0</v>
      </c>
      <c r="L94" s="59" cm="1">
        <f t="array" aca="1" ref="L94" ca="1">IF(INDIRECT($A18&amp;"!E43")="Per Unit",NPV('Inputs and assumptions'!$C$5,(INDIRECT($A18&amp;"!F60:j60"))),NPV('Inputs and assumptions'!$C$5,(INDIRECT($A18&amp;"!F88:j88"))))</f>
        <v>0</v>
      </c>
      <c r="M94" s="483" cm="1">
        <f t="array" aca="1" ref="M94" ca="1">IF(INDIRECT($A18&amp;"!E43")="Per Unit",NPV('Inputs and assumptions'!$C$5,(INDIRECT($A18&amp;"!F61:j61"))),NPV('Inputs and assumptions'!$C$5,(INDIRECT($A18&amp;"!F89:j89"))))</f>
        <v>0</v>
      </c>
      <c r="N94" s="59" cm="1">
        <f t="array" aca="1" ref="N94" ca="1">IF(INDIRECT($A18&amp;"!E43")="Per Unit",NPV('Inputs and assumptions'!$C$5,(INDIRECT($A18&amp;"!F64:j64"))),NPV('Inputs and assumptions'!$C$5,(INDIRECT($A18&amp;"!F92:j92"))))</f>
        <v>0</v>
      </c>
      <c r="O94" s="59" cm="1">
        <f t="array" aca="1" ref="O94" ca="1">IF(INDIRECT($A18&amp;"!E43")="Per Unit",NPV('Inputs and assumptions'!$C$5,(INDIRECT($A18&amp;"!F65:j65"))),NPV('Inputs and assumptions'!$C$5,(INDIRECT($A18&amp;"!F93:j93"))))</f>
        <v>0</v>
      </c>
      <c r="P94" s="59" cm="1">
        <f t="array" aca="1" ref="P94" ca="1">IF(INDIRECT($A18&amp;"!E43")="Per Unit",NPV('Inputs and assumptions'!$C$5,(INDIRECT($A18&amp;"!F66:j66"))),NPV('Inputs and assumptions'!$C$5,(INDIRECT($A18&amp;"!F94:j94"))))</f>
        <v>0</v>
      </c>
      <c r="Q94" s="59" cm="1">
        <f t="array" aca="1" ref="Q94" ca="1">IF(INDIRECT($A18&amp;"!E43")="Per Unit",NPV('Inputs and assumptions'!$C$5,(INDIRECT($A18&amp;"!F67:j67"))),NPV('Inputs and assumptions'!$C$5,(INDIRECT($A18&amp;"!F95:j95"))))</f>
        <v>0</v>
      </c>
      <c r="R94" s="59" cm="1">
        <f t="array" aca="1" ref="R94" ca="1">IF(INDIRECT($A18&amp;"!E43")="Per Unit",NPV('Inputs and assumptions'!$C$5,(INDIRECT($A18&amp;"!F68:j68"))),NPV('Inputs and assumptions'!$C$5,(INDIRECT($A18&amp;"!F96:j96"))))</f>
        <v>0</v>
      </c>
      <c r="S94" s="59" cm="1">
        <f t="array" aca="1" ref="S94" ca="1">IF(INDIRECT($A18&amp;"!E43")="Per Unit",NPV('Inputs and assumptions'!$C$5,(INDIRECT($A18&amp;"!F69:j69"))),NPV('Inputs and assumptions'!$C$5,(INDIRECT($A18&amp;"!F97:j97"))))</f>
        <v>0</v>
      </c>
      <c r="T94" s="378" cm="1">
        <f t="array" aca="1" ref="T94" ca="1">IF(INDIRECT($A18&amp;"!E43")="Per Unit",NPV('Inputs and assumptions'!$C$5,(INDIRECT($A18&amp;"!F70:j70"))),NPV('Inputs and assumptions'!$C$5,(INDIRECT($A18&amp;"!F98:j98"))))</f>
        <v>0</v>
      </c>
    </row>
    <row r="95" spans="1:20" x14ac:dyDescent="0.35">
      <c r="A95" s="444" t="s">
        <v>180</v>
      </c>
      <c r="B95" s="382" cm="1">
        <f t="array" aca="1" ref="B95" ca="1">IF(INDIRECT($A19&amp;"!E43")="Per Unit",NPV('Inputs and assumptions'!$C$5,(INDIRECT($A19&amp;"!F46:j46"))),NPV('Inputs and assumptions'!$C$5,(INDIRECT($A19&amp;"!F74:j74"))))</f>
        <v>165056.96188924229</v>
      </c>
      <c r="C95" s="59" cm="1">
        <f t="array" aca="1" ref="C95" ca="1">IF(INDIRECT($A19&amp;"!E43")="Per Unit",NPV('Inputs and assumptions'!$C$5,(INDIRECT($A19&amp;"!F47:j47"))),NPV('Inputs and assumptions'!$C$5,(INDIRECT($A19&amp;"!F75:j75"))))</f>
        <v>118706.39591984596</v>
      </c>
      <c r="D95" s="59" cm="1">
        <f t="array" aca="1" ref="D95" ca="1">IF(INDIRECT($A19&amp;"!E43")="Per Unit",NPV('Inputs and assumptions'!$C$5,(INDIRECT($A19&amp;"!F48:j48"))),NPV('Inputs and assumptions'!$C$5,(INDIRECT($A19&amp;"!F76:j76"))))</f>
        <v>23043.276089715895</v>
      </c>
      <c r="E95" s="483" cm="1">
        <f t="array" aca="1" ref="E95" ca="1">IF(INDIRECT($A19&amp;"!E43")="Per Unit",NPV('Inputs and assumptions'!$C$5,(INDIRECT($A19&amp;"!F49:j49"))),NPV('Inputs and assumptions'!$C$5,(INDIRECT($A19&amp;"!F77:j77"))))</f>
        <v>0</v>
      </c>
      <c r="F95" s="59" cm="1">
        <f t="array" aca="1" ref="F95" ca="1">IF(INDIRECT($A19&amp;"!E43")="Per Unit",NPV('Inputs and assumptions'!$C$5,(INDIRECT($A19&amp;"!F52:j52"))),NPV('Inputs and assumptions'!$C$5,(INDIRECT($A19&amp;"!F80:j80"))))</f>
        <v>0</v>
      </c>
      <c r="G95" s="59" cm="1">
        <f t="array" aca="1" ref="G95" ca="1">IF(INDIRECT($A19&amp;"!E43")="Per Unit",NPV('Inputs and assumptions'!$C$5,(INDIRECT($A19&amp;"!F53:j53"))),NPV('Inputs and assumptions'!$C$5,(INDIRECT($A19&amp;"!F81:j81"))))</f>
        <v>0</v>
      </c>
      <c r="H95" s="59" cm="1">
        <f t="array" aca="1" ref="H95" ca="1">IF(INDIRECT($A19&amp;"!E43")="Per Unit",NPV('Inputs and assumptions'!$C$5,(INDIRECT($A19&amp;"!F54:j54"))),NPV('Inputs and assumptions'!$C$5,(INDIRECT($A19&amp;"!F82:j82"))))</f>
        <v>0</v>
      </c>
      <c r="I95" s="59" cm="1">
        <f t="array" aca="1" ref="I95" ca="1">IF(INDIRECT($A19&amp;"!E43")="Per Unit",NPV('Inputs and assumptions'!$C$5,(INDIRECT($A19&amp;"!F55:j55"))),NPV('Inputs and assumptions'!$C$5,(INDIRECT($A19&amp;"!F83:j83"))))</f>
        <v>0</v>
      </c>
      <c r="J95" s="59" cm="1">
        <f t="array" aca="1" ref="J95" ca="1">IF(INDIRECT($A19&amp;"!E43")="Per Unit",NPV('Inputs and assumptions'!$C$5,(INDIRECT($A19&amp;"!F56:j56"))),NPV('Inputs and assumptions'!$C$5,(INDIRECT($A19&amp;"!F84:j84"))))</f>
        <v>0</v>
      </c>
      <c r="K95" s="483" cm="1">
        <f t="array" aca="1" ref="K95" ca="1">IF(INDIRECT($A19&amp;"!E43")="Per Unit",NPV('Inputs and assumptions'!$C$5,(INDIRECT($A19&amp;"!F57:j57"))),NPV('Inputs and assumptions'!$C$5,(INDIRECT($A19&amp;"!F85:j85"))))</f>
        <v>0</v>
      </c>
      <c r="L95" s="59" cm="1">
        <f t="array" aca="1" ref="L95" ca="1">IF(INDIRECT($A19&amp;"!E43")="Per Unit",NPV('Inputs and assumptions'!$C$5,(INDIRECT($A19&amp;"!F60:j60"))),NPV('Inputs and assumptions'!$C$5,(INDIRECT($A19&amp;"!F88:j88"))))</f>
        <v>0</v>
      </c>
      <c r="M95" s="483" cm="1">
        <f t="array" aca="1" ref="M95" ca="1">IF(INDIRECT($A19&amp;"!E43")="Per Unit",NPV('Inputs and assumptions'!$C$5,(INDIRECT($A19&amp;"!F61:j61"))),NPV('Inputs and assumptions'!$C$5,(INDIRECT($A19&amp;"!F89:j89"))))</f>
        <v>0</v>
      </c>
      <c r="N95" s="59" cm="1">
        <f t="array" aca="1" ref="N95" ca="1">IF(INDIRECT($A19&amp;"!E43")="Per Unit",NPV('Inputs and assumptions'!$C$5,(INDIRECT($A19&amp;"!F64:j64"))),NPV('Inputs and assumptions'!$C$5,(INDIRECT($A19&amp;"!F92:j92"))))</f>
        <v>284932.29970644426</v>
      </c>
      <c r="O95" s="59" cm="1">
        <f t="array" aca="1" ref="O95" ca="1">IF(INDIRECT($A19&amp;"!E43")="Per Unit",NPV('Inputs and assumptions'!$C$5,(INDIRECT($A19&amp;"!F65:j65"))),NPV('Inputs and assumptions'!$C$5,(INDIRECT($A19&amp;"!F93:j93"))))</f>
        <v>0</v>
      </c>
      <c r="P95" s="59" cm="1">
        <f t="array" aca="1" ref="P95" ca="1">IF(INDIRECT($A19&amp;"!E43")="Per Unit",NPV('Inputs and assumptions'!$C$5,(INDIRECT($A19&amp;"!F66:j66"))),NPV('Inputs and assumptions'!$C$5,(INDIRECT($A19&amp;"!F94:j94"))))</f>
        <v>0</v>
      </c>
      <c r="Q95" s="59" cm="1">
        <f t="array" aca="1" ref="Q95" ca="1">IF(INDIRECT($A19&amp;"!E43")="Per Unit",NPV('Inputs and assumptions'!$C$5,(INDIRECT($A19&amp;"!F67:j67"))),NPV('Inputs and assumptions'!$C$5,(INDIRECT($A19&amp;"!F95:j95"))))</f>
        <v>0</v>
      </c>
      <c r="R95" s="59" cm="1">
        <f t="array" aca="1" ref="R95" ca="1">IF(INDIRECT($A19&amp;"!E43")="Per Unit",NPV('Inputs and assumptions'!$C$5,(INDIRECT($A19&amp;"!F68:j68"))),NPV('Inputs and assumptions'!$C$5,(INDIRECT($A19&amp;"!F96:j96"))))</f>
        <v>0</v>
      </c>
      <c r="S95" s="59" cm="1">
        <f t="array" aca="1" ref="S95" ca="1">IF(INDIRECT($A19&amp;"!E43")="Per Unit",NPV('Inputs and assumptions'!$C$5,(INDIRECT($A19&amp;"!F69:j69"))),NPV('Inputs and assumptions'!$C$5,(INDIRECT($A19&amp;"!F97:j97"))))</f>
        <v>0</v>
      </c>
      <c r="T95" s="378" cm="1">
        <f t="array" aca="1" ref="T95" ca="1">IF(INDIRECT($A19&amp;"!E43")="Per Unit",NPV('Inputs and assumptions'!$C$5,(INDIRECT($A19&amp;"!F70:j70"))),NPV('Inputs and assumptions'!$C$5,(INDIRECT($A19&amp;"!F98:j98"))))</f>
        <v>0</v>
      </c>
    </row>
    <row r="96" spans="1:20" x14ac:dyDescent="0.35">
      <c r="A96" s="444" t="s">
        <v>181</v>
      </c>
      <c r="B96" s="382" cm="1">
        <f t="array" aca="1" ref="B96" ca="1">IF(INDIRECT($A20&amp;"!E43")="Per Unit",NPV('Inputs and assumptions'!$C$5,(INDIRECT($A20&amp;"!F46:j46"))),NPV('Inputs and assumptions'!$C$5,(INDIRECT($A20&amp;"!F74:j74"))))</f>
        <v>10647.507455809024</v>
      </c>
      <c r="C96" s="59" cm="1">
        <f t="array" aca="1" ref="C96" ca="1">IF(INDIRECT($A20&amp;"!E43")="Per Unit",NPV('Inputs and assumptions'!$C$5,(INDIRECT($A20&amp;"!F47:j47"))),NPV('Inputs and assumptions'!$C$5,(INDIRECT($A20&amp;"!F75:j75"))))</f>
        <v>0</v>
      </c>
      <c r="D96" s="59" cm="1">
        <f t="array" aca="1" ref="D96" ca="1">IF(INDIRECT($A20&amp;"!E43")="Per Unit",NPV('Inputs and assumptions'!$C$5,(INDIRECT($A20&amp;"!F48:j48"))),NPV('Inputs and assumptions'!$C$5,(INDIRECT($A20&amp;"!F76:j76"))))</f>
        <v>1486.4774630721402</v>
      </c>
      <c r="E96" s="483" cm="1">
        <f t="array" aca="1" ref="E96" ca="1">IF(INDIRECT($A20&amp;"!E43")="Per Unit",NPV('Inputs and assumptions'!$C$5,(INDIRECT($A20&amp;"!F49:j49"))),NPV('Inputs and assumptions'!$C$5,(INDIRECT($A20&amp;"!F77:j77"))))</f>
        <v>0</v>
      </c>
      <c r="F96" s="59" cm="1">
        <f t="array" aca="1" ref="F96" ca="1">IF(INDIRECT($A20&amp;"!E43")="Per Unit",NPV('Inputs and assumptions'!$C$5,(INDIRECT($A20&amp;"!F52:j52"))),NPV('Inputs and assumptions'!$C$5,(INDIRECT($A20&amp;"!F80:j80"))))</f>
        <v>0</v>
      </c>
      <c r="G96" s="59" cm="1">
        <f t="array" aca="1" ref="G96" ca="1">IF(INDIRECT($A20&amp;"!E43")="Per Unit",NPV('Inputs and assumptions'!$C$5,(INDIRECT($A20&amp;"!F53:j53"))),NPV('Inputs and assumptions'!$C$5,(INDIRECT($A20&amp;"!F81:j81"))))</f>
        <v>0</v>
      </c>
      <c r="H96" s="59" cm="1">
        <f t="array" aca="1" ref="H96" ca="1">IF(INDIRECT($A20&amp;"!E43")="Per Unit",NPV('Inputs and assumptions'!$C$5,(INDIRECT($A20&amp;"!F54:j54"))),NPV('Inputs and assumptions'!$C$5,(INDIRECT($A20&amp;"!F82:j82"))))</f>
        <v>0</v>
      </c>
      <c r="I96" s="59" cm="1">
        <f t="array" aca="1" ref="I96" ca="1">IF(INDIRECT($A20&amp;"!E43")="Per Unit",NPV('Inputs and assumptions'!$C$5,(INDIRECT($A20&amp;"!F55:j55"))),NPV('Inputs and assumptions'!$C$5,(INDIRECT($A20&amp;"!F83:j83"))))</f>
        <v>0</v>
      </c>
      <c r="J96" s="59" cm="1">
        <f t="array" aca="1" ref="J96" ca="1">IF(INDIRECT($A20&amp;"!E43")="Per Unit",NPV('Inputs and assumptions'!$C$5,(INDIRECT($A20&amp;"!F56:j56"))),NPV('Inputs and assumptions'!$C$5,(INDIRECT($A20&amp;"!F84:j84"))))</f>
        <v>0</v>
      </c>
      <c r="K96" s="483" cm="1">
        <f t="array" aca="1" ref="K96" ca="1">IF(INDIRECT($A20&amp;"!E43")="Per Unit",NPV('Inputs and assumptions'!$C$5,(INDIRECT($A20&amp;"!F57:j57"))),NPV('Inputs and assumptions'!$C$5,(INDIRECT($A20&amp;"!F85:j85"))))</f>
        <v>0</v>
      </c>
      <c r="L96" s="59" cm="1">
        <f t="array" aca="1" ref="L96" ca="1">IF(INDIRECT($A20&amp;"!E43")="Per Unit",NPV('Inputs and assumptions'!$C$5,(INDIRECT($A20&amp;"!F60:j60"))),NPV('Inputs and assumptions'!$C$5,(INDIRECT($A20&amp;"!F88:j88"))))</f>
        <v>0</v>
      </c>
      <c r="M96" s="483" cm="1">
        <f t="array" aca="1" ref="M96" ca="1">IF(INDIRECT($A20&amp;"!E43")="Per Unit",NPV('Inputs and assumptions'!$C$5,(INDIRECT($A20&amp;"!F61:j61"))),NPV('Inputs and assumptions'!$C$5,(INDIRECT($A20&amp;"!F89:j89"))))</f>
        <v>87525.881708901346</v>
      </c>
      <c r="N96" s="59" cm="1">
        <f t="array" aca="1" ref="N96" ca="1">IF(INDIRECT($A20&amp;"!E43")="Per Unit",NPV('Inputs and assumptions'!$C$5,(INDIRECT($A20&amp;"!F64:j64"))),NPV('Inputs and assumptions'!$C$5,(INDIRECT($A20&amp;"!F92:j92"))))</f>
        <v>183804.35158869284</v>
      </c>
      <c r="O96" s="59" cm="1">
        <f t="array" aca="1" ref="O96" ca="1">IF(INDIRECT($A20&amp;"!E43")="Per Unit",NPV('Inputs and assumptions'!$C$5,(INDIRECT($A20&amp;"!F65:j65"))),NPV('Inputs and assumptions'!$C$5,(INDIRECT($A20&amp;"!F93:j93"))))</f>
        <v>0</v>
      </c>
      <c r="P96" s="59" cm="1">
        <f t="array" aca="1" ref="P96" ca="1">IF(INDIRECT($A20&amp;"!E43")="Per Unit",NPV('Inputs and assumptions'!$C$5,(INDIRECT($A20&amp;"!F66:j66"))),NPV('Inputs and assumptions'!$C$5,(INDIRECT($A20&amp;"!F94:j94"))))</f>
        <v>0</v>
      </c>
      <c r="Q96" s="59" cm="1">
        <f t="array" aca="1" ref="Q96" ca="1">IF(INDIRECT($A20&amp;"!E43")="Per Unit",NPV('Inputs and assumptions'!$C$5,(INDIRECT($A20&amp;"!F67:j67"))),NPV('Inputs and assumptions'!$C$5,(INDIRECT($A20&amp;"!F95:j95"))))</f>
        <v>0</v>
      </c>
      <c r="R96" s="59" cm="1">
        <f t="array" aca="1" ref="R96" ca="1">IF(INDIRECT($A20&amp;"!E43")="Per Unit",NPV('Inputs and assumptions'!$C$5,(INDIRECT($A20&amp;"!F68:j68"))),NPV('Inputs and assumptions'!$C$5,(INDIRECT($A20&amp;"!F96:j96"))))</f>
        <v>0</v>
      </c>
      <c r="S96" s="59" cm="1">
        <f t="array" aca="1" ref="S96" ca="1">IF(INDIRECT($A20&amp;"!E43")="Per Unit",NPV('Inputs and assumptions'!$C$5,(INDIRECT($A20&amp;"!F69:j69"))),NPV('Inputs and assumptions'!$C$5,(INDIRECT($A20&amp;"!F97:j97"))))</f>
        <v>0</v>
      </c>
      <c r="T96" s="378" cm="1">
        <f t="array" aca="1" ref="T96" ca="1">IF(INDIRECT($A20&amp;"!E43")="Per Unit",NPV('Inputs and assumptions'!$C$5,(INDIRECT($A20&amp;"!F70:j70"))),NPV('Inputs and assumptions'!$C$5,(INDIRECT($A20&amp;"!F98:j98"))))</f>
        <v>0</v>
      </c>
    </row>
    <row r="97" spans="1:20" x14ac:dyDescent="0.35">
      <c r="A97" s="444" t="s">
        <v>182</v>
      </c>
      <c r="B97" s="382" cm="1">
        <f t="array" aca="1" ref="B97" ca="1">IF(INDIRECT($A21&amp;"!E43")="Per Unit",NPV('Inputs and assumptions'!$C$5,(INDIRECT($A21&amp;"!F46:j46"))),NPV('Inputs and assumptions'!$C$5,(INDIRECT($A21&amp;"!F74:j74"))))</f>
        <v>0</v>
      </c>
      <c r="C97" s="59" cm="1">
        <f t="array" aca="1" ref="C97" ca="1">IF(INDIRECT($A21&amp;"!E43")="Per Unit",NPV('Inputs and assumptions'!$C$5,(INDIRECT($A21&amp;"!F47:j47"))),NPV('Inputs and assumptions'!$C$5,(INDIRECT($A21&amp;"!F75:j75"))))</f>
        <v>0</v>
      </c>
      <c r="D97" s="59" cm="1">
        <f t="array" aca="1" ref="D97" ca="1">IF(INDIRECT($A21&amp;"!E43")="Per Unit",NPV('Inputs and assumptions'!$C$5,(INDIRECT($A21&amp;"!F48:j48"))),NPV('Inputs and assumptions'!$C$5,(INDIRECT($A21&amp;"!F76:j76"))))</f>
        <v>0</v>
      </c>
      <c r="E97" s="483" cm="1">
        <f t="array" aca="1" ref="E97" ca="1">IF(INDIRECT($A21&amp;"!E43")="Per Unit",NPV('Inputs and assumptions'!$C$5,(INDIRECT($A21&amp;"!F49:j49"))),NPV('Inputs and assumptions'!$C$5,(INDIRECT($A21&amp;"!F77:j77"))))</f>
        <v>0</v>
      </c>
      <c r="F97" s="59" cm="1">
        <f t="array" aca="1" ref="F97" ca="1">IF(INDIRECT($A21&amp;"!E43")="Per Unit",NPV('Inputs and assumptions'!$C$5,(INDIRECT($A21&amp;"!F52:j52"))),NPV('Inputs and assumptions'!$C$5,(INDIRECT($A21&amp;"!F80:j80"))))</f>
        <v>0</v>
      </c>
      <c r="G97" s="59" cm="1">
        <f t="array" aca="1" ref="G97" ca="1">IF(INDIRECT($A21&amp;"!E43")="Per Unit",NPV('Inputs and assumptions'!$C$5,(INDIRECT($A21&amp;"!F53:j53"))),NPV('Inputs and assumptions'!$C$5,(INDIRECT($A21&amp;"!F81:j81"))))</f>
        <v>835657.86380021379</v>
      </c>
      <c r="H97" s="59" cm="1">
        <f t="array" aca="1" ref="H97" ca="1">IF(INDIRECT($A21&amp;"!E43")="Per Unit",NPV('Inputs and assumptions'!$C$5,(INDIRECT($A21&amp;"!F54:j54"))),NPV('Inputs and assumptions'!$C$5,(INDIRECT($A21&amp;"!F82:j82"))))</f>
        <v>0</v>
      </c>
      <c r="I97" s="59" cm="1">
        <f t="array" aca="1" ref="I97" ca="1">IF(INDIRECT($A21&amp;"!E43")="Per Unit",NPV('Inputs and assumptions'!$C$5,(INDIRECT($A21&amp;"!F55:j55"))),NPV('Inputs and assumptions'!$C$5,(INDIRECT($A21&amp;"!F83:j83"))))</f>
        <v>0</v>
      </c>
      <c r="J97" s="59" cm="1">
        <f t="array" aca="1" ref="J97" ca="1">IF(INDIRECT($A21&amp;"!E43")="Per Unit",NPV('Inputs and assumptions'!$C$5,(INDIRECT($A21&amp;"!F56:j56"))),NPV('Inputs and assumptions'!$C$5,(INDIRECT($A21&amp;"!F84:j84"))))</f>
        <v>0</v>
      </c>
      <c r="K97" s="483" cm="1">
        <f t="array" aca="1" ref="K97" ca="1">IF(INDIRECT($A21&amp;"!E43")="Per Unit",NPV('Inputs and assumptions'!$C$5,(INDIRECT($A21&amp;"!F57:j57"))),NPV('Inputs and assumptions'!$C$5,(INDIRECT($A21&amp;"!F85:j85"))))</f>
        <v>0</v>
      </c>
      <c r="L97" s="59" cm="1">
        <f t="array" aca="1" ref="L97" ca="1">IF(INDIRECT($A21&amp;"!E43")="Per Unit",NPV('Inputs and assumptions'!$C$5,(INDIRECT($A21&amp;"!F60:j60"))),NPV('Inputs and assumptions'!$C$5,(INDIRECT($A21&amp;"!F88:j88"))))</f>
        <v>0</v>
      </c>
      <c r="M97" s="483" cm="1">
        <f t="array" aca="1" ref="M97" ca="1">IF(INDIRECT($A21&amp;"!E43")="Per Unit",NPV('Inputs and assumptions'!$C$5,(INDIRECT($A21&amp;"!F61:j61"))),NPV('Inputs and assumptions'!$C$5,(INDIRECT($A21&amp;"!F89:j89"))))</f>
        <v>533398.63646822155</v>
      </c>
      <c r="N97" s="59" cm="1">
        <f t="array" aca="1" ref="N97" ca="1">IF(INDIRECT($A21&amp;"!E43")="Per Unit",NPV('Inputs and assumptions'!$C$5,(INDIRECT($A21&amp;"!F64:j64"))),NPV('Inputs and assumptions'!$C$5,(INDIRECT($A21&amp;"!F92:j92"))))</f>
        <v>8961097.0926661231</v>
      </c>
      <c r="O97" s="59" cm="1">
        <f t="array" aca="1" ref="O97" ca="1">IF(INDIRECT($A21&amp;"!E43")="Per Unit",NPV('Inputs and assumptions'!$C$5,(INDIRECT($A21&amp;"!F65:j65"))),NPV('Inputs and assumptions'!$C$5,(INDIRECT($A21&amp;"!F93:j93"))))</f>
        <v>0</v>
      </c>
      <c r="P97" s="59" cm="1">
        <f t="array" aca="1" ref="P97" ca="1">IF(INDIRECT($A21&amp;"!E43")="Per Unit",NPV('Inputs and assumptions'!$C$5,(INDIRECT($A21&amp;"!F66:j66"))),NPV('Inputs and assumptions'!$C$5,(INDIRECT($A21&amp;"!F94:j94"))))</f>
        <v>0</v>
      </c>
      <c r="Q97" s="59" cm="1">
        <f t="array" aca="1" ref="Q97" ca="1">IF(INDIRECT($A21&amp;"!E43")="Per Unit",NPV('Inputs and assumptions'!$C$5,(INDIRECT($A21&amp;"!F67:j67"))),NPV('Inputs and assumptions'!$C$5,(INDIRECT($A21&amp;"!F95:j95"))))</f>
        <v>0</v>
      </c>
      <c r="R97" s="59" cm="1">
        <f t="array" aca="1" ref="R97" ca="1">IF(INDIRECT($A21&amp;"!E43")="Per Unit",NPV('Inputs and assumptions'!$C$5,(INDIRECT($A21&amp;"!F68:j68"))),NPV('Inputs and assumptions'!$C$5,(INDIRECT($A21&amp;"!F96:j96"))))</f>
        <v>0</v>
      </c>
      <c r="S97" s="59" cm="1">
        <f t="array" aca="1" ref="S97" ca="1">IF(INDIRECT($A21&amp;"!E43")="Per Unit",NPV('Inputs and assumptions'!$C$5,(INDIRECT($A21&amp;"!F69:j69"))),NPV('Inputs and assumptions'!$C$5,(INDIRECT($A21&amp;"!F97:j97"))))</f>
        <v>0</v>
      </c>
      <c r="T97" s="378" cm="1">
        <f t="array" aca="1" ref="T97" ca="1">IF(INDIRECT($A21&amp;"!E43")="Per Unit",NPV('Inputs and assumptions'!$C$5,(INDIRECT($A21&amp;"!F70:j70"))),NPV('Inputs and assumptions'!$C$5,(INDIRECT($A21&amp;"!F98:j98"))))</f>
        <v>0</v>
      </c>
    </row>
    <row r="98" spans="1:20" x14ac:dyDescent="0.35">
      <c r="A98" s="444" t="s">
        <v>183</v>
      </c>
      <c r="B98" s="382" cm="1">
        <f t="array" aca="1" ref="B98" ca="1">IF(INDIRECT($A22&amp;"!E43")="Per Unit",NPV('Inputs and assumptions'!$C$5,(INDIRECT($A22&amp;"!F46:j46"))),NPV('Inputs and assumptions'!$C$5,(INDIRECT($A22&amp;"!F74:j74"))))</f>
        <v>147416.32723450509</v>
      </c>
      <c r="C98" s="59" cm="1">
        <f t="array" aca="1" ref="C98" ca="1">IF(INDIRECT($A22&amp;"!E43")="Per Unit",NPV('Inputs and assumptions'!$C$5,(INDIRECT($A22&amp;"!F47:j47"))),NPV('Inputs and assumptions'!$C$5,(INDIRECT($A22&amp;"!F75:j75"))))</f>
        <v>106019.52626203804</v>
      </c>
      <c r="D98" s="59" cm="1">
        <f t="array" aca="1" ref="D98" ca="1">IF(INDIRECT($A22&amp;"!E43")="Per Unit",NPV('Inputs and assumptions'!$C$5,(INDIRECT($A22&amp;"!F48:j48"))),NPV('Inputs and assumptions'!$C$5,(INDIRECT($A22&amp;"!F76:j76"))))</f>
        <v>20580.501965594493</v>
      </c>
      <c r="E98" s="483" cm="1">
        <f t="array" aca="1" ref="E98" ca="1">IF(INDIRECT($A22&amp;"!E43")="Per Unit",NPV('Inputs and assumptions'!$C$5,(INDIRECT($A22&amp;"!F49:j49"))),NPV('Inputs and assumptions'!$C$5,(INDIRECT($A22&amp;"!F77:j77"))))</f>
        <v>0</v>
      </c>
      <c r="F98" s="59" cm="1">
        <f t="array" aca="1" ref="F98" ca="1">IF(INDIRECT($A22&amp;"!E43")="Per Unit",NPV('Inputs and assumptions'!$C$5,(INDIRECT($A22&amp;"!F52:j52"))),NPV('Inputs and assumptions'!$C$5,(INDIRECT($A22&amp;"!F80:j80"))))</f>
        <v>0</v>
      </c>
      <c r="G98" s="59" cm="1">
        <f t="array" aca="1" ref="G98" ca="1">IF(INDIRECT($A22&amp;"!E43")="Per Unit",NPV('Inputs and assumptions'!$C$5,(INDIRECT($A22&amp;"!F53:j53"))),NPV('Inputs and assumptions'!$C$5,(INDIRECT($A22&amp;"!F81:j81"))))</f>
        <v>0</v>
      </c>
      <c r="H98" s="59" cm="1">
        <f t="array" aca="1" ref="H98" ca="1">IF(INDIRECT($A22&amp;"!E43")="Per Unit",NPV('Inputs and assumptions'!$C$5,(INDIRECT($A22&amp;"!F54:j54"))),NPV('Inputs and assumptions'!$C$5,(INDIRECT($A22&amp;"!F82:j82"))))</f>
        <v>42380.995681955064</v>
      </c>
      <c r="I98" s="59" cm="1">
        <f t="array" aca="1" ref="I98" ca="1">IF(INDIRECT($A22&amp;"!E43")="Per Unit",NPV('Inputs and assumptions'!$C$5,(INDIRECT($A22&amp;"!F55:j55"))),NPV('Inputs and assumptions'!$C$5,(INDIRECT($A22&amp;"!F83:j83"))))</f>
        <v>1232005.688428926</v>
      </c>
      <c r="J98" s="59" cm="1">
        <f t="array" aca="1" ref="J98" ca="1">IF(INDIRECT($A22&amp;"!E43")="Per Unit",NPV('Inputs and assumptions'!$C$5,(INDIRECT($A22&amp;"!F56:j56"))),NPV('Inputs and assumptions'!$C$5,(INDIRECT($A22&amp;"!F84:j84"))))</f>
        <v>0</v>
      </c>
      <c r="K98" s="483" cm="1">
        <f t="array" aca="1" ref="K98" ca="1">IF(INDIRECT($A22&amp;"!E43")="Per Unit",NPV('Inputs and assumptions'!$C$5,(INDIRECT($A22&amp;"!F57:j57"))),NPV('Inputs and assumptions'!$C$5,(INDIRECT($A22&amp;"!F85:j85"))))</f>
        <v>34334.584759494661</v>
      </c>
      <c r="L98" s="59" cm="1">
        <f t="array" aca="1" ref="L98" ca="1">IF(INDIRECT($A22&amp;"!E43")="Per Unit",NPV('Inputs and assumptions'!$C$5,(INDIRECT($A22&amp;"!F60:j60"))),NPV('Inputs and assumptions'!$C$5,(INDIRECT($A22&amp;"!F88:j88"))))</f>
        <v>0</v>
      </c>
      <c r="M98" s="483" cm="1">
        <f t="array" aca="1" ref="M98" ca="1">IF(INDIRECT($A22&amp;"!E43")="Per Unit",NPV('Inputs and assumptions'!$C$5,(INDIRECT($A22&amp;"!F61:j61"))),NPV('Inputs and assumptions'!$C$5,(INDIRECT($A22&amp;"!F89:j89"))))</f>
        <v>0</v>
      </c>
      <c r="N98" s="59" cm="1">
        <f t="array" aca="1" ref="N98" ca="1">IF(INDIRECT($A22&amp;"!E43")="Per Unit",NPV('Inputs and assumptions'!$C$5,(INDIRECT($A22&amp;"!F64:j64"))),NPV('Inputs and assumptions'!$C$5,(INDIRECT($A22&amp;"!F92:j92"))))</f>
        <v>0</v>
      </c>
      <c r="O98" s="59" cm="1">
        <f t="array" aca="1" ref="O98" ca="1">IF(INDIRECT($A22&amp;"!E43")="Per Unit",NPV('Inputs and assumptions'!$C$5,(INDIRECT($A22&amp;"!F65:j65"))),NPV('Inputs and assumptions'!$C$5,(INDIRECT($A22&amp;"!F93:j93"))))</f>
        <v>0</v>
      </c>
      <c r="P98" s="59" cm="1">
        <f t="array" aca="1" ref="P98" ca="1">IF(INDIRECT($A22&amp;"!E43")="Per Unit",NPV('Inputs and assumptions'!$C$5,(INDIRECT($A22&amp;"!F66:j66"))),NPV('Inputs and assumptions'!$C$5,(INDIRECT($A22&amp;"!F94:j94"))))</f>
        <v>0</v>
      </c>
      <c r="Q98" s="59" cm="1">
        <f t="array" aca="1" ref="Q98" ca="1">IF(INDIRECT($A22&amp;"!E43")="Per Unit",NPV('Inputs and assumptions'!$C$5,(INDIRECT($A22&amp;"!F67:j67"))),NPV('Inputs and assumptions'!$C$5,(INDIRECT($A22&amp;"!F95:j95"))))</f>
        <v>0</v>
      </c>
      <c r="R98" s="59" cm="1">
        <f t="array" aca="1" ref="R98" ca="1">IF(INDIRECT($A22&amp;"!E43")="Per Unit",NPV('Inputs and assumptions'!$C$5,(INDIRECT($A22&amp;"!F68:j68"))),NPV('Inputs and assumptions'!$C$5,(INDIRECT($A22&amp;"!F96:j96"))))</f>
        <v>0</v>
      </c>
      <c r="S98" s="59" cm="1">
        <f t="array" aca="1" ref="S98" ca="1">IF(INDIRECT($A22&amp;"!E43")="Per Unit",NPV('Inputs and assumptions'!$C$5,(INDIRECT($A22&amp;"!F69:j69"))),NPV('Inputs and assumptions'!$C$5,(INDIRECT($A22&amp;"!F97:j97"))))</f>
        <v>0</v>
      </c>
      <c r="T98" s="378" cm="1">
        <f t="array" aca="1" ref="T98" ca="1">IF(INDIRECT($A22&amp;"!E43")="Per Unit",NPV('Inputs and assumptions'!$C$5,(INDIRECT($A22&amp;"!F70:j70"))),NPV('Inputs and assumptions'!$C$5,(INDIRECT($A22&amp;"!F98:j98"))))</f>
        <v>0</v>
      </c>
    </row>
    <row r="99" spans="1:20" x14ac:dyDescent="0.35">
      <c r="A99" s="444" t="s">
        <v>184</v>
      </c>
      <c r="B99" s="382" cm="1">
        <f t="array" aca="1" ref="B99" ca="1">IF(INDIRECT($A23&amp;"!E43")="Per Unit",NPV('Inputs and assumptions'!$C$5,(INDIRECT($A23&amp;"!F46:j46"))),NPV('Inputs and assumptions'!$C$5,(INDIRECT($A23&amp;"!F74:j74"))))</f>
        <v>1220851.3569060648</v>
      </c>
      <c r="C99" s="59" cm="1">
        <f t="array" aca="1" ref="C99" ca="1">IF(INDIRECT($A23&amp;"!E43")="Per Unit",NPV('Inputs and assumptions'!$C$5,(INDIRECT($A23&amp;"!F47:j47"))),NPV('Inputs and assumptions'!$C$5,(INDIRECT($A23&amp;"!F75:j75"))))</f>
        <v>1756034.5576870572</v>
      </c>
      <c r="D99" s="59" cm="1">
        <f t="array" aca="1" ref="D99" ca="1">IF(INDIRECT($A23&amp;"!E43")="Per Unit",NPV('Inputs and assumptions'!$C$5,(INDIRECT($A23&amp;"!F48:j48"))),NPV('Inputs and assumptions'!$C$5,(INDIRECT($A23&amp;"!F76:j76"))))</f>
        <v>170440.64400366435</v>
      </c>
      <c r="E99" s="483" cm="1">
        <f t="array" aca="1" ref="E99" ca="1">IF(INDIRECT($A23&amp;"!E43")="Per Unit",NPV('Inputs and assumptions'!$C$5,(INDIRECT($A23&amp;"!F49:j49"))),NPV('Inputs and assumptions'!$C$5,(INDIRECT($A23&amp;"!F77:j77"))))</f>
        <v>1052056.4294290445</v>
      </c>
      <c r="F99" s="59" cm="1">
        <f t="array" aca="1" ref="F99" ca="1">IF(INDIRECT($A23&amp;"!E43")="Per Unit",NPV('Inputs and assumptions'!$C$5,(INDIRECT($A23&amp;"!F52:j52"))),NPV('Inputs and assumptions'!$C$5,(INDIRECT($A23&amp;"!F80:j80"))))</f>
        <v>0</v>
      </c>
      <c r="G99" s="59" cm="1">
        <f t="array" aca="1" ref="G99" ca="1">IF(INDIRECT($A23&amp;"!E43")="Per Unit",NPV('Inputs and assumptions'!$C$5,(INDIRECT($A23&amp;"!F53:j53"))),NPV('Inputs and assumptions'!$C$5,(INDIRECT($A23&amp;"!F81:j81"))))</f>
        <v>0</v>
      </c>
      <c r="H99" s="59" cm="1">
        <f t="array" aca="1" ref="H99" ca="1">IF(INDIRECT($A23&amp;"!E43")="Per Unit",NPV('Inputs and assumptions'!$C$5,(INDIRECT($A23&amp;"!F54:j54"))),NPV('Inputs and assumptions'!$C$5,(INDIRECT($A23&amp;"!F82:j82"))))</f>
        <v>0</v>
      </c>
      <c r="I99" s="59" cm="1">
        <f t="array" aca="1" ref="I99" ca="1">IF(INDIRECT($A23&amp;"!E43")="Per Unit",NPV('Inputs and assumptions'!$C$5,(INDIRECT($A23&amp;"!F55:j55"))),NPV('Inputs and assumptions'!$C$5,(INDIRECT($A23&amp;"!F83:j83"))))</f>
        <v>0</v>
      </c>
      <c r="J99" s="59" cm="1">
        <f t="array" aca="1" ref="J99" ca="1">IF(INDIRECT($A23&amp;"!E43")="Per Unit",NPV('Inputs and assumptions'!$C$5,(INDIRECT($A23&amp;"!F56:j56"))),NPV('Inputs and assumptions'!$C$5,(INDIRECT($A23&amp;"!F84:j84"))))</f>
        <v>0</v>
      </c>
      <c r="K99" s="483" cm="1">
        <f t="array" aca="1" ref="K99" ca="1">IF(INDIRECT($A23&amp;"!E43")="Per Unit",NPV('Inputs and assumptions'!$C$5,(INDIRECT($A23&amp;"!F57:j57"))),NPV('Inputs and assumptions'!$C$5,(INDIRECT($A23&amp;"!F85:j85"))))</f>
        <v>0</v>
      </c>
      <c r="L99" s="59" cm="1">
        <f t="array" aca="1" ref="L99" ca="1">IF(INDIRECT($A23&amp;"!E43")="Per Unit",NPV('Inputs and assumptions'!$C$5,(INDIRECT($A23&amp;"!F60:j60"))),NPV('Inputs and assumptions'!$C$5,(INDIRECT($A23&amp;"!F88:j88"))))</f>
        <v>0</v>
      </c>
      <c r="M99" s="483" cm="1">
        <f t="array" aca="1" ref="M99" ca="1">IF(INDIRECT($A23&amp;"!E43")="Per Unit",NPV('Inputs and assumptions'!$C$5,(INDIRECT($A23&amp;"!F61:j61"))),NPV('Inputs and assumptions'!$C$5,(INDIRECT($A23&amp;"!F89:j89"))))</f>
        <v>0</v>
      </c>
      <c r="N99" s="59" cm="1">
        <f t="array" aca="1" ref="N99" ca="1">IF(INDIRECT($A23&amp;"!E43")="Per Unit",NPV('Inputs and assumptions'!$C$5,(INDIRECT($A23&amp;"!F64:j64"))),NPV('Inputs and assumptions'!$C$5,(INDIRECT($A23&amp;"!F92:j92"))))</f>
        <v>0</v>
      </c>
      <c r="O99" s="59" cm="1">
        <f t="array" aca="1" ref="O99" ca="1">IF(INDIRECT($A23&amp;"!E43")="Per Unit",NPV('Inputs and assumptions'!$C$5,(INDIRECT($A23&amp;"!F65:j65"))),NPV('Inputs and assumptions'!$C$5,(INDIRECT($A23&amp;"!F93:j93"))))</f>
        <v>0</v>
      </c>
      <c r="P99" s="59" cm="1">
        <f t="array" aca="1" ref="P99" ca="1">IF(INDIRECT($A23&amp;"!E43")="Per Unit",NPV('Inputs and assumptions'!$C$5,(INDIRECT($A23&amp;"!F66:j66"))),NPV('Inputs and assumptions'!$C$5,(INDIRECT($A23&amp;"!F94:j94"))))</f>
        <v>0</v>
      </c>
      <c r="Q99" s="59" cm="1">
        <f t="array" aca="1" ref="Q99" ca="1">IF(INDIRECT($A23&amp;"!E43")="Per Unit",NPV('Inputs and assumptions'!$C$5,(INDIRECT($A23&amp;"!F67:j67"))),NPV('Inputs and assumptions'!$C$5,(INDIRECT($A23&amp;"!F95:j95"))))</f>
        <v>0</v>
      </c>
      <c r="R99" s="59" cm="1">
        <f t="array" aca="1" ref="R99" ca="1">IF(INDIRECT($A23&amp;"!E43")="Per Unit",NPV('Inputs and assumptions'!$C$5,(INDIRECT($A23&amp;"!F68:j68"))),NPV('Inputs and assumptions'!$C$5,(INDIRECT($A23&amp;"!F96:j96"))))</f>
        <v>0</v>
      </c>
      <c r="S99" s="59" cm="1">
        <f t="array" aca="1" ref="S99" ca="1">IF(INDIRECT($A23&amp;"!E43")="Per Unit",NPV('Inputs and assumptions'!$C$5,(INDIRECT($A23&amp;"!F69:j69"))),NPV('Inputs and assumptions'!$C$5,(INDIRECT($A23&amp;"!F97:j97"))))</f>
        <v>0</v>
      </c>
      <c r="T99" s="378" cm="1">
        <f t="array" aca="1" ref="T99" ca="1">IF(INDIRECT($A23&amp;"!E43")="Per Unit",NPV('Inputs and assumptions'!$C$5,(INDIRECT($A23&amp;"!F70:j70"))),NPV('Inputs and assumptions'!$C$5,(INDIRECT($A23&amp;"!F98:j98"))))</f>
        <v>0</v>
      </c>
    </row>
    <row r="100" spans="1:20" x14ac:dyDescent="0.35">
      <c r="A100" s="444" t="s">
        <v>185</v>
      </c>
      <c r="B100" s="382" cm="1">
        <f t="array" aca="1" ref="B100" ca="1">IF(INDIRECT($A24&amp;"!E43")="Per Unit",NPV('Inputs and assumptions'!$C$5,(INDIRECT($A24&amp;"!F46:j46"))),NPV('Inputs and assumptions'!$C$5,(INDIRECT($A24&amp;"!F74:j74"))))</f>
        <v>12977.569257976789</v>
      </c>
      <c r="C100" s="59" cm="1">
        <f t="array" aca="1" ref="C100" ca="1">IF(INDIRECT($A24&amp;"!E43")="Per Unit",NPV('Inputs and assumptions'!$C$5,(INDIRECT($A24&amp;"!F47:j47"))),NPV('Inputs and assumptions'!$C$5,(INDIRECT($A24&amp;"!F75:j75"))))</f>
        <v>46666.328302115049</v>
      </c>
      <c r="D100" s="59" cm="1">
        <f t="array" aca="1" ref="D100" ca="1">IF(INDIRECT($A24&amp;"!E43")="Per Unit",NPV('Inputs and assumptions'!$C$5,(INDIRECT($A24&amp;"!F48:j48"))),NPV('Inputs and assumptions'!$C$5,(INDIRECT($A24&amp;"!F76:j76"))))</f>
        <v>9058.8639207365432</v>
      </c>
      <c r="E100" s="483" cm="1">
        <f t="array" aca="1" ref="E100" ca="1">IF(INDIRECT($A24&amp;"!E43")="Per Unit",NPV('Inputs and assumptions'!$C$5,(INDIRECT($A24&amp;"!F49:j49"))),NPV('Inputs and assumptions'!$C$5,(INDIRECT($A24&amp;"!F77:j77"))))</f>
        <v>55916.451658847189</v>
      </c>
      <c r="F100" s="59" cm="1">
        <f t="array" aca="1" ref="F100" ca="1">IF(INDIRECT($A24&amp;"!E43")="Per Unit",NPV('Inputs and assumptions'!$C$5,(INDIRECT($A24&amp;"!F52:j52"))),NPV('Inputs and assumptions'!$C$5,(INDIRECT($A24&amp;"!F80:j80"))))</f>
        <v>0</v>
      </c>
      <c r="G100" s="59" cm="1">
        <f t="array" aca="1" ref="G100" ca="1">IF(INDIRECT($A24&amp;"!E43")="Per Unit",NPV('Inputs and assumptions'!$C$5,(INDIRECT($A24&amp;"!F53:j53"))),NPV('Inputs and assumptions'!$C$5,(INDIRECT($A24&amp;"!F81:j81"))))</f>
        <v>0</v>
      </c>
      <c r="H100" s="59" cm="1">
        <f t="array" aca="1" ref="H100" ca="1">IF(INDIRECT($A24&amp;"!E43")="Per Unit",NPV('Inputs and assumptions'!$C$5,(INDIRECT($A24&amp;"!F54:j54"))),NPV('Inputs and assumptions'!$C$5,(INDIRECT($A24&amp;"!F82:j82"))))</f>
        <v>186547.28312748607</v>
      </c>
      <c r="I100" s="59" cm="1">
        <f t="array" aca="1" ref="I100" ca="1">IF(INDIRECT($A24&amp;"!E43")="Per Unit",NPV('Inputs and assumptions'!$C$5,(INDIRECT($A24&amp;"!F55:j55"))),NPV('Inputs and assumptions'!$C$5,(INDIRECT($A24&amp;"!F83:j83"))))</f>
        <v>0</v>
      </c>
      <c r="J100" s="59" cm="1">
        <f t="array" aca="1" ref="J100" ca="1">IF(INDIRECT($A24&amp;"!E43")="Per Unit",NPV('Inputs and assumptions'!$C$5,(INDIRECT($A24&amp;"!F56:j56"))),NPV('Inputs and assumptions'!$C$5,(INDIRECT($A24&amp;"!F84:j84"))))</f>
        <v>0</v>
      </c>
      <c r="K100" s="483" cm="1">
        <f t="array" aca="1" ref="K100" ca="1">IF(INDIRECT($A24&amp;"!E43")="Per Unit",NPV('Inputs and assumptions'!$C$5,(INDIRECT($A24&amp;"!F57:j57"))),NPV('Inputs and assumptions'!$C$5,(INDIRECT($A24&amp;"!F85:j85"))))</f>
        <v>151129.61366599612</v>
      </c>
      <c r="L100" s="59" cm="1">
        <f t="array" aca="1" ref="L100" ca="1">IF(INDIRECT($A24&amp;"!E43")="Per Unit",NPV('Inputs and assumptions'!$C$5,(INDIRECT($A24&amp;"!F60:j60"))),NPV('Inputs and assumptions'!$C$5,(INDIRECT($A24&amp;"!F88:j88"))))</f>
        <v>46583.480918224683</v>
      </c>
      <c r="M100" s="483" cm="1">
        <f t="array" aca="1" ref="M100" ca="1">IF(INDIRECT($A24&amp;"!E43")="Per Unit",NPV('Inputs and assumptions'!$C$5,(INDIRECT($A24&amp;"!F61:j61"))),NPV('Inputs and assumptions'!$C$5,(INDIRECT($A24&amp;"!F89:j89"))))</f>
        <v>10667.972729364432</v>
      </c>
      <c r="N100" s="59" cm="1">
        <f t="array" aca="1" ref="N100" ca="1">IF(INDIRECT($A24&amp;"!E43")="Per Unit",NPV('Inputs and assumptions'!$C$5,(INDIRECT($A24&amp;"!F64:j64"))),NPV('Inputs and assumptions'!$C$5,(INDIRECT($A24&amp;"!F92:j92"))))</f>
        <v>448054.85463330615</v>
      </c>
      <c r="O100" s="59" cm="1">
        <f t="array" aca="1" ref="O100" ca="1">IF(INDIRECT($A24&amp;"!E43")="Per Unit",NPV('Inputs and assumptions'!$C$5,(INDIRECT($A24&amp;"!F65:j65"))),NPV('Inputs and assumptions'!$C$5,(INDIRECT($A24&amp;"!F93:j93"))))</f>
        <v>0</v>
      </c>
      <c r="P100" s="59" cm="1">
        <f t="array" aca="1" ref="P100" ca="1">IF(INDIRECT($A24&amp;"!E43")="Per Unit",NPV('Inputs and assumptions'!$C$5,(INDIRECT($A24&amp;"!F66:j66"))),NPV('Inputs and assumptions'!$C$5,(INDIRECT($A24&amp;"!F94:j94"))))</f>
        <v>0</v>
      </c>
      <c r="Q100" s="59" cm="1">
        <f t="array" aca="1" ref="Q100" ca="1">IF(INDIRECT($A24&amp;"!E43")="Per Unit",NPV('Inputs and assumptions'!$C$5,(INDIRECT($A24&amp;"!F67:j67"))),NPV('Inputs and assumptions'!$C$5,(INDIRECT($A24&amp;"!F95:j95"))))</f>
        <v>0</v>
      </c>
      <c r="R100" s="59" cm="1">
        <f t="array" aca="1" ref="R100" ca="1">IF(INDIRECT($A24&amp;"!E43")="Per Unit",NPV('Inputs and assumptions'!$C$5,(INDIRECT($A24&amp;"!F68:j68"))),NPV('Inputs and assumptions'!$C$5,(INDIRECT($A24&amp;"!F96:j96"))))</f>
        <v>0</v>
      </c>
      <c r="S100" s="59" cm="1">
        <f t="array" aca="1" ref="S100" ca="1">IF(INDIRECT($A24&amp;"!E43")="Per Unit",NPV('Inputs and assumptions'!$C$5,(INDIRECT($A24&amp;"!F69:j69"))),NPV('Inputs and assumptions'!$C$5,(INDIRECT($A24&amp;"!F97:j97"))))</f>
        <v>0</v>
      </c>
      <c r="T100" s="378" cm="1">
        <f t="array" aca="1" ref="T100" ca="1">IF(INDIRECT($A24&amp;"!E43")="Per Unit",NPV('Inputs and assumptions'!$C$5,(INDIRECT($A24&amp;"!F70:j70"))),NPV('Inputs and assumptions'!$C$5,(INDIRECT($A24&amp;"!F98:j98"))))</f>
        <v>0</v>
      </c>
    </row>
    <row r="101" spans="1:20" x14ac:dyDescent="0.35">
      <c r="A101" s="444" t="s">
        <v>186</v>
      </c>
      <c r="B101" s="382" cm="1">
        <f t="array" aca="1" ref="B101" ca="1">IF(INDIRECT($A25&amp;"!E43")="Per Unit",NPV('Inputs and assumptions'!$C$5,(INDIRECT($A25&amp;"!F46:j46"))),NPV('Inputs and assumptions'!$C$5,(INDIRECT($A25&amp;"!F74:j74"))))</f>
        <v>0</v>
      </c>
      <c r="C101" s="59" cm="1">
        <f t="array" aca="1" ref="C101" ca="1">IF(INDIRECT($A25&amp;"!E43")="Per Unit",NPV('Inputs and assumptions'!$C$5,(INDIRECT($A25&amp;"!F47:j47"))),NPV('Inputs and assumptions'!$C$5,(INDIRECT($A25&amp;"!F75:j75"))))</f>
        <v>0</v>
      </c>
      <c r="D101" s="59" cm="1">
        <f t="array" aca="1" ref="D101" ca="1">IF(INDIRECT($A25&amp;"!E43")="Per Unit",NPV('Inputs and assumptions'!$C$5,(INDIRECT($A25&amp;"!F48:j48"))),NPV('Inputs and assumptions'!$C$5,(INDIRECT($A25&amp;"!F76:j76"))))</f>
        <v>0</v>
      </c>
      <c r="E101" s="483" cm="1">
        <f t="array" aca="1" ref="E101" ca="1">IF(INDIRECT($A25&amp;"!E43")="Per Unit",NPV('Inputs and assumptions'!$C$5,(INDIRECT($A25&amp;"!F49:j49"))),NPV('Inputs and assumptions'!$C$5,(INDIRECT($A25&amp;"!F77:j77"))))</f>
        <v>0</v>
      </c>
      <c r="F101" s="59" cm="1">
        <f t="array" aca="1" ref="F101" ca="1">IF(INDIRECT($A25&amp;"!E43")="Per Unit",NPV('Inputs and assumptions'!$C$5,(INDIRECT($A25&amp;"!F52:j52"))),NPV('Inputs and assumptions'!$C$5,(INDIRECT($A25&amp;"!F80:j80"))))</f>
        <v>0</v>
      </c>
      <c r="G101" s="59" cm="1">
        <f t="array" aca="1" ref="G101" ca="1">IF(INDIRECT($A25&amp;"!E43")="Per Unit",NPV('Inputs and assumptions'!$C$5,(INDIRECT($A25&amp;"!F53:j53"))),NPV('Inputs and assumptions'!$C$5,(INDIRECT($A25&amp;"!F81:j81"))))</f>
        <v>0</v>
      </c>
      <c r="H101" s="59" cm="1">
        <f t="array" aca="1" ref="H101" ca="1">IF(INDIRECT($A25&amp;"!E43")="Per Unit",NPV('Inputs and assumptions'!$C$5,(INDIRECT($A25&amp;"!F54:j54"))),NPV('Inputs and assumptions'!$C$5,(INDIRECT($A25&amp;"!F82:j82"))))</f>
        <v>932736.41563743027</v>
      </c>
      <c r="I101" s="59" cm="1">
        <f t="array" aca="1" ref="I101" ca="1">IF(INDIRECT($A25&amp;"!E43")="Per Unit",NPV('Inputs and assumptions'!$C$5,(INDIRECT($A25&amp;"!F55:j55"))),NPV('Inputs and assumptions'!$C$5,(INDIRECT($A25&amp;"!F83:j83"))))</f>
        <v>0</v>
      </c>
      <c r="J101" s="59" cm="1">
        <f t="array" aca="1" ref="J101" ca="1">IF(INDIRECT($A25&amp;"!E43")="Per Unit",NPV('Inputs and assumptions'!$C$5,(INDIRECT($A25&amp;"!F56:j56"))),NPV('Inputs and assumptions'!$C$5,(INDIRECT($A25&amp;"!F84:j84"))))</f>
        <v>0</v>
      </c>
      <c r="K101" s="483" cm="1">
        <f t="array" aca="1" ref="K101" ca="1">IF(INDIRECT($A25&amp;"!E43")="Per Unit",NPV('Inputs and assumptions'!$C$5,(INDIRECT($A25&amp;"!F57:j57"))),NPV('Inputs and assumptions'!$C$5,(INDIRECT($A25&amp;"!F85:j85"))))</f>
        <v>0</v>
      </c>
      <c r="L101" s="59" cm="1">
        <f t="array" aca="1" ref="L101" ca="1">IF(INDIRECT($A25&amp;"!E43")="Per Unit",NPV('Inputs and assumptions'!$C$5,(INDIRECT($A25&amp;"!F60:j60"))),NPV('Inputs and assumptions'!$C$5,(INDIRECT($A25&amp;"!F88:j88"))))</f>
        <v>0</v>
      </c>
      <c r="M101" s="483" cm="1">
        <f t="array" aca="1" ref="M101" ca="1">IF(INDIRECT($A25&amp;"!E43")="Per Unit",NPV('Inputs and assumptions'!$C$5,(INDIRECT($A25&amp;"!F61:j61"))),NPV('Inputs and assumptions'!$C$5,(INDIRECT($A25&amp;"!F89:j89"))))</f>
        <v>0</v>
      </c>
      <c r="N101" s="59" cm="1">
        <f t="array" aca="1" ref="N101" ca="1">IF(INDIRECT($A25&amp;"!E43")="Per Unit",NPV('Inputs and assumptions'!$C$5,(INDIRECT($A25&amp;"!F64:j64"))),NPV('Inputs and assumptions'!$C$5,(INDIRECT($A25&amp;"!F92:j92"))))</f>
        <v>0</v>
      </c>
      <c r="O101" s="59" cm="1">
        <f t="array" aca="1" ref="O101" ca="1">IF(INDIRECT($A25&amp;"!E43")="Per Unit",NPV('Inputs and assumptions'!$C$5,(INDIRECT($A25&amp;"!F65:j65"))),NPV('Inputs and assumptions'!$C$5,(INDIRECT($A25&amp;"!F93:j93"))))</f>
        <v>0</v>
      </c>
      <c r="P101" s="59" cm="1">
        <f t="array" aca="1" ref="P101" ca="1">IF(INDIRECT($A25&amp;"!E43")="Per Unit",NPV('Inputs and assumptions'!$C$5,(INDIRECT($A25&amp;"!F66:j66"))),NPV('Inputs and assumptions'!$C$5,(INDIRECT($A25&amp;"!F94:j94"))))</f>
        <v>0</v>
      </c>
      <c r="Q101" s="59" cm="1">
        <f t="array" aca="1" ref="Q101" ca="1">IF(INDIRECT($A25&amp;"!E43")="Per Unit",NPV('Inputs and assumptions'!$C$5,(INDIRECT($A25&amp;"!F67:j67"))),NPV('Inputs and assumptions'!$C$5,(INDIRECT($A25&amp;"!F95:j95"))))</f>
        <v>0</v>
      </c>
      <c r="R101" s="59" cm="1">
        <f t="array" aca="1" ref="R101" ca="1">IF(INDIRECT($A25&amp;"!E43")="Per Unit",NPV('Inputs and assumptions'!$C$5,(INDIRECT($A25&amp;"!F68:j68"))),NPV('Inputs and assumptions'!$C$5,(INDIRECT($A25&amp;"!F96:j96"))))</f>
        <v>0</v>
      </c>
      <c r="S101" s="59" cm="1">
        <f t="array" aca="1" ref="S101" ca="1">IF(INDIRECT($A25&amp;"!E43")="Per Unit",NPV('Inputs and assumptions'!$C$5,(INDIRECT($A25&amp;"!F69:j69"))),NPV('Inputs and assumptions'!$C$5,(INDIRECT($A25&amp;"!F97:j97"))))</f>
        <v>0</v>
      </c>
      <c r="T101" s="378" cm="1">
        <f t="array" aca="1" ref="T101" ca="1">IF(INDIRECT($A25&amp;"!E43")="Per Unit",NPV('Inputs and assumptions'!$C$5,(INDIRECT($A25&amp;"!F70:j70"))),NPV('Inputs and assumptions'!$C$5,(INDIRECT($A25&amp;"!F98:j98"))))</f>
        <v>0</v>
      </c>
    </row>
    <row r="102" spans="1:20" x14ac:dyDescent="0.35">
      <c r="A102" s="444" t="s">
        <v>187</v>
      </c>
      <c r="B102" s="382" cm="1">
        <f t="array" aca="1" ref="B102" ca="1">IF(INDIRECT($A26&amp;"!E43")="Per Unit",NPV('Inputs and assumptions'!$C$5,(INDIRECT($A26&amp;"!F46:j46"))),NPV('Inputs and assumptions'!$C$5,(INDIRECT($A26&amp;"!F74:j74"))))</f>
        <v>0</v>
      </c>
      <c r="C102" s="59" cm="1">
        <f t="array" aca="1" ref="C102" ca="1">IF(INDIRECT($A26&amp;"!E43")="Per Unit",NPV('Inputs and assumptions'!$C$5,(INDIRECT($A26&amp;"!F47:j47"))),NPV('Inputs and assumptions'!$C$5,(INDIRECT($A26&amp;"!F75:j75"))))</f>
        <v>0</v>
      </c>
      <c r="D102" s="59" cm="1">
        <f t="array" aca="1" ref="D102" ca="1">IF(INDIRECT($A26&amp;"!E43")="Per Unit",NPV('Inputs and assumptions'!$C$5,(INDIRECT($A26&amp;"!F48:j48"))),NPV('Inputs and assumptions'!$C$5,(INDIRECT($A26&amp;"!F76:j76"))))</f>
        <v>0</v>
      </c>
      <c r="E102" s="483" cm="1">
        <f t="array" aca="1" ref="E102" ca="1">IF(INDIRECT($A26&amp;"!E43")="Per Unit",NPV('Inputs and assumptions'!$C$5,(INDIRECT($A26&amp;"!F49:j49"))),NPV('Inputs and assumptions'!$C$5,(INDIRECT($A26&amp;"!F77:j77"))))</f>
        <v>0</v>
      </c>
      <c r="F102" s="59" cm="1">
        <f t="array" aca="1" ref="F102" ca="1">IF(INDIRECT($A26&amp;"!E43")="Per Unit",NPV('Inputs and assumptions'!$C$5,(INDIRECT($A26&amp;"!F52:j52"))),NPV('Inputs and assumptions'!$C$5,(INDIRECT($A26&amp;"!F80:j80"))))</f>
        <v>247141.36823027598</v>
      </c>
      <c r="G102" s="59" cm="1">
        <f t="array" aca="1" ref="G102" ca="1">IF(INDIRECT($A26&amp;"!E43")="Per Unit",NPV('Inputs and assumptions'!$C$5,(INDIRECT($A26&amp;"!F53:j53"))),NPV('Inputs and assumptions'!$C$5,(INDIRECT($A26&amp;"!F81:j81"))))</f>
        <v>0</v>
      </c>
      <c r="H102" s="59" cm="1">
        <f t="array" aca="1" ref="H102" ca="1">IF(INDIRECT($A26&amp;"!E43")="Per Unit",NPV('Inputs and assumptions'!$C$5,(INDIRECT($A26&amp;"!F54:j54"))),NPV('Inputs and assumptions'!$C$5,(INDIRECT($A26&amp;"!F82:j82"))))</f>
        <v>0</v>
      </c>
      <c r="I102" s="59" cm="1">
        <f t="array" aca="1" ref="I102" ca="1">IF(INDIRECT($A26&amp;"!E43")="Per Unit",NPV('Inputs and assumptions'!$C$5,(INDIRECT($A26&amp;"!F55:j55"))),NPV('Inputs and assumptions'!$C$5,(INDIRECT($A26&amp;"!F83:j83"))))</f>
        <v>0</v>
      </c>
      <c r="J102" s="59" cm="1">
        <f t="array" aca="1" ref="J102" ca="1">IF(INDIRECT($A26&amp;"!E43")="Per Unit",NPV('Inputs and assumptions'!$C$5,(INDIRECT($A26&amp;"!F56:j56"))),NPV('Inputs and assumptions'!$C$5,(INDIRECT($A26&amp;"!F84:j84"))))</f>
        <v>0</v>
      </c>
      <c r="K102" s="483" cm="1">
        <f t="array" aca="1" ref="K102" ca="1">IF(INDIRECT($A26&amp;"!E43")="Per Unit",NPV('Inputs and assumptions'!$C$5,(INDIRECT($A26&amp;"!F57:j57"))),NPV('Inputs and assumptions'!$C$5,(INDIRECT($A26&amp;"!F85:j85"))))</f>
        <v>0</v>
      </c>
      <c r="L102" s="59" cm="1">
        <f t="array" aca="1" ref="L102" ca="1">IF(INDIRECT($A26&amp;"!E43")="Per Unit",NPV('Inputs and assumptions'!$C$5,(INDIRECT($A26&amp;"!F60:j60"))),NPV('Inputs and assumptions'!$C$5,(INDIRECT($A26&amp;"!F88:j88"))))</f>
        <v>0</v>
      </c>
      <c r="M102" s="483" cm="1">
        <f t="array" aca="1" ref="M102" ca="1">IF(INDIRECT($A26&amp;"!E43")="Per Unit",NPV('Inputs and assumptions'!$C$5,(INDIRECT($A26&amp;"!F61:j61"))),NPV('Inputs and assumptions'!$C$5,(INDIRECT($A26&amp;"!F89:j89"))))</f>
        <v>512062.69100949279</v>
      </c>
      <c r="N102" s="59" cm="1">
        <f t="array" aca="1" ref="N102" ca="1">IF(INDIRECT($A26&amp;"!E43")="Per Unit",NPV('Inputs and assumptions'!$C$5,(INDIRECT($A26&amp;"!F64:j64"))),NPV('Inputs and assumptions'!$C$5,(INDIRECT($A26&amp;"!F92:j92"))))</f>
        <v>0</v>
      </c>
      <c r="O102" s="59" cm="1">
        <f t="array" aca="1" ref="O102" ca="1">IF(INDIRECT($A26&amp;"!E43")="Per Unit",NPV('Inputs and assumptions'!$C$5,(INDIRECT($A26&amp;"!F65:j65"))),NPV('Inputs and assumptions'!$C$5,(INDIRECT($A26&amp;"!F93:j93"))))</f>
        <v>0</v>
      </c>
      <c r="P102" s="59" cm="1">
        <f t="array" aca="1" ref="P102" ca="1">IF(INDIRECT($A26&amp;"!E43")="Per Unit",NPV('Inputs and assumptions'!$C$5,(INDIRECT($A26&amp;"!F66:j66"))),NPV('Inputs and assumptions'!$C$5,(INDIRECT($A26&amp;"!F94:j94"))))</f>
        <v>0</v>
      </c>
      <c r="Q102" s="59" cm="1">
        <f t="array" aca="1" ref="Q102" ca="1">IF(INDIRECT($A26&amp;"!E43")="Per Unit",NPV('Inputs and assumptions'!$C$5,(INDIRECT($A26&amp;"!F67:j67"))),NPV('Inputs and assumptions'!$C$5,(INDIRECT($A26&amp;"!F95:j95"))))</f>
        <v>0</v>
      </c>
      <c r="R102" s="59" cm="1">
        <f t="array" aca="1" ref="R102" ca="1">IF(INDIRECT($A26&amp;"!E43")="Per Unit",NPV('Inputs and assumptions'!$C$5,(INDIRECT($A26&amp;"!F68:j68"))),NPV('Inputs and assumptions'!$C$5,(INDIRECT($A26&amp;"!F96:j96"))))</f>
        <v>0</v>
      </c>
      <c r="S102" s="59" cm="1">
        <f t="array" aca="1" ref="S102" ca="1">IF(INDIRECT($A26&amp;"!E43")="Per Unit",NPV('Inputs and assumptions'!$C$5,(INDIRECT($A26&amp;"!F69:j69"))),NPV('Inputs and assumptions'!$C$5,(INDIRECT($A26&amp;"!F97:j97"))))</f>
        <v>0</v>
      </c>
      <c r="T102" s="378" cm="1">
        <f t="array" aca="1" ref="T102" ca="1">IF(INDIRECT($A26&amp;"!E43")="Per Unit",NPV('Inputs and assumptions'!$C$5,(INDIRECT($A26&amp;"!F70:j70"))),NPV('Inputs and assumptions'!$C$5,(INDIRECT($A26&amp;"!F98:j98"))))</f>
        <v>56326.896011044199</v>
      </c>
    </row>
    <row r="103" spans="1:20" x14ac:dyDescent="0.35">
      <c r="A103" s="444" t="s">
        <v>189</v>
      </c>
      <c r="B103" s="382" cm="1">
        <f t="array" aca="1" ref="B103" ca="1">IF(INDIRECT($A27&amp;"!E43")="Per Unit",NPV('Inputs and assumptions'!$C$5,(INDIRECT($A27&amp;"!F46:j46"))),NPV('Inputs and assumptions'!$C$5,(INDIRECT($A27&amp;"!F74:j74"))))</f>
        <v>0</v>
      </c>
      <c r="C103" s="59" cm="1">
        <f t="array" aca="1" ref="C103" ca="1">IF(INDIRECT($A27&amp;"!E43")="Per Unit",NPV('Inputs and assumptions'!$C$5,(INDIRECT($A27&amp;"!F47:j47"))),NPV('Inputs and assumptions'!$C$5,(INDIRECT($A27&amp;"!F75:j75"))))</f>
        <v>0</v>
      </c>
      <c r="D103" s="59" cm="1">
        <f t="array" aca="1" ref="D103" ca="1">IF(INDIRECT($A27&amp;"!E43")="Per Unit",NPV('Inputs and assumptions'!$C$5,(INDIRECT($A27&amp;"!F48:j48"))),NPV('Inputs and assumptions'!$C$5,(INDIRECT($A27&amp;"!F76:j76"))))</f>
        <v>0</v>
      </c>
      <c r="E103" s="483" cm="1">
        <f t="array" aca="1" ref="E103" ca="1">IF(INDIRECT($A27&amp;"!E43")="Per Unit",NPV('Inputs and assumptions'!$C$5,(INDIRECT($A27&amp;"!F49:j49"))),NPV('Inputs and assumptions'!$C$5,(INDIRECT($A27&amp;"!F77:j77"))))</f>
        <v>0</v>
      </c>
      <c r="F103" s="59" cm="1">
        <f t="array" aca="1" ref="F103" ca="1">IF(INDIRECT($A27&amp;"!E43")="Per Unit",NPV('Inputs and assumptions'!$C$5,(INDIRECT($A27&amp;"!F52:j52"))),NPV('Inputs and assumptions'!$C$5,(INDIRECT($A27&amp;"!F80:j80"))))</f>
        <v>86305.145704892479</v>
      </c>
      <c r="G103" s="59" cm="1">
        <f t="array" aca="1" ref="G103" ca="1">IF(INDIRECT($A27&amp;"!E43")="Per Unit",NPV('Inputs and assumptions'!$C$5,(INDIRECT($A27&amp;"!F53:j53"))),NPV('Inputs and assumptions'!$C$5,(INDIRECT($A27&amp;"!F81:j81"))))</f>
        <v>145911.57727086137</v>
      </c>
      <c r="H103" s="59" cm="1">
        <f t="array" aca="1" ref="H103" ca="1">IF(INDIRECT($A27&amp;"!E43")="Per Unit",NPV('Inputs and assumptions'!$C$5,(INDIRECT($A27&amp;"!F54:j54"))),NPV('Inputs and assumptions'!$C$5,(INDIRECT($A27&amp;"!F82:j82"))))</f>
        <v>0</v>
      </c>
      <c r="I103" s="59" cm="1">
        <f t="array" aca="1" ref="I103" ca="1">IF(INDIRECT($A27&amp;"!E43")="Per Unit",NPV('Inputs and assumptions'!$C$5,(INDIRECT($A27&amp;"!F55:j55"))),NPV('Inputs and assumptions'!$C$5,(INDIRECT($A27&amp;"!F83:j83"))))</f>
        <v>0</v>
      </c>
      <c r="J103" s="59" cm="1">
        <f t="array" aca="1" ref="J103" ca="1">IF(INDIRECT($A27&amp;"!E43")="Per Unit",NPV('Inputs and assumptions'!$C$5,(INDIRECT($A27&amp;"!F56:j56"))),NPV('Inputs and assumptions'!$C$5,(INDIRECT($A27&amp;"!F84:j84"))))</f>
        <v>0</v>
      </c>
      <c r="K103" s="483" cm="1">
        <f t="array" aca="1" ref="K103" ca="1">IF(INDIRECT($A27&amp;"!E43")="Per Unit",NPV('Inputs and assumptions'!$C$5,(INDIRECT($A27&amp;"!F57:j57"))),NPV('Inputs and assumptions'!$C$5,(INDIRECT($A27&amp;"!F85:j85"))))</f>
        <v>0</v>
      </c>
      <c r="L103" s="59" cm="1">
        <f t="array" aca="1" ref="L103" ca="1">IF(INDIRECT($A27&amp;"!E43")="Per Unit",NPV('Inputs and assumptions'!$C$5,(INDIRECT($A27&amp;"!F60:j60"))),NPV('Inputs and assumptions'!$C$5,(INDIRECT($A27&amp;"!F88:j88"))))</f>
        <v>0</v>
      </c>
      <c r="M103" s="483" cm="1">
        <f t="array" aca="1" ref="M103" ca="1">IF(INDIRECT($A27&amp;"!E43")="Per Unit",NPV('Inputs and assumptions'!$C$5,(INDIRECT($A27&amp;"!F61:j61"))),NPV('Inputs and assumptions'!$C$5,(INDIRECT($A27&amp;"!F89:j89"))))</f>
        <v>93135.049321826402</v>
      </c>
      <c r="N103" s="59" cm="1">
        <f t="array" aca="1" ref="N103" ca="1">IF(INDIRECT($A27&amp;"!E43")="Per Unit",NPV('Inputs and assumptions'!$C$5,(INDIRECT($A27&amp;"!F64:j64"))),NPV('Inputs and assumptions'!$C$5,(INDIRECT($A27&amp;"!F92:j92"))))</f>
        <v>391167.20715167094</v>
      </c>
      <c r="O103" s="59" cm="1">
        <f t="array" aca="1" ref="O103" ca="1">IF(INDIRECT($A27&amp;"!E43")="Per Unit",NPV('Inputs and assumptions'!$C$5,(INDIRECT($A27&amp;"!F65:j65"))),NPV('Inputs and assumptions'!$C$5,(INDIRECT($A27&amp;"!F93:j93"))))</f>
        <v>0</v>
      </c>
      <c r="P103" s="59" cm="1">
        <f t="array" aca="1" ref="P103" ca="1">IF(INDIRECT($A27&amp;"!E43")="Per Unit",NPV('Inputs and assumptions'!$C$5,(INDIRECT($A27&amp;"!F66:j66"))),NPV('Inputs and assumptions'!$C$5,(INDIRECT($A27&amp;"!F94:j94"))))</f>
        <v>642631.84032060229</v>
      </c>
      <c r="Q103" s="59" cm="1">
        <f t="array" aca="1" ref="Q103" ca="1">IF(INDIRECT($A27&amp;"!E43")="Per Unit",NPV('Inputs and assumptions'!$C$5,(INDIRECT($A27&amp;"!F67:j67"))),NPV('Inputs and assumptions'!$C$5,(INDIRECT($A27&amp;"!F95:j95"))))</f>
        <v>0</v>
      </c>
      <c r="R103" s="59" cm="1">
        <f t="array" aca="1" ref="R103" ca="1">IF(INDIRECT($A27&amp;"!E43")="Per Unit",NPV('Inputs and assumptions'!$C$5,(INDIRECT($A27&amp;"!F68:j68"))),NPV('Inputs and assumptions'!$C$5,(INDIRECT($A27&amp;"!F96:j96"))))</f>
        <v>465675.24660913198</v>
      </c>
      <c r="S103" s="59" cm="1">
        <f t="array" aca="1" ref="S103" ca="1">IF(INDIRECT($A27&amp;"!E43")="Per Unit",NPV('Inputs and assumptions'!$C$5,(INDIRECT($A27&amp;"!F69:j69"))),NPV('Inputs and assumptions'!$C$5,(INDIRECT($A27&amp;"!F97:j97"))))</f>
        <v>237494.37577065735</v>
      </c>
      <c r="T103" s="378" cm="1">
        <f t="array" aca="1" ref="T103" ca="1">IF(INDIRECT($A27&amp;"!E43")="Per Unit",NPV('Inputs and assumptions'!$C$5,(INDIRECT($A27&amp;"!F70:j70"))),NPV('Inputs and assumptions'!$C$5,(INDIRECT($A27&amp;"!F98:j98"))))</f>
        <v>0</v>
      </c>
    </row>
    <row r="104" spans="1:20" x14ac:dyDescent="0.35">
      <c r="A104" s="444" t="s">
        <v>191</v>
      </c>
      <c r="B104" s="382" cm="1">
        <f t="array" aca="1" ref="B104" ca="1">IF(INDIRECT($A28&amp;"!E43")="Per Unit",NPV('Inputs and assumptions'!$C$5,(INDIRECT($A28&amp;"!F46:j46"))),NPV('Inputs and assumptions'!$C$5,(INDIRECT($A28&amp;"!F74:j74"))))</f>
        <v>0</v>
      </c>
      <c r="C104" s="59" cm="1">
        <f t="array" aca="1" ref="C104" ca="1">IF(INDIRECT($A28&amp;"!E43")="Per Unit",NPV('Inputs and assumptions'!$C$5,(INDIRECT($A28&amp;"!F47:j47"))),NPV('Inputs and assumptions'!$C$5,(INDIRECT($A28&amp;"!F75:j75"))))</f>
        <v>0</v>
      </c>
      <c r="D104" s="59" cm="1">
        <f t="array" aca="1" ref="D104" ca="1">IF(INDIRECT($A28&amp;"!E43")="Per Unit",NPV('Inputs and assumptions'!$C$5,(INDIRECT($A28&amp;"!F48:j48"))),NPV('Inputs and assumptions'!$C$5,(INDIRECT($A28&amp;"!F76:j76"))))</f>
        <v>0</v>
      </c>
      <c r="E104" s="483" cm="1">
        <f t="array" aca="1" ref="E104" ca="1">IF(INDIRECT($A28&amp;"!E43")="Per Unit",NPV('Inputs and assumptions'!$C$5,(INDIRECT($A28&amp;"!F49:j49"))),NPV('Inputs and assumptions'!$C$5,(INDIRECT($A28&amp;"!F77:j77"))))</f>
        <v>0</v>
      </c>
      <c r="F104" s="59" cm="1">
        <f t="array" aca="1" ref="F104" ca="1">IF(INDIRECT($A28&amp;"!E43")="Per Unit",NPV('Inputs and assumptions'!$C$5,(INDIRECT($A28&amp;"!F52:j52"))),NPV('Inputs and assumptions'!$C$5,(INDIRECT($A28&amp;"!F80:j80"))))</f>
        <v>0</v>
      </c>
      <c r="G104" s="59" cm="1">
        <f t="array" aca="1" ref="G104" ca="1">IF(INDIRECT($A28&amp;"!E43")="Per Unit",NPV('Inputs and assumptions'!$C$5,(INDIRECT($A28&amp;"!F53:j53"))),NPV('Inputs and assumptions'!$C$5,(INDIRECT($A28&amp;"!F81:j81"))))</f>
        <v>0</v>
      </c>
      <c r="H104" s="59" cm="1">
        <f t="array" aca="1" ref="H104" ca="1">IF(INDIRECT($A28&amp;"!E43")="Per Unit",NPV('Inputs and assumptions'!$C$5,(INDIRECT($A28&amp;"!F54:j54"))),NPV('Inputs and assumptions'!$C$5,(INDIRECT($A28&amp;"!F82:j82"))))</f>
        <v>0</v>
      </c>
      <c r="I104" s="59" cm="1">
        <f t="array" aca="1" ref="I104" ca="1">IF(INDIRECT($A28&amp;"!E43")="Per Unit",NPV('Inputs and assumptions'!$C$5,(INDIRECT($A28&amp;"!F55:j55"))),NPV('Inputs and assumptions'!$C$5,(INDIRECT($A28&amp;"!F83:j83"))))</f>
        <v>0</v>
      </c>
      <c r="J104" s="59" cm="1">
        <f t="array" aca="1" ref="J104" ca="1">IF(INDIRECT($A28&amp;"!E43")="Per Unit",NPV('Inputs and assumptions'!$C$5,(INDIRECT($A28&amp;"!F56:j56"))),NPV('Inputs and assumptions'!$C$5,(INDIRECT($A28&amp;"!F84:j84"))))</f>
        <v>297235.10744943825</v>
      </c>
      <c r="K104" s="483" cm="1">
        <f t="array" aca="1" ref="K104" ca="1">IF(INDIRECT($A28&amp;"!E43")="Per Unit",NPV('Inputs and assumptions'!$C$5,(INDIRECT($A28&amp;"!F57:j57"))),NPV('Inputs and assumptions'!$C$5,(INDIRECT($A28&amp;"!F85:j85"))))</f>
        <v>0</v>
      </c>
      <c r="L104" s="59" cm="1">
        <f t="array" aca="1" ref="L104" ca="1">IF(INDIRECT($A28&amp;"!E43")="Per Unit",NPV('Inputs and assumptions'!$C$5,(INDIRECT($A28&amp;"!F60:j60"))),NPV('Inputs and assumptions'!$C$5,(INDIRECT($A28&amp;"!F88:j88"))))</f>
        <v>110618.74737464888</v>
      </c>
      <c r="M104" s="483" cm="1">
        <f t="array" aca="1" ref="M104" ca="1">IF(INDIRECT($A28&amp;"!E43")="Per Unit",NPV('Inputs and assumptions'!$C$5,(INDIRECT($A28&amp;"!F61:j61"))),NPV('Inputs and assumptions'!$C$5,(INDIRECT($A28&amp;"!F89:j89"))))</f>
        <v>0</v>
      </c>
      <c r="N104" s="59" cm="1">
        <f t="array" aca="1" ref="N104" ca="1">IF(INDIRECT($A28&amp;"!E43")="Per Unit",NPV('Inputs and assumptions'!$C$5,(INDIRECT($A28&amp;"!F64:j64"))),NPV('Inputs and assumptions'!$C$5,(INDIRECT($A28&amp;"!F92:j92"))))</f>
        <v>106396.65778019665</v>
      </c>
      <c r="O104" s="59" cm="1">
        <f t="array" aca="1" ref="O104" ca="1">IF(INDIRECT($A28&amp;"!E43")="Per Unit",NPV('Inputs and assumptions'!$C$5,(INDIRECT($A28&amp;"!F65:j65"))),NPV('Inputs and assumptions'!$C$5,(INDIRECT($A28&amp;"!F93:j93"))))</f>
        <v>0</v>
      </c>
      <c r="P104" s="59" cm="1">
        <f t="array" aca="1" ref="P104" ca="1">IF(INDIRECT($A28&amp;"!E43")="Per Unit",NPV('Inputs and assumptions'!$C$5,(INDIRECT($A28&amp;"!F66:j66"))),NPV('Inputs and assumptions'!$C$5,(INDIRECT($A28&amp;"!F94:j94"))))</f>
        <v>0</v>
      </c>
      <c r="Q104" s="59" cm="1">
        <f t="array" aca="1" ref="Q104" ca="1">IF(INDIRECT($A28&amp;"!E43")="Per Unit",NPV('Inputs and assumptions'!$C$5,(INDIRECT($A28&amp;"!F67:j67"))),NPV('Inputs and assumptions'!$C$5,(INDIRECT($A28&amp;"!F95:j95"))))</f>
        <v>0</v>
      </c>
      <c r="R104" s="59" cm="1">
        <f t="array" aca="1" ref="R104" ca="1">IF(INDIRECT($A28&amp;"!E43")="Per Unit",NPV('Inputs and assumptions'!$C$5,(INDIRECT($A28&amp;"!F68:j68"))),NPV('Inputs and assumptions'!$C$5,(INDIRECT($A28&amp;"!F96:j96"))))</f>
        <v>0</v>
      </c>
      <c r="S104" s="59" cm="1">
        <f t="array" aca="1" ref="S104" ca="1">IF(INDIRECT($A28&amp;"!E43")="Per Unit",NPV('Inputs and assumptions'!$C$5,(INDIRECT($A28&amp;"!F69:j69"))),NPV('Inputs and assumptions'!$C$5,(INDIRECT($A28&amp;"!F97:j97"))))</f>
        <v>0</v>
      </c>
      <c r="T104" s="378" cm="1">
        <f t="array" aca="1" ref="T104" ca="1">IF(INDIRECT($A28&amp;"!E43")="Per Unit",NPV('Inputs and assumptions'!$C$5,(INDIRECT($A28&amp;"!F70:j70"))),NPV('Inputs and assumptions'!$C$5,(INDIRECT($A28&amp;"!F98:j98"))))</f>
        <v>0</v>
      </c>
    </row>
    <row r="105" spans="1:20" x14ac:dyDescent="0.35">
      <c r="A105" s="444" t="s">
        <v>192</v>
      </c>
      <c r="B105" s="382" cm="1">
        <f t="array" aca="1" ref="B105" ca="1">IF(INDIRECT($A29&amp;"!E43")="Per Unit",NPV('Inputs and assumptions'!$C$5,(INDIRECT($A29&amp;"!F46:j46"))),NPV('Inputs and assumptions'!$C$5,(INDIRECT($A29&amp;"!F74:j74"))))</f>
        <v>0</v>
      </c>
      <c r="C105" s="59" cm="1">
        <f t="array" aca="1" ref="C105" ca="1">IF(INDIRECT($A29&amp;"!E43")="Per Unit",NPV('Inputs and assumptions'!$C$5,(INDIRECT($A29&amp;"!F47:j47"))),NPV('Inputs and assumptions'!$C$5,(INDIRECT($A29&amp;"!F75:j75"))))</f>
        <v>0</v>
      </c>
      <c r="D105" s="59" cm="1">
        <f t="array" aca="1" ref="D105" ca="1">IF(INDIRECT($A29&amp;"!E43")="Per Unit",NPV('Inputs and assumptions'!$C$5,(INDIRECT($A29&amp;"!F48:j48"))),NPV('Inputs and assumptions'!$C$5,(INDIRECT($A29&amp;"!F76:j76"))))</f>
        <v>0</v>
      </c>
      <c r="E105" s="483" cm="1">
        <f t="array" aca="1" ref="E105" ca="1">IF(INDIRECT($A29&amp;"!E43")="Per Unit",NPV('Inputs and assumptions'!$C$5,(INDIRECT($A29&amp;"!F49:j49"))),NPV('Inputs and assumptions'!$C$5,(INDIRECT($A29&amp;"!F77:j77"))))</f>
        <v>0</v>
      </c>
      <c r="F105" s="59" cm="1">
        <f t="array" aca="1" ref="F105" ca="1">IF(INDIRECT($A29&amp;"!E43")="Per Unit",NPV('Inputs and assumptions'!$C$5,(INDIRECT($A29&amp;"!F52:j52"))),NPV('Inputs and assumptions'!$C$5,(INDIRECT($A29&amp;"!F80:j80"))))</f>
        <v>0</v>
      </c>
      <c r="G105" s="59" cm="1">
        <f t="array" aca="1" ref="G105" ca="1">IF(INDIRECT($A29&amp;"!E43")="Per Unit",NPV('Inputs and assumptions'!$C$5,(INDIRECT($A29&amp;"!F53:j53"))),NPV('Inputs and assumptions'!$C$5,(INDIRECT($A29&amp;"!F81:j81"))))</f>
        <v>0</v>
      </c>
      <c r="H105" s="59" cm="1">
        <f t="array" aca="1" ref="H105" ca="1">IF(INDIRECT($A29&amp;"!E43")="Per Unit",NPV('Inputs and assumptions'!$C$5,(INDIRECT($A29&amp;"!F54:j54"))),NPV('Inputs and assumptions'!$C$5,(INDIRECT($A29&amp;"!F82:j82"))))</f>
        <v>0</v>
      </c>
      <c r="I105" s="59" cm="1">
        <f t="array" aca="1" ref="I105" ca="1">IF(INDIRECT($A29&amp;"!E43")="Per Unit",NPV('Inputs and assumptions'!$C$5,(INDIRECT($A29&amp;"!F55:j55"))),NPV('Inputs and assumptions'!$C$5,(INDIRECT($A29&amp;"!F83:j83"))))</f>
        <v>0</v>
      </c>
      <c r="J105" s="59" cm="1">
        <f t="array" aca="1" ref="J105" ca="1">IF(INDIRECT($A29&amp;"!E43")="Per Unit",NPV('Inputs and assumptions'!$C$5,(INDIRECT($A29&amp;"!F56:j56"))),NPV('Inputs and assumptions'!$C$5,(INDIRECT($A29&amp;"!F84:j84"))))</f>
        <v>0</v>
      </c>
      <c r="K105" s="483" cm="1">
        <f t="array" aca="1" ref="K105" ca="1">IF(INDIRECT($A29&amp;"!E43")="Per Unit",NPV('Inputs and assumptions'!$C$5,(INDIRECT($A29&amp;"!F57:j57"))),NPV('Inputs and assumptions'!$C$5,(INDIRECT($A29&amp;"!F85:j85"))))</f>
        <v>0</v>
      </c>
      <c r="L105" s="59" cm="1">
        <f t="array" aca="1" ref="L105" ca="1">IF(INDIRECT($A29&amp;"!E43")="Per Unit",NPV('Inputs and assumptions'!$C$5,(INDIRECT($A29&amp;"!F60:j60"))),NPV('Inputs and assumptions'!$C$5,(INDIRECT($A29&amp;"!F88:j88"))))</f>
        <v>0</v>
      </c>
      <c r="M105" s="483" cm="1">
        <f t="array" aca="1" ref="M105" ca="1">IF(INDIRECT($A29&amp;"!E43")="Per Unit",NPV('Inputs and assumptions'!$C$5,(INDIRECT($A29&amp;"!F61:j61"))),NPV('Inputs and assumptions'!$C$5,(INDIRECT($A29&amp;"!F89:j89"))))</f>
        <v>0</v>
      </c>
      <c r="N105" s="59" cm="1">
        <f t="array" aca="1" ref="N105" ca="1">IF(INDIRECT($A29&amp;"!E43")="Per Unit",NPV('Inputs and assumptions'!$C$5,(INDIRECT($A29&amp;"!F64:j64"))),NPV('Inputs and assumptions'!$C$5,(INDIRECT($A29&amp;"!F92:j92"))))</f>
        <v>2126566.3366244147</v>
      </c>
      <c r="O105" s="59" cm="1">
        <f t="array" aca="1" ref="O105" ca="1">IF(INDIRECT($A29&amp;"!E43")="Per Unit",NPV('Inputs and assumptions'!$C$5,(INDIRECT($A29&amp;"!F65:j65"))),NPV('Inputs and assumptions'!$C$5,(INDIRECT($A29&amp;"!F93:j93"))))</f>
        <v>0</v>
      </c>
      <c r="P105" s="59" cm="1">
        <f t="array" aca="1" ref="P105" ca="1">IF(INDIRECT($A29&amp;"!E43")="Per Unit",NPV('Inputs and assumptions'!$C$5,(INDIRECT($A29&amp;"!F66:j66"))),NPV('Inputs and assumptions'!$C$5,(INDIRECT($A29&amp;"!F94:j94"))))</f>
        <v>0</v>
      </c>
      <c r="Q105" s="59" cm="1">
        <f t="array" aca="1" ref="Q105" ca="1">IF(INDIRECT($A29&amp;"!E43")="Per Unit",NPV('Inputs and assumptions'!$C$5,(INDIRECT($A29&amp;"!F67:j67"))),NPV('Inputs and assumptions'!$C$5,(INDIRECT($A29&amp;"!F95:j95"))))</f>
        <v>0</v>
      </c>
      <c r="R105" s="59" cm="1">
        <f t="array" aca="1" ref="R105" ca="1">IF(INDIRECT($A29&amp;"!E43")="Per Unit",NPV('Inputs and assumptions'!$C$5,(INDIRECT($A29&amp;"!F68:j68"))),NPV('Inputs and assumptions'!$C$5,(INDIRECT($A29&amp;"!F96:j96"))))</f>
        <v>0</v>
      </c>
      <c r="S105" s="59" cm="1">
        <f t="array" aca="1" ref="S105" ca="1">IF(INDIRECT($A29&amp;"!E43")="Per Unit",NPV('Inputs and assumptions'!$C$5,(INDIRECT($A29&amp;"!F69:j69"))),NPV('Inputs and assumptions'!$C$5,(INDIRECT($A29&amp;"!F97:j97"))))</f>
        <v>0</v>
      </c>
      <c r="T105" s="378" cm="1">
        <f t="array" aca="1" ref="T105" ca="1">IF(INDIRECT($A29&amp;"!E43")="Per Unit",NPV('Inputs and assumptions'!$C$5,(INDIRECT($A29&amp;"!F70:j70"))),NPV('Inputs and assumptions'!$C$5,(INDIRECT($A29&amp;"!F98:j98"))))</f>
        <v>0</v>
      </c>
    </row>
    <row r="106" spans="1:20" x14ac:dyDescent="0.35">
      <c r="A106" s="444" t="s">
        <v>190</v>
      </c>
      <c r="B106" s="382" cm="1">
        <f t="array" aca="1" ref="B106" ca="1">IF(INDIRECT($A30&amp;"!E43")="Per Unit",NPV('Inputs and assumptions'!$C$5,(INDIRECT($A30&amp;"!F46:j46"))),NPV('Inputs and assumptions'!$C$5,(INDIRECT($A30&amp;"!F74:j74"))))</f>
        <v>0</v>
      </c>
      <c r="C106" s="59" cm="1">
        <f t="array" aca="1" ref="C106" ca="1">IF(INDIRECT($A30&amp;"!E43")="Per Unit",NPV('Inputs and assumptions'!$C$5,(INDIRECT($A30&amp;"!F47:j47"))),NPV('Inputs and assumptions'!$C$5,(INDIRECT($A30&amp;"!F75:j75"))))</f>
        <v>0</v>
      </c>
      <c r="D106" s="59" cm="1">
        <f t="array" aca="1" ref="D106" ca="1">IF(INDIRECT($A30&amp;"!E43")="Per Unit",NPV('Inputs and assumptions'!$C$5,(INDIRECT($A30&amp;"!F48:j48"))),NPV('Inputs and assumptions'!$C$5,(INDIRECT($A30&amp;"!F76:j76"))))</f>
        <v>0</v>
      </c>
      <c r="E106" s="483" cm="1">
        <f t="array" aca="1" ref="E106" ca="1">IF(INDIRECT($A30&amp;"!E43")="Per Unit",NPV('Inputs and assumptions'!$C$5,(INDIRECT($A30&amp;"!F49:j49"))),NPV('Inputs and assumptions'!$C$5,(INDIRECT($A30&amp;"!F77:j77"))))</f>
        <v>0</v>
      </c>
      <c r="F106" s="59" cm="1">
        <f t="array" aca="1" ref="F106" ca="1">IF(INDIRECT($A30&amp;"!E43")="Per Unit",NPV('Inputs and assumptions'!$C$5,(INDIRECT($A30&amp;"!F52:j52"))),NPV('Inputs and assumptions'!$C$5,(INDIRECT($A30&amp;"!F80:j80"))))</f>
        <v>0</v>
      </c>
      <c r="G106" s="59" cm="1">
        <f t="array" aca="1" ref="G106" ca="1">IF(INDIRECT($A30&amp;"!E43")="Per Unit",NPV('Inputs and assumptions'!$C$5,(INDIRECT($A30&amp;"!F53:j53"))),NPV('Inputs and assumptions'!$C$5,(INDIRECT($A30&amp;"!F81:j81"))))</f>
        <v>0</v>
      </c>
      <c r="H106" s="59" cm="1">
        <f t="array" aca="1" ref="H106" ca="1">IF(INDIRECT($A30&amp;"!E43")="Per Unit",NPV('Inputs and assumptions'!$C$5,(INDIRECT($A30&amp;"!F54:j54"))),NPV('Inputs and assumptions'!$C$5,(INDIRECT($A30&amp;"!F82:j82"))))</f>
        <v>0</v>
      </c>
      <c r="I106" s="59" cm="1">
        <f t="array" aca="1" ref="I106" ca="1">IF(INDIRECT($A30&amp;"!E43")="Per Unit",NPV('Inputs and assumptions'!$C$5,(INDIRECT($A30&amp;"!F55:j55"))),NPV('Inputs and assumptions'!$C$5,(INDIRECT($A30&amp;"!F83:j83"))))</f>
        <v>0</v>
      </c>
      <c r="J106" s="59" cm="1">
        <f t="array" aca="1" ref="J106" ca="1">IF(INDIRECT($A30&amp;"!E43")="Per Unit",NPV('Inputs and assumptions'!$C$5,(INDIRECT($A30&amp;"!F56:j56"))),NPV('Inputs and assumptions'!$C$5,(INDIRECT($A30&amp;"!F84:j84"))))</f>
        <v>0</v>
      </c>
      <c r="K106" s="483" cm="1">
        <f t="array" aca="1" ref="K106" ca="1">IF(INDIRECT($A30&amp;"!E43")="Per Unit",NPV('Inputs and assumptions'!$C$5,(INDIRECT($A30&amp;"!F57:j57"))),NPV('Inputs and assumptions'!$C$5,(INDIRECT($A30&amp;"!F85:j85"))))</f>
        <v>0</v>
      </c>
      <c r="L106" s="59" cm="1">
        <f t="array" aca="1" ref="L106" ca="1">IF(INDIRECT($A30&amp;"!E43")="Per Unit",NPV('Inputs and assumptions'!$C$5,(INDIRECT($A30&amp;"!F60:j60"))),NPV('Inputs and assumptions'!$C$5,(INDIRECT($A30&amp;"!F88:j88"))))</f>
        <v>0</v>
      </c>
      <c r="M106" s="483" cm="1">
        <f t="array" aca="1" ref="M106" ca="1">IF(INDIRECT($A30&amp;"!E43")="Per Unit",NPV('Inputs and assumptions'!$C$5,(INDIRECT($A30&amp;"!F61:j61"))),NPV('Inputs and assumptions'!$C$5,(INDIRECT($A30&amp;"!F89:j89"))))</f>
        <v>0</v>
      </c>
      <c r="N106" s="59" cm="1">
        <f t="array" aca="1" ref="N106" ca="1">IF(INDIRECT($A30&amp;"!E43")="Per Unit",NPV('Inputs and assumptions'!$C$5,(INDIRECT($A30&amp;"!F64:j64"))),NPV('Inputs and assumptions'!$C$5,(INDIRECT($A30&amp;"!F92:j92"))))</f>
        <v>1362114.0200600855</v>
      </c>
      <c r="O106" s="59" cm="1">
        <f t="array" aca="1" ref="O106" ca="1">IF(INDIRECT($A30&amp;"!E43")="Per Unit",NPV('Inputs and assumptions'!$C$5,(INDIRECT($A30&amp;"!F65:j65"))),NPV('Inputs and assumptions'!$C$5,(INDIRECT($A30&amp;"!F93:j93"))))</f>
        <v>0</v>
      </c>
      <c r="P106" s="59" cm="1">
        <f t="array" aca="1" ref="P106" ca="1">IF(INDIRECT($A30&amp;"!E43")="Per Unit",NPV('Inputs and assumptions'!$C$5,(INDIRECT($A30&amp;"!F66:j66"))),NPV('Inputs and assumptions'!$C$5,(INDIRECT($A30&amp;"!F94:j94"))))</f>
        <v>0</v>
      </c>
      <c r="Q106" s="59" cm="1">
        <f t="array" aca="1" ref="Q106" ca="1">IF(INDIRECT($A30&amp;"!E43")="Per Unit",NPV('Inputs and assumptions'!$C$5,(INDIRECT($A30&amp;"!F67:j67"))),NPV('Inputs and assumptions'!$C$5,(INDIRECT($A30&amp;"!F95:j95"))))</f>
        <v>0</v>
      </c>
      <c r="R106" s="59" cm="1">
        <f t="array" aca="1" ref="R106" ca="1">IF(INDIRECT($A30&amp;"!E43")="Per Unit",NPV('Inputs and assumptions'!$C$5,(INDIRECT($A30&amp;"!F68:j68"))),NPV('Inputs and assumptions'!$C$5,(INDIRECT($A30&amp;"!F96:j96"))))</f>
        <v>0</v>
      </c>
      <c r="S106" s="59" cm="1">
        <f t="array" aca="1" ref="S106" ca="1">IF(INDIRECT($A30&amp;"!E43")="Per Unit",NPV('Inputs and assumptions'!$C$5,(INDIRECT($A30&amp;"!F69:j69"))),NPV('Inputs and assumptions'!$C$5,(INDIRECT($A30&amp;"!F97:j97"))))</f>
        <v>0</v>
      </c>
      <c r="T106" s="378" cm="1">
        <f t="array" aca="1" ref="T106" ca="1">IF(INDIRECT($A30&amp;"!E43")="Per Unit",NPV('Inputs and assumptions'!$C$5,(INDIRECT($A30&amp;"!F70:j70"))),NPV('Inputs and assumptions'!$C$5,(INDIRECT($A30&amp;"!F98:j98"))))</f>
        <v>0</v>
      </c>
    </row>
    <row r="107" spans="1:20" x14ac:dyDescent="0.35">
      <c r="A107" s="444" t="s">
        <v>193</v>
      </c>
      <c r="B107" s="382" cm="1">
        <f t="array" aca="1" ref="B107" ca="1">IF(INDIRECT($A31&amp;"!E43")="Per Unit",NPV('Inputs and assumptions'!$C$5,(INDIRECT($A31&amp;"!F46:j46"))),NPV('Inputs and assumptions'!$C$5,(INDIRECT($A31&amp;"!F74:j74"))))</f>
        <v>141536.11568292603</v>
      </c>
      <c r="C107" s="59" cm="1">
        <f t="array" aca="1" ref="C107" ca="1">IF(INDIRECT($A31&amp;"!E43")="Per Unit",NPV('Inputs and assumptions'!$C$5,(INDIRECT($A31&amp;"!F47:j47"))),NPV('Inputs and assumptions'!$C$5,(INDIRECT($A31&amp;"!F75:j75"))))</f>
        <v>0</v>
      </c>
      <c r="D107" s="59" cm="1">
        <f t="array" aca="1" ref="D107" ca="1">IF(INDIRECT($A31&amp;"!E43")="Per Unit",NPV('Inputs and assumptions'!$C$5,(INDIRECT($A31&amp;"!F48:j48"))),NPV('Inputs and assumptions'!$C$5,(INDIRECT($A31&amp;"!F76:j76"))))</f>
        <v>19759.577257554018</v>
      </c>
      <c r="E107" s="483" cm="1">
        <f t="array" aca="1" ref="E107" ca="1">IF(INDIRECT($A31&amp;"!E43")="Per Unit",NPV('Inputs and assumptions'!$C$5,(INDIRECT($A31&amp;"!F49:j49"))),NPV('Inputs and assumptions'!$C$5,(INDIRECT($A31&amp;"!F77:j77"))))</f>
        <v>0</v>
      </c>
      <c r="F107" s="59" cm="1">
        <f t="array" aca="1" ref="F107" ca="1">IF(INDIRECT($A31&amp;"!E43")="Per Unit",NPV('Inputs and assumptions'!$C$5,(INDIRECT($A31&amp;"!F52:j52"))),NPV('Inputs and assumptions'!$C$5,(INDIRECT($A31&amp;"!F80:j80"))))</f>
        <v>0</v>
      </c>
      <c r="G107" s="59" cm="1">
        <f t="array" aca="1" ref="G107" ca="1">IF(INDIRECT($A31&amp;"!E43")="Per Unit",NPV('Inputs and assumptions'!$C$5,(INDIRECT($A31&amp;"!F53:j53"))),NPV('Inputs and assumptions'!$C$5,(INDIRECT($A31&amp;"!F81:j81"))))</f>
        <v>0</v>
      </c>
      <c r="H107" s="59" cm="1">
        <f t="array" aca="1" ref="H107" ca="1">IF(INDIRECT($A31&amp;"!E43")="Per Unit",NPV('Inputs and assumptions'!$C$5,(INDIRECT($A31&amp;"!F54:j54"))),NPV('Inputs and assumptions'!$C$5,(INDIRECT($A31&amp;"!F82:j82"))))</f>
        <v>40690.482663135772</v>
      </c>
      <c r="I107" s="59" cm="1">
        <f t="array" aca="1" ref="I107" ca="1">IF(INDIRECT($A31&amp;"!E43")="Per Unit",NPV('Inputs and assumptions'!$C$5,(INDIRECT($A31&amp;"!F55:j55"))),NPV('Inputs and assumptions'!$C$5,(INDIRECT($A31&amp;"!F83:j83"))))</f>
        <v>0</v>
      </c>
      <c r="J107" s="59" cm="1">
        <f t="array" aca="1" ref="J107" ca="1">IF(INDIRECT($A31&amp;"!E43")="Per Unit",NPV('Inputs and assumptions'!$C$5,(INDIRECT($A31&amp;"!F56:j56"))),NPV('Inputs and assumptions'!$C$5,(INDIRECT($A31&amp;"!F84:j84"))))</f>
        <v>0</v>
      </c>
      <c r="K107" s="483" cm="1">
        <f t="array" aca="1" ref="K107" ca="1">IF(INDIRECT($A31&amp;"!E43")="Per Unit",NPV('Inputs and assumptions'!$C$5,(INDIRECT($A31&amp;"!F57:j57"))),NPV('Inputs and assumptions'!$C$5,(INDIRECT($A31&amp;"!F85:j85"))))</f>
        <v>32965.030750729515</v>
      </c>
      <c r="L107" s="59" cm="1">
        <f t="array" aca="1" ref="L107" ca="1">IF(INDIRECT($A31&amp;"!E43")="Per Unit",NPV('Inputs and assumptions'!$C$5,(INDIRECT($A31&amp;"!F60:j60"))),NPV('Inputs and assumptions'!$C$5,(INDIRECT($A31&amp;"!F88:j88"))))</f>
        <v>0</v>
      </c>
      <c r="M107" s="483" cm="1">
        <f t="array" aca="1" ref="M107" ca="1">IF(INDIRECT($A31&amp;"!E43")="Per Unit",NPV('Inputs and assumptions'!$C$5,(INDIRECT($A31&amp;"!F61:j61"))),NPV('Inputs and assumptions'!$C$5,(INDIRECT($A31&amp;"!F89:j89"))))</f>
        <v>116347.16735551594</v>
      </c>
      <c r="N107" s="59" cm="1">
        <f t="array" aca="1" ref="N107" ca="1">IF(INDIRECT($A31&amp;"!E43")="Per Unit",NPV('Inputs and assumptions'!$C$5,(INDIRECT($A31&amp;"!F64:j64"))),NPV('Inputs and assumptions'!$C$5,(INDIRECT($A31&amp;"!F92:j92"))))</f>
        <v>488658.10289316694</v>
      </c>
      <c r="O107" s="59" cm="1">
        <f t="array" aca="1" ref="O107" ca="1">IF(INDIRECT($A31&amp;"!E43")="Per Unit",NPV('Inputs and assumptions'!$C$5,(INDIRECT($A31&amp;"!F65:j65"))),NPV('Inputs and assumptions'!$C$5,(INDIRECT($A31&amp;"!F93:j93"))))</f>
        <v>0</v>
      </c>
      <c r="P107" s="59" cm="1">
        <f t="array" aca="1" ref="P107" ca="1">IF(INDIRECT($A31&amp;"!E43")="Per Unit",NPV('Inputs and assumptions'!$C$5,(INDIRECT($A31&amp;"!F66:j66"))),NPV('Inputs and assumptions'!$C$5,(INDIRECT($A31&amp;"!F94:j94"))))</f>
        <v>0</v>
      </c>
      <c r="Q107" s="59" cm="1">
        <f t="array" aca="1" ref="Q107" ca="1">IF(INDIRECT($A31&amp;"!E43")="Per Unit",NPV('Inputs and assumptions'!$C$5,(INDIRECT($A31&amp;"!F67:j67"))),NPV('Inputs and assumptions'!$C$5,(INDIRECT($A31&amp;"!F95:j95"))))</f>
        <v>0</v>
      </c>
      <c r="R107" s="59" cm="1">
        <f t="array" aca="1" ref="R107" ca="1">IF(INDIRECT($A31&amp;"!E43")="Per Unit",NPV('Inputs and assumptions'!$C$5,(INDIRECT($A31&amp;"!F68:j68"))),NPV('Inputs and assumptions'!$C$5,(INDIRECT($A31&amp;"!F96:j96"))))</f>
        <v>23269.433471103188</v>
      </c>
      <c r="S107" s="59" cm="1">
        <f t="array" aca="1" ref="S107" ca="1">IF(INDIRECT($A31&amp;"!E43")="Per Unit",NPV('Inputs and assumptions'!$C$5,(INDIRECT($A31&amp;"!F69:j69"))),NPV('Inputs and assumptions'!$C$5,(INDIRECT($A31&amp;"!F97:j97"))))</f>
        <v>296685.27675656567</v>
      </c>
      <c r="T107" s="378" cm="1">
        <f t="array" aca="1" ref="T107" ca="1">IF(INDIRECT($A31&amp;"!E43")="Per Unit",NPV('Inputs and assumptions'!$C$5,(INDIRECT($A31&amp;"!F70:j70"))),NPV('Inputs and assumptions'!$C$5,(INDIRECT($A31&amp;"!F98:j98"))))</f>
        <v>0</v>
      </c>
    </row>
    <row r="108" spans="1:20" x14ac:dyDescent="0.35">
      <c r="A108" s="444" t="s">
        <v>188</v>
      </c>
      <c r="B108" s="382" cm="1">
        <f t="array" aca="1" ref="B108" ca="1">IF(INDIRECT($A32&amp;"!E43")="Per Unit",NPV('Inputs and assumptions'!$C$5,(INDIRECT($A32&amp;"!F46:j46"))),NPV('Inputs and assumptions'!$C$5,(INDIRECT($A32&amp;"!F74:j74"))))</f>
        <v>0</v>
      </c>
      <c r="C108" s="59" cm="1">
        <f t="array" aca="1" ref="C108" ca="1">IF(INDIRECT($A32&amp;"!E43")="Per Unit",NPV('Inputs and assumptions'!$C$5,(INDIRECT($A32&amp;"!F47:j47"))),NPV('Inputs and assumptions'!$C$5,(INDIRECT($A32&amp;"!F75:j75"))))</f>
        <v>0</v>
      </c>
      <c r="D108" s="59" cm="1">
        <f t="array" aca="1" ref="D108" ca="1">IF(INDIRECT($A32&amp;"!E43")="Per Unit",NPV('Inputs and assumptions'!$C$5,(INDIRECT($A32&amp;"!F48:j48"))),NPV('Inputs and assumptions'!$C$5,(INDIRECT($A32&amp;"!F76:j76"))))</f>
        <v>0</v>
      </c>
      <c r="E108" s="483" cm="1">
        <f t="array" aca="1" ref="E108" ca="1">IF(INDIRECT($A32&amp;"!E43")="Per Unit",NPV('Inputs and assumptions'!$C$5,(INDIRECT($A32&amp;"!F49:j49"))),NPV('Inputs and assumptions'!$C$5,(INDIRECT($A32&amp;"!F77:j77"))))</f>
        <v>0</v>
      </c>
      <c r="F108" s="59" cm="1">
        <f t="array" aca="1" ref="F108" ca="1">IF(INDIRECT($A32&amp;"!E43")="Per Unit",NPV('Inputs and assumptions'!$C$5,(INDIRECT($A32&amp;"!F52:j52"))),NPV('Inputs and assumptions'!$C$5,(INDIRECT($A32&amp;"!F80:j80"))))</f>
        <v>0</v>
      </c>
      <c r="G108" s="59" cm="1">
        <f t="array" aca="1" ref="G108" ca="1">IF(INDIRECT($A32&amp;"!E43")="Per Unit",NPV('Inputs and assumptions'!$C$5,(INDIRECT($A32&amp;"!F53:j53"))),NPV('Inputs and assumptions'!$C$5,(INDIRECT($A32&amp;"!F81:j81"))))</f>
        <v>0</v>
      </c>
      <c r="H108" s="59" cm="1">
        <f t="array" aca="1" ref="H108" ca="1">IF(INDIRECT($A32&amp;"!E43")="Per Unit",NPV('Inputs and assumptions'!$C$5,(INDIRECT($A32&amp;"!F54:j54"))),NPV('Inputs and assumptions'!$C$5,(INDIRECT($A32&amp;"!F82:j82"))))</f>
        <v>0</v>
      </c>
      <c r="I108" s="59" cm="1">
        <f t="array" aca="1" ref="I108" ca="1">IF(INDIRECT($A32&amp;"!E43")="Per Unit",NPV('Inputs and assumptions'!$C$5,(INDIRECT($A32&amp;"!F55:j55"))),NPV('Inputs and assumptions'!$C$5,(INDIRECT($A32&amp;"!F83:j83"))))</f>
        <v>0</v>
      </c>
      <c r="J108" s="59" cm="1">
        <f t="array" aca="1" ref="J108" ca="1">IF(INDIRECT($A32&amp;"!E43")="Per Unit",NPV('Inputs and assumptions'!$C$5,(INDIRECT($A32&amp;"!F56:j56"))),NPV('Inputs and assumptions'!$C$5,(INDIRECT($A32&amp;"!F84:j84"))))</f>
        <v>0</v>
      </c>
      <c r="K108" s="483" cm="1">
        <f t="array" aca="1" ref="K108" ca="1">IF(INDIRECT($A32&amp;"!E43")="Per Unit",NPV('Inputs and assumptions'!$C$5,(INDIRECT($A32&amp;"!F57:j57"))),NPV('Inputs and assumptions'!$C$5,(INDIRECT($A32&amp;"!F85:j85"))))</f>
        <v>0</v>
      </c>
      <c r="L108" s="59" cm="1">
        <f t="array" aca="1" ref="L108" ca="1">IF(INDIRECT($A32&amp;"!E43")="Per Unit",NPV('Inputs and assumptions'!$C$5,(INDIRECT($A32&amp;"!F60:j60"))),NPV('Inputs and assumptions'!$C$5,(INDIRECT($A32&amp;"!F88:j88"))))</f>
        <v>0</v>
      </c>
      <c r="M108" s="483" cm="1">
        <f t="array" aca="1" ref="M108" ca="1">IF(INDIRECT($A32&amp;"!E43")="Per Unit",NPV('Inputs and assumptions'!$C$5,(INDIRECT($A32&amp;"!F61:j61"))),NPV('Inputs and assumptions'!$C$5,(INDIRECT($A32&amp;"!F89:j89"))))</f>
        <v>0</v>
      </c>
      <c r="N108" s="59" cm="1">
        <f t="array" aca="1" ref="N108" ca="1">IF(INDIRECT($A32&amp;"!E43")="Per Unit",NPV('Inputs and assumptions'!$C$5,(INDIRECT($A32&amp;"!F64:j64"))),NPV('Inputs and assumptions'!$C$5,(INDIRECT($A32&amp;"!F92:j92"))))</f>
        <v>0</v>
      </c>
      <c r="O108" s="59" cm="1">
        <f t="array" aca="1" ref="O108" ca="1">IF(INDIRECT($A32&amp;"!E43")="Per Unit",NPV('Inputs and assumptions'!$C$5,(INDIRECT($A32&amp;"!F65:j65"))),NPV('Inputs and assumptions'!$C$5,(INDIRECT($A32&amp;"!F93:j93"))))</f>
        <v>0</v>
      </c>
      <c r="P108" s="59" cm="1">
        <f t="array" aca="1" ref="P108" ca="1">IF(INDIRECT($A32&amp;"!E43")="Per Unit",NPV('Inputs and assumptions'!$C$5,(INDIRECT($A32&amp;"!F66:j66"))),NPV('Inputs and assumptions'!$C$5,(INDIRECT($A32&amp;"!F94:j94"))))</f>
        <v>1472180.2366522918</v>
      </c>
      <c r="Q108" s="59" cm="1">
        <f t="array" aca="1" ref="Q108" ca="1">IF(INDIRECT($A32&amp;"!E43")="Per Unit",NPV('Inputs and assumptions'!$C$5,(INDIRECT($A32&amp;"!F67:j67"))),NPV('Inputs and assumptions'!$C$5,(INDIRECT($A32&amp;"!F95:j95"))))</f>
        <v>0</v>
      </c>
      <c r="R108" s="59" cm="1">
        <f t="array" aca="1" ref="R108" ca="1">IF(INDIRECT($A32&amp;"!E43")="Per Unit",NPV('Inputs and assumptions'!$C$5,(INDIRECT($A32&amp;"!F68:j68"))),NPV('Inputs and assumptions'!$C$5,(INDIRECT($A32&amp;"!F96:j96"))))</f>
        <v>1066797.2729364431</v>
      </c>
      <c r="S108" s="59" cm="1">
        <f t="array" aca="1" ref="S108" ca="1">IF(INDIRECT($A32&amp;"!E43")="Per Unit",NPV('Inputs and assumptions'!$C$5,(INDIRECT($A32&amp;"!F69:j69"))),NPV('Inputs and assumptions'!$C$5,(INDIRECT($A32&amp;"!F97:j97"))))</f>
        <v>272033.30459879304</v>
      </c>
      <c r="T108" s="378" cm="1">
        <f t="array" aca="1" ref="T108" ca="1">IF(INDIRECT($A32&amp;"!E43")="Per Unit",NPV('Inputs and assumptions'!$C$5,(INDIRECT($A32&amp;"!F70:j70"))),NPV('Inputs and assumptions'!$C$5,(INDIRECT($A32&amp;"!F98:j98"))))</f>
        <v>0</v>
      </c>
    </row>
    <row r="109" spans="1:20" x14ac:dyDescent="0.35">
      <c r="A109" s="444" t="s">
        <v>194</v>
      </c>
      <c r="B109" s="382" cm="1">
        <f t="array" aca="1" ref="B109" ca="1">IF(INDIRECT($A33&amp;"!E43")="Per Unit",NPV('Inputs and assumptions'!$C$5,(INDIRECT($A33&amp;"!F46:j46"))),NPV('Inputs and assumptions'!$C$5,(INDIRECT($A33&amp;"!F74:j74"))))</f>
        <v>14741.632723450506</v>
      </c>
      <c r="C109" s="59" cm="1">
        <f t="array" aca="1" ref="C109" ca="1">IF(INDIRECT($A33&amp;"!E43")="Per Unit",NPV('Inputs and assumptions'!$C$5,(INDIRECT($A33&amp;"!F47:j47"))),NPV('Inputs and assumptions'!$C$5,(INDIRECT($A33&amp;"!F75:j75"))))</f>
        <v>10601.952626203803</v>
      </c>
      <c r="D109" s="59" cm="1">
        <f t="array" aca="1" ref="D109" ca="1">IF(INDIRECT($A33&amp;"!E43")="Per Unit",NPV('Inputs and assumptions'!$C$5,(INDIRECT($A33&amp;"!F48:j48"))),NPV('Inputs and assumptions'!$C$5,(INDIRECT($A33&amp;"!F76:j76"))))</f>
        <v>2058.050196559449</v>
      </c>
      <c r="E109" s="483" cm="1">
        <f t="array" aca="1" ref="E109" ca="1">IF(INDIRECT($A33&amp;"!E43")="Per Unit",NPV('Inputs and assumptions'!$C$5,(INDIRECT($A33&amp;"!F49:j49"))),NPV('Inputs and assumptions'!$C$5,(INDIRECT($A33&amp;"!F77:j77"))))</f>
        <v>12703.454355238926</v>
      </c>
      <c r="F109" s="59" cm="1">
        <f t="array" aca="1" ref="F109" ca="1">IF(INDIRECT($A33&amp;"!E43")="Per Unit",NPV('Inputs and assumptions'!$C$5,(INDIRECT($A33&amp;"!F52:j52"))),NPV('Inputs and assumptions'!$C$5,(INDIRECT($A33&amp;"!F80:j80"))))</f>
        <v>0</v>
      </c>
      <c r="G109" s="59" cm="1">
        <f t="array" aca="1" ref="G109" ca="1">IF(INDIRECT($A33&amp;"!E43")="Per Unit",NPV('Inputs and assumptions'!$C$5,(INDIRECT($A33&amp;"!F53:j53"))),NPV('Inputs and assumptions'!$C$5,(INDIRECT($A33&amp;"!F81:j81"))))</f>
        <v>0</v>
      </c>
      <c r="H109" s="59" cm="1">
        <f t="array" aca="1" ref="H109" ca="1">IF(INDIRECT($A33&amp;"!E43")="Per Unit",NPV('Inputs and assumptions'!$C$5,(INDIRECT($A33&amp;"!F54:j54"))),NPV('Inputs and assumptions'!$C$5,(INDIRECT($A33&amp;"!F82:j82"))))</f>
        <v>42380.995681955064</v>
      </c>
      <c r="I109" s="59" cm="1">
        <f t="array" aca="1" ref="I109" ca="1">IF(INDIRECT($A33&amp;"!E43")="Per Unit",NPV('Inputs and assumptions'!$C$5,(INDIRECT($A33&amp;"!F55:j55"))),NPV('Inputs and assumptions'!$C$5,(INDIRECT($A33&amp;"!F83:j83"))))</f>
        <v>0</v>
      </c>
      <c r="J109" s="59" cm="1">
        <f t="array" aca="1" ref="J109" ca="1">IF(INDIRECT($A33&amp;"!E43")="Per Unit",NPV('Inputs and assumptions'!$C$5,(INDIRECT($A33&amp;"!F56:j56"))),NPV('Inputs and assumptions'!$C$5,(INDIRECT($A33&amp;"!F84:j84"))))</f>
        <v>0</v>
      </c>
      <c r="K109" s="483" cm="1">
        <f t="array" aca="1" ref="K109" ca="1">IF(INDIRECT($A33&amp;"!E43")="Per Unit",NPV('Inputs and assumptions'!$C$5,(INDIRECT($A33&amp;"!F57:j57"))),NPV('Inputs and assumptions'!$C$5,(INDIRECT($A33&amp;"!F85:j85"))))</f>
        <v>34334.584759494661</v>
      </c>
      <c r="L109" s="59" cm="1">
        <f t="array" aca="1" ref="L109" ca="1">IF(INDIRECT($A33&amp;"!E43")="Per Unit",NPV('Inputs and assumptions'!$C$5,(INDIRECT($A33&amp;"!F60:j60"))),NPV('Inputs and assumptions'!$C$5,(INDIRECT($A33&amp;"!F88:j88"))))</f>
        <v>0</v>
      </c>
      <c r="M109" s="483" cm="1">
        <f t="array" aca="1" ref="M109" ca="1">IF(INDIRECT($A33&amp;"!E43")="Per Unit",NPV('Inputs and assumptions'!$C$5,(INDIRECT($A33&amp;"!F61:j61"))),NPV('Inputs and assumptions'!$C$5,(INDIRECT($A33&amp;"!F89:j89"))))</f>
        <v>12118.088738645176</v>
      </c>
      <c r="N109" s="59" cm="1">
        <f t="array" aca="1" ref="N109" ca="1">IF(INDIRECT($A33&amp;"!E43")="Per Unit",NPV('Inputs and assumptions'!$C$5,(INDIRECT($A33&amp;"!F64:j64"))),NPV('Inputs and assumptions'!$C$5,(INDIRECT($A33&amp;"!F92:j92"))))</f>
        <v>508959.72702309734</v>
      </c>
      <c r="O109" s="59" cm="1">
        <f t="array" aca="1" ref="O109" ca="1">IF(INDIRECT($A33&amp;"!E43")="Per Unit",NPV('Inputs and assumptions'!$C$5,(INDIRECT($A33&amp;"!F65:j65"))),NPV('Inputs and assumptions'!$C$5,(INDIRECT($A33&amp;"!F93:j93"))))</f>
        <v>0</v>
      </c>
      <c r="P109" s="59" cm="1">
        <f t="array" aca="1" ref="P109" ca="1">IF(INDIRECT($A33&amp;"!E43")="Per Unit",NPV('Inputs and assumptions'!$C$5,(INDIRECT($A33&amp;"!F66:j66"))),NPV('Inputs and assumptions'!$C$5,(INDIRECT($A33&amp;"!F94:j94"))))</f>
        <v>0</v>
      </c>
      <c r="Q109" s="59" cm="1">
        <f t="array" aca="1" ref="Q109" ca="1">IF(INDIRECT($A33&amp;"!E43")="Per Unit",NPV('Inputs and assumptions'!$C$5,(INDIRECT($A33&amp;"!F67:j67"))),NPV('Inputs and assumptions'!$C$5,(INDIRECT($A33&amp;"!F95:j95"))))</f>
        <v>0</v>
      </c>
      <c r="R109" s="59" cm="1">
        <f t="array" aca="1" ref="R109" ca="1">IF(INDIRECT($A33&amp;"!E43")="Per Unit",NPV('Inputs and assumptions'!$C$5,(INDIRECT($A33&amp;"!F68:j68"))),NPV('Inputs and assumptions'!$C$5,(INDIRECT($A33&amp;"!F96:j96"))))</f>
        <v>0</v>
      </c>
      <c r="S109" s="59" cm="1">
        <f t="array" aca="1" ref="S109" ca="1">IF(INDIRECT($A33&amp;"!E43")="Per Unit",NPV('Inputs and assumptions'!$C$5,(INDIRECT($A33&amp;"!F69:j69"))),NPV('Inputs and assumptions'!$C$5,(INDIRECT($A33&amp;"!F97:j97"))))</f>
        <v>0</v>
      </c>
      <c r="T109" s="378" cm="1">
        <f t="array" aca="1" ref="T109" ca="1">IF(INDIRECT($A33&amp;"!E43")="Per Unit",NPV('Inputs and assumptions'!$C$5,(INDIRECT($A33&amp;"!F70:j70"))),NPV('Inputs and assumptions'!$C$5,(INDIRECT($A33&amp;"!F98:j98"))))</f>
        <v>0</v>
      </c>
    </row>
    <row r="110" spans="1:20" x14ac:dyDescent="0.35">
      <c r="A110" s="444" t="s">
        <v>195</v>
      </c>
      <c r="B110" s="382" cm="1">
        <f t="array" aca="1" ref="B110" ca="1">IF(INDIRECT($A34&amp;"!E43")="Per Unit",NPV('Inputs and assumptions'!$C$5,(INDIRECT($A34&amp;"!F46:j46"))),NPV('Inputs and assumptions'!$C$5,(INDIRECT($A34&amp;"!F74:j74"))))</f>
        <v>0</v>
      </c>
      <c r="C110" s="59" cm="1">
        <f t="array" aca="1" ref="C110" ca="1">IF(INDIRECT($A34&amp;"!E43")="Per Unit",NPV('Inputs and assumptions'!$C$5,(INDIRECT($A34&amp;"!F47:j47"))),NPV('Inputs and assumptions'!$C$5,(INDIRECT($A34&amp;"!F75:j75"))))</f>
        <v>0</v>
      </c>
      <c r="D110" s="59" cm="1">
        <f t="array" aca="1" ref="D110" ca="1">IF(INDIRECT($A34&amp;"!E43")="Per Unit",NPV('Inputs and assumptions'!$C$5,(INDIRECT($A34&amp;"!F48:j48"))),NPV('Inputs and assumptions'!$C$5,(INDIRECT($A34&amp;"!F76:j76"))))</f>
        <v>0</v>
      </c>
      <c r="E110" s="483" cm="1">
        <f t="array" aca="1" ref="E110" ca="1">IF(INDIRECT($A34&amp;"!E43")="Per Unit",NPV('Inputs and assumptions'!$C$5,(INDIRECT($A34&amp;"!F49:j49"))),NPV('Inputs and assumptions'!$C$5,(INDIRECT($A34&amp;"!F77:j77"))))</f>
        <v>0</v>
      </c>
      <c r="F110" s="59" cm="1">
        <f t="array" aca="1" ref="F110" ca="1">IF(INDIRECT($A34&amp;"!E43")="Per Unit",NPV('Inputs and assumptions'!$C$5,(INDIRECT($A34&amp;"!F52:j52"))),NPV('Inputs and assumptions'!$C$5,(INDIRECT($A34&amp;"!F80:j80"))))</f>
        <v>0</v>
      </c>
      <c r="G110" s="59" cm="1">
        <f t="array" aca="1" ref="G110" ca="1">IF(INDIRECT($A34&amp;"!E43")="Per Unit",NPV('Inputs and assumptions'!$C$5,(INDIRECT($A34&amp;"!F53:j53"))),NPV('Inputs and assumptions'!$C$5,(INDIRECT($A34&amp;"!F81:j81"))))</f>
        <v>66282.513463583105</v>
      </c>
      <c r="H110" s="59" cm="1">
        <f t="array" aca="1" ref="H110" ca="1">IF(INDIRECT($A34&amp;"!E43")="Per Unit",NPV('Inputs and assumptions'!$C$5,(INDIRECT($A34&amp;"!F54:j54"))),NPV('Inputs and assumptions'!$C$5,(INDIRECT($A34&amp;"!F82:j82"))))</f>
        <v>0</v>
      </c>
      <c r="I110" s="59" cm="1">
        <f t="array" aca="1" ref="I110" ca="1">IF(INDIRECT($A34&amp;"!E43")="Per Unit",NPV('Inputs and assumptions'!$C$5,(INDIRECT($A34&amp;"!F55:j55"))),NPV('Inputs and assumptions'!$C$5,(INDIRECT($A34&amp;"!F83:j83"))))</f>
        <v>0</v>
      </c>
      <c r="J110" s="59" cm="1">
        <f t="array" aca="1" ref="J110" ca="1">IF(INDIRECT($A34&amp;"!E43")="Per Unit",NPV('Inputs and assumptions'!$C$5,(INDIRECT($A34&amp;"!F56:j56"))),NPV('Inputs and assumptions'!$C$5,(INDIRECT($A34&amp;"!F84:j84"))))</f>
        <v>190928.35302112316</v>
      </c>
      <c r="K110" s="483" cm="1">
        <f t="array" aca="1" ref="K110" ca="1">IF(INDIRECT($A34&amp;"!E43")="Per Unit",NPV('Inputs and assumptions'!$C$5,(INDIRECT($A34&amp;"!F57:j57"))),NPV('Inputs and assumptions'!$C$5,(INDIRECT($A34&amp;"!F85:j85"))))</f>
        <v>0</v>
      </c>
      <c r="L110" s="59" cm="1">
        <f t="array" aca="1" ref="L110" ca="1">IF(INDIRECT($A34&amp;"!E43")="Per Unit",NPV('Inputs and assumptions'!$C$5,(INDIRECT($A34&amp;"!F60:j60"))),NPV('Inputs and assumptions'!$C$5,(INDIRECT($A34&amp;"!F88:j88"))))</f>
        <v>0</v>
      </c>
      <c r="M110" s="483" cm="1">
        <f t="array" aca="1" ref="M110" ca="1">IF(INDIRECT($A34&amp;"!E43")="Per Unit",NPV('Inputs and assumptions'!$C$5,(INDIRECT($A34&amp;"!F61:j61"))),NPV('Inputs and assumptions'!$C$5,(INDIRECT($A34&amp;"!F89:j89"))))</f>
        <v>0</v>
      </c>
      <c r="N110" s="59" cm="1">
        <f t="array" aca="1" ref="N110" ca="1">IF(INDIRECT($A34&amp;"!E43")="Per Unit",NPV('Inputs and assumptions'!$C$5,(INDIRECT($A34&amp;"!F64:j64"))),NPV('Inputs and assumptions'!$C$5,(INDIRECT($A34&amp;"!F92:j92"))))</f>
        <v>0</v>
      </c>
      <c r="O110" s="59" cm="1">
        <f t="array" aca="1" ref="O110" ca="1">IF(INDIRECT($A34&amp;"!E43")="Per Unit",NPV('Inputs and assumptions'!$C$5,(INDIRECT($A34&amp;"!F65:j65"))),NPV('Inputs and assumptions'!$C$5,(INDIRECT($A34&amp;"!F93:j93"))))</f>
        <v>0</v>
      </c>
      <c r="P110" s="59" cm="1">
        <f t="array" aca="1" ref="P110" ca="1">IF(INDIRECT($A34&amp;"!E43")="Per Unit",NPV('Inputs and assumptions'!$C$5,(INDIRECT($A34&amp;"!F66:j66"))),NPV('Inputs and assumptions'!$C$5,(INDIRECT($A34&amp;"!F94:j94"))))</f>
        <v>269469.33460481244</v>
      </c>
      <c r="Q110" s="59" cm="1">
        <f t="array" aca="1" ref="Q110" ca="1">IF(INDIRECT($A34&amp;"!E43")="Per Unit",NPV('Inputs and assumptions'!$C$5,(INDIRECT($A34&amp;"!F67:j67"))),NPV('Inputs and assumptions'!$C$5,(INDIRECT($A34&amp;"!F95:j95"))))</f>
        <v>0</v>
      </c>
      <c r="R110" s="59" cm="1">
        <f t="array" aca="1" ref="R110" ca="1">IF(INDIRECT($A34&amp;"!E43")="Per Unit",NPV('Inputs and assumptions'!$C$5,(INDIRECT($A34&amp;"!F68:j68"))),NPV('Inputs and assumptions'!$C$5,(INDIRECT($A34&amp;"!F96:j96"))))</f>
        <v>9763.3816885801607</v>
      </c>
      <c r="S110" s="59" cm="1">
        <f t="array" aca="1" ref="S110" ca="1">IF(INDIRECT($A34&amp;"!E43")="Per Unit",NPV('Inputs and assumptions'!$C$5,(INDIRECT($A34&amp;"!F69:j69"))),NPV('Inputs and assumptions'!$C$5,(INDIRECT($A34&amp;"!F97:j97"))))</f>
        <v>0</v>
      </c>
      <c r="T110" s="378" cm="1">
        <f t="array" aca="1" ref="T110" ca="1">IF(INDIRECT($A34&amp;"!E43")="Per Unit",NPV('Inputs and assumptions'!$C$5,(INDIRECT($A34&amp;"!F70:j70"))),NPV('Inputs and assumptions'!$C$5,(INDIRECT($A34&amp;"!F98:j98"))))</f>
        <v>0</v>
      </c>
    </row>
    <row r="111" spans="1:20" x14ac:dyDescent="0.35">
      <c r="A111" s="444" t="s">
        <v>196</v>
      </c>
      <c r="B111" s="382" cm="1">
        <f t="array" aca="1" ref="B111" ca="1">IF(INDIRECT($A35&amp;"!E43")="Per Unit",NPV('Inputs and assumptions'!$C$5,(INDIRECT($A35&amp;"!F46:j46"))),NPV('Inputs and assumptions'!$C$5,(INDIRECT($A35&amp;"!F74:j74"))))</f>
        <v>65083.398568861441</v>
      </c>
      <c r="C111" s="59" cm="1">
        <f t="array" aca="1" ref="C111" ca="1">IF(INDIRECT($A35&amp;"!E43")="Per Unit",NPV('Inputs and assumptions'!$C$5,(INDIRECT($A35&amp;"!F47:j47"))),NPV('Inputs and assumptions'!$C$5,(INDIRECT($A35&amp;"!F75:j75"))))</f>
        <v>0</v>
      </c>
      <c r="D111" s="59" cm="1">
        <f t="array" aca="1" ref="D111" ca="1">IF(INDIRECT($A35&amp;"!E43")="Per Unit",NPV('Inputs and assumptions'!$C$5,(INDIRECT($A35&amp;"!F48:j48"))),NPV('Inputs and assumptions'!$C$5,(INDIRECT($A35&amp;"!F76:j76"))))</f>
        <v>0</v>
      </c>
      <c r="E111" s="483" cm="1">
        <f t="array" aca="1" ref="E111" ca="1">IF(INDIRECT($A35&amp;"!E43")="Per Unit",NPV('Inputs and assumptions'!$C$5,(INDIRECT($A35&amp;"!F49:j49"))),NPV('Inputs and assumptions'!$C$5,(INDIRECT($A35&amp;"!F77:j77"))))</f>
        <v>0</v>
      </c>
      <c r="F111" s="59" cm="1">
        <f t="array" aca="1" ref="F111" ca="1">IF(INDIRECT($A35&amp;"!E43")="Per Unit",NPV('Inputs and assumptions'!$C$5,(INDIRECT($A35&amp;"!F52:j52"))),NPV('Inputs and assumptions'!$C$5,(INDIRECT($A35&amp;"!F80:j80"))))</f>
        <v>0</v>
      </c>
      <c r="G111" s="59" cm="1">
        <f t="array" aca="1" ref="G111" ca="1">IF(INDIRECT($A35&amp;"!E43")="Per Unit",NPV('Inputs and assumptions'!$C$5,(INDIRECT($A35&amp;"!F53:j53"))),NPV('Inputs and assumptions'!$C$5,(INDIRECT($A35&amp;"!F81:j81"))))</f>
        <v>0</v>
      </c>
      <c r="H111" s="59" cm="1">
        <f t="array" aca="1" ref="H111" ca="1">IF(INDIRECT($A35&amp;"!E43")="Per Unit",NPV('Inputs and assumptions'!$C$5,(INDIRECT($A35&amp;"!F54:j54"))),NPV('Inputs and assumptions'!$C$5,(INDIRECT($A35&amp;"!F82:j82"))))</f>
        <v>0</v>
      </c>
      <c r="I111" s="59" cm="1">
        <f t="array" aca="1" ref="I111" ca="1">IF(INDIRECT($A35&amp;"!E43")="Per Unit",NPV('Inputs and assumptions'!$C$5,(INDIRECT($A35&amp;"!F55:j55"))),NPV('Inputs and assumptions'!$C$5,(INDIRECT($A35&amp;"!F83:j83"))))</f>
        <v>271961.45353550842</v>
      </c>
      <c r="J111" s="59" cm="1">
        <f t="array" aca="1" ref="J111" ca="1">IF(INDIRECT($A35&amp;"!E43")="Per Unit",NPV('Inputs and assumptions'!$C$5,(INDIRECT($A35&amp;"!F56:j56"))),NPV('Inputs and assumptions'!$C$5,(INDIRECT($A35&amp;"!F84:j84"))))</f>
        <v>0</v>
      </c>
      <c r="K111" s="483" cm="1">
        <f t="array" aca="1" ref="K111" ca="1">IF(INDIRECT($A35&amp;"!E43")="Per Unit",NPV('Inputs and assumptions'!$C$5,(INDIRECT($A35&amp;"!F57:j57"))),NPV('Inputs and assumptions'!$C$5,(INDIRECT($A35&amp;"!F85:j85"))))</f>
        <v>0</v>
      </c>
      <c r="L111" s="59" cm="1">
        <f t="array" aca="1" ref="L111" ca="1">IF(INDIRECT($A35&amp;"!E43")="Per Unit",NPV('Inputs and assumptions'!$C$5,(INDIRECT($A35&amp;"!F60:j60"))),NPV('Inputs and assumptions'!$C$5,(INDIRECT($A35&amp;"!F88:j88"))))</f>
        <v>0</v>
      </c>
      <c r="M111" s="483" cm="1">
        <f t="array" aca="1" ref="M111" ca="1">IF(INDIRECT($A35&amp;"!E43")="Per Unit",NPV('Inputs and assumptions'!$C$5,(INDIRECT($A35&amp;"!F61:j61"))),NPV('Inputs and assumptions'!$C$5,(INDIRECT($A35&amp;"!F89:j89"))))</f>
        <v>0</v>
      </c>
      <c r="N111" s="59" cm="1">
        <f t="array" aca="1" ref="N111" ca="1">IF(INDIRECT($A35&amp;"!E43")="Per Unit",NPV('Inputs and assumptions'!$C$5,(INDIRECT($A35&amp;"!F64:j64"))),NPV('Inputs and assumptions'!$C$5,(INDIRECT($A35&amp;"!F92:j92"))))</f>
        <v>0</v>
      </c>
      <c r="O111" s="59" cm="1">
        <f t="array" aca="1" ref="O111" ca="1">IF(INDIRECT($A35&amp;"!E43")="Per Unit",NPV('Inputs and assumptions'!$C$5,(INDIRECT($A35&amp;"!F65:j65"))),NPV('Inputs and assumptions'!$C$5,(INDIRECT($A35&amp;"!F93:j93"))))</f>
        <v>0</v>
      </c>
      <c r="P111" s="59" cm="1">
        <f t="array" aca="1" ref="P111" ca="1">IF(INDIRECT($A35&amp;"!E43")="Per Unit",NPV('Inputs and assumptions'!$C$5,(INDIRECT($A35&amp;"!F66:j66"))),NPV('Inputs and assumptions'!$C$5,(INDIRECT($A35&amp;"!F94:j94"))))</f>
        <v>0</v>
      </c>
      <c r="Q111" s="59" cm="1">
        <f t="array" aca="1" ref="Q111" ca="1">IF(INDIRECT($A35&amp;"!E43")="Per Unit",NPV('Inputs and assumptions'!$C$5,(INDIRECT($A35&amp;"!F67:j67"))),NPV('Inputs and assumptions'!$C$5,(INDIRECT($A35&amp;"!F95:j95"))))</f>
        <v>0</v>
      </c>
      <c r="R111" s="59" cm="1">
        <f t="array" aca="1" ref="R111" ca="1">IF(INDIRECT($A35&amp;"!E43")="Per Unit",NPV('Inputs and assumptions'!$C$5,(INDIRECT($A35&amp;"!F68:j68"))),NPV('Inputs and assumptions'!$C$5,(INDIRECT($A35&amp;"!F96:j96"))))</f>
        <v>0</v>
      </c>
      <c r="S111" s="59" cm="1">
        <f t="array" aca="1" ref="S111" ca="1">IF(INDIRECT($A35&amp;"!E43")="Per Unit",NPV('Inputs and assumptions'!$C$5,(INDIRECT($A35&amp;"!F69:j69"))),NPV('Inputs and assumptions'!$C$5,(INDIRECT($A35&amp;"!F97:j97"))))</f>
        <v>0</v>
      </c>
      <c r="T111" s="378" cm="1">
        <f t="array" aca="1" ref="T111" ca="1">IF(INDIRECT($A35&amp;"!E43")="Per Unit",NPV('Inputs and assumptions'!$C$5,(INDIRECT($A35&amp;"!F70:j70"))),NPV('Inputs and assumptions'!$C$5,(INDIRECT($A35&amp;"!F98:j98"))))</f>
        <v>0</v>
      </c>
    </row>
    <row r="112" spans="1:20" x14ac:dyDescent="0.35">
      <c r="A112" s="444" t="s">
        <v>197</v>
      </c>
      <c r="B112" s="382" cm="1">
        <f t="array" aca="1" ref="B112" ca="1">IF(INDIRECT($A36&amp;"!E43")="Per Unit",NPV('Inputs and assumptions'!$C$5,(INDIRECT($A36&amp;"!F46:j46"))),NPV('Inputs and assumptions'!$C$5,(INDIRECT($A36&amp;"!F74:j74"))))</f>
        <v>277778.67665120546</v>
      </c>
      <c r="C112" s="59" cm="1">
        <f t="array" aca="1" ref="C112" ca="1">IF(INDIRECT($A36&amp;"!E43")="Per Unit",NPV('Inputs and assumptions'!$C$5,(INDIRECT($A36&amp;"!F47:j47"))),NPV('Inputs and assumptions'!$C$5,(INDIRECT($A36&amp;"!F75:j75"))))</f>
        <v>0</v>
      </c>
      <c r="D112" s="59" cm="1">
        <f t="array" aca="1" ref="D112" ca="1">IF(INDIRECT($A36&amp;"!E43")="Per Unit",NPV('Inputs and assumptions'!$C$5,(INDIRECT($A36&amp;"!F48:j48"))),NPV('Inputs and assumptions'!$C$5,(INDIRECT($A36&amp;"!F76:j76"))))</f>
        <v>0</v>
      </c>
      <c r="E112" s="483" cm="1">
        <f t="array" aca="1" ref="E112" ca="1">IF(INDIRECT($A36&amp;"!E43")="Per Unit",NPV('Inputs and assumptions'!$C$5,(INDIRECT($A36&amp;"!F49:j49"))),NPV('Inputs and assumptions'!$C$5,(INDIRECT($A36&amp;"!F77:j77"))))</f>
        <v>239372.99252367363</v>
      </c>
      <c r="F112" s="59" cm="1">
        <f t="array" aca="1" ref="F112" ca="1">IF(INDIRECT($A36&amp;"!E43")="Per Unit",NPV('Inputs and assumptions'!$C$5,(INDIRECT($A36&amp;"!F52:j52"))),NPV('Inputs and assumptions'!$C$5,(INDIRECT($A36&amp;"!F80:j80"))))</f>
        <v>0</v>
      </c>
      <c r="G112" s="59" cm="1">
        <f t="array" aca="1" ref="G112" ca="1">IF(INDIRECT($A36&amp;"!E43")="Per Unit",NPV('Inputs and assumptions'!$C$5,(INDIRECT($A36&amp;"!F53:j53"))),NPV('Inputs and assumptions'!$C$5,(INDIRECT($A36&amp;"!F81:j81"))))</f>
        <v>0</v>
      </c>
      <c r="H112" s="59" cm="1">
        <f t="array" aca="1" ref="H112" ca="1">IF(INDIRECT($A36&amp;"!E43")="Per Unit",NPV('Inputs and assumptions'!$C$5,(INDIRECT($A36&amp;"!F54:j54"))),NPV('Inputs and assumptions'!$C$5,(INDIRECT($A36&amp;"!F82:j82"))))</f>
        <v>0</v>
      </c>
      <c r="I112" s="59" cm="1">
        <f t="array" aca="1" ref="I112" ca="1">IF(INDIRECT($A36&amp;"!E43")="Per Unit",NPV('Inputs and assumptions'!$C$5,(INDIRECT($A36&amp;"!F55:j55"))),NPV('Inputs and assumptions'!$C$5,(INDIRECT($A36&amp;"!F83:j83"))))</f>
        <v>116074.28979496424</v>
      </c>
      <c r="J112" s="59" cm="1">
        <f t="array" aca="1" ref="J112" ca="1">IF(INDIRECT($A36&amp;"!E43")="Per Unit",NPV('Inputs and assumptions'!$C$5,(INDIRECT($A36&amp;"!F56:j56"))),NPV('Inputs and assumptions'!$C$5,(INDIRECT($A36&amp;"!F84:j84"))))</f>
        <v>0</v>
      </c>
      <c r="K112" s="483" cm="1">
        <f t="array" aca="1" ref="K112" ca="1">IF(INDIRECT($A36&amp;"!E43")="Per Unit",NPV('Inputs and assumptions'!$C$5,(INDIRECT($A36&amp;"!F57:j57"))),NPV('Inputs and assumptions'!$C$5,(INDIRECT($A36&amp;"!F85:j85"))))</f>
        <v>0</v>
      </c>
      <c r="L112" s="59" cm="1">
        <f t="array" aca="1" ref="L112" ca="1">IF(INDIRECT($A36&amp;"!E43")="Per Unit",NPV('Inputs and assumptions'!$C$5,(INDIRECT($A36&amp;"!F60:j60"))),NPV('Inputs and assumptions'!$C$5,(INDIRECT($A36&amp;"!F88:j88"))))</f>
        <v>0</v>
      </c>
      <c r="M112" s="483" cm="1">
        <f t="array" aca="1" ref="M112" ca="1">IF(INDIRECT($A36&amp;"!E43")="Per Unit",NPV('Inputs and assumptions'!$C$5,(INDIRECT($A36&amp;"!F61:j61"))),NPV('Inputs and assumptions'!$C$5,(INDIRECT($A36&amp;"!F89:j89"))))</f>
        <v>85628.57443890805</v>
      </c>
      <c r="N112" s="59" cm="1">
        <f t="array" aca="1" ref="N112" ca="1">IF(INDIRECT($A36&amp;"!E43")="Per Unit",NPV('Inputs and assumptions'!$C$5,(INDIRECT($A36&amp;"!F64:j64"))),NPV('Inputs and assumptions'!$C$5,(INDIRECT($A36&amp;"!F92:j92"))))</f>
        <v>359640.01264341373</v>
      </c>
      <c r="O112" s="59" cm="1">
        <f t="array" aca="1" ref="O112" ca="1">IF(INDIRECT($A36&amp;"!E43")="Per Unit",NPV('Inputs and assumptions'!$C$5,(INDIRECT($A36&amp;"!F65:j65"))),NPV('Inputs and assumptions'!$C$5,(INDIRECT($A36&amp;"!F93:j93"))))</f>
        <v>0</v>
      </c>
      <c r="P112" s="59" cm="1">
        <f t="array" aca="1" ref="P112" ca="1">IF(INDIRECT($A36&amp;"!E43")="Per Unit",NPV('Inputs and assumptions'!$C$5,(INDIRECT($A36&amp;"!F66:j66"))),NPV('Inputs and assumptions'!$C$5,(INDIRECT($A36&amp;"!F94:j94"))))</f>
        <v>0</v>
      </c>
      <c r="Q112" s="59" cm="1">
        <f t="array" aca="1" ref="Q112" ca="1">IF(INDIRECT($A36&amp;"!E43")="Per Unit",NPV('Inputs and assumptions'!$C$5,(INDIRECT($A36&amp;"!F67:j67"))),NPV('Inputs and assumptions'!$C$5,(INDIRECT($A36&amp;"!F95:j95"))))</f>
        <v>0</v>
      </c>
      <c r="R112" s="59" cm="1">
        <f t="array" aca="1" ref="R112" ca="1">IF(INDIRECT($A36&amp;"!E43")="Per Unit",NPV('Inputs and assumptions'!$C$5,(INDIRECT($A36&amp;"!F68:j68"))),NPV('Inputs and assumptions'!$C$5,(INDIRECT($A36&amp;"!F96:j96"))))</f>
        <v>0</v>
      </c>
      <c r="S112" s="59" cm="1">
        <f t="array" aca="1" ref="S112" ca="1">IF(INDIRECT($A36&amp;"!E43")="Per Unit",NPV('Inputs and assumptions'!$C$5,(INDIRECT($A36&amp;"!F69:j69"))),NPV('Inputs and assumptions'!$C$5,(INDIRECT($A36&amp;"!F97:j97"))))</f>
        <v>0</v>
      </c>
      <c r="T112" s="378" cm="1">
        <f t="array" aca="1" ref="T112" ca="1">IF(INDIRECT($A36&amp;"!E43")="Per Unit",NPV('Inputs and assumptions'!$C$5,(INDIRECT($A36&amp;"!F70:j70"))),NPV('Inputs and assumptions'!$C$5,(INDIRECT($A36&amp;"!F98:j98"))))</f>
        <v>0</v>
      </c>
    </row>
    <row r="113" spans="1:20" ht="15" thickBot="1" x14ac:dyDescent="0.4">
      <c r="A113" s="445" t="s">
        <v>198</v>
      </c>
      <c r="B113" s="383" cm="1">
        <f t="array" aca="1" ref="B113" ca="1">IF(INDIRECT($A37&amp;"!E43")="Per Unit",NPV('Inputs and assumptions'!$C$5,(INDIRECT($A37&amp;"!F46:j46"))),NPV('Inputs and assumptions'!$C$5,(INDIRECT($A37&amp;"!F74:j74"))))</f>
        <v>0</v>
      </c>
      <c r="C113" s="379" cm="1">
        <f t="array" aca="1" ref="C113" ca="1">IF(INDIRECT($A37&amp;"!E43")="Per Unit",NPV('Inputs and assumptions'!$C$5,(INDIRECT($A37&amp;"!F47:j47"))),NPV('Inputs and assumptions'!$C$5,(INDIRECT($A37&amp;"!F75:j75"))))</f>
        <v>0</v>
      </c>
      <c r="D113" s="379" cm="1">
        <f t="array" aca="1" ref="D113" ca="1">IF(INDIRECT($A37&amp;"!E43")="Per Unit",NPV('Inputs and assumptions'!$C$5,(INDIRECT($A37&amp;"!F48:j48"))),NPV('Inputs and assumptions'!$C$5,(INDIRECT($A37&amp;"!F76:j76"))))</f>
        <v>8232.2007862377959</v>
      </c>
      <c r="E113" s="484" cm="1">
        <f t="array" aca="1" ref="E113" ca="1">IF(INDIRECT($A37&amp;"!E43")="Per Unit",NPV('Inputs and assumptions'!$C$5,(INDIRECT($A37&amp;"!F49:j49"))),NPV('Inputs and assumptions'!$C$5,(INDIRECT($A37&amp;"!F77:j77"))))</f>
        <v>0</v>
      </c>
      <c r="F113" s="379" cm="1">
        <f t="array" aca="1" ref="F113" ca="1">IF(INDIRECT($A37&amp;"!E43")="Per Unit",NPV('Inputs and assumptions'!$C$5,(INDIRECT($A37&amp;"!F52:j52"))),NPV('Inputs and assumptions'!$C$5,(INDIRECT($A37&amp;"!F80:j80"))))</f>
        <v>0</v>
      </c>
      <c r="G113" s="379" cm="1">
        <f t="array" aca="1" ref="G113" ca="1">IF(INDIRECT($A37&amp;"!E43")="Per Unit",NPV('Inputs and assumptions'!$C$5,(INDIRECT($A37&amp;"!F53:j53"))),NPV('Inputs and assumptions'!$C$5,(INDIRECT($A37&amp;"!F81:j81"))))</f>
        <v>0</v>
      </c>
      <c r="H113" s="379" cm="1">
        <f t="array" aca="1" ref="H113" ca="1">IF(INDIRECT($A37&amp;"!E43")="Per Unit",NPV('Inputs and assumptions'!$C$5,(INDIRECT($A37&amp;"!F54:j54"))),NPV('Inputs and assumptions'!$C$5,(INDIRECT($A37&amp;"!F82:j82"))))</f>
        <v>0</v>
      </c>
      <c r="I113" s="379" cm="1">
        <f t="array" aca="1" ref="I113" ca="1">IF(INDIRECT($A37&amp;"!E43")="Per Unit",NPV('Inputs and assumptions'!$C$5,(INDIRECT($A37&amp;"!F55:j55"))),NPV('Inputs and assumptions'!$C$5,(INDIRECT($A37&amp;"!F83:j83"))))</f>
        <v>0</v>
      </c>
      <c r="J113" s="379" cm="1">
        <f t="array" aca="1" ref="J113" ca="1">IF(INDIRECT($A37&amp;"!E43")="Per Unit",NPV('Inputs and assumptions'!$C$5,(INDIRECT($A37&amp;"!F56:j56"))),NPV('Inputs and assumptions'!$C$5,(INDIRECT($A37&amp;"!F84:j84"))))</f>
        <v>0</v>
      </c>
      <c r="K113" s="484" cm="1">
        <f t="array" aca="1" ref="K113" ca="1">IF(INDIRECT($A37&amp;"!E43")="Per Unit",NPV('Inputs and assumptions'!$C$5,(INDIRECT($A37&amp;"!F57:j57"))),NPV('Inputs and assumptions'!$C$5,(INDIRECT($A37&amp;"!F85:j85"))))</f>
        <v>0</v>
      </c>
      <c r="L113" s="379" cm="1">
        <f t="array" aca="1" ref="L113" ca="1">IF(INDIRECT($A37&amp;"!E43")="Per Unit",NPV('Inputs and assumptions'!$C$5,(INDIRECT($A37&amp;"!F60:j60"))),NPV('Inputs and assumptions'!$C$5,(INDIRECT($A37&amp;"!F88:j88"))))</f>
        <v>158746.96247625176</v>
      </c>
      <c r="M113" s="484" cm="1">
        <f t="array" aca="1" ref="M113" ca="1">IF(INDIRECT($A37&amp;"!E43")="Per Unit",NPV('Inputs and assumptions'!$C$5,(INDIRECT($A37&amp;"!F61:j61"))),NPV('Inputs and assumptions'!$C$5,(INDIRECT($A37&amp;"!F89:j89"))))</f>
        <v>0</v>
      </c>
      <c r="N113" s="379" cm="1">
        <f t="array" aca="1" ref="N113" ca="1">IF(INDIRECT($A37&amp;"!E43")="Per Unit",NPV('Inputs and assumptions'!$C$5,(INDIRECT($A37&amp;"!F64:j64"))),NPV('Inputs and assumptions'!$C$5,(INDIRECT($A37&amp;"!F92:j92"))))</f>
        <v>0</v>
      </c>
      <c r="O113" s="379" cm="1">
        <f t="array" aca="1" ref="O113" ca="1">IF(INDIRECT($A37&amp;"!E43")="Per Unit",NPV('Inputs and assumptions'!$C$5,(INDIRECT($A37&amp;"!F65:j65"))),NPV('Inputs and assumptions'!$C$5,(INDIRECT($A37&amp;"!F93:j93"))))</f>
        <v>0</v>
      </c>
      <c r="P113" s="379" cm="1">
        <f t="array" aca="1" ref="P113" ca="1">IF(INDIRECT($A37&amp;"!E43")="Per Unit",NPV('Inputs and assumptions'!$C$5,(INDIRECT($A37&amp;"!F66:j66"))),NPV('Inputs and assumptions'!$C$5,(INDIRECT($A37&amp;"!F94:j94"))))</f>
        <v>0</v>
      </c>
      <c r="Q113" s="379" cm="1">
        <f t="array" aca="1" ref="Q113" ca="1">IF(INDIRECT($A37&amp;"!E43")="Per Unit",NPV('Inputs and assumptions'!$C$5,(INDIRECT($A37&amp;"!F67:j67"))),NPV('Inputs and assumptions'!$C$5,(INDIRECT($A37&amp;"!F95:j95"))))</f>
        <v>0</v>
      </c>
      <c r="R113" s="379" cm="1">
        <f t="array" aca="1" ref="R113" ca="1">IF(INDIRECT($A37&amp;"!E43")="Per Unit",NPV('Inputs and assumptions'!$C$5,(INDIRECT($A37&amp;"!F68:j68"))),NPV('Inputs and assumptions'!$C$5,(INDIRECT($A37&amp;"!F96:j96"))))</f>
        <v>48472.354954580704</v>
      </c>
      <c r="S113" s="379" cm="1">
        <f t="array" aca="1" ref="S113" ca="1">IF(INDIRECT($A37&amp;"!E43")="Per Unit",NPV('Inputs and assumptions'!$C$5,(INDIRECT($A37&amp;"!F69:j69"))),NPV('Inputs and assumptions'!$C$5,(INDIRECT($A37&amp;"!F97:j97"))))</f>
        <v>0</v>
      </c>
      <c r="T113" s="380" cm="1">
        <f t="array" aca="1" ref="T113" ca="1">IF(INDIRECT($A37&amp;"!E43")="Per Unit",NPV('Inputs and assumptions'!$C$5,(INDIRECT($A37&amp;"!F70:j70"))),NPV('Inputs and assumptions'!$C$5,(INDIRECT($A37&amp;"!F98:j98"))))</f>
        <v>0</v>
      </c>
    </row>
    <row r="114" spans="1:20" ht="15" thickBot="1" x14ac:dyDescent="0.4">
      <c r="A114" s="433"/>
      <c r="B114" s="481">
        <f t="shared" ref="B114:T114" ca="1" si="2">SUM(B83:B113)</f>
        <v>2353083.3460632111</v>
      </c>
      <c r="C114" s="481">
        <f t="shared" ca="1" si="2"/>
        <v>2251622.0753026726</v>
      </c>
      <c r="D114" s="481">
        <f t="shared" ca="1" si="2"/>
        <v>296122.30882593419</v>
      </c>
      <c r="E114" s="493">
        <f t="shared" ca="1" si="2"/>
        <v>1615980.7603236444</v>
      </c>
      <c r="F114" s="481">
        <f t="shared" ca="1" si="2"/>
        <v>1322011.9868562724</v>
      </c>
      <c r="G114" s="481">
        <f t="shared" ca="1" si="2"/>
        <v>5173643.2625235515</v>
      </c>
      <c r="H114" s="481">
        <f t="shared" ca="1" si="2"/>
        <v>1282045.6294174592</v>
      </c>
      <c r="I114" s="481">
        <f t="shared" ca="1" si="2"/>
        <v>3246907.2729874747</v>
      </c>
      <c r="J114" s="481">
        <f t="shared" ca="1" si="2"/>
        <v>488163.4604705614</v>
      </c>
      <c r="K114" s="493">
        <f t="shared" ca="1" si="2"/>
        <v>598626.4120585199</v>
      </c>
      <c r="L114" s="481">
        <f t="shared" ca="1" si="2"/>
        <v>549568.53774061124</v>
      </c>
      <c r="M114" s="493">
        <f t="shared" ca="1" si="2"/>
        <v>2340350.4321511416</v>
      </c>
      <c r="N114" s="481">
        <f t="shared" ca="1" si="2"/>
        <v>19681605.736665197</v>
      </c>
      <c r="O114" s="481">
        <f t="shared" ca="1" si="2"/>
        <v>0</v>
      </c>
      <c r="P114" s="481">
        <f t="shared" ca="1" si="2"/>
        <v>2384281.4115777067</v>
      </c>
      <c r="Q114" s="481">
        <f t="shared" ca="1" si="2"/>
        <v>0</v>
      </c>
      <c r="R114" s="481">
        <f t="shared" ca="1" si="2"/>
        <v>9216934.3491412941</v>
      </c>
      <c r="S114" s="481">
        <f t="shared" ca="1" si="2"/>
        <v>8373149.6953691049</v>
      </c>
      <c r="T114" s="481">
        <f t="shared" ca="1" si="2"/>
        <v>56326.896011044199</v>
      </c>
    </row>
    <row r="115" spans="1:20" ht="15" thickTop="1" x14ac:dyDescent="0.35">
      <c r="B115" s="487">
        <f ca="1">SUM(B114:E114)</f>
        <v>6516808.4905154621</v>
      </c>
      <c r="C115" s="487"/>
      <c r="D115" s="487"/>
      <c r="E115" s="494"/>
      <c r="F115" s="487">
        <f ca="1">SUM(F114:K114)</f>
        <v>12111398.024313839</v>
      </c>
      <c r="G115" s="487"/>
      <c r="H115" s="487"/>
      <c r="I115" s="487"/>
      <c r="J115" s="487"/>
      <c r="K115" s="494"/>
      <c r="L115" s="487">
        <f ca="1">SUM(L114:M114)</f>
        <v>2889918.969891753</v>
      </c>
      <c r="M115" s="494"/>
      <c r="N115" s="487">
        <f ca="1">SUM(N114:T114)</f>
        <v>39712298.088764347</v>
      </c>
      <c r="O115" s="487"/>
      <c r="P115" s="487"/>
      <c r="Q115" s="487"/>
      <c r="R115" s="487"/>
      <c r="S115" s="487"/>
      <c r="T115" s="487"/>
    </row>
  </sheetData>
  <mergeCells count="15">
    <mergeCell ref="L43:M43"/>
    <mergeCell ref="N43:T43"/>
    <mergeCell ref="B4:T4"/>
    <mergeCell ref="B42:T42"/>
    <mergeCell ref="B5:E5"/>
    <mergeCell ref="F5:K5"/>
    <mergeCell ref="L5:M5"/>
    <mergeCell ref="N5:T5"/>
    <mergeCell ref="B43:E43"/>
    <mergeCell ref="F43:K43"/>
    <mergeCell ref="B80:T80"/>
    <mergeCell ref="B81:E81"/>
    <mergeCell ref="F81:K81"/>
    <mergeCell ref="L81:M81"/>
    <mergeCell ref="N81:T81"/>
  </mergeCells>
  <pageMargins left="0.7" right="0.7" top="0.75" bottom="0.75" header="0.3" footer="0.3"/>
  <customProperties>
    <customPr name="EpmWorksheetKeyString_GUID" r:id="rId1"/>
  </customProperties>
  <ignoredErrors>
    <ignoredError sqref="O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450C9-42F8-4510-AB87-FD53D2292734}">
  <sheetPr>
    <tabColor rgb="FF002060"/>
    <pageSetUpPr fitToPage="1"/>
  </sheetPr>
  <dimension ref="A1:W123"/>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216</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168</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2.75" customHeight="1" x14ac:dyDescent="0.35">
      <c r="B7" s="324" t="s">
        <v>2</v>
      </c>
      <c r="C7" s="325"/>
      <c r="D7" s="326"/>
      <c r="E7" s="327" t="s">
        <v>123</v>
      </c>
      <c r="G7" s="571" t="s">
        <v>217</v>
      </c>
      <c r="H7" s="571"/>
      <c r="I7" s="571"/>
      <c r="J7" s="571"/>
      <c r="K7" s="571"/>
      <c r="L7" s="571"/>
      <c r="M7" s="571"/>
      <c r="N7" s="571"/>
      <c r="O7" s="571"/>
      <c r="P7" s="571"/>
      <c r="Q7" s="571"/>
      <c r="R7" s="571"/>
      <c r="S7" s="571"/>
      <c r="T7" s="571"/>
    </row>
    <row r="8" spans="1:23" s="170" customFormat="1" ht="15.75" customHeight="1" x14ac:dyDescent="0.35">
      <c r="B8" s="328" t="s">
        <v>3</v>
      </c>
      <c r="C8" s="230"/>
      <c r="E8" s="329" t="s">
        <v>124</v>
      </c>
      <c r="G8" s="571"/>
      <c r="H8" s="571"/>
      <c r="I8" s="571"/>
      <c r="J8" s="571"/>
      <c r="K8" s="571"/>
      <c r="L8" s="571"/>
      <c r="M8" s="571"/>
      <c r="N8" s="571"/>
      <c r="O8" s="571"/>
      <c r="P8" s="571"/>
      <c r="Q8" s="571"/>
      <c r="R8" s="571"/>
      <c r="S8" s="571"/>
      <c r="T8" s="571"/>
    </row>
    <row r="9" spans="1:23" s="170" customFormat="1" ht="15.75" customHeight="1" x14ac:dyDescent="0.35">
      <c r="B9" s="328" t="s">
        <v>4</v>
      </c>
      <c r="C9" s="230"/>
      <c r="E9" s="330" t="s">
        <v>218</v>
      </c>
      <c r="G9" s="571"/>
      <c r="H9" s="571"/>
      <c r="I9" s="571"/>
      <c r="J9" s="571"/>
      <c r="K9" s="571"/>
      <c r="L9" s="571"/>
      <c r="M9" s="571"/>
      <c r="N9" s="571"/>
      <c r="O9" s="571"/>
      <c r="P9" s="571"/>
      <c r="Q9" s="571"/>
      <c r="R9" s="571"/>
      <c r="S9" s="571"/>
      <c r="T9" s="571"/>
    </row>
    <row r="10" spans="1:23" s="170" customFormat="1" ht="15.75" customHeight="1" x14ac:dyDescent="0.35">
      <c r="B10" s="328" t="s">
        <v>6</v>
      </c>
      <c r="C10" s="230"/>
      <c r="E10" s="330" t="s">
        <v>134</v>
      </c>
      <c r="G10" s="571"/>
      <c r="H10" s="571"/>
      <c r="I10" s="571"/>
      <c r="J10" s="571"/>
      <c r="K10" s="571"/>
      <c r="L10" s="571"/>
      <c r="M10" s="571"/>
      <c r="N10" s="571"/>
      <c r="O10" s="571"/>
      <c r="P10" s="571"/>
      <c r="Q10" s="571"/>
      <c r="R10" s="571"/>
      <c r="S10" s="571"/>
      <c r="T10" s="571"/>
    </row>
    <row r="11" spans="1:23" s="170" customFormat="1" ht="15.75" customHeight="1" x14ac:dyDescent="0.35">
      <c r="B11" s="328" t="s">
        <v>7</v>
      </c>
      <c r="C11" s="230"/>
      <c r="E11" s="330" t="s">
        <v>143</v>
      </c>
      <c r="G11" s="571"/>
      <c r="H11" s="571"/>
      <c r="I11" s="571"/>
      <c r="J11" s="571"/>
      <c r="K11" s="571"/>
      <c r="L11" s="571"/>
      <c r="M11" s="571"/>
      <c r="N11" s="571"/>
      <c r="O11" s="571"/>
      <c r="P11" s="571"/>
      <c r="Q11" s="571"/>
      <c r="R11" s="571"/>
      <c r="S11" s="571"/>
      <c r="T11" s="571"/>
    </row>
    <row r="12" spans="1:23" x14ac:dyDescent="0.3">
      <c r="B12" s="331" t="s">
        <v>9</v>
      </c>
      <c r="C12" s="231"/>
      <c r="D12" s="114"/>
      <c r="E12" s="330" t="s">
        <v>150</v>
      </c>
      <c r="G12" s="571"/>
      <c r="H12" s="571"/>
      <c r="I12" s="571"/>
      <c r="J12" s="571"/>
      <c r="K12" s="571"/>
      <c r="L12" s="571"/>
      <c r="M12" s="571"/>
      <c r="N12" s="571"/>
      <c r="O12" s="571"/>
      <c r="P12" s="571"/>
      <c r="Q12" s="571"/>
      <c r="R12" s="571"/>
      <c r="S12" s="571"/>
      <c r="T12" s="571"/>
    </row>
    <row r="13" spans="1:23" x14ac:dyDescent="0.3">
      <c r="B13" s="331" t="s">
        <v>10</v>
      </c>
      <c r="C13" s="231"/>
      <c r="D13" s="114"/>
      <c r="E13" s="330" t="s">
        <v>160</v>
      </c>
      <c r="G13" s="571"/>
      <c r="H13" s="571"/>
      <c r="I13" s="571"/>
      <c r="J13" s="571"/>
      <c r="K13" s="571"/>
      <c r="L13" s="571"/>
      <c r="M13" s="571"/>
      <c r="N13" s="571"/>
      <c r="O13" s="571"/>
      <c r="P13" s="571"/>
      <c r="Q13" s="571"/>
      <c r="R13" s="571"/>
      <c r="S13" s="571"/>
      <c r="T13" s="571"/>
    </row>
    <row r="14" spans="1:23" ht="13.5" thickBot="1" x14ac:dyDescent="0.35">
      <c r="B14" s="332" t="s">
        <v>11</v>
      </c>
      <c r="C14" s="333"/>
      <c r="D14" s="334"/>
      <c r="E14" s="335" t="s">
        <v>135</v>
      </c>
      <c r="G14" s="571"/>
      <c r="H14" s="571"/>
      <c r="I14" s="571"/>
      <c r="J14" s="571"/>
      <c r="K14" s="571"/>
      <c r="L14" s="571"/>
      <c r="M14" s="571"/>
      <c r="N14" s="571"/>
      <c r="O14" s="571"/>
      <c r="P14" s="571"/>
      <c r="Q14" s="571"/>
      <c r="R14" s="571"/>
      <c r="S14" s="571"/>
      <c r="T14" s="571"/>
    </row>
    <row r="15" spans="1:23" ht="36.75" customHeight="1" x14ac:dyDescent="0.3">
      <c r="B15" s="438"/>
      <c r="C15" s="231"/>
      <c r="D15" s="114"/>
      <c r="E15" s="158"/>
      <c r="G15" s="571"/>
      <c r="H15" s="571"/>
      <c r="I15" s="571"/>
      <c r="J15" s="571"/>
      <c r="K15" s="571"/>
      <c r="L15" s="571"/>
      <c r="M15" s="571"/>
      <c r="N15" s="571"/>
      <c r="O15" s="571"/>
      <c r="P15" s="571"/>
      <c r="Q15" s="571"/>
      <c r="R15" s="571"/>
      <c r="S15" s="571"/>
      <c r="T15" s="571"/>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-3764991.8065014998</v>
      </c>
      <c r="J18" s="222"/>
      <c r="K18" s="220" t="s">
        <v>220</v>
      </c>
      <c r="L18" s="223">
        <f>SUM(F34:J34)</f>
        <v>3800000</v>
      </c>
      <c r="N18" s="584" t="s">
        <v>221</v>
      </c>
      <c r="O18" s="584"/>
      <c r="P18" s="584"/>
      <c r="Q18" s="584"/>
      <c r="R18" s="314"/>
      <c r="S18" s="161"/>
      <c r="T18" s="315" t="s">
        <v>222</v>
      </c>
    </row>
    <row r="19" spans="2:20" ht="13.5" customHeight="1" x14ac:dyDescent="0.3">
      <c r="B19" s="160" t="s">
        <v>19</v>
      </c>
      <c r="C19" s="182">
        <v>5</v>
      </c>
      <c r="D19" s="161">
        <v>0.18</v>
      </c>
      <c r="E19" s="162">
        <f>D19*C19</f>
        <v>0.89999999999999991</v>
      </c>
      <c r="G19" s="224"/>
      <c r="H19" s="125" t="s">
        <v>20</v>
      </c>
      <c r="I19" s="126">
        <f>D40</f>
        <v>2281923.3751901179</v>
      </c>
      <c r="J19" s="127"/>
      <c r="K19" s="125" t="s">
        <v>223</v>
      </c>
      <c r="L19" s="225">
        <f>SUM(F36:J36)</f>
        <v>104000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1.6060898648569766</v>
      </c>
      <c r="J20" s="127"/>
      <c r="K20" s="125" t="s">
        <v>225</v>
      </c>
      <c r="L20" s="225">
        <f>NPV($D$33,F39:T39)</f>
        <v>6046915.1816916177</v>
      </c>
      <c r="N20" s="316" t="s">
        <v>226</v>
      </c>
      <c r="O20" s="316"/>
      <c r="P20" s="316"/>
      <c r="Q20" s="316"/>
      <c r="R20" s="317"/>
      <c r="S20" s="318"/>
      <c r="T20" s="315" t="s">
        <v>227</v>
      </c>
    </row>
    <row r="21" spans="2:20" ht="13.5" customHeight="1" thickBot="1" x14ac:dyDescent="0.35">
      <c r="B21" s="160" t="s">
        <v>23</v>
      </c>
      <c r="C21" s="182">
        <v>1</v>
      </c>
      <c r="D21" s="161">
        <v>0.18</v>
      </c>
      <c r="E21" s="162">
        <f>D21*C21</f>
        <v>0.18</v>
      </c>
      <c r="G21" s="194"/>
      <c r="H21" s="257" t="s">
        <v>166</v>
      </c>
      <c r="I21" s="258">
        <f>IFERROR(NPV($D$33,F39:T39)/NPV($D$33,F38:T38),"N/A")</f>
        <v>1.1073336779785801</v>
      </c>
      <c r="J21" s="226"/>
      <c r="K21" s="436" t="s">
        <v>228</v>
      </c>
      <c r="L21" s="439">
        <f>NPV($D$33,F39:J39)</f>
        <v>1484028.8318020978</v>
      </c>
      <c r="N21" s="570" t="s">
        <v>229</v>
      </c>
      <c r="O21" s="570"/>
      <c r="P21" s="570"/>
      <c r="Q21" s="570"/>
      <c r="R21" s="570"/>
      <c r="S21" s="164"/>
      <c r="T21" s="165"/>
    </row>
    <row r="22" spans="2:20" ht="13.5" customHeight="1" x14ac:dyDescent="0.3">
      <c r="B22" s="160" t="s">
        <v>230</v>
      </c>
      <c r="C22" s="182">
        <v>5</v>
      </c>
      <c r="D22" s="161">
        <v>0.17</v>
      </c>
      <c r="E22" s="162">
        <f>D22*C22</f>
        <v>0.85000000000000009</v>
      </c>
      <c r="L22" s="218"/>
    </row>
    <row r="23" spans="2:20" ht="13.5" customHeight="1" x14ac:dyDescent="0.3">
      <c r="B23" s="117" t="s">
        <v>229</v>
      </c>
      <c r="C23" s="117"/>
      <c r="D23" s="164">
        <f>SUM(D18:D22)</f>
        <v>0.99999999999999989</v>
      </c>
      <c r="E23" s="165">
        <f>SUM(E18:E22)</f>
        <v>3.0500000000000003</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40</v>
      </c>
      <c r="E27" s="112"/>
      <c r="F27" s="227">
        <v>8</v>
      </c>
      <c r="G27" s="227">
        <v>4</v>
      </c>
      <c r="H27" s="227">
        <v>4</v>
      </c>
      <c r="I27" s="227">
        <v>12</v>
      </c>
      <c r="J27" s="227">
        <v>12</v>
      </c>
      <c r="K27" s="227">
        <v>0</v>
      </c>
      <c r="L27" s="227">
        <v>0</v>
      </c>
      <c r="M27" s="227">
        <v>0</v>
      </c>
      <c r="N27" s="227">
        <v>0</v>
      </c>
      <c r="O27" s="227">
        <v>0</v>
      </c>
      <c r="P27" s="227">
        <v>0</v>
      </c>
      <c r="Q27" s="227">
        <v>0</v>
      </c>
      <c r="R27" s="227">
        <v>0</v>
      </c>
      <c r="S27" s="227">
        <v>0</v>
      </c>
      <c r="T27" s="229">
        <v>0</v>
      </c>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IF($E$100="Per Unit",F102,F107)</f>
        <v>760000</v>
      </c>
      <c r="G34" s="140">
        <f t="shared" ref="G34:T34" si="0">IF($E$100="Per Unit",G102,G107)</f>
        <v>380000</v>
      </c>
      <c r="H34" s="140">
        <f t="shared" si="0"/>
        <v>380000</v>
      </c>
      <c r="I34" s="140">
        <f t="shared" si="0"/>
        <v>1140000</v>
      </c>
      <c r="J34" s="140">
        <f t="shared" si="0"/>
        <v>1140000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1140000</v>
      </c>
      <c r="G35" s="140">
        <f>G34*(1+'Inputs and assumptions'!$C$7)</f>
        <v>570000</v>
      </c>
      <c r="H35" s="140">
        <f>H34*(1+'Inputs and assumptions'!$C$7)</f>
        <v>570000</v>
      </c>
      <c r="I35" s="140">
        <f>I34*(1+'Inputs and assumptions'!$C$7)</f>
        <v>1710000</v>
      </c>
      <c r="J35" s="140">
        <f>J34*(1+'Inputs and assumptions'!$C$7)</f>
        <v>1710000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8000</v>
      </c>
      <c r="G36" s="142">
        <f t="shared" si="1"/>
        <v>12000</v>
      </c>
      <c r="H36" s="142">
        <f t="shared" si="1"/>
        <v>16000</v>
      </c>
      <c r="I36" s="142">
        <f t="shared" si="1"/>
        <v>28000</v>
      </c>
      <c r="J36" s="142">
        <f t="shared" si="1"/>
        <v>40000</v>
      </c>
      <c r="K36" s="142">
        <f t="shared" si="1"/>
        <v>40000</v>
      </c>
      <c r="L36" s="142">
        <f t="shared" si="1"/>
        <v>40000</v>
      </c>
      <c r="M36" s="142">
        <f t="shared" si="1"/>
        <v>40000</v>
      </c>
      <c r="N36" s="142">
        <f t="shared" si="1"/>
        <v>40000</v>
      </c>
      <c r="O36" s="142">
        <f t="shared" si="1"/>
        <v>40000</v>
      </c>
      <c r="P36" s="142">
        <f t="shared" si="1"/>
        <v>40000</v>
      </c>
      <c r="Q36" s="142">
        <f t="shared" si="1"/>
        <v>40000</v>
      </c>
      <c r="R36" s="142">
        <f t="shared" si="1"/>
        <v>40000</v>
      </c>
      <c r="S36" s="142">
        <f t="shared" si="1"/>
        <v>40000</v>
      </c>
      <c r="T36" s="143">
        <f t="shared" si="1"/>
        <v>40000</v>
      </c>
    </row>
    <row r="37" spans="2:20" x14ac:dyDescent="0.3">
      <c r="B37" s="122" t="s">
        <v>44</v>
      </c>
      <c r="C37" s="133"/>
      <c r="D37" s="247">
        <f>NPV($D$33,F37:T37)</f>
        <v>-3764991.8065014998</v>
      </c>
      <c r="E37" s="248"/>
      <c r="F37" s="144">
        <f t="shared" ref="F37:T37" si="2">-F34-F36</f>
        <v>-768000</v>
      </c>
      <c r="G37" s="144">
        <f t="shared" si="2"/>
        <v>-392000</v>
      </c>
      <c r="H37" s="144">
        <f t="shared" si="2"/>
        <v>-396000</v>
      </c>
      <c r="I37" s="144">
        <f t="shared" si="2"/>
        <v>-1168000</v>
      </c>
      <c r="J37" s="144">
        <f t="shared" si="2"/>
        <v>-1180000</v>
      </c>
      <c r="K37" s="144">
        <f t="shared" si="2"/>
        <v>-40000</v>
      </c>
      <c r="L37" s="144">
        <f t="shared" si="2"/>
        <v>-40000</v>
      </c>
      <c r="M37" s="144">
        <f t="shared" si="2"/>
        <v>-40000</v>
      </c>
      <c r="N37" s="144">
        <f t="shared" si="2"/>
        <v>-40000</v>
      </c>
      <c r="O37" s="144">
        <f t="shared" si="2"/>
        <v>-40000</v>
      </c>
      <c r="P37" s="144">
        <f t="shared" si="2"/>
        <v>-40000</v>
      </c>
      <c r="Q37" s="144">
        <f t="shared" si="2"/>
        <v>-40000</v>
      </c>
      <c r="R37" s="144">
        <f t="shared" si="2"/>
        <v>-40000</v>
      </c>
      <c r="S37" s="144">
        <f t="shared" si="2"/>
        <v>-40000</v>
      </c>
      <c r="T37" s="145">
        <f t="shared" si="2"/>
        <v>-40000</v>
      </c>
    </row>
    <row r="38" spans="2:20" ht="13.5" thickBot="1" x14ac:dyDescent="0.35">
      <c r="B38" s="124" t="s">
        <v>235</v>
      </c>
      <c r="C38" s="135"/>
      <c r="D38" s="132"/>
      <c r="E38" s="121"/>
      <c r="F38" s="142">
        <f>F35+F36</f>
        <v>1148000</v>
      </c>
      <c r="G38" s="142">
        <f t="shared" ref="G38:T38" si="3">G35+G36</f>
        <v>582000</v>
      </c>
      <c r="H38" s="142">
        <f t="shared" si="3"/>
        <v>586000</v>
      </c>
      <c r="I38" s="142">
        <f t="shared" si="3"/>
        <v>1738000</v>
      </c>
      <c r="J38" s="142">
        <f t="shared" si="3"/>
        <v>1750000</v>
      </c>
      <c r="K38" s="142">
        <f t="shared" si="3"/>
        <v>40000</v>
      </c>
      <c r="L38" s="142">
        <f t="shared" si="3"/>
        <v>40000</v>
      </c>
      <c r="M38" s="142">
        <f t="shared" si="3"/>
        <v>40000</v>
      </c>
      <c r="N38" s="142">
        <f t="shared" si="3"/>
        <v>40000</v>
      </c>
      <c r="O38" s="142">
        <f t="shared" si="3"/>
        <v>40000</v>
      </c>
      <c r="P38" s="142">
        <f t="shared" si="3"/>
        <v>40000</v>
      </c>
      <c r="Q38" s="142">
        <f t="shared" si="3"/>
        <v>40000</v>
      </c>
      <c r="R38" s="142">
        <f t="shared" si="3"/>
        <v>40000</v>
      </c>
      <c r="S38" s="142">
        <f t="shared" si="3"/>
        <v>40000</v>
      </c>
      <c r="T38" s="143">
        <f t="shared" si="3"/>
        <v>40000</v>
      </c>
    </row>
    <row r="39" spans="2:20" x14ac:dyDescent="0.3">
      <c r="B39" s="123" t="s">
        <v>45</v>
      </c>
      <c r="C39" s="112"/>
      <c r="D39" s="134"/>
      <c r="E39" s="112"/>
      <c r="F39" s="140">
        <f t="shared" ref="F39:T39" si="4">IF($E$43="Per Unit",SUM(F45:F71),SUM(F73:F98))</f>
        <v>129554.272538925</v>
      </c>
      <c r="G39" s="140">
        <f t="shared" si="4"/>
        <v>194331.40880838747</v>
      </c>
      <c r="H39" s="140">
        <f t="shared" si="4"/>
        <v>259108.54507784999</v>
      </c>
      <c r="I39" s="140">
        <f t="shared" si="4"/>
        <v>453439.95388623746</v>
      </c>
      <c r="J39" s="140">
        <f t="shared" si="4"/>
        <v>647771.36269462493</v>
      </c>
      <c r="K39" s="140">
        <f t="shared" si="4"/>
        <v>647771.36269462493</v>
      </c>
      <c r="L39" s="140">
        <f t="shared" si="4"/>
        <v>647771.36269462493</v>
      </c>
      <c r="M39" s="140">
        <f t="shared" si="4"/>
        <v>647771.36269462493</v>
      </c>
      <c r="N39" s="140">
        <f t="shared" si="4"/>
        <v>647771.36269462493</v>
      </c>
      <c r="O39" s="140">
        <f t="shared" si="4"/>
        <v>647771.36269462493</v>
      </c>
      <c r="P39" s="140">
        <f t="shared" si="4"/>
        <v>647771.36269462493</v>
      </c>
      <c r="Q39" s="140">
        <f t="shared" si="4"/>
        <v>647771.36269462493</v>
      </c>
      <c r="R39" s="140">
        <f t="shared" si="4"/>
        <v>647771.36269462493</v>
      </c>
      <c r="S39" s="140">
        <f t="shared" si="4"/>
        <v>647771.36269462493</v>
      </c>
      <c r="T39" s="141">
        <f t="shared" si="4"/>
        <v>647771.36269462493</v>
      </c>
    </row>
    <row r="40" spans="2:20" x14ac:dyDescent="0.3">
      <c r="B40" s="123" t="s">
        <v>46</v>
      </c>
      <c r="C40" s="112"/>
      <c r="D40" s="134">
        <f>NPV($D$33,F40:T40)</f>
        <v>2281923.3751901179</v>
      </c>
      <c r="E40" s="112"/>
      <c r="F40" s="140">
        <f t="shared" ref="F40:T40" si="5">F39+F37</f>
        <v>-638445.72746107494</v>
      </c>
      <c r="G40" s="140">
        <f t="shared" si="5"/>
        <v>-197668.59119161253</v>
      </c>
      <c r="H40" s="140">
        <f t="shared" si="5"/>
        <v>-136891.45492215001</v>
      </c>
      <c r="I40" s="140">
        <f t="shared" si="5"/>
        <v>-714560.04611376254</v>
      </c>
      <c r="J40" s="140">
        <f t="shared" si="5"/>
        <v>-532228.63730537507</v>
      </c>
      <c r="K40" s="140">
        <f t="shared" si="5"/>
        <v>607771.36269462493</v>
      </c>
      <c r="L40" s="140">
        <f t="shared" si="5"/>
        <v>607771.36269462493</v>
      </c>
      <c r="M40" s="140">
        <f t="shared" si="5"/>
        <v>607771.36269462493</v>
      </c>
      <c r="N40" s="140">
        <f t="shared" si="5"/>
        <v>607771.36269462493</v>
      </c>
      <c r="O40" s="140">
        <f t="shared" si="5"/>
        <v>607771.36269462493</v>
      </c>
      <c r="P40" s="140">
        <f t="shared" si="5"/>
        <v>607771.36269462493</v>
      </c>
      <c r="Q40" s="140">
        <f t="shared" si="5"/>
        <v>607771.36269462493</v>
      </c>
      <c r="R40" s="140">
        <f t="shared" si="5"/>
        <v>607771.36269462493</v>
      </c>
      <c r="S40" s="140">
        <f t="shared" si="5"/>
        <v>607771.36269462493</v>
      </c>
      <c r="T40" s="141">
        <f t="shared" si="5"/>
        <v>607771.36269462493</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16194.284067365625</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2">
        <v>2E-3</v>
      </c>
      <c r="D46" s="261">
        <f>IFERROR(C46*'Inputs and assumptions'!D17/$D$27,0)</f>
        <v>1824.7472486860147</v>
      </c>
      <c r="E46" s="112"/>
      <c r="F46" s="140">
        <f>$D46*SUM($E$27:F$27)</f>
        <v>14597.977989488118</v>
      </c>
      <c r="G46" s="140">
        <f>$D46*SUM($E$27:G$27)</f>
        <v>21896.966984232175</v>
      </c>
      <c r="H46" s="140">
        <f>$D46*SUM($E$27:H$27)</f>
        <v>29195.955978976235</v>
      </c>
      <c r="I46" s="140">
        <f>$D46*SUM($E$27:I$27)</f>
        <v>51092.92296320841</v>
      </c>
      <c r="J46" s="140">
        <f>$D46*SUM($E$27:J$27)</f>
        <v>72989.889947440592</v>
      </c>
      <c r="K46" s="140">
        <f>$D46*SUM($E$27:K$27)</f>
        <v>72989.889947440592</v>
      </c>
      <c r="L46" s="140">
        <f>$D46*SUM($E$27:L$27)</f>
        <v>72989.889947440592</v>
      </c>
      <c r="M46" s="140">
        <f>$D46*SUM($E$27:M$27)</f>
        <v>72989.889947440592</v>
      </c>
      <c r="N46" s="140">
        <f>$D46*SUM($E$27:N$27)</f>
        <v>72989.889947440592</v>
      </c>
      <c r="O46" s="140">
        <f>$D46*SUM($E$27:O$27)</f>
        <v>72989.889947440592</v>
      </c>
      <c r="P46" s="140">
        <f>$D46*SUM($E$27:P$27)</f>
        <v>72989.889947440592</v>
      </c>
      <c r="Q46" s="140">
        <f>$D46*SUM($E$27:Q$27)</f>
        <v>72989.889947440592</v>
      </c>
      <c r="R46" s="140">
        <f>$D46*SUM($E$27:R$27)</f>
        <v>72989.889947440592</v>
      </c>
      <c r="S46" s="140">
        <f>$D46*SUM($E$27:S$27)</f>
        <v>72989.889947440592</v>
      </c>
      <c r="T46" s="141">
        <f>$D46*SUM($E$27:T$27)</f>
        <v>72989.889947440592</v>
      </c>
    </row>
    <row r="47" spans="2:20" x14ac:dyDescent="0.3">
      <c r="B47" s="184" t="s">
        <v>52</v>
      </c>
      <c r="C47" s="252">
        <v>2E-3</v>
      </c>
      <c r="D47" s="261">
        <f>IFERROR(C47*'Inputs and assumptions'!D18/$D$27,0)</f>
        <v>1312.3297974036527</v>
      </c>
      <c r="E47" s="112"/>
      <c r="F47" s="140">
        <f>$D47*SUM($E$27:F$27)</f>
        <v>10498.638379229222</v>
      </c>
      <c r="G47" s="140">
        <f>$D47*SUM($E$27:G$27)</f>
        <v>15747.957568843833</v>
      </c>
      <c r="H47" s="140">
        <f>$D47*SUM($E$27:H$27)</f>
        <v>20997.276758458444</v>
      </c>
      <c r="I47" s="140">
        <f>$D47*SUM($E$27:I$27)</f>
        <v>36745.234327302278</v>
      </c>
      <c r="J47" s="140">
        <f>$D47*SUM($E$27:J$27)</f>
        <v>52493.191896146105</v>
      </c>
      <c r="K47" s="140">
        <f>$D47*SUM($E$27:K$27)</f>
        <v>52493.191896146105</v>
      </c>
      <c r="L47" s="140">
        <f>$D47*SUM($E$27:L$27)</f>
        <v>52493.191896146105</v>
      </c>
      <c r="M47" s="140">
        <f>$D47*SUM($E$27:M$27)</f>
        <v>52493.191896146105</v>
      </c>
      <c r="N47" s="140">
        <f>$D47*SUM($E$27:N$27)</f>
        <v>52493.191896146105</v>
      </c>
      <c r="O47" s="140">
        <f>$D47*SUM($E$27:O$27)</f>
        <v>52493.191896146105</v>
      </c>
      <c r="P47" s="140">
        <f>$D47*SUM($E$27:P$27)</f>
        <v>52493.191896146105</v>
      </c>
      <c r="Q47" s="140">
        <f>$D47*SUM($E$27:Q$27)</f>
        <v>52493.191896146105</v>
      </c>
      <c r="R47" s="140">
        <f>$D47*SUM($E$27:R$27)</f>
        <v>52493.191896146105</v>
      </c>
      <c r="S47" s="140">
        <f>$D47*SUM($E$27:S$27)</f>
        <v>52493.191896146105</v>
      </c>
      <c r="T47" s="141">
        <f>$D47*SUM($E$27:T$27)</f>
        <v>52493.191896146105</v>
      </c>
    </row>
    <row r="48" spans="2:20" x14ac:dyDescent="0.3">
      <c r="B48" s="184" t="s">
        <v>53</v>
      </c>
      <c r="C48" s="252">
        <v>2E-3</v>
      </c>
      <c r="D48" s="261">
        <f>IFERROR(C48*'Inputs and assumptions'!D19/$D$27,0)</f>
        <v>254.74935539911834</v>
      </c>
      <c r="E48" s="112"/>
      <c r="F48" s="140">
        <f>$D48*SUM($E$27:F$27)</f>
        <v>2037.9948431929467</v>
      </c>
      <c r="G48" s="140">
        <f>$D48*SUM($E$27:G$27)</f>
        <v>3056.99226478942</v>
      </c>
      <c r="H48" s="140">
        <f>$D48*SUM($E$27:H$27)</f>
        <v>4075.9896863858935</v>
      </c>
      <c r="I48" s="140">
        <f>$D48*SUM($E$27:I$27)</f>
        <v>7132.981951175314</v>
      </c>
      <c r="J48" s="140">
        <f>$D48*SUM($E$27:J$27)</f>
        <v>10189.974215964734</v>
      </c>
      <c r="K48" s="140">
        <f>$D48*SUM($E$27:K$27)</f>
        <v>10189.974215964734</v>
      </c>
      <c r="L48" s="140">
        <f>$D48*SUM($E$27:L$27)</f>
        <v>10189.974215964734</v>
      </c>
      <c r="M48" s="140">
        <f>$D48*SUM($E$27:M$27)</f>
        <v>10189.974215964734</v>
      </c>
      <c r="N48" s="140">
        <f>$D48*SUM($E$27:N$27)</f>
        <v>10189.974215964734</v>
      </c>
      <c r="O48" s="140">
        <f>$D48*SUM($E$27:O$27)</f>
        <v>10189.974215964734</v>
      </c>
      <c r="P48" s="140">
        <f>$D48*SUM($E$27:P$27)</f>
        <v>10189.974215964734</v>
      </c>
      <c r="Q48" s="140">
        <f>$D48*SUM($E$27:Q$27)</f>
        <v>10189.974215964734</v>
      </c>
      <c r="R48" s="140">
        <f>$D48*SUM($E$27:R$27)</f>
        <v>10189.974215964734</v>
      </c>
      <c r="S48" s="140">
        <f>$D48*SUM($E$27:S$27)</f>
        <v>10189.974215964734</v>
      </c>
      <c r="T48" s="141">
        <f>$D48*SUM($E$27:T$27)</f>
        <v>10189.974215964734</v>
      </c>
    </row>
    <row r="49" spans="2:20" x14ac:dyDescent="0.3">
      <c r="B49" s="184" t="s">
        <v>54</v>
      </c>
      <c r="C49" s="252">
        <v>2E-3</v>
      </c>
      <c r="D49" s="261">
        <f>IFERROR(C49*'Inputs and assumptions'!D20/$D$27,0)</f>
        <v>1572.4576658768381</v>
      </c>
      <c r="E49" s="112"/>
      <c r="F49" s="140">
        <f>$D49*SUM($E$27:F$27)</f>
        <v>12579.661327014705</v>
      </c>
      <c r="G49" s="140">
        <f>$D49*SUM($E$27:G$27)</f>
        <v>18869.491990522056</v>
      </c>
      <c r="H49" s="140">
        <f>$D49*SUM($E$27:H$27)</f>
        <v>25159.322654029409</v>
      </c>
      <c r="I49" s="140">
        <f>$D49*SUM($E$27:I$27)</f>
        <v>44028.814644551465</v>
      </c>
      <c r="J49" s="140">
        <f>$D49*SUM($E$27:J$27)</f>
        <v>62898.306635073524</v>
      </c>
      <c r="K49" s="140">
        <f>$D49*SUM($E$27:K$27)</f>
        <v>62898.306635073524</v>
      </c>
      <c r="L49" s="140">
        <f>$D49*SUM($E$27:L$27)</f>
        <v>62898.306635073524</v>
      </c>
      <c r="M49" s="140">
        <f>$D49*SUM($E$27:M$27)</f>
        <v>62898.306635073524</v>
      </c>
      <c r="N49" s="140">
        <f>$D49*SUM($E$27:N$27)</f>
        <v>62898.306635073524</v>
      </c>
      <c r="O49" s="140">
        <f>$D49*SUM($E$27:O$27)</f>
        <v>62898.306635073524</v>
      </c>
      <c r="P49" s="140">
        <f>$D49*SUM($E$27:P$27)</f>
        <v>62898.306635073524</v>
      </c>
      <c r="Q49" s="140">
        <f>$D49*SUM($E$27:Q$27)</f>
        <v>62898.306635073524</v>
      </c>
      <c r="R49" s="140">
        <f>$D49*SUM($E$27:R$27)</f>
        <v>62898.306635073524</v>
      </c>
      <c r="S49" s="140">
        <f>$D49*SUM($E$27:S$27)</f>
        <v>62898.306635073524</v>
      </c>
      <c r="T49" s="141">
        <f>$D49*SUM($E$27:T$27)</f>
        <v>62898.306635073524</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52"/>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52"/>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52"/>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52"/>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52"/>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52">
        <v>0.01</v>
      </c>
      <c r="D57" s="261">
        <f>IFERROR(C57*'Inputs and assumptions'!D28/$D$27,0)</f>
        <v>2125</v>
      </c>
      <c r="E57" s="112"/>
      <c r="F57" s="140">
        <f>$D57*SUM($E$27:F$27)</f>
        <v>17000</v>
      </c>
      <c r="G57" s="140">
        <f>$D57*SUM($E$27:G$27)</f>
        <v>25500</v>
      </c>
      <c r="H57" s="140">
        <f>$D57*SUM($E$27:H$27)</f>
        <v>34000</v>
      </c>
      <c r="I57" s="140">
        <f>$D57*SUM($E$27:I$27)</f>
        <v>59500</v>
      </c>
      <c r="J57" s="140">
        <f>$D57*SUM($E$27:J$27)</f>
        <v>85000</v>
      </c>
      <c r="K57" s="140">
        <f>$D57*SUM($E$27:K$27)</f>
        <v>85000</v>
      </c>
      <c r="L57" s="140">
        <f>$D57*SUM($E$27:L$27)</f>
        <v>85000</v>
      </c>
      <c r="M57" s="140">
        <f>$D57*SUM($E$27:M$27)</f>
        <v>85000</v>
      </c>
      <c r="N57" s="140">
        <f>$D57*SUM($E$27:N$27)</f>
        <v>85000</v>
      </c>
      <c r="O57" s="140">
        <f>$D57*SUM($E$27:O$27)</f>
        <v>85000</v>
      </c>
      <c r="P57" s="140">
        <f>$D57*SUM($E$27:P$27)</f>
        <v>85000</v>
      </c>
      <c r="Q57" s="140">
        <f>$D57*SUM($E$27:Q$27)</f>
        <v>85000</v>
      </c>
      <c r="R57" s="140">
        <f>$D57*SUM($E$27:R$27)</f>
        <v>85000</v>
      </c>
      <c r="S57" s="140">
        <f>$D57*SUM($E$27:S$27)</f>
        <v>85000</v>
      </c>
      <c r="T57" s="141">
        <f>$D57*SUM($E$27:T$27)</f>
        <v>85000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52"/>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52">
        <v>5.0000000000000001E-3</v>
      </c>
      <c r="D61" s="261">
        <f>IFERROR(C61*'Inputs and assumptions'!D32/$D$27,0)</f>
        <v>3750</v>
      </c>
      <c r="E61" s="112"/>
      <c r="F61" s="140">
        <f>$D61*SUM($E$27:F$27)</f>
        <v>30000</v>
      </c>
      <c r="G61" s="140">
        <f>$D61*SUM($E$27:G$27)</f>
        <v>45000</v>
      </c>
      <c r="H61" s="140">
        <f>$D61*SUM($E$27:H$27)</f>
        <v>60000</v>
      </c>
      <c r="I61" s="140">
        <f>$D61*SUM($E$27:I$27)</f>
        <v>105000</v>
      </c>
      <c r="J61" s="140">
        <f>$D61*SUM($E$27:J$27)</f>
        <v>150000</v>
      </c>
      <c r="K61" s="140">
        <f>$D61*SUM($E$27:K$27)</f>
        <v>150000</v>
      </c>
      <c r="L61" s="140">
        <f>$D61*SUM($E$27:L$27)</f>
        <v>150000</v>
      </c>
      <c r="M61" s="140">
        <f>$D61*SUM($E$27:M$27)</f>
        <v>150000</v>
      </c>
      <c r="N61" s="140">
        <f>$D61*SUM($E$27:N$27)</f>
        <v>150000</v>
      </c>
      <c r="O61" s="140">
        <f>$D61*SUM($E$27:O$27)</f>
        <v>150000</v>
      </c>
      <c r="P61" s="140">
        <f>$D61*SUM($E$27:P$27)</f>
        <v>150000</v>
      </c>
      <c r="Q61" s="140">
        <f>$D61*SUM($E$27:Q$27)</f>
        <v>150000</v>
      </c>
      <c r="R61" s="140">
        <f>$D61*SUM($E$27:R$27)</f>
        <v>150000</v>
      </c>
      <c r="S61" s="140">
        <f>$D61*SUM($E$27:S$27)</f>
        <v>150000</v>
      </c>
      <c r="T61" s="141">
        <f>$D61*SUM($E$27:T$27)</f>
        <v>150000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52">
        <v>1.6999999999999999E-3</v>
      </c>
      <c r="D64" s="261">
        <f>IFERROR(C64*'Inputs and assumptions'!D35/$D$27,0)</f>
        <v>5355</v>
      </c>
      <c r="E64" s="112"/>
      <c r="F64" s="140">
        <f>$D64*SUM($E$27:F$27)</f>
        <v>42840</v>
      </c>
      <c r="G64" s="140">
        <f>$D64*SUM($E$27:G$27)</f>
        <v>64260</v>
      </c>
      <c r="H64" s="140">
        <f>$D64*SUM($E$27:H$27)</f>
        <v>85680</v>
      </c>
      <c r="I64" s="140">
        <f>$D64*SUM($E$27:I$27)</f>
        <v>149940</v>
      </c>
      <c r="J64" s="140">
        <f>$D64*SUM($E$27:J$27)</f>
        <v>214200</v>
      </c>
      <c r="K64" s="140">
        <f>$D64*SUM($E$27:K$27)</f>
        <v>214200</v>
      </c>
      <c r="L64" s="140">
        <f>$D64*SUM($E$27:L$27)</f>
        <v>214200</v>
      </c>
      <c r="M64" s="140">
        <f>$D64*SUM($E$27:M$27)</f>
        <v>214200</v>
      </c>
      <c r="N64" s="140">
        <f>$D64*SUM($E$27:N$27)</f>
        <v>214200</v>
      </c>
      <c r="O64" s="140">
        <f>$D64*SUM($E$27:O$27)</f>
        <v>214200</v>
      </c>
      <c r="P64" s="140">
        <f>$D64*SUM($E$27:P$27)</f>
        <v>214200</v>
      </c>
      <c r="Q64" s="140">
        <f>$D64*SUM($E$27:Q$27)</f>
        <v>214200</v>
      </c>
      <c r="R64" s="140">
        <f>$D64*SUM($E$27:R$27)</f>
        <v>214200</v>
      </c>
      <c r="S64" s="140">
        <f>$D64*SUM($E$27:S$27)</f>
        <v>214200</v>
      </c>
      <c r="T64" s="141">
        <f>$D64*SUM($E$27:T$27)</f>
        <v>214200</v>
      </c>
    </row>
    <row r="65" spans="2:20" x14ac:dyDescent="0.3">
      <c r="B65" s="184" t="s">
        <v>67</v>
      </c>
      <c r="C65" s="252"/>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52"/>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52"/>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52"/>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52"/>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52"/>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05">
        <f>E111</f>
        <v>95000</v>
      </c>
      <c r="E102" s="112"/>
      <c r="F102" s="306">
        <f>$D$102*F27</f>
        <v>760000</v>
      </c>
      <c r="G102" s="306">
        <f t="shared" ref="G102:T102" si="6">$D$102*G27</f>
        <v>380000</v>
      </c>
      <c r="H102" s="306">
        <f t="shared" si="6"/>
        <v>380000</v>
      </c>
      <c r="I102" s="306">
        <f t="shared" si="6"/>
        <v>1140000</v>
      </c>
      <c r="J102" s="306">
        <f t="shared" si="6"/>
        <v>1140000</v>
      </c>
      <c r="K102" s="306">
        <f t="shared" si="6"/>
        <v>0</v>
      </c>
      <c r="L102" s="306">
        <f t="shared" si="6"/>
        <v>0</v>
      </c>
      <c r="M102" s="306">
        <f t="shared" si="6"/>
        <v>0</v>
      </c>
      <c r="N102" s="306">
        <f t="shared" si="6"/>
        <v>0</v>
      </c>
      <c r="O102" s="306">
        <f t="shared" si="6"/>
        <v>0</v>
      </c>
      <c r="P102" s="306">
        <f t="shared" si="6"/>
        <v>0</v>
      </c>
      <c r="Q102" s="306">
        <f t="shared" si="6"/>
        <v>0</v>
      </c>
      <c r="R102" s="306">
        <f t="shared" si="6"/>
        <v>0</v>
      </c>
      <c r="S102" s="306">
        <f t="shared" si="6"/>
        <v>0</v>
      </c>
      <c r="T102" s="141">
        <f t="shared" si="6"/>
        <v>0</v>
      </c>
    </row>
    <row r="103" spans="2:20" x14ac:dyDescent="0.3">
      <c r="B103" s="123" t="s">
        <v>77</v>
      </c>
      <c r="C103" s="112"/>
      <c r="D103" s="305">
        <v>1000</v>
      </c>
      <c r="E103" s="112"/>
      <c r="F103" s="306">
        <f>$D103*SUM($E$27:F$27)</f>
        <v>8000</v>
      </c>
      <c r="G103" s="306">
        <f>$D103*SUM($E$27:G$27)</f>
        <v>12000</v>
      </c>
      <c r="H103" s="306">
        <f>$D103*SUM($E$27:H$27)</f>
        <v>16000</v>
      </c>
      <c r="I103" s="306">
        <f>$D103*SUM($E$27:I$27)</f>
        <v>28000</v>
      </c>
      <c r="J103" s="306">
        <f>$D103*SUM($E$27:J$27)</f>
        <v>40000</v>
      </c>
      <c r="K103" s="306">
        <f>$D103*SUM($E$27:K$27)</f>
        <v>40000</v>
      </c>
      <c r="L103" s="306">
        <f>$D103*SUM($E$27:L$27)</f>
        <v>40000</v>
      </c>
      <c r="M103" s="306">
        <f>$D103*SUM($E$27:M$27)</f>
        <v>40000</v>
      </c>
      <c r="N103" s="306">
        <f>$D103*SUM($E$27:N$27)</f>
        <v>40000</v>
      </c>
      <c r="O103" s="306">
        <f>$D103*SUM($E$27:O$27)</f>
        <v>40000</v>
      </c>
      <c r="P103" s="306">
        <f>$D103*SUM($E$27:P$27)</f>
        <v>40000</v>
      </c>
      <c r="Q103" s="306">
        <f>$D103*SUM($E$27:Q$27)</f>
        <v>40000</v>
      </c>
      <c r="R103" s="306">
        <f>$D103*SUM($E$27:R$27)</f>
        <v>40000</v>
      </c>
      <c r="S103" s="306">
        <f>$D103*SUM($E$27:S$27)</f>
        <v>40000</v>
      </c>
      <c r="T103" s="141">
        <f>$D103*SUM($E$27:T$27)</f>
        <v>40000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72" t="s">
        <v>237</v>
      </c>
      <c r="C113" s="573"/>
      <c r="D113" s="573"/>
      <c r="E113" s="574"/>
      <c r="F113" s="304"/>
      <c r="G113" s="304"/>
      <c r="H113" s="304"/>
      <c r="I113" s="304"/>
      <c r="J113" s="304"/>
      <c r="K113" s="304"/>
      <c r="L113" s="181"/>
      <c r="M113" s="181"/>
      <c r="N113" s="181"/>
      <c r="O113" s="181"/>
      <c r="P113" s="181"/>
      <c r="Q113" s="181"/>
      <c r="R113" s="181"/>
      <c r="S113" s="181"/>
      <c r="T113" s="181"/>
    </row>
    <row r="114" spans="2:20" ht="15" customHeight="1" x14ac:dyDescent="0.3">
      <c r="B114" s="575"/>
      <c r="C114" s="576"/>
      <c r="D114" s="576"/>
      <c r="E114" s="577"/>
      <c r="F114" s="304"/>
      <c r="G114" s="304"/>
      <c r="H114" s="304"/>
      <c r="I114" s="304"/>
      <c r="J114" s="304"/>
      <c r="K114" s="304"/>
      <c r="L114" s="181"/>
      <c r="M114" s="181"/>
      <c r="N114" s="181"/>
      <c r="O114" s="181"/>
      <c r="P114" s="181"/>
      <c r="Q114" s="181"/>
      <c r="R114" s="181"/>
      <c r="S114" s="181"/>
      <c r="T114" s="181"/>
    </row>
    <row r="115" spans="2:20" ht="15" customHeight="1" x14ac:dyDescent="0.3">
      <c r="B115" s="575"/>
      <c r="C115" s="576"/>
      <c r="D115" s="576"/>
      <c r="E115" s="577"/>
      <c r="F115" s="304"/>
      <c r="G115" s="304"/>
      <c r="H115" s="304"/>
      <c r="I115" s="304"/>
      <c r="J115" s="304"/>
      <c r="K115" s="304"/>
      <c r="L115" s="181"/>
      <c r="M115" s="181"/>
      <c r="N115" s="181"/>
      <c r="O115" s="181"/>
      <c r="P115" s="181"/>
      <c r="Q115" s="181"/>
      <c r="R115" s="181"/>
      <c r="S115" s="181"/>
      <c r="T115" s="181"/>
    </row>
    <row r="116" spans="2:20" ht="15" customHeight="1" x14ac:dyDescent="0.3">
      <c r="B116" s="575"/>
      <c r="C116" s="576"/>
      <c r="D116" s="576"/>
      <c r="E116" s="577"/>
      <c r="F116" s="304"/>
      <c r="G116" s="304"/>
      <c r="H116" s="304"/>
      <c r="I116" s="304"/>
      <c r="J116" s="304"/>
      <c r="K116" s="304"/>
      <c r="L116" s="181"/>
      <c r="M116" s="181"/>
      <c r="N116" s="181"/>
      <c r="O116" s="181"/>
      <c r="P116" s="181"/>
      <c r="Q116" s="181"/>
      <c r="R116" s="181"/>
      <c r="S116" s="181"/>
      <c r="T116" s="181"/>
    </row>
    <row r="117" spans="2:20" ht="15" customHeight="1" x14ac:dyDescent="0.3">
      <c r="B117" s="575"/>
      <c r="C117" s="576"/>
      <c r="D117" s="576"/>
      <c r="E117" s="577"/>
      <c r="F117" s="304"/>
      <c r="G117" s="304"/>
      <c r="H117" s="304"/>
      <c r="I117" s="304"/>
      <c r="J117" s="304"/>
      <c r="K117" s="304"/>
      <c r="L117" s="181"/>
      <c r="M117" s="181"/>
      <c r="N117" s="181"/>
      <c r="O117" s="181"/>
      <c r="P117" s="181"/>
      <c r="Q117" s="181"/>
      <c r="R117" s="181"/>
      <c r="S117" s="181"/>
      <c r="T117" s="181"/>
    </row>
    <row r="118" spans="2:20" ht="15" customHeight="1" x14ac:dyDescent="0.3">
      <c r="B118" s="575"/>
      <c r="C118" s="576"/>
      <c r="D118" s="576"/>
      <c r="E118" s="577"/>
      <c r="F118" s="304"/>
      <c r="G118" s="304"/>
      <c r="H118" s="304"/>
      <c r="I118" s="304"/>
      <c r="J118" s="304"/>
      <c r="K118" s="304"/>
      <c r="L118" s="181"/>
      <c r="M118" s="181"/>
      <c r="N118" s="181"/>
      <c r="O118" s="181"/>
      <c r="P118" s="181"/>
      <c r="Q118" s="181"/>
      <c r="R118" s="181"/>
      <c r="S118" s="181"/>
      <c r="T118" s="181"/>
    </row>
    <row r="119" spans="2:20" ht="15" customHeight="1" x14ac:dyDescent="0.3">
      <c r="B119" s="575"/>
      <c r="C119" s="576"/>
      <c r="D119" s="576"/>
      <c r="E119" s="577"/>
      <c r="F119" s="304"/>
      <c r="G119" s="304"/>
      <c r="H119" s="304"/>
      <c r="I119" s="304"/>
      <c r="J119" s="304"/>
      <c r="K119" s="304"/>
      <c r="L119" s="181"/>
      <c r="M119" s="181"/>
      <c r="N119" s="181"/>
      <c r="O119" s="181"/>
      <c r="P119" s="181"/>
      <c r="Q119" s="181"/>
      <c r="R119" s="181"/>
      <c r="S119" s="181"/>
      <c r="T119" s="181"/>
    </row>
    <row r="120" spans="2:20" ht="15" customHeight="1" x14ac:dyDescent="0.3">
      <c r="B120" s="575"/>
      <c r="C120" s="576"/>
      <c r="D120" s="576"/>
      <c r="E120" s="577"/>
      <c r="F120" s="304"/>
      <c r="G120" s="304"/>
      <c r="H120" s="304"/>
      <c r="I120" s="304"/>
      <c r="J120" s="304"/>
      <c r="K120" s="304"/>
      <c r="L120" s="181"/>
      <c r="M120" s="181"/>
      <c r="N120" s="181"/>
      <c r="O120" s="181"/>
      <c r="P120" s="181"/>
      <c r="Q120" s="181"/>
      <c r="R120" s="181"/>
      <c r="S120" s="181"/>
      <c r="T120" s="181"/>
    </row>
    <row r="121" spans="2:20" ht="15" customHeight="1" x14ac:dyDescent="0.3">
      <c r="B121" s="575"/>
      <c r="C121" s="576"/>
      <c r="D121" s="576"/>
      <c r="E121" s="577"/>
      <c r="F121" s="304"/>
      <c r="G121" s="304"/>
      <c r="H121" s="304"/>
      <c r="I121" s="304"/>
      <c r="J121" s="304"/>
      <c r="K121" s="304"/>
      <c r="L121" s="181"/>
      <c r="M121" s="181"/>
      <c r="N121" s="181"/>
      <c r="O121" s="181"/>
      <c r="P121" s="181"/>
      <c r="Q121" s="181"/>
      <c r="R121" s="181"/>
      <c r="S121" s="181"/>
      <c r="T121" s="181"/>
    </row>
    <row r="122" spans="2:20" ht="15" customHeight="1" x14ac:dyDescent="0.3">
      <c r="B122" s="575"/>
      <c r="C122" s="576"/>
      <c r="D122" s="576"/>
      <c r="E122" s="577"/>
      <c r="F122" s="304"/>
      <c r="G122" s="304"/>
      <c r="H122" s="304"/>
      <c r="I122" s="304"/>
      <c r="J122" s="304"/>
      <c r="K122" s="304"/>
      <c r="L122" s="181"/>
      <c r="M122" s="181"/>
      <c r="N122" s="181"/>
      <c r="O122" s="181"/>
      <c r="P122" s="181"/>
      <c r="Q122" s="181"/>
      <c r="R122" s="181"/>
      <c r="S122" s="181"/>
      <c r="T122" s="181"/>
    </row>
    <row r="123" spans="2:20" ht="15.75" customHeight="1" thickBot="1" x14ac:dyDescent="0.35">
      <c r="B123" s="578"/>
      <c r="C123" s="579"/>
      <c r="D123" s="579"/>
      <c r="E123" s="580"/>
      <c r="F123" s="304"/>
      <c r="G123" s="304"/>
      <c r="H123" s="304"/>
      <c r="I123" s="304"/>
      <c r="J123" s="304"/>
      <c r="K123" s="304"/>
      <c r="L123" s="181"/>
      <c r="M123" s="181"/>
      <c r="N123" s="181"/>
      <c r="O123" s="181"/>
      <c r="P123" s="181"/>
      <c r="Q123" s="181"/>
      <c r="R123" s="181"/>
      <c r="S123" s="181"/>
      <c r="T123" s="181"/>
    </row>
  </sheetData>
  <mergeCells count="8">
    <mergeCell ref="N17:R17"/>
    <mergeCell ref="N21:R21"/>
    <mergeCell ref="G7:T15"/>
    <mergeCell ref="B113:E123"/>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46:T103"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24E994CE-9079-48D5-96B2-EADAAB73E865}">
          <x14:formula1>
            <xm:f>'Inputs and assumptions'!$J$17:$J$18</xm:f>
          </x14:formula1>
          <xm:sqref>E43</xm:sqref>
        </x14:dataValidation>
        <x14:dataValidation type="list" allowBlank="1" showInputMessage="1" showErrorMessage="1" xr:uid="{12C62713-4EDB-43DB-BE36-FA3058F117E2}">
          <x14:formula1>
            <xm:f>'Inputs and assumptions'!$H$27:$H$29</xm:f>
          </x14:formula1>
          <xm:sqref>E11</xm:sqref>
        </x14:dataValidation>
        <x14:dataValidation type="list" allowBlank="1" showInputMessage="1" showErrorMessage="1" xr:uid="{54FAEFE5-CE0E-4F67-9161-E1B5D3EA3A29}">
          <x14:formula1>
            <xm:f>'Inputs and assumptions'!$H$23:$H$24</xm:f>
          </x14:formula1>
          <xm:sqref>E10</xm:sqref>
        </x14:dataValidation>
        <x14:dataValidation type="list" allowBlank="1" showInputMessage="1" showErrorMessage="1" xr:uid="{0182FB49-B7B1-497E-B365-B12D75FF348A}">
          <x14:formula1>
            <xm:f>'Inputs and assumptions'!$G$16:$G$20</xm:f>
          </x14:formula1>
          <xm:sqref>E7</xm:sqref>
        </x14:dataValidation>
        <x14:dataValidation type="list" allowBlank="1" showInputMessage="1" showErrorMessage="1" xr:uid="{56D2A865-8DB2-4963-9A3C-5B8668C815E7}">
          <x14:formula1>
            <xm:f>'Inputs and assumptions'!$H$16:$H$20</xm:f>
          </x14:formula1>
          <xm:sqref>E8</xm:sqref>
        </x14:dataValidation>
        <x14:dataValidation type="list" allowBlank="1" showInputMessage="1" showErrorMessage="1" xr:uid="{88EDFD62-5E09-4AE9-91DB-5BBB59186404}">
          <x14:formula1>
            <xm:f>'Inputs and assumptions'!$H$31:$H$34</xm:f>
          </x14:formula1>
          <xm:sqref>E12</xm:sqref>
        </x14:dataValidation>
        <x14:dataValidation type="list" allowBlank="1" showInputMessage="1" showErrorMessage="1" xr:uid="{9C144220-D412-4A0C-B48D-B4B07F1B4333}">
          <x14:formula1>
            <xm:f>'Inputs and assumptions'!$H$36:$H$40</xm:f>
          </x14:formula1>
          <xm:sqref>E13</xm:sqref>
        </x14:dataValidation>
        <x14:dataValidation type="list" allowBlank="1" showInputMessage="1" showErrorMessage="1" xr:uid="{8FADAF97-D23E-4833-8A46-26BE4FA429AD}">
          <x14:formula1>
            <xm:f>'Inputs and assumptions'!$J$21:$J$24</xm:f>
          </x14:formula1>
          <xm:sqref>E14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2A85-320F-4F60-87D1-D5CDC3DBBBF5}">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238</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169</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126</v>
      </c>
      <c r="G7" s="586" t="s">
        <v>239</v>
      </c>
      <c r="H7" s="586"/>
      <c r="I7" s="586"/>
      <c r="J7" s="586"/>
      <c r="K7" s="586"/>
      <c r="L7" s="586"/>
      <c r="M7" s="586"/>
      <c r="N7" s="586"/>
      <c r="O7" s="586"/>
      <c r="P7" s="586"/>
      <c r="Q7" s="586"/>
      <c r="R7" s="586"/>
      <c r="S7" s="586"/>
      <c r="T7" s="586"/>
    </row>
    <row r="8" spans="1:23" s="170" customFormat="1" ht="15.75" customHeight="1" x14ac:dyDescent="0.35">
      <c r="B8" s="328" t="s">
        <v>3</v>
      </c>
      <c r="C8" s="230"/>
      <c r="E8" s="329" t="s">
        <v>127</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218</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158</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132</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2</v>
      </c>
      <c r="D18" s="161">
        <v>0.28999999999999998</v>
      </c>
      <c r="E18" s="162">
        <f>D18*C18</f>
        <v>0.57999999999999996</v>
      </c>
      <c r="G18" s="219"/>
      <c r="H18" s="220" t="s">
        <v>18</v>
      </c>
      <c r="I18" s="221">
        <f>D37</f>
        <v>-971542.87406656181</v>
      </c>
      <c r="J18" s="222"/>
      <c r="K18" s="220" t="s">
        <v>220</v>
      </c>
      <c r="L18" s="223">
        <f>SUM(F34:J34)</f>
        <v>950000</v>
      </c>
      <c r="N18" s="584" t="s">
        <v>221</v>
      </c>
      <c r="O18" s="584"/>
      <c r="P18" s="584"/>
      <c r="Q18" s="584"/>
      <c r="R18" s="314"/>
      <c r="S18" s="161"/>
      <c r="T18" s="315" t="s">
        <v>222</v>
      </c>
    </row>
    <row r="19" spans="2:20" ht="13.5" customHeight="1" x14ac:dyDescent="0.3">
      <c r="B19" s="160" t="s">
        <v>19</v>
      </c>
      <c r="C19" s="182">
        <v>4</v>
      </c>
      <c r="D19" s="161">
        <v>0.18</v>
      </c>
      <c r="E19" s="162">
        <f>D19*C19</f>
        <v>0.72</v>
      </c>
      <c r="G19" s="224"/>
      <c r="H19" s="125" t="s">
        <v>20</v>
      </c>
      <c r="I19" s="126">
        <f>D40</f>
        <v>1046787.5498180263</v>
      </c>
      <c r="J19" s="127"/>
      <c r="K19" s="125" t="s">
        <v>223</v>
      </c>
      <c r="L19" s="225">
        <f>SUM(F36:J36)</f>
        <v>40000</v>
      </c>
      <c r="N19" s="585" t="s">
        <v>224</v>
      </c>
      <c r="O19" s="585"/>
      <c r="P19" s="585"/>
      <c r="Q19" s="585"/>
      <c r="R19" s="314"/>
      <c r="S19" s="161"/>
      <c r="T19" s="315" t="s">
        <v>222</v>
      </c>
    </row>
    <row r="20" spans="2:20" ht="13.5" customHeight="1" x14ac:dyDescent="0.3">
      <c r="B20" s="160" t="s">
        <v>21</v>
      </c>
      <c r="C20" s="182">
        <v>3</v>
      </c>
      <c r="D20" s="161">
        <v>0.18</v>
      </c>
      <c r="E20" s="162">
        <f>D20*C20</f>
        <v>0.54</v>
      </c>
      <c r="G20" s="224"/>
      <c r="H20" s="125" t="s">
        <v>22</v>
      </c>
      <c r="I20" s="217">
        <f>IFERROR(ABS((I19-I18)/I18),"N/A")</f>
        <v>2.0774486414958866</v>
      </c>
      <c r="J20" s="127"/>
      <c r="K20" s="125" t="s">
        <v>225</v>
      </c>
      <c r="L20" s="225">
        <f>NPV($D$33,F39:T39)</f>
        <v>2018330.4238845881</v>
      </c>
      <c r="N20" s="316" t="s">
        <v>226</v>
      </c>
      <c r="O20" s="316"/>
      <c r="P20" s="316"/>
      <c r="Q20" s="316"/>
      <c r="R20" s="317"/>
      <c r="S20" s="318"/>
      <c r="T20" s="315" t="s">
        <v>227</v>
      </c>
    </row>
    <row r="21" spans="2:20" ht="13.5" customHeight="1" thickBot="1" x14ac:dyDescent="0.35">
      <c r="B21" s="160" t="s">
        <v>23</v>
      </c>
      <c r="C21" s="182">
        <v>3</v>
      </c>
      <c r="D21" s="161">
        <v>0.18</v>
      </c>
      <c r="E21" s="162">
        <f>D21*C21</f>
        <v>0.54</v>
      </c>
      <c r="G21" s="194"/>
      <c r="H21" s="257" t="s">
        <v>166</v>
      </c>
      <c r="I21" s="258">
        <f>IFERROR(NPV($D$33,F39:T39)/NPV($D$33,F38:T38),"N/A")</f>
        <v>1.4137015477407049</v>
      </c>
      <c r="J21" s="226"/>
      <c r="K21" s="436" t="s">
        <v>228</v>
      </c>
      <c r="L21" s="439">
        <f>NPV($D$33,F39:J39)</f>
        <v>1211446.738038745</v>
      </c>
      <c r="N21" s="570" t="s">
        <v>229</v>
      </c>
      <c r="O21" s="570"/>
      <c r="P21" s="570"/>
      <c r="Q21" s="570"/>
      <c r="R21" s="570"/>
      <c r="S21" s="164"/>
      <c r="T21" s="165"/>
    </row>
    <row r="22" spans="2:20" ht="13.5" customHeight="1" x14ac:dyDescent="0.3">
      <c r="B22" s="160" t="s">
        <v>230</v>
      </c>
      <c r="C22" s="182">
        <v>4</v>
      </c>
      <c r="D22" s="161">
        <v>0.17</v>
      </c>
      <c r="E22" s="162">
        <f>D22*C22</f>
        <v>0.68</v>
      </c>
      <c r="L22" s="218"/>
    </row>
    <row r="23" spans="2:20" ht="13.5" customHeight="1" x14ac:dyDescent="0.3">
      <c r="B23" s="117" t="s">
        <v>229</v>
      </c>
      <c r="C23" s="117"/>
      <c r="D23" s="164">
        <f>SUM(D18:D22)</f>
        <v>0.99999999999999989</v>
      </c>
      <c r="E23" s="165">
        <f>SUM(E18:E22)</f>
        <v>3.06</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0</v>
      </c>
      <c r="E27" s="112"/>
      <c r="F27" s="227"/>
      <c r="G27" s="227"/>
      <c r="H27" s="227"/>
      <c r="I27" s="227"/>
      <c r="J27" s="227"/>
      <c r="K27" s="227"/>
      <c r="L27" s="227"/>
      <c r="M27" s="227"/>
      <c r="N27" s="227"/>
      <c r="O27" s="227"/>
      <c r="P27" s="227"/>
      <c r="Q27" s="227"/>
      <c r="R27" s="227"/>
      <c r="S27" s="227"/>
      <c r="T27" s="229"/>
    </row>
    <row r="28" spans="2:20" x14ac:dyDescent="0.3">
      <c r="B28" s="123" t="s">
        <v>233</v>
      </c>
      <c r="C28" s="112"/>
      <c r="D28" s="112"/>
      <c r="E28" s="112"/>
      <c r="F28" s="265">
        <v>0</v>
      </c>
      <c r="G28" s="265">
        <v>1</v>
      </c>
      <c r="H28" s="265">
        <v>1</v>
      </c>
      <c r="I28" s="265">
        <v>1</v>
      </c>
      <c r="J28" s="265">
        <v>1</v>
      </c>
      <c r="K28" s="265">
        <v>1</v>
      </c>
      <c r="L28" s="265">
        <v>1</v>
      </c>
      <c r="M28" s="265">
        <v>1</v>
      </c>
      <c r="N28" s="265">
        <v>0</v>
      </c>
      <c r="O28" s="265">
        <v>0</v>
      </c>
      <c r="P28" s="265">
        <v>0</v>
      </c>
      <c r="Q28" s="265">
        <v>0</v>
      </c>
      <c r="R28" s="265">
        <v>0</v>
      </c>
      <c r="S28" s="265">
        <v>0</v>
      </c>
      <c r="T28" s="266">
        <v>0</v>
      </c>
    </row>
    <row r="29" spans="2:20" ht="13.5" thickBot="1" x14ac:dyDescent="0.35">
      <c r="B29" s="120"/>
      <c r="C29" s="232"/>
      <c r="D29" s="121"/>
      <c r="E29" s="121"/>
      <c r="F29" s="293">
        <v>0.8</v>
      </c>
      <c r="G29" s="293">
        <v>0.2</v>
      </c>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760000</v>
      </c>
      <c r="G34" s="140">
        <f t="shared" si="0"/>
        <v>190000</v>
      </c>
      <c r="H34" s="140">
        <f t="shared" si="0"/>
        <v>0</v>
      </c>
      <c r="I34" s="140">
        <f t="shared" si="0"/>
        <v>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1140000</v>
      </c>
      <c r="G35" s="140">
        <f>G34*(1+'Inputs and assumptions'!$C$7)</f>
        <v>285000</v>
      </c>
      <c r="H35" s="140">
        <f>H34*(1+'Inputs and assumptions'!$C$7)</f>
        <v>0</v>
      </c>
      <c r="I35" s="140">
        <f>I34*(1+'Inputs and assumptions'!$C$7)</f>
        <v>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0</v>
      </c>
      <c r="G36" s="142">
        <f t="shared" si="1"/>
        <v>10000</v>
      </c>
      <c r="H36" s="142">
        <f t="shared" si="1"/>
        <v>10000</v>
      </c>
      <c r="I36" s="142">
        <f t="shared" si="1"/>
        <v>10000</v>
      </c>
      <c r="J36" s="142">
        <f t="shared" si="1"/>
        <v>10000</v>
      </c>
      <c r="K36" s="142">
        <f t="shared" si="1"/>
        <v>10000</v>
      </c>
      <c r="L36" s="142">
        <f t="shared" si="1"/>
        <v>10000</v>
      </c>
      <c r="M36" s="142">
        <f t="shared" si="1"/>
        <v>10000</v>
      </c>
      <c r="N36" s="142">
        <f t="shared" si="1"/>
        <v>0</v>
      </c>
      <c r="O36" s="142">
        <f t="shared" si="1"/>
        <v>0</v>
      </c>
      <c r="P36" s="142">
        <f t="shared" si="1"/>
        <v>0</v>
      </c>
      <c r="Q36" s="142">
        <f t="shared" si="1"/>
        <v>0</v>
      </c>
      <c r="R36" s="142">
        <f t="shared" si="1"/>
        <v>0</v>
      </c>
      <c r="S36" s="142">
        <f t="shared" si="1"/>
        <v>0</v>
      </c>
      <c r="T36" s="143">
        <f t="shared" si="1"/>
        <v>0</v>
      </c>
    </row>
    <row r="37" spans="2:20" x14ac:dyDescent="0.3">
      <c r="B37" s="122" t="s">
        <v>44</v>
      </c>
      <c r="C37" s="133"/>
      <c r="D37" s="247">
        <f>NPV($D$33,F37:T37)</f>
        <v>-971542.87406656181</v>
      </c>
      <c r="E37" s="248"/>
      <c r="F37" s="144">
        <f t="shared" ref="F37:T37" si="2">-F34-F36</f>
        <v>-760000</v>
      </c>
      <c r="G37" s="144">
        <f t="shared" si="2"/>
        <v>-200000</v>
      </c>
      <c r="H37" s="144">
        <f t="shared" si="2"/>
        <v>-10000</v>
      </c>
      <c r="I37" s="144">
        <f t="shared" si="2"/>
        <v>-10000</v>
      </c>
      <c r="J37" s="144">
        <f t="shared" si="2"/>
        <v>-10000</v>
      </c>
      <c r="K37" s="144">
        <f t="shared" si="2"/>
        <v>-10000</v>
      </c>
      <c r="L37" s="144">
        <f t="shared" si="2"/>
        <v>-10000</v>
      </c>
      <c r="M37" s="144">
        <f t="shared" si="2"/>
        <v>-10000</v>
      </c>
      <c r="N37" s="144">
        <f t="shared" si="2"/>
        <v>0</v>
      </c>
      <c r="O37" s="144">
        <f t="shared" si="2"/>
        <v>0</v>
      </c>
      <c r="P37" s="144">
        <f t="shared" si="2"/>
        <v>0</v>
      </c>
      <c r="Q37" s="144">
        <f t="shared" si="2"/>
        <v>0</v>
      </c>
      <c r="R37" s="144">
        <f t="shared" si="2"/>
        <v>0</v>
      </c>
      <c r="S37" s="144">
        <f t="shared" si="2"/>
        <v>0</v>
      </c>
      <c r="T37" s="145">
        <f t="shared" si="2"/>
        <v>0</v>
      </c>
    </row>
    <row r="38" spans="2:20" ht="13.5" thickBot="1" x14ac:dyDescent="0.35">
      <c r="B38" s="124" t="s">
        <v>235</v>
      </c>
      <c r="C38" s="135"/>
      <c r="D38" s="132"/>
      <c r="E38" s="121"/>
      <c r="F38" s="142">
        <f>F35+F36</f>
        <v>1140000</v>
      </c>
      <c r="G38" s="142">
        <f t="shared" ref="G38:T38" si="3">G35+G36</f>
        <v>295000</v>
      </c>
      <c r="H38" s="142">
        <f t="shared" si="3"/>
        <v>10000</v>
      </c>
      <c r="I38" s="142">
        <f t="shared" si="3"/>
        <v>10000</v>
      </c>
      <c r="J38" s="142">
        <f t="shared" si="3"/>
        <v>10000</v>
      </c>
      <c r="K38" s="142">
        <f t="shared" si="3"/>
        <v>10000</v>
      </c>
      <c r="L38" s="142">
        <f t="shared" si="3"/>
        <v>10000</v>
      </c>
      <c r="M38" s="142">
        <f t="shared" si="3"/>
        <v>10000</v>
      </c>
      <c r="N38" s="142">
        <f t="shared" si="3"/>
        <v>0</v>
      </c>
      <c r="O38" s="142">
        <f t="shared" si="3"/>
        <v>0</v>
      </c>
      <c r="P38" s="142">
        <f t="shared" si="3"/>
        <v>0</v>
      </c>
      <c r="Q38" s="142">
        <f t="shared" si="3"/>
        <v>0</v>
      </c>
      <c r="R38" s="142">
        <f t="shared" si="3"/>
        <v>0</v>
      </c>
      <c r="S38" s="142">
        <f t="shared" si="3"/>
        <v>0</v>
      </c>
      <c r="T38" s="143">
        <f t="shared" si="3"/>
        <v>0</v>
      </c>
    </row>
    <row r="39" spans="2:20" x14ac:dyDescent="0.3">
      <c r="B39" s="123" t="s">
        <v>45</v>
      </c>
      <c r="C39" s="112"/>
      <c r="D39" s="134"/>
      <c r="E39" s="112"/>
      <c r="F39" s="140">
        <f t="shared" ref="F39:T39" si="4">IF($E$43="Per Unit",SUM(F45:F71),SUM(F73:F98))</f>
        <v>0</v>
      </c>
      <c r="G39" s="140">
        <f t="shared" si="4"/>
        <v>340677.68134731246</v>
      </c>
      <c r="H39" s="140">
        <f t="shared" si="4"/>
        <v>340677.68134731246</v>
      </c>
      <c r="I39" s="140">
        <f t="shared" si="4"/>
        <v>340677.68134731246</v>
      </c>
      <c r="J39" s="140">
        <f t="shared" si="4"/>
        <v>340677.68134731246</v>
      </c>
      <c r="K39" s="140">
        <f t="shared" si="4"/>
        <v>340677.68134731246</v>
      </c>
      <c r="L39" s="140">
        <f t="shared" si="4"/>
        <v>340677.68134731246</v>
      </c>
      <c r="M39" s="140">
        <f t="shared" si="4"/>
        <v>340677.68134731246</v>
      </c>
      <c r="N39" s="140">
        <f t="shared" si="4"/>
        <v>0</v>
      </c>
      <c r="O39" s="140">
        <f t="shared" si="4"/>
        <v>0</v>
      </c>
      <c r="P39" s="140">
        <f t="shared" si="4"/>
        <v>0</v>
      </c>
      <c r="Q39" s="140">
        <f t="shared" si="4"/>
        <v>0</v>
      </c>
      <c r="R39" s="140">
        <f t="shared" si="4"/>
        <v>0</v>
      </c>
      <c r="S39" s="140">
        <f t="shared" si="4"/>
        <v>0</v>
      </c>
      <c r="T39" s="141">
        <f t="shared" si="4"/>
        <v>0</v>
      </c>
    </row>
    <row r="40" spans="2:20" x14ac:dyDescent="0.3">
      <c r="B40" s="123" t="s">
        <v>46</v>
      </c>
      <c r="C40" s="112"/>
      <c r="D40" s="134">
        <f>NPV($D$33,F40:T40)</f>
        <v>1046787.5498180263</v>
      </c>
      <c r="E40" s="112"/>
      <c r="F40" s="140">
        <f t="shared" ref="F40:T40" si="5">F39+F37</f>
        <v>-760000</v>
      </c>
      <c r="G40" s="140">
        <f t="shared" si="5"/>
        <v>140677.68134731246</v>
      </c>
      <c r="H40" s="140">
        <f t="shared" si="5"/>
        <v>330677.68134731246</v>
      </c>
      <c r="I40" s="140">
        <f t="shared" si="5"/>
        <v>330677.68134731246</v>
      </c>
      <c r="J40" s="140">
        <f t="shared" si="5"/>
        <v>330677.68134731246</v>
      </c>
      <c r="K40" s="140">
        <f t="shared" si="5"/>
        <v>330677.68134731246</v>
      </c>
      <c r="L40" s="140">
        <f t="shared" si="5"/>
        <v>330677.68134731246</v>
      </c>
      <c r="M40" s="140">
        <f t="shared" si="5"/>
        <v>330677.68134731246</v>
      </c>
      <c r="N40" s="140">
        <f t="shared" si="5"/>
        <v>0</v>
      </c>
      <c r="O40" s="140">
        <f t="shared" si="5"/>
        <v>0</v>
      </c>
      <c r="P40" s="140">
        <f t="shared" si="5"/>
        <v>0</v>
      </c>
      <c r="Q40" s="140">
        <f t="shared" si="5"/>
        <v>0</v>
      </c>
      <c r="R40" s="140">
        <f t="shared" si="5"/>
        <v>0</v>
      </c>
      <c r="S40" s="140">
        <f t="shared" si="5"/>
        <v>0</v>
      </c>
      <c r="T40" s="141">
        <f t="shared" si="5"/>
        <v>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125</v>
      </c>
    </row>
    <row r="44" spans="2:20" x14ac:dyDescent="0.3">
      <c r="B44" s="238" t="s">
        <v>48</v>
      </c>
      <c r="C44" s="237"/>
      <c r="D44" s="243">
        <f>SUM(D45:D70)</f>
        <v>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c r="D61" s="261">
        <f>IFERROR(C61*'Inputs and assumptions'!D32/$D$27,0)</f>
        <v>0</v>
      </c>
      <c r="E61" s="112"/>
      <c r="F61" s="140">
        <f>$D61*SUM($E$27:F$27)</f>
        <v>0</v>
      </c>
      <c r="G61" s="140">
        <f>$D61*SUM($E$27:G$27)</f>
        <v>0</v>
      </c>
      <c r="H61" s="140">
        <f>$D61*SUM($E$27:H$27)</f>
        <v>0</v>
      </c>
      <c r="I61" s="140">
        <f>$D61*SUM($E$27:I$27)</f>
        <v>0</v>
      </c>
      <c r="J61" s="140">
        <f>$D61*SUM($E$27:J$27)</f>
        <v>0</v>
      </c>
      <c r="K61" s="140">
        <f>$D61*SUM($E$27:K$27)</f>
        <v>0</v>
      </c>
      <c r="L61" s="140">
        <f>$D61*SUM($E$27:L$27)</f>
        <v>0</v>
      </c>
      <c r="M61" s="140">
        <f>$D61*SUM($E$27:M$27)</f>
        <v>0</v>
      </c>
      <c r="N61" s="140">
        <f>$D61*SUM($E$27:N$27)</f>
        <v>0</v>
      </c>
      <c r="O61" s="140">
        <f>$D61*SUM($E$27:O$27)</f>
        <v>0</v>
      </c>
      <c r="P61" s="140">
        <f>$D61*SUM($E$27:P$27)</f>
        <v>0</v>
      </c>
      <c r="Q61" s="140">
        <f>$D61*SUM($E$27:Q$27)</f>
        <v>0</v>
      </c>
      <c r="R61" s="140">
        <f>$D61*SUM($E$27:R$27)</f>
        <v>0</v>
      </c>
      <c r="S61" s="140">
        <f>$D61*SUM($E$27:S$27)</f>
        <v>0</v>
      </c>
      <c r="T61" s="141">
        <f>$D61*SUM($E$27:T$27)</f>
        <v>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c r="D64" s="261">
        <f>IFERROR(C64*'Inputs and assumptions'!D35/$D$27,0)</f>
        <v>0</v>
      </c>
      <c r="E64" s="112"/>
      <c r="F64" s="140">
        <f>$D64*SUM($E$27:F$27)</f>
        <v>0</v>
      </c>
      <c r="G64" s="140">
        <f>$D64*SUM($E$27:G$27)</f>
        <v>0</v>
      </c>
      <c r="H64" s="140">
        <f>$D64*SUM($E$27:H$27)</f>
        <v>0</v>
      </c>
      <c r="I64" s="140">
        <f>$D64*SUM($E$27:I$27)</f>
        <v>0</v>
      </c>
      <c r="J64" s="140">
        <f>$D64*SUM($E$27:J$27)</f>
        <v>0</v>
      </c>
      <c r="K64" s="140">
        <f>$D64*SUM($E$27:K$27)</f>
        <v>0</v>
      </c>
      <c r="L64" s="140">
        <f>$D64*SUM($E$27:L$27)</f>
        <v>0</v>
      </c>
      <c r="M64" s="140">
        <f>$D64*SUM($E$27:M$27)</f>
        <v>0</v>
      </c>
      <c r="N64" s="140">
        <f>$D64*SUM($E$27:N$27)</f>
        <v>0</v>
      </c>
      <c r="O64" s="140">
        <f>$D64*SUM($E$27:O$27)</f>
        <v>0</v>
      </c>
      <c r="P64" s="140">
        <f>$D64*SUM($E$27:P$27)</f>
        <v>0</v>
      </c>
      <c r="Q64" s="140">
        <f>$D64*SUM($E$27:Q$27)</f>
        <v>0</v>
      </c>
      <c r="R64" s="140">
        <f>$D64*SUM($E$27:R$27)</f>
        <v>0</v>
      </c>
      <c r="S64" s="140">
        <f>$D64*SUM($E$27:S$27)</f>
        <v>0</v>
      </c>
      <c r="T64" s="141">
        <f>$D64*SUM($E$27:T$27)</f>
        <v>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v>1E-3</v>
      </c>
      <c r="D74" s="267">
        <f>C74*'Inputs and assumptions'!D17</f>
        <v>36494.944973720296</v>
      </c>
      <c r="F74" s="294">
        <f t="shared" ref="F74:T77" si="6">$D74*F$28</f>
        <v>0</v>
      </c>
      <c r="G74" s="294">
        <f t="shared" si="6"/>
        <v>36494.944973720296</v>
      </c>
      <c r="H74" s="294">
        <f t="shared" si="6"/>
        <v>36494.944973720296</v>
      </c>
      <c r="I74" s="294">
        <f t="shared" si="6"/>
        <v>36494.944973720296</v>
      </c>
      <c r="J74" s="294">
        <f t="shared" si="6"/>
        <v>36494.944973720296</v>
      </c>
      <c r="K74" s="294">
        <f t="shared" si="6"/>
        <v>36494.944973720296</v>
      </c>
      <c r="L74" s="294">
        <f t="shared" si="6"/>
        <v>36494.944973720296</v>
      </c>
      <c r="M74" s="294">
        <f t="shared" si="6"/>
        <v>36494.944973720296</v>
      </c>
      <c r="N74" s="294">
        <f t="shared" si="6"/>
        <v>0</v>
      </c>
      <c r="O74" s="294">
        <f t="shared" si="6"/>
        <v>0</v>
      </c>
      <c r="P74" s="294">
        <f t="shared" si="6"/>
        <v>0</v>
      </c>
      <c r="Q74" s="294">
        <f t="shared" si="6"/>
        <v>0</v>
      </c>
      <c r="R74" s="294">
        <f t="shared" si="6"/>
        <v>0</v>
      </c>
      <c r="S74" s="294">
        <f t="shared" si="6"/>
        <v>0</v>
      </c>
      <c r="T74" s="295">
        <f t="shared" si="6"/>
        <v>0</v>
      </c>
    </row>
    <row r="75" spans="2:20" x14ac:dyDescent="0.3">
      <c r="B75" s="193" t="s">
        <v>52</v>
      </c>
      <c r="C75" s="240">
        <v>1E-3</v>
      </c>
      <c r="D75" s="267">
        <f>C75*'Inputs and assumptions'!D18</f>
        <v>26246.595948073053</v>
      </c>
      <c r="F75" s="294">
        <f t="shared" si="6"/>
        <v>0</v>
      </c>
      <c r="G75" s="294">
        <f t="shared" si="6"/>
        <v>26246.595948073053</v>
      </c>
      <c r="H75" s="294">
        <f t="shared" si="6"/>
        <v>26246.595948073053</v>
      </c>
      <c r="I75" s="294">
        <f t="shared" si="6"/>
        <v>26246.595948073053</v>
      </c>
      <c r="J75" s="294">
        <f t="shared" si="6"/>
        <v>26246.595948073053</v>
      </c>
      <c r="K75" s="294">
        <f t="shared" si="6"/>
        <v>26246.595948073053</v>
      </c>
      <c r="L75" s="294">
        <f t="shared" si="6"/>
        <v>26246.595948073053</v>
      </c>
      <c r="M75" s="294">
        <f t="shared" si="6"/>
        <v>26246.595948073053</v>
      </c>
      <c r="N75" s="294">
        <f t="shared" si="6"/>
        <v>0</v>
      </c>
      <c r="O75" s="294">
        <f t="shared" si="6"/>
        <v>0</v>
      </c>
      <c r="P75" s="294">
        <f t="shared" si="6"/>
        <v>0</v>
      </c>
      <c r="Q75" s="294">
        <f t="shared" si="6"/>
        <v>0</v>
      </c>
      <c r="R75" s="294">
        <f t="shared" si="6"/>
        <v>0</v>
      </c>
      <c r="S75" s="294">
        <f t="shared" si="6"/>
        <v>0</v>
      </c>
      <c r="T75" s="295">
        <f t="shared" si="6"/>
        <v>0</v>
      </c>
    </row>
    <row r="76" spans="2:20" x14ac:dyDescent="0.3">
      <c r="B76" s="193" t="s">
        <v>53</v>
      </c>
      <c r="C76" s="240">
        <v>1E-3</v>
      </c>
      <c r="D76" s="267">
        <f>C76*'Inputs and assumptions'!D19</f>
        <v>5094.987107982367</v>
      </c>
      <c r="F76" s="294">
        <f t="shared" si="6"/>
        <v>0</v>
      </c>
      <c r="G76" s="294">
        <f t="shared" si="6"/>
        <v>5094.987107982367</v>
      </c>
      <c r="H76" s="294">
        <f t="shared" si="6"/>
        <v>5094.987107982367</v>
      </c>
      <c r="I76" s="294">
        <f t="shared" si="6"/>
        <v>5094.987107982367</v>
      </c>
      <c r="J76" s="294">
        <f t="shared" si="6"/>
        <v>5094.987107982367</v>
      </c>
      <c r="K76" s="294">
        <f t="shared" si="6"/>
        <v>5094.987107982367</v>
      </c>
      <c r="L76" s="294">
        <f t="shared" si="6"/>
        <v>5094.987107982367</v>
      </c>
      <c r="M76" s="294">
        <f t="shared" si="6"/>
        <v>5094.987107982367</v>
      </c>
      <c r="N76" s="294">
        <f t="shared" si="6"/>
        <v>0</v>
      </c>
      <c r="O76" s="294">
        <f t="shared" si="6"/>
        <v>0</v>
      </c>
      <c r="P76" s="294">
        <f t="shared" si="6"/>
        <v>0</v>
      </c>
      <c r="Q76" s="294">
        <f t="shared" si="6"/>
        <v>0</v>
      </c>
      <c r="R76" s="294">
        <f t="shared" si="6"/>
        <v>0</v>
      </c>
      <c r="S76" s="294">
        <f t="shared" si="6"/>
        <v>0</v>
      </c>
      <c r="T76" s="295">
        <f t="shared" si="6"/>
        <v>0</v>
      </c>
    </row>
    <row r="77" spans="2:20" x14ac:dyDescent="0.3">
      <c r="B77" s="193" t="s">
        <v>54</v>
      </c>
      <c r="C77" s="240">
        <v>1E-3</v>
      </c>
      <c r="D77" s="267">
        <f>C77*'Inputs and assumptions'!D20</f>
        <v>31449.153317536762</v>
      </c>
      <c r="F77" s="294">
        <f t="shared" si="6"/>
        <v>0</v>
      </c>
      <c r="G77" s="294">
        <f t="shared" si="6"/>
        <v>31449.153317536762</v>
      </c>
      <c r="H77" s="294">
        <f t="shared" si="6"/>
        <v>31449.153317536762</v>
      </c>
      <c r="I77" s="294">
        <f t="shared" si="6"/>
        <v>31449.153317536762</v>
      </c>
      <c r="J77" s="294">
        <f t="shared" si="6"/>
        <v>31449.153317536762</v>
      </c>
      <c r="K77" s="294">
        <f t="shared" si="6"/>
        <v>31449.153317536762</v>
      </c>
      <c r="L77" s="294">
        <f t="shared" si="6"/>
        <v>31449.153317536762</v>
      </c>
      <c r="M77" s="294">
        <f t="shared" si="6"/>
        <v>31449.153317536762</v>
      </c>
      <c r="N77" s="294">
        <f t="shared" si="6"/>
        <v>0</v>
      </c>
      <c r="O77" s="294">
        <f t="shared" si="6"/>
        <v>0</v>
      </c>
      <c r="P77" s="294">
        <f t="shared" si="6"/>
        <v>0</v>
      </c>
      <c r="Q77" s="294">
        <f t="shared" si="6"/>
        <v>0</v>
      </c>
      <c r="R77" s="294">
        <f t="shared" si="6"/>
        <v>0</v>
      </c>
      <c r="S77" s="294">
        <f t="shared" si="6"/>
        <v>0</v>
      </c>
      <c r="T77" s="295">
        <f t="shared" si="6"/>
        <v>0</v>
      </c>
    </row>
    <row r="78" spans="2:20" x14ac:dyDescent="0.3">
      <c r="B78" s="193"/>
      <c r="D78" s="268"/>
      <c r="F78" s="296"/>
      <c r="G78" s="296"/>
      <c r="H78" s="296"/>
      <c r="I78" s="296"/>
      <c r="J78" s="296"/>
      <c r="K78" s="296"/>
      <c r="L78" s="296"/>
      <c r="M78" s="296"/>
      <c r="N78" s="296"/>
      <c r="O78" s="296"/>
      <c r="P78" s="296"/>
      <c r="Q78" s="296"/>
      <c r="R78" s="296"/>
      <c r="S78" s="296"/>
      <c r="T78" s="297"/>
    </row>
    <row r="79" spans="2:20" x14ac:dyDescent="0.3">
      <c r="B79" s="191" t="s">
        <v>55</v>
      </c>
      <c r="C79" s="239" t="s">
        <v>236</v>
      </c>
      <c r="D79" s="269"/>
      <c r="F79" s="296"/>
      <c r="G79" s="296"/>
      <c r="H79" s="296"/>
      <c r="I79" s="296"/>
      <c r="J79" s="296"/>
      <c r="K79" s="296"/>
      <c r="L79" s="296"/>
      <c r="M79" s="296"/>
      <c r="N79" s="296"/>
      <c r="O79" s="296"/>
      <c r="P79" s="296"/>
      <c r="Q79" s="296"/>
      <c r="R79" s="296"/>
      <c r="S79" s="296"/>
      <c r="T79" s="297"/>
    </row>
    <row r="80" spans="2:20" x14ac:dyDescent="0.3">
      <c r="B80" s="193" t="s">
        <v>56</v>
      </c>
      <c r="C80" s="240"/>
      <c r="D80" s="267">
        <f>C80*'Inputs and assumptions'!D23</f>
        <v>0</v>
      </c>
      <c r="F80" s="294">
        <f t="shared" ref="F80:T85" si="7">$D80*F$28</f>
        <v>0</v>
      </c>
      <c r="G80" s="294">
        <f t="shared" si="7"/>
        <v>0</v>
      </c>
      <c r="H80" s="294">
        <f t="shared" si="7"/>
        <v>0</v>
      </c>
      <c r="I80" s="294">
        <f t="shared" si="7"/>
        <v>0</v>
      </c>
      <c r="J80" s="294">
        <f t="shared" si="7"/>
        <v>0</v>
      </c>
      <c r="K80" s="294">
        <f t="shared" si="7"/>
        <v>0</v>
      </c>
      <c r="L80" s="294">
        <f t="shared" si="7"/>
        <v>0</v>
      </c>
      <c r="M80" s="294">
        <f t="shared" si="7"/>
        <v>0</v>
      </c>
      <c r="N80" s="294">
        <f t="shared" si="7"/>
        <v>0</v>
      </c>
      <c r="O80" s="294">
        <f t="shared" si="7"/>
        <v>0</v>
      </c>
      <c r="P80" s="294">
        <f t="shared" si="7"/>
        <v>0</v>
      </c>
      <c r="Q80" s="294">
        <f t="shared" si="7"/>
        <v>0</v>
      </c>
      <c r="R80" s="294">
        <f t="shared" si="7"/>
        <v>0</v>
      </c>
      <c r="S80" s="294">
        <f t="shared" si="7"/>
        <v>0</v>
      </c>
      <c r="T80" s="295">
        <f t="shared" si="7"/>
        <v>0</v>
      </c>
    </row>
    <row r="81" spans="2:20" x14ac:dyDescent="0.3">
      <c r="B81" s="193" t="s">
        <v>57</v>
      </c>
      <c r="C81" s="240"/>
      <c r="D81" s="267">
        <f>C81*'Inputs and assumptions'!D24</f>
        <v>0</v>
      </c>
      <c r="F81" s="294">
        <f t="shared" si="7"/>
        <v>0</v>
      </c>
      <c r="G81" s="294">
        <f t="shared" si="7"/>
        <v>0</v>
      </c>
      <c r="H81" s="294">
        <f t="shared" si="7"/>
        <v>0</v>
      </c>
      <c r="I81" s="294">
        <f t="shared" si="7"/>
        <v>0</v>
      </c>
      <c r="J81" s="294">
        <f t="shared" si="7"/>
        <v>0</v>
      </c>
      <c r="K81" s="294">
        <f t="shared" si="7"/>
        <v>0</v>
      </c>
      <c r="L81" s="294">
        <f t="shared" si="7"/>
        <v>0</v>
      </c>
      <c r="M81" s="294">
        <f t="shared" si="7"/>
        <v>0</v>
      </c>
      <c r="N81" s="294">
        <f t="shared" si="7"/>
        <v>0</v>
      </c>
      <c r="O81" s="294">
        <f t="shared" si="7"/>
        <v>0</v>
      </c>
      <c r="P81" s="294">
        <f t="shared" si="7"/>
        <v>0</v>
      </c>
      <c r="Q81" s="294">
        <f t="shared" si="7"/>
        <v>0</v>
      </c>
      <c r="R81" s="294">
        <f t="shared" si="7"/>
        <v>0</v>
      </c>
      <c r="S81" s="294">
        <f t="shared" si="7"/>
        <v>0</v>
      </c>
      <c r="T81" s="295">
        <f t="shared" si="7"/>
        <v>0</v>
      </c>
    </row>
    <row r="82" spans="2:20" x14ac:dyDescent="0.3">
      <c r="B82" s="193" t="s">
        <v>58</v>
      </c>
      <c r="C82" s="240">
        <v>1E-3</v>
      </c>
      <c r="D82" s="267">
        <f>C82*'Inputs and assumptions'!D25</f>
        <v>10492</v>
      </c>
      <c r="F82" s="294">
        <f t="shared" si="7"/>
        <v>0</v>
      </c>
      <c r="G82" s="294">
        <f t="shared" si="7"/>
        <v>10492</v>
      </c>
      <c r="H82" s="294">
        <f t="shared" si="7"/>
        <v>10492</v>
      </c>
      <c r="I82" s="294">
        <f t="shared" si="7"/>
        <v>10492</v>
      </c>
      <c r="J82" s="294">
        <f t="shared" si="7"/>
        <v>10492</v>
      </c>
      <c r="K82" s="294">
        <f t="shared" si="7"/>
        <v>10492</v>
      </c>
      <c r="L82" s="294">
        <f t="shared" si="7"/>
        <v>10492</v>
      </c>
      <c r="M82" s="294">
        <f t="shared" si="7"/>
        <v>10492</v>
      </c>
      <c r="N82" s="294">
        <f t="shared" si="7"/>
        <v>0</v>
      </c>
      <c r="O82" s="294">
        <f t="shared" si="7"/>
        <v>0</v>
      </c>
      <c r="P82" s="294">
        <f t="shared" si="7"/>
        <v>0</v>
      </c>
      <c r="Q82" s="294">
        <f t="shared" si="7"/>
        <v>0</v>
      </c>
      <c r="R82" s="294">
        <f t="shared" si="7"/>
        <v>0</v>
      </c>
      <c r="S82" s="294">
        <f t="shared" si="7"/>
        <v>0</v>
      </c>
      <c r="T82" s="295">
        <f t="shared" si="7"/>
        <v>0</v>
      </c>
    </row>
    <row r="83" spans="2:20" x14ac:dyDescent="0.3">
      <c r="B83" s="193" t="s">
        <v>59</v>
      </c>
      <c r="C83" s="240"/>
      <c r="D83" s="267">
        <f>C83*'Inputs and assumptions'!D26</f>
        <v>0</v>
      </c>
      <c r="F83" s="294">
        <f t="shared" si="7"/>
        <v>0</v>
      </c>
      <c r="G83" s="294">
        <f t="shared" si="7"/>
        <v>0</v>
      </c>
      <c r="H83" s="294">
        <f t="shared" si="7"/>
        <v>0</v>
      </c>
      <c r="I83" s="294">
        <f t="shared" si="7"/>
        <v>0</v>
      </c>
      <c r="J83" s="294">
        <f t="shared" si="7"/>
        <v>0</v>
      </c>
      <c r="K83" s="294">
        <f t="shared" si="7"/>
        <v>0</v>
      </c>
      <c r="L83" s="294">
        <f t="shared" si="7"/>
        <v>0</v>
      </c>
      <c r="M83" s="294">
        <f t="shared" si="7"/>
        <v>0</v>
      </c>
      <c r="N83" s="294">
        <f t="shared" si="7"/>
        <v>0</v>
      </c>
      <c r="O83" s="294">
        <f t="shared" si="7"/>
        <v>0</v>
      </c>
      <c r="P83" s="294">
        <f t="shared" si="7"/>
        <v>0</v>
      </c>
      <c r="Q83" s="294">
        <f t="shared" si="7"/>
        <v>0</v>
      </c>
      <c r="R83" s="294">
        <f t="shared" si="7"/>
        <v>0</v>
      </c>
      <c r="S83" s="294">
        <f t="shared" si="7"/>
        <v>0</v>
      </c>
      <c r="T83" s="295">
        <f t="shared" si="7"/>
        <v>0</v>
      </c>
    </row>
    <row r="84" spans="2:20" x14ac:dyDescent="0.3">
      <c r="B84" s="193" t="s">
        <v>60</v>
      </c>
      <c r="C84" s="240"/>
      <c r="D84" s="267">
        <f>C84*'Inputs and assumptions'!D27</f>
        <v>0</v>
      </c>
      <c r="F84" s="294">
        <f t="shared" si="7"/>
        <v>0</v>
      </c>
      <c r="G84" s="294">
        <f t="shared" si="7"/>
        <v>0</v>
      </c>
      <c r="H84" s="294">
        <f t="shared" si="7"/>
        <v>0</v>
      </c>
      <c r="I84" s="294">
        <f t="shared" si="7"/>
        <v>0</v>
      </c>
      <c r="J84" s="294">
        <f t="shared" si="7"/>
        <v>0</v>
      </c>
      <c r="K84" s="294">
        <f t="shared" si="7"/>
        <v>0</v>
      </c>
      <c r="L84" s="294">
        <f t="shared" si="7"/>
        <v>0</v>
      </c>
      <c r="M84" s="294">
        <f t="shared" si="7"/>
        <v>0</v>
      </c>
      <c r="N84" s="294">
        <f t="shared" si="7"/>
        <v>0</v>
      </c>
      <c r="O84" s="294">
        <f t="shared" si="7"/>
        <v>0</v>
      </c>
      <c r="P84" s="294">
        <f t="shared" si="7"/>
        <v>0</v>
      </c>
      <c r="Q84" s="294">
        <f t="shared" si="7"/>
        <v>0</v>
      </c>
      <c r="R84" s="294">
        <f t="shared" si="7"/>
        <v>0</v>
      </c>
      <c r="S84" s="294">
        <f t="shared" si="7"/>
        <v>0</v>
      </c>
      <c r="T84" s="295">
        <f t="shared" si="7"/>
        <v>0</v>
      </c>
    </row>
    <row r="85" spans="2:20" x14ac:dyDescent="0.3">
      <c r="B85" s="193" t="s">
        <v>61</v>
      </c>
      <c r="C85" s="240">
        <v>5.0000000000000001E-3</v>
      </c>
      <c r="D85" s="267">
        <f>C85*'Inputs and assumptions'!D28</f>
        <v>42500</v>
      </c>
      <c r="F85" s="294">
        <f t="shared" si="7"/>
        <v>0</v>
      </c>
      <c r="G85" s="294">
        <f t="shared" si="7"/>
        <v>42500</v>
      </c>
      <c r="H85" s="294">
        <f t="shared" si="7"/>
        <v>42500</v>
      </c>
      <c r="I85" s="294">
        <f t="shared" si="7"/>
        <v>42500</v>
      </c>
      <c r="J85" s="294">
        <f t="shared" si="7"/>
        <v>42500</v>
      </c>
      <c r="K85" s="294">
        <f t="shared" si="7"/>
        <v>42500</v>
      </c>
      <c r="L85" s="294">
        <f t="shared" si="7"/>
        <v>42500</v>
      </c>
      <c r="M85" s="294">
        <f t="shared" si="7"/>
        <v>42500</v>
      </c>
      <c r="N85" s="294">
        <f t="shared" si="7"/>
        <v>0</v>
      </c>
      <c r="O85" s="294">
        <f t="shared" si="7"/>
        <v>0</v>
      </c>
      <c r="P85" s="294">
        <f t="shared" si="7"/>
        <v>0</v>
      </c>
      <c r="Q85" s="294">
        <f t="shared" si="7"/>
        <v>0</v>
      </c>
      <c r="R85" s="294">
        <f t="shared" si="7"/>
        <v>0</v>
      </c>
      <c r="S85" s="294">
        <f t="shared" si="7"/>
        <v>0</v>
      </c>
      <c r="T85" s="295">
        <f t="shared" si="7"/>
        <v>0</v>
      </c>
    </row>
    <row r="86" spans="2:20" x14ac:dyDescent="0.3">
      <c r="B86" s="193"/>
      <c r="D86" s="268"/>
      <c r="F86" s="296"/>
      <c r="G86" s="296"/>
      <c r="H86" s="296"/>
      <c r="I86" s="296"/>
      <c r="J86" s="296"/>
      <c r="K86" s="296"/>
      <c r="L86" s="296"/>
      <c r="M86" s="296"/>
      <c r="N86" s="296"/>
      <c r="O86" s="296"/>
      <c r="P86" s="296"/>
      <c r="Q86" s="296"/>
      <c r="R86" s="296"/>
      <c r="S86" s="296"/>
      <c r="T86" s="297"/>
    </row>
    <row r="87" spans="2:20" x14ac:dyDescent="0.3">
      <c r="B87" s="191" t="s">
        <v>62</v>
      </c>
      <c r="C87" s="239" t="s">
        <v>236</v>
      </c>
      <c r="D87" s="269"/>
      <c r="F87" s="296"/>
      <c r="G87" s="296"/>
      <c r="H87" s="296"/>
      <c r="I87" s="296"/>
      <c r="J87" s="296"/>
      <c r="K87" s="296"/>
      <c r="L87" s="296"/>
      <c r="M87" s="296"/>
      <c r="N87" s="296"/>
      <c r="O87" s="296"/>
      <c r="P87" s="296"/>
      <c r="Q87" s="296"/>
      <c r="R87" s="296"/>
      <c r="S87" s="296"/>
      <c r="T87" s="297"/>
    </row>
    <row r="88" spans="2:20" x14ac:dyDescent="0.3">
      <c r="B88" s="193" t="s">
        <v>63</v>
      </c>
      <c r="C88" s="240"/>
      <c r="D88" s="267">
        <f>C88*'Inputs and assumptions'!D31</f>
        <v>0</v>
      </c>
      <c r="F88" s="294">
        <f t="shared" ref="F88:T89" si="8">$D88*F$28</f>
        <v>0</v>
      </c>
      <c r="G88" s="294">
        <f t="shared" si="8"/>
        <v>0</v>
      </c>
      <c r="H88" s="294">
        <f t="shared" si="8"/>
        <v>0</v>
      </c>
      <c r="I88" s="294">
        <f t="shared" si="8"/>
        <v>0</v>
      </c>
      <c r="J88" s="294">
        <f t="shared" si="8"/>
        <v>0</v>
      </c>
      <c r="K88" s="294">
        <f t="shared" si="8"/>
        <v>0</v>
      </c>
      <c r="L88" s="294">
        <f t="shared" si="8"/>
        <v>0</v>
      </c>
      <c r="M88" s="294">
        <f t="shared" si="8"/>
        <v>0</v>
      </c>
      <c r="N88" s="294">
        <f t="shared" si="8"/>
        <v>0</v>
      </c>
      <c r="O88" s="294">
        <f t="shared" si="8"/>
        <v>0</v>
      </c>
      <c r="P88" s="294">
        <f t="shared" si="8"/>
        <v>0</v>
      </c>
      <c r="Q88" s="294">
        <f t="shared" si="8"/>
        <v>0</v>
      </c>
      <c r="R88" s="294">
        <f t="shared" si="8"/>
        <v>0</v>
      </c>
      <c r="S88" s="294">
        <f t="shared" si="8"/>
        <v>0</v>
      </c>
      <c r="T88" s="295">
        <f t="shared" si="8"/>
        <v>0</v>
      </c>
    </row>
    <row r="89" spans="2:20" x14ac:dyDescent="0.3">
      <c r="B89" s="193" t="s">
        <v>64</v>
      </c>
      <c r="C89" s="240">
        <v>2.5000000000000001E-3</v>
      </c>
      <c r="D89" s="267">
        <f>C89*'Inputs and assumptions'!D32</f>
        <v>75000</v>
      </c>
      <c r="F89" s="294">
        <f t="shared" si="8"/>
        <v>0</v>
      </c>
      <c r="G89" s="294">
        <f t="shared" si="8"/>
        <v>75000</v>
      </c>
      <c r="H89" s="294">
        <f t="shared" si="8"/>
        <v>75000</v>
      </c>
      <c r="I89" s="294">
        <f t="shared" si="8"/>
        <v>75000</v>
      </c>
      <c r="J89" s="294">
        <f t="shared" si="8"/>
        <v>75000</v>
      </c>
      <c r="K89" s="294">
        <f t="shared" si="8"/>
        <v>75000</v>
      </c>
      <c r="L89" s="294">
        <f t="shared" si="8"/>
        <v>75000</v>
      </c>
      <c r="M89" s="294">
        <f t="shared" si="8"/>
        <v>75000</v>
      </c>
      <c r="N89" s="294">
        <f t="shared" si="8"/>
        <v>0</v>
      </c>
      <c r="O89" s="294">
        <f t="shared" si="8"/>
        <v>0</v>
      </c>
      <c r="P89" s="294">
        <f t="shared" si="8"/>
        <v>0</v>
      </c>
      <c r="Q89" s="294">
        <f t="shared" si="8"/>
        <v>0</v>
      </c>
      <c r="R89" s="294">
        <f t="shared" si="8"/>
        <v>0</v>
      </c>
      <c r="S89" s="294">
        <f t="shared" si="8"/>
        <v>0</v>
      </c>
      <c r="T89" s="295">
        <f t="shared" si="8"/>
        <v>0</v>
      </c>
    </row>
    <row r="90" spans="2:20" x14ac:dyDescent="0.3">
      <c r="B90" s="193"/>
      <c r="D90" s="268"/>
      <c r="F90" s="296"/>
      <c r="G90" s="296"/>
      <c r="H90" s="296"/>
      <c r="I90" s="296"/>
      <c r="J90" s="296"/>
      <c r="K90" s="296"/>
      <c r="L90" s="296"/>
      <c r="M90" s="296"/>
      <c r="N90" s="296"/>
      <c r="O90" s="296"/>
      <c r="P90" s="296"/>
      <c r="Q90" s="296"/>
      <c r="R90" s="296"/>
      <c r="S90" s="296"/>
      <c r="T90" s="297"/>
    </row>
    <row r="91" spans="2:20" x14ac:dyDescent="0.3">
      <c r="B91" s="191" t="s">
        <v>65</v>
      </c>
      <c r="C91" s="239" t="s">
        <v>236</v>
      </c>
      <c r="D91" s="269"/>
      <c r="F91" s="296"/>
      <c r="G91" s="296"/>
      <c r="H91" s="296"/>
      <c r="I91" s="296"/>
      <c r="J91" s="296"/>
      <c r="K91" s="296"/>
      <c r="L91" s="296"/>
      <c r="M91" s="296"/>
      <c r="N91" s="296"/>
      <c r="O91" s="296"/>
      <c r="P91" s="296"/>
      <c r="Q91" s="296"/>
      <c r="R91" s="296"/>
      <c r="S91" s="296"/>
      <c r="T91" s="297"/>
    </row>
    <row r="92" spans="2:20" x14ac:dyDescent="0.3">
      <c r="B92" s="193" t="s">
        <v>66</v>
      </c>
      <c r="C92" s="240">
        <v>8.9999999999999998E-4</v>
      </c>
      <c r="D92" s="267">
        <f>C92*'Inputs and assumptions'!D35</f>
        <v>113400</v>
      </c>
      <c r="F92" s="294">
        <f t="shared" ref="F92:T98" si="9">$D92*F$28</f>
        <v>0</v>
      </c>
      <c r="G92" s="294">
        <f t="shared" si="9"/>
        <v>113400</v>
      </c>
      <c r="H92" s="294">
        <f t="shared" si="9"/>
        <v>113400</v>
      </c>
      <c r="I92" s="294">
        <f t="shared" si="9"/>
        <v>113400</v>
      </c>
      <c r="J92" s="294">
        <f t="shared" si="9"/>
        <v>113400</v>
      </c>
      <c r="K92" s="294">
        <f t="shared" si="9"/>
        <v>113400</v>
      </c>
      <c r="L92" s="294">
        <f t="shared" si="9"/>
        <v>113400</v>
      </c>
      <c r="M92" s="294">
        <f t="shared" si="9"/>
        <v>113400</v>
      </c>
      <c r="N92" s="294">
        <f t="shared" si="9"/>
        <v>0</v>
      </c>
      <c r="O92" s="294">
        <f t="shared" si="9"/>
        <v>0</v>
      </c>
      <c r="P92" s="294">
        <f t="shared" si="9"/>
        <v>0</v>
      </c>
      <c r="Q92" s="294">
        <f t="shared" si="9"/>
        <v>0</v>
      </c>
      <c r="R92" s="294">
        <f t="shared" si="9"/>
        <v>0</v>
      </c>
      <c r="S92" s="294">
        <f t="shared" si="9"/>
        <v>0</v>
      </c>
      <c r="T92" s="295">
        <f t="shared" si="9"/>
        <v>0</v>
      </c>
    </row>
    <row r="93" spans="2:20" x14ac:dyDescent="0.3">
      <c r="B93" s="193" t="s">
        <v>67</v>
      </c>
      <c r="C93" s="240"/>
      <c r="D93" s="267">
        <f>C93*'Inputs and assumptions'!D36</f>
        <v>0</v>
      </c>
      <c r="F93" s="294">
        <f t="shared" si="9"/>
        <v>0</v>
      </c>
      <c r="G93" s="294">
        <f t="shared" si="9"/>
        <v>0</v>
      </c>
      <c r="H93" s="294">
        <f t="shared" si="9"/>
        <v>0</v>
      </c>
      <c r="I93" s="294">
        <f t="shared" si="9"/>
        <v>0</v>
      </c>
      <c r="J93" s="294">
        <f t="shared" si="9"/>
        <v>0</v>
      </c>
      <c r="K93" s="294">
        <f t="shared" si="9"/>
        <v>0</v>
      </c>
      <c r="L93" s="294">
        <f t="shared" si="9"/>
        <v>0</v>
      </c>
      <c r="M93" s="294">
        <f t="shared" si="9"/>
        <v>0</v>
      </c>
      <c r="N93" s="294">
        <f t="shared" si="9"/>
        <v>0</v>
      </c>
      <c r="O93" s="294">
        <f t="shared" si="9"/>
        <v>0</v>
      </c>
      <c r="P93" s="294">
        <f t="shared" si="9"/>
        <v>0</v>
      </c>
      <c r="Q93" s="294">
        <f t="shared" si="9"/>
        <v>0</v>
      </c>
      <c r="R93" s="294">
        <f t="shared" si="9"/>
        <v>0</v>
      </c>
      <c r="S93" s="294">
        <f t="shared" si="9"/>
        <v>0</v>
      </c>
      <c r="T93" s="295">
        <f t="shared" si="9"/>
        <v>0</v>
      </c>
    </row>
    <row r="94" spans="2:20" x14ac:dyDescent="0.3">
      <c r="B94" s="193" t="s">
        <v>68</v>
      </c>
      <c r="C94" s="240"/>
      <c r="D94" s="267">
        <f>C94*'Inputs and assumptions'!D37</f>
        <v>0</v>
      </c>
      <c r="F94" s="294">
        <f t="shared" si="9"/>
        <v>0</v>
      </c>
      <c r="G94" s="294">
        <f t="shared" si="9"/>
        <v>0</v>
      </c>
      <c r="H94" s="294">
        <f t="shared" si="9"/>
        <v>0</v>
      </c>
      <c r="I94" s="294">
        <f t="shared" si="9"/>
        <v>0</v>
      </c>
      <c r="J94" s="294">
        <f t="shared" si="9"/>
        <v>0</v>
      </c>
      <c r="K94" s="294">
        <f t="shared" si="9"/>
        <v>0</v>
      </c>
      <c r="L94" s="294">
        <f t="shared" si="9"/>
        <v>0</v>
      </c>
      <c r="M94" s="294">
        <f t="shared" si="9"/>
        <v>0</v>
      </c>
      <c r="N94" s="294">
        <f t="shared" si="9"/>
        <v>0</v>
      </c>
      <c r="O94" s="294">
        <f t="shared" si="9"/>
        <v>0</v>
      </c>
      <c r="P94" s="294">
        <f t="shared" si="9"/>
        <v>0</v>
      </c>
      <c r="Q94" s="294">
        <f t="shared" si="9"/>
        <v>0</v>
      </c>
      <c r="R94" s="294">
        <f t="shared" si="9"/>
        <v>0</v>
      </c>
      <c r="S94" s="294">
        <f t="shared" si="9"/>
        <v>0</v>
      </c>
      <c r="T94" s="295">
        <f t="shared" si="9"/>
        <v>0</v>
      </c>
    </row>
    <row r="95" spans="2:20" x14ac:dyDescent="0.3">
      <c r="B95" s="193" t="s">
        <v>69</v>
      </c>
      <c r="C95" s="240"/>
      <c r="D95" s="267">
        <f>C95*'Inputs and assumptions'!D38</f>
        <v>0</v>
      </c>
      <c r="F95" s="294">
        <f t="shared" si="9"/>
        <v>0</v>
      </c>
      <c r="G95" s="294">
        <f t="shared" si="9"/>
        <v>0</v>
      </c>
      <c r="H95" s="294">
        <f t="shared" si="9"/>
        <v>0</v>
      </c>
      <c r="I95" s="294">
        <f t="shared" si="9"/>
        <v>0</v>
      </c>
      <c r="J95" s="294">
        <f t="shared" si="9"/>
        <v>0</v>
      </c>
      <c r="K95" s="294">
        <f t="shared" si="9"/>
        <v>0</v>
      </c>
      <c r="L95" s="294">
        <f t="shared" si="9"/>
        <v>0</v>
      </c>
      <c r="M95" s="294">
        <f t="shared" si="9"/>
        <v>0</v>
      </c>
      <c r="N95" s="294">
        <f t="shared" si="9"/>
        <v>0</v>
      </c>
      <c r="O95" s="294">
        <f t="shared" si="9"/>
        <v>0</v>
      </c>
      <c r="P95" s="294">
        <f t="shared" si="9"/>
        <v>0</v>
      </c>
      <c r="Q95" s="294">
        <f t="shared" si="9"/>
        <v>0</v>
      </c>
      <c r="R95" s="294">
        <f t="shared" si="9"/>
        <v>0</v>
      </c>
      <c r="S95" s="294">
        <f t="shared" si="9"/>
        <v>0</v>
      </c>
      <c r="T95" s="295">
        <f t="shared" si="9"/>
        <v>0</v>
      </c>
    </row>
    <row r="96" spans="2:20" x14ac:dyDescent="0.3">
      <c r="B96" s="193" t="s">
        <v>70</v>
      </c>
      <c r="C96" s="240"/>
      <c r="D96" s="267">
        <f>C96*'Inputs and assumptions'!D39</f>
        <v>0</v>
      </c>
      <c r="F96" s="294">
        <f t="shared" si="9"/>
        <v>0</v>
      </c>
      <c r="G96" s="294">
        <f t="shared" si="9"/>
        <v>0</v>
      </c>
      <c r="H96" s="294">
        <f t="shared" si="9"/>
        <v>0</v>
      </c>
      <c r="I96" s="294">
        <f t="shared" si="9"/>
        <v>0</v>
      </c>
      <c r="J96" s="294">
        <f t="shared" si="9"/>
        <v>0</v>
      </c>
      <c r="K96" s="294">
        <f t="shared" si="9"/>
        <v>0</v>
      </c>
      <c r="L96" s="294">
        <f t="shared" si="9"/>
        <v>0</v>
      </c>
      <c r="M96" s="294">
        <f t="shared" si="9"/>
        <v>0</v>
      </c>
      <c r="N96" s="294">
        <f t="shared" si="9"/>
        <v>0</v>
      </c>
      <c r="O96" s="294">
        <f t="shared" si="9"/>
        <v>0</v>
      </c>
      <c r="P96" s="294">
        <f t="shared" si="9"/>
        <v>0</v>
      </c>
      <c r="Q96" s="294">
        <f t="shared" si="9"/>
        <v>0</v>
      </c>
      <c r="R96" s="294">
        <f t="shared" si="9"/>
        <v>0</v>
      </c>
      <c r="S96" s="294">
        <f t="shared" si="9"/>
        <v>0</v>
      </c>
      <c r="T96" s="295">
        <f t="shared" si="9"/>
        <v>0</v>
      </c>
    </row>
    <row r="97" spans="2:20" x14ac:dyDescent="0.3">
      <c r="B97" s="193" t="s">
        <v>71</v>
      </c>
      <c r="C97" s="240"/>
      <c r="D97" s="267">
        <f>C97*'Inputs and assumptions'!D40</f>
        <v>0</v>
      </c>
      <c r="F97" s="294">
        <f t="shared" si="9"/>
        <v>0</v>
      </c>
      <c r="G97" s="294">
        <f t="shared" si="9"/>
        <v>0</v>
      </c>
      <c r="H97" s="294">
        <f t="shared" si="9"/>
        <v>0</v>
      </c>
      <c r="I97" s="294">
        <f t="shared" si="9"/>
        <v>0</v>
      </c>
      <c r="J97" s="294">
        <f t="shared" si="9"/>
        <v>0</v>
      </c>
      <c r="K97" s="294">
        <f t="shared" si="9"/>
        <v>0</v>
      </c>
      <c r="L97" s="294">
        <f t="shared" si="9"/>
        <v>0</v>
      </c>
      <c r="M97" s="294">
        <f t="shared" si="9"/>
        <v>0</v>
      </c>
      <c r="N97" s="294">
        <f t="shared" si="9"/>
        <v>0</v>
      </c>
      <c r="O97" s="294">
        <f t="shared" si="9"/>
        <v>0</v>
      </c>
      <c r="P97" s="294">
        <f t="shared" si="9"/>
        <v>0</v>
      </c>
      <c r="Q97" s="294">
        <f t="shared" si="9"/>
        <v>0</v>
      </c>
      <c r="R97" s="294">
        <f t="shared" si="9"/>
        <v>0</v>
      </c>
      <c r="S97" s="294">
        <f t="shared" si="9"/>
        <v>0</v>
      </c>
      <c r="T97" s="295">
        <f t="shared" si="9"/>
        <v>0</v>
      </c>
    </row>
    <row r="98" spans="2:20" ht="13.5" thickBot="1" x14ac:dyDescent="0.35">
      <c r="B98" s="194" t="s">
        <v>72</v>
      </c>
      <c r="C98" s="254"/>
      <c r="D98" s="270">
        <f>C98*'Inputs and assumptions'!D41</f>
        <v>0</v>
      </c>
      <c r="E98" s="195"/>
      <c r="F98" s="300">
        <f t="shared" si="9"/>
        <v>0</v>
      </c>
      <c r="G98" s="300">
        <f t="shared" si="9"/>
        <v>0</v>
      </c>
      <c r="H98" s="300">
        <f t="shared" si="9"/>
        <v>0</v>
      </c>
      <c r="I98" s="300">
        <f t="shared" si="9"/>
        <v>0</v>
      </c>
      <c r="J98" s="300">
        <f t="shared" si="9"/>
        <v>0</v>
      </c>
      <c r="K98" s="300">
        <f t="shared" si="9"/>
        <v>0</v>
      </c>
      <c r="L98" s="300">
        <f t="shared" si="9"/>
        <v>0</v>
      </c>
      <c r="M98" s="300">
        <f t="shared" si="9"/>
        <v>0</v>
      </c>
      <c r="N98" s="300">
        <f t="shared" si="9"/>
        <v>0</v>
      </c>
      <c r="O98" s="300">
        <f t="shared" si="9"/>
        <v>0</v>
      </c>
      <c r="P98" s="300">
        <f t="shared" si="9"/>
        <v>0</v>
      </c>
      <c r="Q98" s="300">
        <f t="shared" si="9"/>
        <v>0</v>
      </c>
      <c r="R98" s="300">
        <f t="shared" si="9"/>
        <v>0</v>
      </c>
      <c r="S98" s="300">
        <f t="shared" si="9"/>
        <v>0</v>
      </c>
      <c r="T98" s="301">
        <f t="shared" si="9"/>
        <v>0</v>
      </c>
    </row>
    <row r="99" spans="2:20" ht="13.5" thickBot="1" x14ac:dyDescent="0.35"/>
    <row r="100" spans="2:20" ht="15" thickBot="1" x14ac:dyDescent="0.35">
      <c r="B100" s="583" t="s">
        <v>74</v>
      </c>
      <c r="C100" s="583"/>
      <c r="D100" s="583"/>
      <c r="E100" s="263" t="str">
        <f>E43</f>
        <v>Overall</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264"/>
      <c r="E102" s="112"/>
      <c r="F102" s="140">
        <f t="shared" ref="F102:T102" si="10">$D$102*F27</f>
        <v>0</v>
      </c>
      <c r="G102" s="140">
        <f t="shared" si="10"/>
        <v>0</v>
      </c>
      <c r="H102" s="140">
        <f t="shared" si="10"/>
        <v>0</v>
      </c>
      <c r="I102" s="140">
        <f t="shared" si="10"/>
        <v>0</v>
      </c>
      <c r="J102" s="140">
        <f t="shared" si="10"/>
        <v>0</v>
      </c>
      <c r="K102" s="140">
        <f t="shared" si="10"/>
        <v>0</v>
      </c>
      <c r="L102" s="140">
        <f t="shared" si="10"/>
        <v>0</v>
      </c>
      <c r="M102" s="140">
        <f t="shared" si="10"/>
        <v>0</v>
      </c>
      <c r="N102" s="140">
        <f t="shared" si="10"/>
        <v>0</v>
      </c>
      <c r="O102" s="140">
        <f t="shared" si="10"/>
        <v>0</v>
      </c>
      <c r="P102" s="140">
        <f t="shared" si="10"/>
        <v>0</v>
      </c>
      <c r="Q102" s="140">
        <f t="shared" si="10"/>
        <v>0</v>
      </c>
      <c r="R102" s="140">
        <f t="shared" si="10"/>
        <v>0</v>
      </c>
      <c r="S102" s="140">
        <f t="shared" si="10"/>
        <v>0</v>
      </c>
      <c r="T102" s="141">
        <f t="shared" si="10"/>
        <v>0</v>
      </c>
    </row>
    <row r="103" spans="2:20" x14ac:dyDescent="0.3">
      <c r="B103" s="123" t="s">
        <v>77</v>
      </c>
      <c r="C103" s="112"/>
      <c r="D103" s="264"/>
      <c r="E103" s="112"/>
      <c r="F103" s="140">
        <f>$D103*SUM($E$27:F$27)</f>
        <v>0</v>
      </c>
      <c r="G103" s="140">
        <f>$D103*SUM($E$27:G$27)</f>
        <v>0</v>
      </c>
      <c r="H103" s="140">
        <f>$D103*SUM($E$27:H$27)</f>
        <v>0</v>
      </c>
      <c r="I103" s="140">
        <f>$D103*SUM($E$27:I$27)</f>
        <v>0</v>
      </c>
      <c r="J103" s="140">
        <f>$D103*SUM($E$27:J$27)</f>
        <v>0</v>
      </c>
      <c r="K103" s="140">
        <f>$D103*SUM($E$27:K$27)</f>
        <v>0</v>
      </c>
      <c r="L103" s="140">
        <f>$D103*SUM($E$27:L$27)</f>
        <v>0</v>
      </c>
      <c r="M103" s="140">
        <f>$D103*SUM($E$27:M$27)</f>
        <v>0</v>
      </c>
      <c r="N103" s="140">
        <f>$D103*SUM($E$27:N$27)</f>
        <v>0</v>
      </c>
      <c r="O103" s="140">
        <f>$D103*SUM($E$27:O$27)</f>
        <v>0</v>
      </c>
      <c r="P103" s="140">
        <f>$D103*SUM($E$27:P$27)</f>
        <v>0</v>
      </c>
      <c r="Q103" s="140">
        <f>$D103*SUM($E$27:Q$27)</f>
        <v>0</v>
      </c>
      <c r="R103" s="140">
        <f>$D103*SUM($E$27:R$27)</f>
        <v>0</v>
      </c>
      <c r="S103" s="140">
        <f>$D103*SUM($E$27:S$27)</f>
        <v>0</v>
      </c>
      <c r="T103" s="141">
        <f>$D103*SUM($E$27:T$27)</f>
        <v>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294">
        <f>$E$111*F$29</f>
        <v>760000</v>
      </c>
      <c r="G107" s="294">
        <f>$E$111*G$29</f>
        <v>190000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10000</v>
      </c>
      <c r="H108" s="175">
        <v>10000</v>
      </c>
      <c r="I108" s="175">
        <v>10000</v>
      </c>
      <c r="J108" s="175">
        <v>10000</v>
      </c>
      <c r="K108" s="175">
        <v>10000</v>
      </c>
      <c r="L108" s="175">
        <v>10000</v>
      </c>
      <c r="M108" s="175">
        <v>10000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950000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240</v>
      </c>
      <c r="C113" s="588"/>
      <c r="D113" s="588"/>
      <c r="E113" s="589"/>
      <c r="F113" s="181"/>
      <c r="G113" s="181"/>
      <c r="H113" s="181"/>
      <c r="I113" s="181"/>
      <c r="J113" s="181"/>
      <c r="K113" s="181"/>
      <c r="L113" s="181"/>
      <c r="M113" s="181"/>
      <c r="N113" s="181"/>
      <c r="O113" s="181"/>
      <c r="P113" s="181"/>
      <c r="Q113" s="181"/>
      <c r="R113" s="181"/>
      <c r="S113" s="181"/>
      <c r="T113" s="181"/>
    </row>
    <row r="114" spans="2:20" ht="15" customHeight="1" x14ac:dyDescent="0.3">
      <c r="B114" s="590"/>
      <c r="C114" s="586"/>
      <c r="D114" s="586"/>
      <c r="E114" s="591"/>
      <c r="F114" s="181"/>
      <c r="G114" s="181"/>
      <c r="H114" s="181"/>
      <c r="I114" s="181"/>
      <c r="J114" s="181"/>
      <c r="K114" s="181"/>
      <c r="L114" s="181"/>
      <c r="M114" s="181"/>
      <c r="N114" s="181"/>
      <c r="O114" s="181"/>
      <c r="P114" s="181"/>
      <c r="Q114" s="181"/>
      <c r="R114" s="181"/>
      <c r="S114" s="181"/>
      <c r="T114" s="181"/>
    </row>
    <row r="115" spans="2:20" ht="15" customHeight="1" x14ac:dyDescent="0.3">
      <c r="B115" s="590"/>
      <c r="C115" s="586"/>
      <c r="D115" s="586"/>
      <c r="E115" s="591"/>
      <c r="F115" s="181"/>
      <c r="G115" s="181"/>
      <c r="H115" s="181"/>
      <c r="I115" s="181"/>
      <c r="J115" s="181"/>
      <c r="K115" s="181"/>
      <c r="L115" s="181"/>
      <c r="M115" s="181"/>
      <c r="N115" s="181"/>
      <c r="O115" s="181"/>
      <c r="P115" s="181"/>
      <c r="Q115" s="181"/>
      <c r="R115" s="181"/>
      <c r="S115" s="181"/>
      <c r="T115" s="181"/>
    </row>
    <row r="116" spans="2:20" ht="15" customHeight="1" x14ac:dyDescent="0.3">
      <c r="B116" s="590"/>
      <c r="C116" s="586"/>
      <c r="D116" s="586"/>
      <c r="E116" s="591"/>
      <c r="F116" s="181"/>
      <c r="G116" s="181"/>
      <c r="H116" s="181"/>
      <c r="I116" s="181"/>
      <c r="J116" s="181"/>
      <c r="K116" s="181"/>
      <c r="L116" s="181"/>
      <c r="M116" s="181"/>
      <c r="N116" s="181"/>
      <c r="O116" s="181"/>
      <c r="P116" s="181"/>
      <c r="Q116" s="181"/>
      <c r="R116" s="181"/>
      <c r="S116" s="181"/>
      <c r="T116" s="181"/>
    </row>
    <row r="117" spans="2:20" ht="15" customHeight="1" x14ac:dyDescent="0.3">
      <c r="B117" s="590"/>
      <c r="C117" s="586"/>
      <c r="D117" s="586"/>
      <c r="E117" s="591"/>
      <c r="F117" s="181"/>
      <c r="G117" s="181"/>
      <c r="H117" s="181"/>
      <c r="I117" s="181"/>
      <c r="J117" s="181"/>
      <c r="K117" s="181"/>
      <c r="L117" s="181"/>
      <c r="M117" s="181"/>
      <c r="N117" s="181"/>
      <c r="O117" s="181"/>
      <c r="P117" s="181"/>
      <c r="Q117" s="181"/>
      <c r="R117" s="181"/>
      <c r="S117" s="181"/>
      <c r="T117" s="181"/>
    </row>
    <row r="118" spans="2:20" ht="15" customHeight="1" x14ac:dyDescent="0.3">
      <c r="B118" s="590"/>
      <c r="C118" s="586"/>
      <c r="D118" s="586"/>
      <c r="E118" s="591"/>
      <c r="F118" s="181"/>
      <c r="G118" s="181"/>
      <c r="H118" s="181"/>
      <c r="I118" s="181"/>
      <c r="J118" s="181"/>
      <c r="K118" s="181"/>
      <c r="L118" s="181"/>
      <c r="M118" s="181"/>
      <c r="N118" s="181"/>
      <c r="O118" s="181"/>
      <c r="P118" s="181"/>
      <c r="Q118" s="181"/>
      <c r="R118" s="181"/>
      <c r="S118" s="181"/>
      <c r="T118" s="181"/>
    </row>
    <row r="119" spans="2:20" ht="15" customHeight="1" x14ac:dyDescent="0.3">
      <c r="B119" s="590"/>
      <c r="C119" s="586"/>
      <c r="D119" s="586"/>
      <c r="E119" s="591"/>
      <c r="F119" s="181"/>
      <c r="G119" s="181"/>
      <c r="H119" s="181"/>
      <c r="I119" s="181"/>
      <c r="J119" s="181"/>
      <c r="K119" s="181"/>
      <c r="L119" s="181"/>
      <c r="M119" s="181"/>
      <c r="N119" s="181"/>
      <c r="O119" s="181"/>
      <c r="P119" s="181"/>
      <c r="Q119" s="181"/>
      <c r="R119" s="181"/>
      <c r="S119" s="181"/>
      <c r="T119" s="181"/>
    </row>
    <row r="120" spans="2:20" ht="15" customHeight="1" x14ac:dyDescent="0.3">
      <c r="B120" s="590"/>
      <c r="C120" s="586"/>
      <c r="D120" s="586"/>
      <c r="E120" s="591"/>
      <c r="F120" s="181"/>
      <c r="G120" s="181"/>
      <c r="H120" s="181"/>
      <c r="I120" s="181"/>
      <c r="J120" s="181"/>
      <c r="K120" s="181"/>
      <c r="L120" s="181"/>
      <c r="M120" s="181"/>
      <c r="N120" s="181"/>
      <c r="O120" s="181"/>
      <c r="P120" s="181"/>
      <c r="Q120" s="181"/>
      <c r="R120" s="181"/>
      <c r="S120" s="181"/>
      <c r="T120" s="181"/>
    </row>
    <row r="121" spans="2:20" ht="15" customHeight="1" x14ac:dyDescent="0.3">
      <c r="B121" s="590"/>
      <c r="C121" s="586"/>
      <c r="D121" s="586"/>
      <c r="E121" s="591"/>
      <c r="F121" s="181"/>
      <c r="G121" s="181"/>
      <c r="H121" s="181"/>
      <c r="I121" s="181"/>
      <c r="J121" s="181"/>
      <c r="K121" s="181"/>
      <c r="L121" s="181"/>
      <c r="M121" s="181"/>
      <c r="N121" s="181"/>
      <c r="O121" s="181"/>
      <c r="P121" s="181"/>
      <c r="Q121" s="181"/>
      <c r="R121" s="181"/>
      <c r="S121" s="181"/>
      <c r="T121" s="181"/>
    </row>
    <row r="122" spans="2:20" ht="15.75" customHeight="1" thickBot="1" x14ac:dyDescent="0.35">
      <c r="B122" s="592"/>
      <c r="C122" s="593"/>
      <c r="D122" s="593"/>
      <c r="E122" s="594"/>
      <c r="F122" s="181"/>
      <c r="G122" s="181"/>
      <c r="H122" s="181"/>
      <c r="I122" s="181"/>
      <c r="J122" s="181"/>
      <c r="K122" s="181"/>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B4D052AE-45FA-4F18-B80E-C14E841BBD81}">
          <x14:formula1>
            <xm:f>'Inputs and assumptions'!$J$17:$J$18</xm:f>
          </x14:formula1>
          <xm:sqref>E43</xm:sqref>
        </x14:dataValidation>
        <x14:dataValidation type="list" allowBlank="1" showInputMessage="1" showErrorMessage="1" xr:uid="{A9BEBF5C-95A5-48F6-87E5-C9E9378052CB}">
          <x14:formula1>
            <xm:f>'Inputs and assumptions'!$H$27:$H$29</xm:f>
          </x14:formula1>
          <xm:sqref>E11</xm:sqref>
        </x14:dataValidation>
        <x14:dataValidation type="list" allowBlank="1" showInputMessage="1" showErrorMessage="1" xr:uid="{0DAC1075-4D00-47D0-8882-54B7B35700E8}">
          <x14:formula1>
            <xm:f>'Inputs and assumptions'!$H$23:$H$24</xm:f>
          </x14:formula1>
          <xm:sqref>E10</xm:sqref>
        </x14:dataValidation>
        <x14:dataValidation type="list" allowBlank="1" showInputMessage="1" showErrorMessage="1" xr:uid="{D9A37EA7-F1C7-4876-AEE0-6A8BB84047DD}">
          <x14:formula1>
            <xm:f>'Inputs and assumptions'!$G$16:$G$20</xm:f>
          </x14:formula1>
          <xm:sqref>E7</xm:sqref>
        </x14:dataValidation>
        <x14:dataValidation type="list" allowBlank="1" showInputMessage="1" showErrorMessage="1" xr:uid="{9E60D14C-823E-4D2B-998A-851D0FC02157}">
          <x14:formula1>
            <xm:f>'Inputs and assumptions'!$H$16:$H$20</xm:f>
          </x14:formula1>
          <xm:sqref>E8</xm:sqref>
        </x14:dataValidation>
        <x14:dataValidation type="list" allowBlank="1" showInputMessage="1" showErrorMessage="1" xr:uid="{DEB2EA53-186A-41CC-ACBB-F403321FD44F}">
          <x14:formula1>
            <xm:f>'Inputs and assumptions'!$H$31:$H$34</xm:f>
          </x14:formula1>
          <xm:sqref>E12</xm:sqref>
        </x14:dataValidation>
        <x14:dataValidation type="list" allowBlank="1" showInputMessage="1" showErrorMessage="1" xr:uid="{2EC6BAE5-3D1E-4B31-B4E1-8E7DF557B770}">
          <x14:formula1>
            <xm:f>'Inputs and assumptions'!$H$36:$H$40</xm:f>
          </x14:formula1>
          <xm:sqref>E13</xm:sqref>
        </x14:dataValidation>
        <x14:dataValidation type="list" allowBlank="1" showInputMessage="1" showErrorMessage="1" xr:uid="{77B80529-4978-4247-85D3-D5366BE5855F}">
          <x14:formula1>
            <xm:f>'Inputs and assumptions'!$J$21:$J$24</xm:f>
          </x14:formula1>
          <xm:sqref>E14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B15A-DE60-4950-9FBE-E189182EA470}">
  <sheetPr>
    <tabColor rgb="FF002060"/>
    <pageSetUpPr fitToPage="1"/>
  </sheetPr>
  <dimension ref="A1:W122"/>
  <sheetViews>
    <sheetView showGridLines="0" zoomScale="85" zoomScaleNormal="85" workbookViewId="0"/>
  </sheetViews>
  <sheetFormatPr defaultColWidth="8.81640625" defaultRowHeight="13" x14ac:dyDescent="0.3"/>
  <cols>
    <col min="1" max="1" width="1.1796875" style="109" customWidth="1"/>
    <col min="2" max="2" width="50.81640625" style="109" customWidth="1"/>
    <col min="3" max="4" width="12" style="109" customWidth="1"/>
    <col min="5" max="5" width="31.453125" style="109" customWidth="1"/>
    <col min="6" max="20" width="11.453125" style="109" customWidth="1"/>
    <col min="21" max="21" width="6" style="109" bestFit="1" customWidth="1"/>
    <col min="22" max="22" width="6.81640625" style="109" bestFit="1" customWidth="1"/>
    <col min="23" max="23" width="5.54296875" style="109" bestFit="1" customWidth="1"/>
    <col min="24" max="16384" width="8.81640625" style="109"/>
  </cols>
  <sheetData>
    <row r="1" spans="1:23" ht="55.5" customHeight="1" x14ac:dyDescent="0.3">
      <c r="A1" s="118"/>
    </row>
    <row r="2" spans="1:23" s="114" customFormat="1" ht="24" customHeight="1" x14ac:dyDescent="0.35">
      <c r="B2" s="183" t="s">
        <v>241</v>
      </c>
      <c r="C2" s="183"/>
      <c r="D2" s="116"/>
      <c r="E2" s="116"/>
      <c r="F2" s="116"/>
      <c r="G2" s="116"/>
      <c r="H2" s="116"/>
      <c r="I2" s="116"/>
      <c r="J2" s="116"/>
      <c r="K2" s="116"/>
      <c r="L2" s="116"/>
      <c r="M2" s="116"/>
      <c r="N2" s="116"/>
      <c r="O2" s="116"/>
      <c r="P2" s="116"/>
      <c r="Q2" s="116"/>
      <c r="R2" s="116"/>
      <c r="S2" s="116"/>
      <c r="T2" s="116"/>
      <c r="U2" s="163"/>
      <c r="V2" s="163"/>
      <c r="W2" s="163"/>
    </row>
    <row r="3" spans="1:23" s="169" customFormat="1" ht="15" customHeight="1" x14ac:dyDescent="0.35">
      <c r="B3" s="146" t="s">
        <v>0</v>
      </c>
      <c r="C3" s="146"/>
      <c r="D3" s="146"/>
      <c r="E3" s="256" t="s">
        <v>170</v>
      </c>
      <c r="F3" s="171"/>
      <c r="G3" s="171"/>
      <c r="H3" s="171"/>
      <c r="I3" s="171"/>
      <c r="J3" s="171"/>
      <c r="K3" s="171"/>
      <c r="L3" s="171"/>
      <c r="M3" s="171"/>
      <c r="N3" s="171"/>
      <c r="O3" s="171"/>
      <c r="P3" s="171"/>
      <c r="Q3" s="171"/>
      <c r="R3" s="171"/>
      <c r="S3" s="171"/>
      <c r="T3" s="171"/>
    </row>
    <row r="4" spans="1:23" ht="12.75" customHeight="1" x14ac:dyDescent="0.3">
      <c r="D4" s="112"/>
      <c r="E4" s="112"/>
      <c r="F4" s="112"/>
      <c r="G4" s="112"/>
      <c r="H4" s="112"/>
      <c r="I4" s="112"/>
      <c r="J4" s="112"/>
      <c r="K4" s="112"/>
      <c r="L4" s="112"/>
      <c r="M4" s="112"/>
      <c r="N4" s="112"/>
      <c r="O4" s="112"/>
      <c r="P4" s="112"/>
      <c r="Q4" s="112"/>
      <c r="R4" s="112"/>
      <c r="S4" s="112"/>
      <c r="T4" s="112"/>
    </row>
    <row r="6" spans="1:23" ht="16" thickBot="1" x14ac:dyDescent="0.35">
      <c r="B6" s="115" t="s">
        <v>8</v>
      </c>
      <c r="C6" s="115"/>
      <c r="D6" s="115"/>
      <c r="G6" s="115" t="s">
        <v>1</v>
      </c>
      <c r="H6" s="115"/>
      <c r="I6" s="115"/>
      <c r="J6" s="115"/>
    </row>
    <row r="7" spans="1:23" s="170" customFormat="1" ht="15.75" customHeight="1" x14ac:dyDescent="0.35">
      <c r="B7" s="324" t="s">
        <v>2</v>
      </c>
      <c r="C7" s="325"/>
      <c r="D7" s="326"/>
      <c r="E7" s="327" t="s">
        <v>128</v>
      </c>
      <c r="G7" s="586" t="s">
        <v>242</v>
      </c>
      <c r="H7" s="586"/>
      <c r="I7" s="586"/>
      <c r="J7" s="586"/>
      <c r="K7" s="586"/>
      <c r="L7" s="586"/>
      <c r="M7" s="586"/>
      <c r="N7" s="586"/>
      <c r="O7" s="586"/>
      <c r="P7" s="586"/>
      <c r="Q7" s="586"/>
      <c r="R7" s="586"/>
      <c r="S7" s="586"/>
      <c r="T7" s="586"/>
    </row>
    <row r="8" spans="1:23" s="170" customFormat="1" ht="15.75" customHeight="1" x14ac:dyDescent="0.35">
      <c r="B8" s="328" t="s">
        <v>3</v>
      </c>
      <c r="C8" s="230"/>
      <c r="E8" s="329" t="s">
        <v>129</v>
      </c>
      <c r="G8" s="586"/>
      <c r="H8" s="586"/>
      <c r="I8" s="586"/>
      <c r="J8" s="586"/>
      <c r="K8" s="586"/>
      <c r="L8" s="586"/>
      <c r="M8" s="586"/>
      <c r="N8" s="586"/>
      <c r="O8" s="586"/>
      <c r="P8" s="586"/>
      <c r="Q8" s="586"/>
      <c r="R8" s="586"/>
      <c r="S8" s="586"/>
      <c r="T8" s="586"/>
    </row>
    <row r="9" spans="1:23" s="170" customFormat="1" ht="15.75" customHeight="1" x14ac:dyDescent="0.35">
      <c r="B9" s="328" t="s">
        <v>4</v>
      </c>
      <c r="C9" s="230"/>
      <c r="E9" s="330" t="s">
        <v>243</v>
      </c>
      <c r="G9" s="586"/>
      <c r="H9" s="586"/>
      <c r="I9" s="586"/>
      <c r="J9" s="586"/>
      <c r="K9" s="586"/>
      <c r="L9" s="586"/>
      <c r="M9" s="586"/>
      <c r="N9" s="586"/>
      <c r="O9" s="586"/>
      <c r="P9" s="586"/>
      <c r="Q9" s="586"/>
      <c r="R9" s="586"/>
      <c r="S9" s="586"/>
      <c r="T9" s="586"/>
    </row>
    <row r="10" spans="1:23" s="170" customFormat="1" ht="15.75" customHeight="1" x14ac:dyDescent="0.35">
      <c r="B10" s="328" t="s">
        <v>6</v>
      </c>
      <c r="C10" s="230"/>
      <c r="E10" s="330" t="s">
        <v>134</v>
      </c>
      <c r="G10" s="586"/>
      <c r="H10" s="586"/>
      <c r="I10" s="586"/>
      <c r="J10" s="586"/>
      <c r="K10" s="586"/>
      <c r="L10" s="586"/>
      <c r="M10" s="586"/>
      <c r="N10" s="586"/>
      <c r="O10" s="586"/>
      <c r="P10" s="586"/>
      <c r="Q10" s="586"/>
      <c r="R10" s="586"/>
      <c r="S10" s="586"/>
      <c r="T10" s="586"/>
    </row>
    <row r="11" spans="1:23" s="170" customFormat="1" ht="15.75" customHeight="1" x14ac:dyDescent="0.35">
      <c r="B11" s="328" t="s">
        <v>7</v>
      </c>
      <c r="C11" s="230"/>
      <c r="E11" s="330" t="s">
        <v>143</v>
      </c>
      <c r="G11" s="586"/>
      <c r="H11" s="586"/>
      <c r="I11" s="586"/>
      <c r="J11" s="586"/>
      <c r="K11" s="586"/>
      <c r="L11" s="586"/>
      <c r="M11" s="586"/>
      <c r="N11" s="586"/>
      <c r="O11" s="586"/>
      <c r="P11" s="586"/>
      <c r="Q11" s="586"/>
      <c r="R11" s="586"/>
      <c r="S11" s="586"/>
      <c r="T11" s="586"/>
    </row>
    <row r="12" spans="1:23" x14ac:dyDescent="0.3">
      <c r="B12" s="331" t="s">
        <v>9</v>
      </c>
      <c r="C12" s="231"/>
      <c r="D12" s="114"/>
      <c r="E12" s="330" t="s">
        <v>149</v>
      </c>
      <c r="G12" s="586"/>
      <c r="H12" s="586"/>
      <c r="I12" s="586"/>
      <c r="J12" s="586"/>
      <c r="K12" s="586"/>
      <c r="L12" s="586"/>
      <c r="M12" s="586"/>
      <c r="N12" s="586"/>
      <c r="O12" s="586"/>
      <c r="P12" s="586"/>
      <c r="Q12" s="586"/>
      <c r="R12" s="586"/>
      <c r="S12" s="586"/>
      <c r="T12" s="586"/>
    </row>
    <row r="13" spans="1:23" x14ac:dyDescent="0.3">
      <c r="B13" s="331" t="s">
        <v>10</v>
      </c>
      <c r="C13" s="231"/>
      <c r="D13" s="114"/>
      <c r="E13" s="330" t="s">
        <v>160</v>
      </c>
      <c r="G13" s="586"/>
      <c r="H13" s="586"/>
      <c r="I13" s="586"/>
      <c r="J13" s="586"/>
      <c r="K13" s="586"/>
      <c r="L13" s="586"/>
      <c r="M13" s="586"/>
      <c r="N13" s="586"/>
      <c r="O13" s="586"/>
      <c r="P13" s="586"/>
      <c r="Q13" s="586"/>
      <c r="R13" s="586"/>
      <c r="S13" s="586"/>
      <c r="T13" s="586"/>
    </row>
    <row r="14" spans="1:23" ht="13.5" thickBot="1" x14ac:dyDescent="0.35">
      <c r="B14" s="332" t="s">
        <v>11</v>
      </c>
      <c r="C14" s="333"/>
      <c r="D14" s="334"/>
      <c r="E14" s="335" t="s">
        <v>138</v>
      </c>
      <c r="G14" s="586"/>
      <c r="H14" s="586"/>
      <c r="I14" s="586"/>
      <c r="J14" s="586"/>
      <c r="K14" s="586"/>
      <c r="L14" s="586"/>
      <c r="M14" s="586"/>
      <c r="N14" s="586"/>
      <c r="O14" s="586"/>
      <c r="P14" s="586"/>
      <c r="Q14" s="586"/>
      <c r="R14" s="586"/>
      <c r="S14" s="586"/>
      <c r="T14" s="586"/>
    </row>
    <row r="15" spans="1:23" x14ac:dyDescent="0.3">
      <c r="B15" s="438"/>
      <c r="C15" s="231"/>
      <c r="D15" s="114"/>
      <c r="E15" s="158"/>
      <c r="G15" s="586"/>
      <c r="H15" s="586"/>
      <c r="I15" s="586"/>
      <c r="J15" s="586"/>
      <c r="K15" s="586"/>
      <c r="L15" s="586"/>
      <c r="M15" s="586"/>
      <c r="N15" s="586"/>
      <c r="O15" s="586"/>
      <c r="P15" s="586"/>
      <c r="Q15" s="586"/>
      <c r="R15" s="586"/>
      <c r="S15" s="586"/>
      <c r="T15" s="586"/>
    </row>
    <row r="16" spans="1:23" ht="18" customHeight="1" x14ac:dyDescent="0.3">
      <c r="B16" s="157"/>
      <c r="C16" s="157"/>
      <c r="D16" s="114"/>
      <c r="E16" s="158"/>
      <c r="G16" s="159"/>
      <c r="H16" s="159"/>
      <c r="I16" s="159"/>
      <c r="J16" s="159"/>
      <c r="K16" s="159"/>
      <c r="L16" s="159"/>
      <c r="M16" s="159"/>
      <c r="N16" s="159"/>
      <c r="O16" s="159"/>
      <c r="P16" s="159"/>
      <c r="Q16" s="159"/>
      <c r="R16" s="159"/>
      <c r="S16" s="159"/>
    </row>
    <row r="17" spans="2:20" ht="16" thickBot="1" x14ac:dyDescent="0.35">
      <c r="B17" s="173" t="s">
        <v>12</v>
      </c>
      <c r="C17" s="117" t="s">
        <v>13</v>
      </c>
      <c r="D17" s="117" t="s">
        <v>14</v>
      </c>
      <c r="E17" s="117" t="s">
        <v>15</v>
      </c>
      <c r="G17" s="115" t="s">
        <v>16</v>
      </c>
      <c r="H17" s="115"/>
      <c r="I17" s="115"/>
      <c r="J17" s="115"/>
      <c r="K17" s="115"/>
      <c r="L17" s="115"/>
      <c r="N17" s="569" t="s">
        <v>219</v>
      </c>
      <c r="O17" s="569"/>
      <c r="P17" s="569"/>
      <c r="Q17" s="569"/>
      <c r="R17" s="569"/>
      <c r="S17" s="117"/>
      <c r="T17" s="117"/>
    </row>
    <row r="18" spans="2:20" ht="13.5" customHeight="1" x14ac:dyDescent="0.3">
      <c r="B18" s="160" t="s">
        <v>17</v>
      </c>
      <c r="C18" s="182">
        <v>5</v>
      </c>
      <c r="D18" s="161">
        <v>0.28999999999999998</v>
      </c>
      <c r="E18" s="162">
        <f>D18*C18</f>
        <v>1.45</v>
      </c>
      <c r="G18" s="219"/>
      <c r="H18" s="220" t="s">
        <v>18</v>
      </c>
      <c r="I18" s="221">
        <f>D37</f>
        <v>-2714781.2374129738</v>
      </c>
      <c r="J18" s="222"/>
      <c r="K18" s="220" t="s">
        <v>220</v>
      </c>
      <c r="L18" s="223">
        <f>SUM(F34:J34)</f>
        <v>2125000</v>
      </c>
      <c r="N18" s="584" t="s">
        <v>221</v>
      </c>
      <c r="O18" s="584"/>
      <c r="P18" s="584"/>
      <c r="Q18" s="584"/>
      <c r="R18" s="314"/>
      <c r="S18" s="161"/>
      <c r="T18" s="315" t="s">
        <v>222</v>
      </c>
    </row>
    <row r="19" spans="2:20" ht="13.5" customHeight="1" x14ac:dyDescent="0.3">
      <c r="B19" s="160" t="s">
        <v>19</v>
      </c>
      <c r="C19" s="182">
        <v>4</v>
      </c>
      <c r="D19" s="161">
        <v>0.18</v>
      </c>
      <c r="E19" s="162">
        <f>D19*C19</f>
        <v>0.72</v>
      </c>
      <c r="G19" s="224"/>
      <c r="H19" s="125" t="s">
        <v>20</v>
      </c>
      <c r="I19" s="126">
        <f>D40</f>
        <v>2033226.9990127783</v>
      </c>
      <c r="J19" s="127"/>
      <c r="K19" s="125" t="s">
        <v>223</v>
      </c>
      <c r="L19" s="225">
        <f>SUM(F36:J36)</f>
        <v>262500</v>
      </c>
      <c r="N19" s="585" t="s">
        <v>224</v>
      </c>
      <c r="O19" s="585"/>
      <c r="P19" s="585"/>
      <c r="Q19" s="585"/>
      <c r="R19" s="314"/>
      <c r="S19" s="161"/>
      <c r="T19" s="315" t="s">
        <v>227</v>
      </c>
    </row>
    <row r="20" spans="2:20" ht="13.5" customHeight="1" x14ac:dyDescent="0.3">
      <c r="B20" s="160" t="s">
        <v>21</v>
      </c>
      <c r="C20" s="182">
        <v>2</v>
      </c>
      <c r="D20" s="161">
        <v>0.18</v>
      </c>
      <c r="E20" s="162">
        <f>D20*C20</f>
        <v>0.36</v>
      </c>
      <c r="G20" s="224"/>
      <c r="H20" s="125" t="s">
        <v>22</v>
      </c>
      <c r="I20" s="217">
        <f>IFERROR(ABS((I19-I18)/I18),"N/A")</f>
        <v>1.7489469026057964</v>
      </c>
      <c r="J20" s="127"/>
      <c r="K20" s="125" t="s">
        <v>225</v>
      </c>
      <c r="L20" s="225">
        <f>NPV($D$33,F39:T39)</f>
        <v>4748008.2364257537</v>
      </c>
      <c r="N20" s="316" t="s">
        <v>226</v>
      </c>
      <c r="O20" s="316"/>
      <c r="P20" s="316"/>
      <c r="Q20" s="316"/>
      <c r="R20" s="317"/>
      <c r="S20" s="318"/>
      <c r="T20" s="319" t="s">
        <v>222</v>
      </c>
    </row>
    <row r="21" spans="2:20" ht="13.5" customHeight="1" thickBot="1" x14ac:dyDescent="0.35">
      <c r="B21" s="160" t="s">
        <v>23</v>
      </c>
      <c r="C21" s="182">
        <v>2</v>
      </c>
      <c r="D21" s="161">
        <v>0.18</v>
      </c>
      <c r="E21" s="162">
        <f>D21*C21</f>
        <v>0.36</v>
      </c>
      <c r="G21" s="194"/>
      <c r="H21" s="257" t="s">
        <v>166</v>
      </c>
      <c r="I21" s="258">
        <f>IFERROR(NPV($D$33,F39:T39)/NPV($D$33,F38:T38),"N/A")</f>
        <v>1.2861227420160342</v>
      </c>
      <c r="J21" s="226"/>
      <c r="K21" s="436" t="s">
        <v>228</v>
      </c>
      <c r="L21" s="439">
        <f>NPV($D$33,F39:J39)</f>
        <v>1451427.1667328198</v>
      </c>
      <c r="N21" s="570" t="s">
        <v>229</v>
      </c>
      <c r="O21" s="570"/>
      <c r="P21" s="570"/>
      <c r="Q21" s="570"/>
      <c r="R21" s="570"/>
      <c r="S21" s="164"/>
      <c r="T21" s="165"/>
    </row>
    <row r="22" spans="2:20" ht="13.5" customHeight="1" x14ac:dyDescent="0.3">
      <c r="B22" s="160" t="s">
        <v>230</v>
      </c>
      <c r="C22" s="182">
        <v>3</v>
      </c>
      <c r="D22" s="161">
        <v>0.17</v>
      </c>
      <c r="E22" s="162">
        <f>D22*C22</f>
        <v>0.51</v>
      </c>
      <c r="L22" s="218"/>
    </row>
    <row r="23" spans="2:20" ht="13.5" customHeight="1" x14ac:dyDescent="0.3">
      <c r="B23" s="117" t="s">
        <v>229</v>
      </c>
      <c r="C23" s="117"/>
      <c r="D23" s="164">
        <f>SUM(D18:D22)</f>
        <v>0.99999999999999989</v>
      </c>
      <c r="E23" s="165">
        <f>SUM(E18:E22)</f>
        <v>3.3999999999999995</v>
      </c>
    </row>
    <row r="24" spans="2:20" x14ac:dyDescent="0.3">
      <c r="B24" s="154"/>
      <c r="C24" s="154"/>
      <c r="D24" s="154"/>
      <c r="E24" s="155"/>
      <c r="F24" s="156"/>
    </row>
    <row r="25" spans="2:20" ht="16" thickBot="1" x14ac:dyDescent="0.35">
      <c r="B25" s="115" t="s">
        <v>231</v>
      </c>
      <c r="C25" s="115"/>
      <c r="D25" s="115"/>
      <c r="E25" s="115"/>
      <c r="F25" s="115"/>
      <c r="G25" s="115"/>
      <c r="H25" s="115"/>
      <c r="I25" s="115"/>
      <c r="J25" s="115"/>
      <c r="K25" s="115"/>
      <c r="L25" s="115"/>
      <c r="M25" s="115"/>
      <c r="N25" s="115"/>
      <c r="O25" s="115"/>
      <c r="P25" s="115"/>
      <c r="Q25" s="115"/>
      <c r="R25" s="115"/>
      <c r="S25" s="115"/>
      <c r="T25" s="115"/>
    </row>
    <row r="26" spans="2:20" x14ac:dyDescent="0.3">
      <c r="B26" s="122"/>
      <c r="C26" s="133"/>
      <c r="D26" s="128"/>
      <c r="E26" s="129"/>
      <c r="F26" s="166" t="s">
        <v>25</v>
      </c>
      <c r="G26" s="166" t="s">
        <v>232</v>
      </c>
      <c r="H26" s="166" t="s">
        <v>26</v>
      </c>
      <c r="I26" s="166" t="s">
        <v>27</v>
      </c>
      <c r="J26" s="166" t="s">
        <v>28</v>
      </c>
      <c r="K26" s="166" t="s">
        <v>29</v>
      </c>
      <c r="L26" s="166" t="s">
        <v>30</v>
      </c>
      <c r="M26" s="166" t="s">
        <v>31</v>
      </c>
      <c r="N26" s="166" t="s">
        <v>32</v>
      </c>
      <c r="O26" s="166" t="s">
        <v>33</v>
      </c>
      <c r="P26" s="166" t="s">
        <v>34</v>
      </c>
      <c r="Q26" s="166" t="s">
        <v>35</v>
      </c>
      <c r="R26" s="166" t="s">
        <v>36</v>
      </c>
      <c r="S26" s="166" t="s">
        <v>37</v>
      </c>
      <c r="T26" s="167" t="s">
        <v>38</v>
      </c>
    </row>
    <row r="27" spans="2:20" x14ac:dyDescent="0.3">
      <c r="B27" s="123" t="s">
        <v>39</v>
      </c>
      <c r="C27" s="146" t="s">
        <v>24</v>
      </c>
      <c r="D27" s="146">
        <f>SUM(F27:T27)</f>
        <v>10</v>
      </c>
      <c r="E27" s="112"/>
      <c r="F27" s="227">
        <v>2</v>
      </c>
      <c r="G27" s="227">
        <v>3</v>
      </c>
      <c r="H27" s="227">
        <v>3</v>
      </c>
      <c r="I27" s="227">
        <v>2</v>
      </c>
      <c r="J27" s="227"/>
      <c r="K27" s="227"/>
      <c r="L27" s="227"/>
      <c r="M27" s="227"/>
      <c r="N27" s="227"/>
      <c r="O27" s="227"/>
      <c r="P27" s="227"/>
      <c r="Q27" s="227"/>
      <c r="R27" s="227"/>
      <c r="S27" s="227"/>
      <c r="T27" s="229"/>
    </row>
    <row r="28" spans="2:20" x14ac:dyDescent="0.3">
      <c r="B28" s="123" t="s">
        <v>233</v>
      </c>
      <c r="C28" s="112"/>
      <c r="D28" s="112"/>
      <c r="E28" s="112"/>
      <c r="F28" s="227"/>
      <c r="G28" s="228"/>
      <c r="H28" s="228"/>
      <c r="I28" s="228"/>
      <c r="J28" s="228"/>
      <c r="K28" s="228"/>
      <c r="L28" s="228"/>
      <c r="M28" s="228"/>
      <c r="N28" s="228"/>
      <c r="O28" s="228"/>
      <c r="P28" s="228"/>
      <c r="Q28" s="228"/>
      <c r="R28" s="228"/>
      <c r="S28" s="228"/>
      <c r="T28" s="229"/>
    </row>
    <row r="29" spans="2:20" ht="13.5" thickBot="1" x14ac:dyDescent="0.35">
      <c r="B29" s="120"/>
      <c r="C29" s="232"/>
      <c r="D29" s="121"/>
      <c r="E29" s="121"/>
      <c r="F29" s="121"/>
      <c r="G29" s="121"/>
      <c r="H29" s="121"/>
      <c r="I29" s="121"/>
      <c r="J29" s="121"/>
      <c r="K29" s="121"/>
      <c r="L29" s="121"/>
      <c r="M29" s="121"/>
      <c r="N29" s="121"/>
      <c r="O29" s="121"/>
      <c r="P29" s="121"/>
      <c r="Q29" s="121"/>
      <c r="R29" s="121"/>
      <c r="S29" s="121"/>
      <c r="T29" s="130"/>
    </row>
    <row r="30" spans="2:20" x14ac:dyDescent="0.3">
      <c r="B30" s="113"/>
      <c r="C30" s="113"/>
      <c r="D30" s="112"/>
      <c r="E30" s="112"/>
      <c r="F30" s="112"/>
      <c r="G30" s="112"/>
      <c r="H30" s="112"/>
      <c r="I30" s="112"/>
      <c r="J30" s="112"/>
      <c r="K30" s="112"/>
      <c r="L30" s="112"/>
      <c r="M30" s="112"/>
      <c r="N30" s="112"/>
      <c r="O30" s="112"/>
      <c r="P30" s="112"/>
      <c r="Q30" s="112"/>
      <c r="R30" s="112"/>
      <c r="S30" s="112"/>
      <c r="T30" s="112"/>
    </row>
    <row r="32" spans="2:20" ht="16" thickBot="1" x14ac:dyDescent="0.35">
      <c r="B32" s="115" t="s">
        <v>40</v>
      </c>
      <c r="C32" s="115"/>
      <c r="D32" s="115"/>
      <c r="E32" s="115"/>
      <c r="F32" s="115"/>
      <c r="G32" s="115"/>
      <c r="H32" s="115"/>
      <c r="I32" s="115"/>
      <c r="J32" s="115"/>
      <c r="K32" s="115"/>
      <c r="L32" s="115"/>
      <c r="M32" s="115"/>
      <c r="N32" s="115"/>
      <c r="O32" s="115"/>
      <c r="P32" s="115"/>
      <c r="Q32" s="115"/>
      <c r="R32" s="115"/>
      <c r="S32" s="115"/>
      <c r="T32" s="115"/>
    </row>
    <row r="33" spans="2:20" x14ac:dyDescent="0.3">
      <c r="B33" s="122" t="s">
        <v>41</v>
      </c>
      <c r="C33" s="133"/>
      <c r="D33" s="255">
        <f>'Inputs and assumptions'!C5</f>
        <v>3.44E-2</v>
      </c>
      <c r="E33" s="244"/>
      <c r="F33" s="245" t="str">
        <f>F26</f>
        <v>Year 1</v>
      </c>
      <c r="G33" s="245" t="s">
        <v>232</v>
      </c>
      <c r="H33" s="245" t="s">
        <v>26</v>
      </c>
      <c r="I33" s="245" t="s">
        <v>27</v>
      </c>
      <c r="J33" s="245" t="s">
        <v>28</v>
      </c>
      <c r="K33" s="245" t="s">
        <v>29</v>
      </c>
      <c r="L33" s="245" t="s">
        <v>30</v>
      </c>
      <c r="M33" s="245" t="s">
        <v>31</v>
      </c>
      <c r="N33" s="245" t="s">
        <v>32</v>
      </c>
      <c r="O33" s="245" t="s">
        <v>33</v>
      </c>
      <c r="P33" s="245" t="s">
        <v>34</v>
      </c>
      <c r="Q33" s="245" t="s">
        <v>35</v>
      </c>
      <c r="R33" s="245" t="s">
        <v>36</v>
      </c>
      <c r="S33" s="245" t="s">
        <v>37</v>
      </c>
      <c r="T33" s="246" t="s">
        <v>38</v>
      </c>
    </row>
    <row r="34" spans="2:20" x14ac:dyDescent="0.3">
      <c r="B34" s="123" t="s">
        <v>42</v>
      </c>
      <c r="C34" s="112"/>
      <c r="D34" s="112"/>
      <c r="E34" s="112"/>
      <c r="F34" s="140">
        <f t="shared" ref="F34:T34" si="0">IF($E$100="Per Unit",F102,F107)</f>
        <v>425000</v>
      </c>
      <c r="G34" s="140">
        <f t="shared" si="0"/>
        <v>637500</v>
      </c>
      <c r="H34" s="140">
        <f t="shared" si="0"/>
        <v>637500</v>
      </c>
      <c r="I34" s="140">
        <f t="shared" si="0"/>
        <v>425000</v>
      </c>
      <c r="J34" s="140">
        <f t="shared" si="0"/>
        <v>0</v>
      </c>
      <c r="K34" s="140">
        <f t="shared" si="0"/>
        <v>0</v>
      </c>
      <c r="L34" s="140">
        <f t="shared" si="0"/>
        <v>0</v>
      </c>
      <c r="M34" s="140">
        <f t="shared" si="0"/>
        <v>0</v>
      </c>
      <c r="N34" s="140">
        <f t="shared" si="0"/>
        <v>0</v>
      </c>
      <c r="O34" s="140">
        <f t="shared" si="0"/>
        <v>0</v>
      </c>
      <c r="P34" s="140">
        <f t="shared" si="0"/>
        <v>0</v>
      </c>
      <c r="Q34" s="140">
        <f t="shared" si="0"/>
        <v>0</v>
      </c>
      <c r="R34" s="140">
        <f t="shared" si="0"/>
        <v>0</v>
      </c>
      <c r="S34" s="140">
        <f t="shared" si="0"/>
        <v>0</v>
      </c>
      <c r="T34" s="141">
        <f t="shared" si="0"/>
        <v>0</v>
      </c>
    </row>
    <row r="35" spans="2:20" x14ac:dyDescent="0.3">
      <c r="B35" s="123" t="s">
        <v>234</v>
      </c>
      <c r="C35" s="112"/>
      <c r="D35" s="112"/>
      <c r="E35" s="112"/>
      <c r="F35" s="140">
        <f>F34*(1+'Inputs and assumptions'!$C$7)</f>
        <v>637500</v>
      </c>
      <c r="G35" s="140">
        <f>G34*(1+'Inputs and assumptions'!$C$7)</f>
        <v>956250</v>
      </c>
      <c r="H35" s="140">
        <f>H34*(1+'Inputs and assumptions'!$C$7)</f>
        <v>956250</v>
      </c>
      <c r="I35" s="140">
        <f>I34*(1+'Inputs and assumptions'!$C$7)</f>
        <v>637500</v>
      </c>
      <c r="J35" s="140">
        <f>J34*(1+'Inputs and assumptions'!$C$7)</f>
        <v>0</v>
      </c>
      <c r="K35" s="140">
        <f>K34*(1+'Inputs and assumptions'!$C$7)</f>
        <v>0</v>
      </c>
      <c r="L35" s="140">
        <f>L34*(1+'Inputs and assumptions'!$C$7)</f>
        <v>0</v>
      </c>
      <c r="M35" s="140">
        <f>M34*(1+'Inputs and assumptions'!$C$7)</f>
        <v>0</v>
      </c>
      <c r="N35" s="140">
        <f>N34*(1+'Inputs and assumptions'!$C$7)</f>
        <v>0</v>
      </c>
      <c r="O35" s="140">
        <f>O34*(1+'Inputs and assumptions'!$C$7)</f>
        <v>0</v>
      </c>
      <c r="P35" s="140">
        <f>P34*(1+'Inputs and assumptions'!$C$7)</f>
        <v>0</v>
      </c>
      <c r="Q35" s="140">
        <f>Q34*(1+'Inputs and assumptions'!$C$7)</f>
        <v>0</v>
      </c>
      <c r="R35" s="140">
        <f>R34*(1+'Inputs and assumptions'!$C$7)</f>
        <v>0</v>
      </c>
      <c r="S35" s="140">
        <f>S34*(1+'Inputs and assumptions'!$C$7)</f>
        <v>0</v>
      </c>
      <c r="T35" s="141">
        <f>T34*(1+'Inputs and assumptions'!$C$7)</f>
        <v>0</v>
      </c>
    </row>
    <row r="36" spans="2:20" ht="13.5" thickBot="1" x14ac:dyDescent="0.35">
      <c r="B36" s="124" t="s">
        <v>43</v>
      </c>
      <c r="C36" s="135"/>
      <c r="D36" s="135"/>
      <c r="E36" s="135"/>
      <c r="F36" s="142">
        <f t="shared" ref="F36:T36" si="1">IF($E$100="Per Unit",F103,F108)</f>
        <v>15000</v>
      </c>
      <c r="G36" s="142">
        <f t="shared" si="1"/>
        <v>37500</v>
      </c>
      <c r="H36" s="142">
        <f t="shared" si="1"/>
        <v>60000</v>
      </c>
      <c r="I36" s="142">
        <f t="shared" si="1"/>
        <v>75000</v>
      </c>
      <c r="J36" s="142">
        <f t="shared" si="1"/>
        <v>75000</v>
      </c>
      <c r="K36" s="142">
        <f t="shared" si="1"/>
        <v>75000</v>
      </c>
      <c r="L36" s="142">
        <f t="shared" si="1"/>
        <v>75000</v>
      </c>
      <c r="M36" s="142">
        <f t="shared" si="1"/>
        <v>75000</v>
      </c>
      <c r="N36" s="142">
        <f t="shared" si="1"/>
        <v>75000</v>
      </c>
      <c r="O36" s="142">
        <f t="shared" si="1"/>
        <v>75000</v>
      </c>
      <c r="P36" s="142">
        <f t="shared" si="1"/>
        <v>75000</v>
      </c>
      <c r="Q36" s="142">
        <f t="shared" si="1"/>
        <v>75000</v>
      </c>
      <c r="R36" s="142">
        <f t="shared" si="1"/>
        <v>75000</v>
      </c>
      <c r="S36" s="142">
        <f t="shared" si="1"/>
        <v>75000</v>
      </c>
      <c r="T36" s="143">
        <f t="shared" si="1"/>
        <v>75000</v>
      </c>
    </row>
    <row r="37" spans="2:20" x14ac:dyDescent="0.3">
      <c r="B37" s="122" t="s">
        <v>44</v>
      </c>
      <c r="C37" s="133"/>
      <c r="D37" s="247">
        <f>NPV($D$33,F37:T37)</f>
        <v>-2714781.2374129738</v>
      </c>
      <c r="E37" s="248"/>
      <c r="F37" s="144">
        <f t="shared" ref="F37:T37" si="2">-F34-F36</f>
        <v>-440000</v>
      </c>
      <c r="G37" s="144">
        <f t="shared" si="2"/>
        <v>-675000</v>
      </c>
      <c r="H37" s="144">
        <f t="shared" si="2"/>
        <v>-697500</v>
      </c>
      <c r="I37" s="144">
        <f t="shared" si="2"/>
        <v>-500000</v>
      </c>
      <c r="J37" s="144">
        <f t="shared" si="2"/>
        <v>-75000</v>
      </c>
      <c r="K37" s="144">
        <f t="shared" si="2"/>
        <v>-75000</v>
      </c>
      <c r="L37" s="144">
        <f t="shared" si="2"/>
        <v>-75000</v>
      </c>
      <c r="M37" s="144">
        <f t="shared" si="2"/>
        <v>-75000</v>
      </c>
      <c r="N37" s="144">
        <f t="shared" si="2"/>
        <v>-75000</v>
      </c>
      <c r="O37" s="144">
        <f t="shared" si="2"/>
        <v>-75000</v>
      </c>
      <c r="P37" s="144">
        <f t="shared" si="2"/>
        <v>-75000</v>
      </c>
      <c r="Q37" s="144">
        <f t="shared" si="2"/>
        <v>-75000</v>
      </c>
      <c r="R37" s="144">
        <f t="shared" si="2"/>
        <v>-75000</v>
      </c>
      <c r="S37" s="144">
        <f t="shared" si="2"/>
        <v>-75000</v>
      </c>
      <c r="T37" s="145">
        <f t="shared" si="2"/>
        <v>-75000</v>
      </c>
    </row>
    <row r="38" spans="2:20" ht="13.5" thickBot="1" x14ac:dyDescent="0.35">
      <c r="B38" s="124" t="s">
        <v>235</v>
      </c>
      <c r="C38" s="135"/>
      <c r="D38" s="132"/>
      <c r="E38" s="121"/>
      <c r="F38" s="142">
        <f>F35+F36</f>
        <v>652500</v>
      </c>
      <c r="G38" s="142">
        <f t="shared" ref="G38:T38" si="3">G35+G36</f>
        <v>993750</v>
      </c>
      <c r="H38" s="142">
        <f t="shared" si="3"/>
        <v>1016250</v>
      </c>
      <c r="I38" s="142">
        <f t="shared" si="3"/>
        <v>712500</v>
      </c>
      <c r="J38" s="142">
        <f t="shared" si="3"/>
        <v>75000</v>
      </c>
      <c r="K38" s="142">
        <f t="shared" si="3"/>
        <v>75000</v>
      </c>
      <c r="L38" s="142">
        <f t="shared" si="3"/>
        <v>75000</v>
      </c>
      <c r="M38" s="142">
        <f t="shared" si="3"/>
        <v>75000</v>
      </c>
      <c r="N38" s="142">
        <f t="shared" si="3"/>
        <v>75000</v>
      </c>
      <c r="O38" s="142">
        <f t="shared" si="3"/>
        <v>75000</v>
      </c>
      <c r="P38" s="142">
        <f t="shared" si="3"/>
        <v>75000</v>
      </c>
      <c r="Q38" s="142">
        <f t="shared" si="3"/>
        <v>75000</v>
      </c>
      <c r="R38" s="142">
        <f t="shared" si="3"/>
        <v>75000</v>
      </c>
      <c r="S38" s="142">
        <f t="shared" si="3"/>
        <v>75000</v>
      </c>
      <c r="T38" s="143">
        <f t="shared" si="3"/>
        <v>75000</v>
      </c>
    </row>
    <row r="39" spans="2:20" x14ac:dyDescent="0.3">
      <c r="B39" s="123" t="s">
        <v>45</v>
      </c>
      <c r="C39" s="112"/>
      <c r="D39" s="134"/>
      <c r="E39" s="112"/>
      <c r="F39" s="140">
        <f t="shared" ref="F39:T39" si="4">IF($E$43="Per Unit",SUM(F45:F71),SUM(F73:F98))</f>
        <v>93600</v>
      </c>
      <c r="G39" s="140">
        <f t="shared" si="4"/>
        <v>234000</v>
      </c>
      <c r="H39" s="140">
        <f t="shared" si="4"/>
        <v>374400</v>
      </c>
      <c r="I39" s="140">
        <f t="shared" si="4"/>
        <v>468000</v>
      </c>
      <c r="J39" s="140">
        <f t="shared" si="4"/>
        <v>468000</v>
      </c>
      <c r="K39" s="140">
        <f t="shared" si="4"/>
        <v>468000</v>
      </c>
      <c r="L39" s="140">
        <f t="shared" si="4"/>
        <v>468000</v>
      </c>
      <c r="M39" s="140">
        <f t="shared" si="4"/>
        <v>468000</v>
      </c>
      <c r="N39" s="140">
        <f t="shared" si="4"/>
        <v>468000</v>
      </c>
      <c r="O39" s="140">
        <f t="shared" si="4"/>
        <v>468000</v>
      </c>
      <c r="P39" s="140">
        <f t="shared" si="4"/>
        <v>468000</v>
      </c>
      <c r="Q39" s="140">
        <f t="shared" si="4"/>
        <v>468000</v>
      </c>
      <c r="R39" s="140">
        <f t="shared" si="4"/>
        <v>468000</v>
      </c>
      <c r="S39" s="140">
        <f t="shared" si="4"/>
        <v>468000</v>
      </c>
      <c r="T39" s="141">
        <f t="shared" si="4"/>
        <v>468000</v>
      </c>
    </row>
    <row r="40" spans="2:20" x14ac:dyDescent="0.3">
      <c r="B40" s="123" t="s">
        <v>46</v>
      </c>
      <c r="C40" s="112"/>
      <c r="D40" s="134">
        <f>NPV($D$33,F40:T40)</f>
        <v>2033226.9990127783</v>
      </c>
      <c r="E40" s="112"/>
      <c r="F40" s="140">
        <f t="shared" ref="F40:T40" si="5">F39+F37</f>
        <v>-346400</v>
      </c>
      <c r="G40" s="140">
        <f t="shared" si="5"/>
        <v>-441000</v>
      </c>
      <c r="H40" s="140">
        <f t="shared" si="5"/>
        <v>-323100</v>
      </c>
      <c r="I40" s="140">
        <f t="shared" si="5"/>
        <v>-32000</v>
      </c>
      <c r="J40" s="140">
        <f t="shared" si="5"/>
        <v>393000</v>
      </c>
      <c r="K40" s="140">
        <f t="shared" si="5"/>
        <v>393000</v>
      </c>
      <c r="L40" s="140">
        <f t="shared" si="5"/>
        <v>393000</v>
      </c>
      <c r="M40" s="140">
        <f t="shared" si="5"/>
        <v>393000</v>
      </c>
      <c r="N40" s="140">
        <f t="shared" si="5"/>
        <v>393000</v>
      </c>
      <c r="O40" s="140">
        <f t="shared" si="5"/>
        <v>393000</v>
      </c>
      <c r="P40" s="140">
        <f t="shared" si="5"/>
        <v>393000</v>
      </c>
      <c r="Q40" s="140">
        <f t="shared" si="5"/>
        <v>393000</v>
      </c>
      <c r="R40" s="140">
        <f t="shared" si="5"/>
        <v>393000</v>
      </c>
      <c r="S40" s="140">
        <f t="shared" si="5"/>
        <v>393000</v>
      </c>
      <c r="T40" s="141">
        <f t="shared" si="5"/>
        <v>393000</v>
      </c>
    </row>
    <row r="41" spans="2:20" ht="13.5" thickBot="1" x14ac:dyDescent="0.35">
      <c r="B41" s="124"/>
      <c r="C41" s="135"/>
      <c r="D41" s="135"/>
      <c r="E41" s="136"/>
      <c r="F41" s="137"/>
      <c r="G41" s="138"/>
      <c r="H41" s="138"/>
      <c r="I41" s="138"/>
      <c r="J41" s="138"/>
      <c r="K41" s="138"/>
      <c r="L41" s="138"/>
      <c r="M41" s="138"/>
      <c r="N41" s="138"/>
      <c r="O41" s="138"/>
      <c r="P41" s="138"/>
      <c r="Q41" s="138"/>
      <c r="R41" s="138"/>
      <c r="S41" s="138"/>
      <c r="T41" s="139"/>
    </row>
    <row r="42" spans="2:20" ht="13.5" thickBot="1" x14ac:dyDescent="0.35"/>
    <row r="43" spans="2:20" ht="16.5" customHeight="1" thickBot="1" x14ac:dyDescent="0.35">
      <c r="B43" s="581" t="s">
        <v>47</v>
      </c>
      <c r="C43" s="581"/>
      <c r="D43" s="582"/>
      <c r="E43" s="242" t="s">
        <v>122</v>
      </c>
    </row>
    <row r="44" spans="2:20" x14ac:dyDescent="0.3">
      <c r="B44" s="238" t="s">
        <v>48</v>
      </c>
      <c r="C44" s="237"/>
      <c r="D44" s="243">
        <f>SUM(D45:D70)</f>
        <v>46800</v>
      </c>
      <c r="E44" s="148"/>
      <c r="F44" s="168" t="str">
        <f>F26</f>
        <v>Year 1</v>
      </c>
      <c r="G44" s="168" t="s">
        <v>232</v>
      </c>
      <c r="H44" s="168" t="s">
        <v>26</v>
      </c>
      <c r="I44" s="168" t="s">
        <v>27</v>
      </c>
      <c r="J44" s="168" t="s">
        <v>28</v>
      </c>
      <c r="K44" s="168" t="s">
        <v>29</v>
      </c>
      <c r="L44" s="168" t="s">
        <v>30</v>
      </c>
      <c r="M44" s="168" t="s">
        <v>31</v>
      </c>
      <c r="N44" s="168" t="s">
        <v>32</v>
      </c>
      <c r="O44" s="168" t="s">
        <v>33</v>
      </c>
      <c r="P44" s="168" t="s">
        <v>34</v>
      </c>
      <c r="Q44" s="168" t="s">
        <v>35</v>
      </c>
      <c r="R44" s="168" t="s">
        <v>36</v>
      </c>
      <c r="S44" s="168" t="s">
        <v>37</v>
      </c>
      <c r="T44" s="167" t="s">
        <v>38</v>
      </c>
    </row>
    <row r="45" spans="2:20" x14ac:dyDescent="0.3">
      <c r="B45" s="185" t="s">
        <v>50</v>
      </c>
      <c r="C45" s="239" t="s">
        <v>236</v>
      </c>
      <c r="D45" s="201"/>
      <c r="E45" s="112"/>
      <c r="F45" s="199"/>
      <c r="G45" s="199"/>
      <c r="H45" s="199"/>
      <c r="I45" s="199"/>
      <c r="J45" s="199"/>
      <c r="K45" s="199"/>
      <c r="L45" s="199"/>
      <c r="M45" s="199"/>
      <c r="N45" s="199"/>
      <c r="O45" s="199"/>
      <c r="P45" s="199"/>
      <c r="Q45" s="199"/>
      <c r="R45" s="199"/>
      <c r="S45" s="199"/>
      <c r="T45" s="200"/>
    </row>
    <row r="46" spans="2:20" x14ac:dyDescent="0.3">
      <c r="B46" s="184" t="s">
        <v>51</v>
      </c>
      <c r="C46" s="253"/>
      <c r="D46" s="261">
        <f>IFERROR(C46*'Inputs and assumptions'!D17/$D$27,0)</f>
        <v>0</v>
      </c>
      <c r="E46" s="112"/>
      <c r="F46" s="140">
        <f>$D46*SUM($E$27:F$27)</f>
        <v>0</v>
      </c>
      <c r="G46" s="140">
        <f>$D46*SUM($E$27:G$27)</f>
        <v>0</v>
      </c>
      <c r="H46" s="140">
        <f>$D46*SUM($E$27:H$27)</f>
        <v>0</v>
      </c>
      <c r="I46" s="140">
        <f>$D46*SUM($E$27:I$27)</f>
        <v>0</v>
      </c>
      <c r="J46" s="140">
        <f>$D46*SUM($E$27:J$27)</f>
        <v>0</v>
      </c>
      <c r="K46" s="140">
        <f>$D46*SUM($E$27:K$27)</f>
        <v>0</v>
      </c>
      <c r="L46" s="140">
        <f>$D46*SUM($E$27:L$27)</f>
        <v>0</v>
      </c>
      <c r="M46" s="140">
        <f>$D46*SUM($E$27:M$27)</f>
        <v>0</v>
      </c>
      <c r="N46" s="140">
        <f>$D46*SUM($E$27:N$27)</f>
        <v>0</v>
      </c>
      <c r="O46" s="140">
        <f>$D46*SUM($E$27:O$27)</f>
        <v>0</v>
      </c>
      <c r="P46" s="140">
        <f>$D46*SUM($E$27:P$27)</f>
        <v>0</v>
      </c>
      <c r="Q46" s="140">
        <f>$D46*SUM($E$27:Q$27)</f>
        <v>0</v>
      </c>
      <c r="R46" s="140">
        <f>$D46*SUM($E$27:R$27)</f>
        <v>0</v>
      </c>
      <c r="S46" s="140">
        <f>$D46*SUM($E$27:S$27)</f>
        <v>0</v>
      </c>
      <c r="T46" s="141">
        <f>$D46*SUM($E$27:T$27)</f>
        <v>0</v>
      </c>
    </row>
    <row r="47" spans="2:20" x14ac:dyDescent="0.3">
      <c r="B47" s="184" t="s">
        <v>52</v>
      </c>
      <c r="C47" s="240"/>
      <c r="D47" s="261">
        <f>IFERROR(C47*'Inputs and assumptions'!D18/$D$27,0)</f>
        <v>0</v>
      </c>
      <c r="E47" s="112"/>
      <c r="F47" s="140">
        <f>$D47*SUM($E$27:F$27)</f>
        <v>0</v>
      </c>
      <c r="G47" s="140">
        <f>$D47*SUM($E$27:G$27)</f>
        <v>0</v>
      </c>
      <c r="H47" s="140">
        <f>$D47*SUM($E$27:H$27)</f>
        <v>0</v>
      </c>
      <c r="I47" s="140">
        <f>$D47*SUM($E$27:I$27)</f>
        <v>0</v>
      </c>
      <c r="J47" s="140">
        <f>$D47*SUM($E$27:J$27)</f>
        <v>0</v>
      </c>
      <c r="K47" s="140">
        <f>$D47*SUM($E$27:K$27)</f>
        <v>0</v>
      </c>
      <c r="L47" s="140">
        <f>$D47*SUM($E$27:L$27)</f>
        <v>0</v>
      </c>
      <c r="M47" s="140">
        <f>$D47*SUM($E$27:M$27)</f>
        <v>0</v>
      </c>
      <c r="N47" s="140">
        <f>$D47*SUM($E$27:N$27)</f>
        <v>0</v>
      </c>
      <c r="O47" s="140">
        <f>$D47*SUM($E$27:O$27)</f>
        <v>0</v>
      </c>
      <c r="P47" s="140">
        <f>$D47*SUM($E$27:P$27)</f>
        <v>0</v>
      </c>
      <c r="Q47" s="140">
        <f>$D47*SUM($E$27:Q$27)</f>
        <v>0</v>
      </c>
      <c r="R47" s="140">
        <f>$D47*SUM($E$27:R$27)</f>
        <v>0</v>
      </c>
      <c r="S47" s="140">
        <f>$D47*SUM($E$27:S$27)</f>
        <v>0</v>
      </c>
      <c r="T47" s="141">
        <f>$D47*SUM($E$27:T$27)</f>
        <v>0</v>
      </c>
    </row>
    <row r="48" spans="2:20" x14ac:dyDescent="0.3">
      <c r="B48" s="184" t="s">
        <v>53</v>
      </c>
      <c r="C48" s="240"/>
      <c r="D48" s="261">
        <f>IFERROR(C48*'Inputs and assumptions'!D19/$D$27,0)</f>
        <v>0</v>
      </c>
      <c r="E48" s="112"/>
      <c r="F48" s="140">
        <f>$D48*SUM($E$27:F$27)</f>
        <v>0</v>
      </c>
      <c r="G48" s="140">
        <f>$D48*SUM($E$27:G$27)</f>
        <v>0</v>
      </c>
      <c r="H48" s="140">
        <f>$D48*SUM($E$27:H$27)</f>
        <v>0</v>
      </c>
      <c r="I48" s="140">
        <f>$D48*SUM($E$27:I$27)</f>
        <v>0</v>
      </c>
      <c r="J48" s="140">
        <f>$D48*SUM($E$27:J$27)</f>
        <v>0</v>
      </c>
      <c r="K48" s="140">
        <f>$D48*SUM($E$27:K$27)</f>
        <v>0</v>
      </c>
      <c r="L48" s="140">
        <f>$D48*SUM($E$27:L$27)</f>
        <v>0</v>
      </c>
      <c r="M48" s="140">
        <f>$D48*SUM($E$27:M$27)</f>
        <v>0</v>
      </c>
      <c r="N48" s="140">
        <f>$D48*SUM($E$27:N$27)</f>
        <v>0</v>
      </c>
      <c r="O48" s="140">
        <f>$D48*SUM($E$27:O$27)</f>
        <v>0</v>
      </c>
      <c r="P48" s="140">
        <f>$D48*SUM($E$27:P$27)</f>
        <v>0</v>
      </c>
      <c r="Q48" s="140">
        <f>$D48*SUM($E$27:Q$27)</f>
        <v>0</v>
      </c>
      <c r="R48" s="140">
        <f>$D48*SUM($E$27:R$27)</f>
        <v>0</v>
      </c>
      <c r="S48" s="140">
        <f>$D48*SUM($E$27:S$27)</f>
        <v>0</v>
      </c>
      <c r="T48" s="141">
        <f>$D48*SUM($E$27:T$27)</f>
        <v>0</v>
      </c>
    </row>
    <row r="49" spans="2:20" x14ac:dyDescent="0.3">
      <c r="B49" s="184" t="s">
        <v>54</v>
      </c>
      <c r="C49" s="240"/>
      <c r="D49" s="261">
        <f>IFERROR(C49*'Inputs and assumptions'!D20/$D$27,0)</f>
        <v>0</v>
      </c>
      <c r="E49" s="112"/>
      <c r="F49" s="140">
        <f>$D49*SUM($E$27:F$27)</f>
        <v>0</v>
      </c>
      <c r="G49" s="140">
        <f>$D49*SUM($E$27:G$27)</f>
        <v>0</v>
      </c>
      <c r="H49" s="140">
        <f>$D49*SUM($E$27:H$27)</f>
        <v>0</v>
      </c>
      <c r="I49" s="140">
        <f>$D49*SUM($E$27:I$27)</f>
        <v>0</v>
      </c>
      <c r="J49" s="140">
        <f>$D49*SUM($E$27:J$27)</f>
        <v>0</v>
      </c>
      <c r="K49" s="140">
        <f>$D49*SUM($E$27:K$27)</f>
        <v>0</v>
      </c>
      <c r="L49" s="140">
        <f>$D49*SUM($E$27:L$27)</f>
        <v>0</v>
      </c>
      <c r="M49" s="140">
        <f>$D49*SUM($E$27:M$27)</f>
        <v>0</v>
      </c>
      <c r="N49" s="140">
        <f>$D49*SUM($E$27:N$27)</f>
        <v>0</v>
      </c>
      <c r="O49" s="140">
        <f>$D49*SUM($E$27:O$27)</f>
        <v>0</v>
      </c>
      <c r="P49" s="140">
        <f>$D49*SUM($E$27:P$27)</f>
        <v>0</v>
      </c>
      <c r="Q49" s="140">
        <f>$D49*SUM($E$27:Q$27)</f>
        <v>0</v>
      </c>
      <c r="R49" s="140">
        <f>$D49*SUM($E$27:R$27)</f>
        <v>0</v>
      </c>
      <c r="S49" s="140">
        <f>$D49*SUM($E$27:S$27)</f>
        <v>0</v>
      </c>
      <c r="T49" s="141">
        <f>$D49*SUM($E$27:T$27)</f>
        <v>0</v>
      </c>
    </row>
    <row r="50" spans="2:20" x14ac:dyDescent="0.3">
      <c r="B50" s="184"/>
      <c r="D50" s="198"/>
      <c r="E50" s="112"/>
      <c r="F50" s="199"/>
      <c r="G50" s="199"/>
      <c r="H50" s="199"/>
      <c r="I50" s="199"/>
      <c r="J50" s="199"/>
      <c r="K50" s="199"/>
      <c r="L50" s="199"/>
      <c r="M50" s="199"/>
      <c r="N50" s="199"/>
      <c r="O50" s="199"/>
      <c r="P50" s="199"/>
      <c r="Q50" s="199"/>
      <c r="R50" s="199"/>
      <c r="S50" s="199"/>
      <c r="T50" s="200"/>
    </row>
    <row r="51" spans="2:20" x14ac:dyDescent="0.3">
      <c r="B51" s="185" t="s">
        <v>55</v>
      </c>
      <c r="C51" s="239" t="s">
        <v>236</v>
      </c>
      <c r="D51" s="201"/>
      <c r="E51" s="112"/>
      <c r="F51" s="199"/>
      <c r="G51" s="199"/>
      <c r="H51" s="199"/>
      <c r="I51" s="199"/>
      <c r="J51" s="199"/>
      <c r="K51" s="199"/>
      <c r="L51" s="199"/>
      <c r="M51" s="199"/>
      <c r="N51" s="199"/>
      <c r="O51" s="199"/>
      <c r="P51" s="199"/>
      <c r="Q51" s="199"/>
      <c r="R51" s="199"/>
      <c r="S51" s="199"/>
      <c r="T51" s="200"/>
    </row>
    <row r="52" spans="2:20" x14ac:dyDescent="0.3">
      <c r="B52" s="184" t="s">
        <v>56</v>
      </c>
      <c r="C52" s="240"/>
      <c r="D52" s="261">
        <f>IFERROR(C52*'Inputs and assumptions'!D23/$D$27,0)</f>
        <v>0</v>
      </c>
      <c r="E52" s="112"/>
      <c r="F52" s="140">
        <f>$D52*SUM($E$27:F$27)</f>
        <v>0</v>
      </c>
      <c r="G52" s="140">
        <f>$D52*SUM($E$27:G$27)</f>
        <v>0</v>
      </c>
      <c r="H52" s="140">
        <f>$D52*SUM($E$27:H$27)</f>
        <v>0</v>
      </c>
      <c r="I52" s="140">
        <f>$D52*SUM($E$27:I$27)</f>
        <v>0</v>
      </c>
      <c r="J52" s="140">
        <f>$D52*SUM($E$27:J$27)</f>
        <v>0</v>
      </c>
      <c r="K52" s="140">
        <f>$D52*SUM($E$27:K$27)</f>
        <v>0</v>
      </c>
      <c r="L52" s="140">
        <f>$D52*SUM($E$27:L$27)</f>
        <v>0</v>
      </c>
      <c r="M52" s="140">
        <f>$D52*SUM($E$27:M$27)</f>
        <v>0</v>
      </c>
      <c r="N52" s="140">
        <f>$D52*SUM($E$27:N$27)</f>
        <v>0</v>
      </c>
      <c r="O52" s="140">
        <f>$D52*SUM($E$27:O$27)</f>
        <v>0</v>
      </c>
      <c r="P52" s="140">
        <f>$D52*SUM($E$27:P$27)</f>
        <v>0</v>
      </c>
      <c r="Q52" s="140">
        <f>$D52*SUM($E$27:Q$27)</f>
        <v>0</v>
      </c>
      <c r="R52" s="140">
        <f>$D52*SUM($E$27:R$27)</f>
        <v>0</v>
      </c>
      <c r="S52" s="140">
        <f>$D52*SUM($E$27:S$27)</f>
        <v>0</v>
      </c>
      <c r="T52" s="141">
        <f>$D52*SUM($E$27:T$27)</f>
        <v>0</v>
      </c>
    </row>
    <row r="53" spans="2:20" x14ac:dyDescent="0.3">
      <c r="B53" s="184" t="s">
        <v>57</v>
      </c>
      <c r="C53" s="240"/>
      <c r="D53" s="261">
        <f>IFERROR(C53*'Inputs and assumptions'!D24/$D$27,0)</f>
        <v>0</v>
      </c>
      <c r="E53" s="112"/>
      <c r="F53" s="140">
        <f>$D53*SUM($E$27:F$27)</f>
        <v>0</v>
      </c>
      <c r="G53" s="140">
        <f>$D53*SUM($E$27:G$27)</f>
        <v>0</v>
      </c>
      <c r="H53" s="140">
        <f>$D53*SUM($E$27:H$27)</f>
        <v>0</v>
      </c>
      <c r="I53" s="140">
        <f>$D53*SUM($E$27:I$27)</f>
        <v>0</v>
      </c>
      <c r="J53" s="140">
        <f>$D53*SUM($E$27:J$27)</f>
        <v>0</v>
      </c>
      <c r="K53" s="140">
        <f>$D53*SUM($E$27:K$27)</f>
        <v>0</v>
      </c>
      <c r="L53" s="140">
        <f>$D53*SUM($E$27:L$27)</f>
        <v>0</v>
      </c>
      <c r="M53" s="140">
        <f>$D53*SUM($E$27:M$27)</f>
        <v>0</v>
      </c>
      <c r="N53" s="140">
        <f>$D53*SUM($E$27:N$27)</f>
        <v>0</v>
      </c>
      <c r="O53" s="140">
        <f>$D53*SUM($E$27:O$27)</f>
        <v>0</v>
      </c>
      <c r="P53" s="140">
        <f>$D53*SUM($E$27:P$27)</f>
        <v>0</v>
      </c>
      <c r="Q53" s="140">
        <f>$D53*SUM($E$27:Q$27)</f>
        <v>0</v>
      </c>
      <c r="R53" s="140">
        <f>$D53*SUM($E$27:R$27)</f>
        <v>0</v>
      </c>
      <c r="S53" s="140">
        <f>$D53*SUM($E$27:S$27)</f>
        <v>0</v>
      </c>
      <c r="T53" s="141">
        <f>$D53*SUM($E$27:T$27)</f>
        <v>0</v>
      </c>
    </row>
    <row r="54" spans="2:20" x14ac:dyDescent="0.3">
      <c r="B54" s="184" t="s">
        <v>58</v>
      </c>
      <c r="C54" s="240"/>
      <c r="D54" s="261">
        <f>IFERROR(C54*'Inputs and assumptions'!D25/$D$27,0)</f>
        <v>0</v>
      </c>
      <c r="E54" s="112"/>
      <c r="F54" s="140">
        <f>$D54*SUM($E$27:F$27)</f>
        <v>0</v>
      </c>
      <c r="G54" s="140">
        <f>$D54*SUM($E$27:G$27)</f>
        <v>0</v>
      </c>
      <c r="H54" s="140">
        <f>$D54*SUM($E$27:H$27)</f>
        <v>0</v>
      </c>
      <c r="I54" s="140">
        <f>$D54*SUM($E$27:I$27)</f>
        <v>0</v>
      </c>
      <c r="J54" s="140">
        <f>$D54*SUM($E$27:J$27)</f>
        <v>0</v>
      </c>
      <c r="K54" s="140">
        <f>$D54*SUM($E$27:K$27)</f>
        <v>0</v>
      </c>
      <c r="L54" s="140">
        <f>$D54*SUM($E$27:L$27)</f>
        <v>0</v>
      </c>
      <c r="M54" s="140">
        <f>$D54*SUM($E$27:M$27)</f>
        <v>0</v>
      </c>
      <c r="N54" s="140">
        <f>$D54*SUM($E$27:N$27)</f>
        <v>0</v>
      </c>
      <c r="O54" s="140">
        <f>$D54*SUM($E$27:O$27)</f>
        <v>0</v>
      </c>
      <c r="P54" s="140">
        <f>$D54*SUM($E$27:P$27)</f>
        <v>0</v>
      </c>
      <c r="Q54" s="140">
        <f>$D54*SUM($E$27:Q$27)</f>
        <v>0</v>
      </c>
      <c r="R54" s="140">
        <f>$D54*SUM($E$27:R$27)</f>
        <v>0</v>
      </c>
      <c r="S54" s="140">
        <f>$D54*SUM($E$27:S$27)</f>
        <v>0</v>
      </c>
      <c r="T54" s="141">
        <f>$D54*SUM($E$27:T$27)</f>
        <v>0</v>
      </c>
    </row>
    <row r="55" spans="2:20" x14ac:dyDescent="0.3">
      <c r="B55" s="184" t="s">
        <v>59</v>
      </c>
      <c r="C55" s="240"/>
      <c r="D55" s="261">
        <f>IFERROR(C55*'Inputs and assumptions'!D26/$D$27,0)</f>
        <v>0</v>
      </c>
      <c r="E55" s="112"/>
      <c r="F55" s="140">
        <f>$D55*SUM($E$27:F$27)</f>
        <v>0</v>
      </c>
      <c r="G55" s="140">
        <f>$D55*SUM($E$27:G$27)</f>
        <v>0</v>
      </c>
      <c r="H55" s="140">
        <f>$D55*SUM($E$27:H$27)</f>
        <v>0</v>
      </c>
      <c r="I55" s="140">
        <f>$D55*SUM($E$27:I$27)</f>
        <v>0</v>
      </c>
      <c r="J55" s="140">
        <f>$D55*SUM($E$27:J$27)</f>
        <v>0</v>
      </c>
      <c r="K55" s="140">
        <f>$D55*SUM($E$27:K$27)</f>
        <v>0</v>
      </c>
      <c r="L55" s="140">
        <f>$D55*SUM($E$27:L$27)</f>
        <v>0</v>
      </c>
      <c r="M55" s="140">
        <f>$D55*SUM($E$27:M$27)</f>
        <v>0</v>
      </c>
      <c r="N55" s="140">
        <f>$D55*SUM($E$27:N$27)</f>
        <v>0</v>
      </c>
      <c r="O55" s="140">
        <f>$D55*SUM($E$27:O$27)</f>
        <v>0</v>
      </c>
      <c r="P55" s="140">
        <f>$D55*SUM($E$27:P$27)</f>
        <v>0</v>
      </c>
      <c r="Q55" s="140">
        <f>$D55*SUM($E$27:Q$27)</f>
        <v>0</v>
      </c>
      <c r="R55" s="140">
        <f>$D55*SUM($E$27:R$27)</f>
        <v>0</v>
      </c>
      <c r="S55" s="140">
        <f>$D55*SUM($E$27:S$27)</f>
        <v>0</v>
      </c>
      <c r="T55" s="141">
        <f>$D55*SUM($E$27:T$27)</f>
        <v>0</v>
      </c>
    </row>
    <row r="56" spans="2:20" x14ac:dyDescent="0.3">
      <c r="B56" s="184" t="s">
        <v>60</v>
      </c>
      <c r="C56" s="240"/>
      <c r="D56" s="261">
        <f>IFERROR(C56*'Inputs and assumptions'!D27/$D$27,0)</f>
        <v>0</v>
      </c>
      <c r="E56" s="112"/>
      <c r="F56" s="140">
        <f>$D56*SUM($E$27:F$27)</f>
        <v>0</v>
      </c>
      <c r="G56" s="140">
        <f>$D56*SUM($E$27:G$27)</f>
        <v>0</v>
      </c>
      <c r="H56" s="140">
        <f>$D56*SUM($E$27:H$27)</f>
        <v>0</v>
      </c>
      <c r="I56" s="140">
        <f>$D56*SUM($E$27:I$27)</f>
        <v>0</v>
      </c>
      <c r="J56" s="140">
        <f>$D56*SUM($E$27:J$27)</f>
        <v>0</v>
      </c>
      <c r="K56" s="140">
        <f>$D56*SUM($E$27:K$27)</f>
        <v>0</v>
      </c>
      <c r="L56" s="140">
        <f>$D56*SUM($E$27:L$27)</f>
        <v>0</v>
      </c>
      <c r="M56" s="140">
        <f>$D56*SUM($E$27:M$27)</f>
        <v>0</v>
      </c>
      <c r="N56" s="140">
        <f>$D56*SUM($E$27:N$27)</f>
        <v>0</v>
      </c>
      <c r="O56" s="140">
        <f>$D56*SUM($E$27:O$27)</f>
        <v>0</v>
      </c>
      <c r="P56" s="140">
        <f>$D56*SUM($E$27:P$27)</f>
        <v>0</v>
      </c>
      <c r="Q56" s="140">
        <f>$D56*SUM($E$27:Q$27)</f>
        <v>0</v>
      </c>
      <c r="R56" s="140">
        <f>$D56*SUM($E$27:R$27)</f>
        <v>0</v>
      </c>
      <c r="S56" s="140">
        <f>$D56*SUM($E$27:S$27)</f>
        <v>0</v>
      </c>
      <c r="T56" s="141">
        <f>$D56*SUM($E$27:T$27)</f>
        <v>0</v>
      </c>
    </row>
    <row r="57" spans="2:20" x14ac:dyDescent="0.3">
      <c r="B57" s="184" t="s">
        <v>61</v>
      </c>
      <c r="C57" s="240"/>
      <c r="D57" s="261">
        <f>IFERROR(C57*'Inputs and assumptions'!D28/$D$27,0)</f>
        <v>0</v>
      </c>
      <c r="E57" s="112"/>
      <c r="F57" s="140">
        <f>$D57*SUM($E$27:F$27)</f>
        <v>0</v>
      </c>
      <c r="G57" s="140">
        <f>$D57*SUM($E$27:G$27)</f>
        <v>0</v>
      </c>
      <c r="H57" s="140">
        <f>$D57*SUM($E$27:H$27)</f>
        <v>0</v>
      </c>
      <c r="I57" s="140">
        <f>$D57*SUM($E$27:I$27)</f>
        <v>0</v>
      </c>
      <c r="J57" s="140">
        <f>$D57*SUM($E$27:J$27)</f>
        <v>0</v>
      </c>
      <c r="K57" s="140">
        <f>$D57*SUM($E$27:K$27)</f>
        <v>0</v>
      </c>
      <c r="L57" s="140">
        <f>$D57*SUM($E$27:L$27)</f>
        <v>0</v>
      </c>
      <c r="M57" s="140">
        <f>$D57*SUM($E$27:M$27)</f>
        <v>0</v>
      </c>
      <c r="N57" s="140">
        <f>$D57*SUM($E$27:N$27)</f>
        <v>0</v>
      </c>
      <c r="O57" s="140">
        <f>$D57*SUM($E$27:O$27)</f>
        <v>0</v>
      </c>
      <c r="P57" s="140">
        <f>$D57*SUM($E$27:P$27)</f>
        <v>0</v>
      </c>
      <c r="Q57" s="140">
        <f>$D57*SUM($E$27:Q$27)</f>
        <v>0</v>
      </c>
      <c r="R57" s="140">
        <f>$D57*SUM($E$27:R$27)</f>
        <v>0</v>
      </c>
      <c r="S57" s="140">
        <f>$D57*SUM($E$27:S$27)</f>
        <v>0</v>
      </c>
      <c r="T57" s="141">
        <f>$D57*SUM($E$27:T$27)</f>
        <v>0</v>
      </c>
    </row>
    <row r="58" spans="2:20" x14ac:dyDescent="0.3">
      <c r="B58" s="184"/>
      <c r="D58" s="198"/>
      <c r="E58" s="112"/>
      <c r="F58" s="199"/>
      <c r="G58" s="199"/>
      <c r="H58" s="199"/>
      <c r="I58" s="199"/>
      <c r="J58" s="199"/>
      <c r="K58" s="199"/>
      <c r="L58" s="199"/>
      <c r="M58" s="199"/>
      <c r="N58" s="199"/>
      <c r="O58" s="199"/>
      <c r="P58" s="199"/>
      <c r="Q58" s="199"/>
      <c r="R58" s="199"/>
      <c r="S58" s="199"/>
      <c r="T58" s="200"/>
    </row>
    <row r="59" spans="2:20" x14ac:dyDescent="0.3">
      <c r="B59" s="185" t="s">
        <v>62</v>
      </c>
      <c r="C59" s="239" t="s">
        <v>236</v>
      </c>
      <c r="D59" s="201"/>
      <c r="E59" s="112"/>
      <c r="F59" s="199"/>
      <c r="G59" s="199"/>
      <c r="H59" s="199"/>
      <c r="I59" s="199"/>
      <c r="J59" s="199"/>
      <c r="K59" s="199"/>
      <c r="L59" s="199"/>
      <c r="M59" s="199"/>
      <c r="N59" s="199"/>
      <c r="O59" s="199"/>
      <c r="P59" s="199"/>
      <c r="Q59" s="199"/>
      <c r="R59" s="199"/>
      <c r="S59" s="199"/>
      <c r="T59" s="200"/>
    </row>
    <row r="60" spans="2:20" x14ac:dyDescent="0.3">
      <c r="B60" s="184" t="s">
        <v>63</v>
      </c>
      <c r="C60" s="240"/>
      <c r="D60" s="261">
        <f>IFERROR(C60*'Inputs and assumptions'!D31/$D$27,0)</f>
        <v>0</v>
      </c>
      <c r="E60" s="112"/>
      <c r="F60" s="140">
        <f>$D60*SUM($E$27:F$27)</f>
        <v>0</v>
      </c>
      <c r="G60" s="140">
        <f>$D60*SUM($E$27:G$27)</f>
        <v>0</v>
      </c>
      <c r="H60" s="140">
        <f>$D60*SUM($E$27:H$27)</f>
        <v>0</v>
      </c>
      <c r="I60" s="140">
        <f>$D60*SUM($E$27:I$27)</f>
        <v>0</v>
      </c>
      <c r="J60" s="140">
        <f>$D60*SUM($E$27:J$27)</f>
        <v>0</v>
      </c>
      <c r="K60" s="140">
        <f>$D60*SUM($E$27:K$27)</f>
        <v>0</v>
      </c>
      <c r="L60" s="140">
        <f>$D60*SUM($E$27:L$27)</f>
        <v>0</v>
      </c>
      <c r="M60" s="140">
        <f>$D60*SUM($E$27:M$27)</f>
        <v>0</v>
      </c>
      <c r="N60" s="140">
        <f>$D60*SUM($E$27:N$27)</f>
        <v>0</v>
      </c>
      <c r="O60" s="140">
        <f>$D60*SUM($E$27:O$27)</f>
        <v>0</v>
      </c>
      <c r="P60" s="140">
        <f>$D60*SUM($E$27:P$27)</f>
        <v>0</v>
      </c>
      <c r="Q60" s="140">
        <f>$D60*SUM($E$27:Q$27)</f>
        <v>0</v>
      </c>
      <c r="R60" s="140">
        <f>$D60*SUM($E$27:R$27)</f>
        <v>0</v>
      </c>
      <c r="S60" s="140">
        <f>$D60*SUM($E$27:S$27)</f>
        <v>0</v>
      </c>
      <c r="T60" s="141">
        <f>$D60*SUM($E$27:T$27)</f>
        <v>0</v>
      </c>
    </row>
    <row r="61" spans="2:20" x14ac:dyDescent="0.3">
      <c r="B61" s="184" t="s">
        <v>64</v>
      </c>
      <c r="C61" s="240">
        <v>3.0000000000000001E-3</v>
      </c>
      <c r="D61" s="261">
        <f>IFERROR(C61*'Inputs and assumptions'!D32/$D$27,0)</f>
        <v>9000</v>
      </c>
      <c r="E61" s="112"/>
      <c r="F61" s="140">
        <f>$D61*SUM($E$27:F$27)</f>
        <v>18000</v>
      </c>
      <c r="G61" s="140">
        <f>$D61*SUM($E$27:G$27)</f>
        <v>45000</v>
      </c>
      <c r="H61" s="140">
        <f>$D61*SUM($E$27:H$27)</f>
        <v>72000</v>
      </c>
      <c r="I61" s="140">
        <f>$D61*SUM($E$27:I$27)</f>
        <v>90000</v>
      </c>
      <c r="J61" s="140">
        <f>$D61*SUM($E$27:J$27)</f>
        <v>90000</v>
      </c>
      <c r="K61" s="140">
        <f>$D61*SUM($E$27:K$27)</f>
        <v>90000</v>
      </c>
      <c r="L61" s="140">
        <f>$D61*SUM($E$27:L$27)</f>
        <v>90000</v>
      </c>
      <c r="M61" s="140">
        <f>$D61*SUM($E$27:M$27)</f>
        <v>90000</v>
      </c>
      <c r="N61" s="140">
        <f>$D61*SUM($E$27:N$27)</f>
        <v>90000</v>
      </c>
      <c r="O61" s="140">
        <f>$D61*SUM($E$27:O$27)</f>
        <v>90000</v>
      </c>
      <c r="P61" s="140">
        <f>$D61*SUM($E$27:P$27)</f>
        <v>90000</v>
      </c>
      <c r="Q61" s="140">
        <f>$D61*SUM($E$27:Q$27)</f>
        <v>90000</v>
      </c>
      <c r="R61" s="140">
        <f>$D61*SUM($E$27:R$27)</f>
        <v>90000</v>
      </c>
      <c r="S61" s="140">
        <f>$D61*SUM($E$27:S$27)</f>
        <v>90000</v>
      </c>
      <c r="T61" s="141">
        <f>$D61*SUM($E$27:T$27)</f>
        <v>90000</v>
      </c>
    </row>
    <row r="62" spans="2:20" x14ac:dyDescent="0.3">
      <c r="B62" s="184"/>
      <c r="D62" s="198"/>
      <c r="E62" s="112"/>
      <c r="F62" s="199"/>
      <c r="G62" s="199"/>
      <c r="H62" s="199"/>
      <c r="I62" s="199"/>
      <c r="J62" s="199"/>
      <c r="K62" s="199"/>
      <c r="L62" s="199"/>
      <c r="M62" s="199"/>
      <c r="N62" s="199"/>
      <c r="O62" s="199"/>
      <c r="P62" s="199"/>
      <c r="Q62" s="199"/>
      <c r="R62" s="199"/>
      <c r="S62" s="199"/>
      <c r="T62" s="200"/>
    </row>
    <row r="63" spans="2:20" x14ac:dyDescent="0.3">
      <c r="B63" s="185" t="s">
        <v>65</v>
      </c>
      <c r="C63" s="239" t="s">
        <v>236</v>
      </c>
      <c r="D63" s="201"/>
      <c r="E63" s="112"/>
      <c r="F63" s="199"/>
      <c r="G63" s="199"/>
      <c r="H63" s="199"/>
      <c r="I63" s="199"/>
      <c r="J63" s="199"/>
      <c r="K63" s="199"/>
      <c r="L63" s="199"/>
      <c r="M63" s="199"/>
      <c r="N63" s="199"/>
      <c r="O63" s="199"/>
      <c r="P63" s="199"/>
      <c r="Q63" s="199"/>
      <c r="R63" s="199"/>
      <c r="S63" s="199"/>
      <c r="T63" s="200"/>
    </row>
    <row r="64" spans="2:20" x14ac:dyDescent="0.3">
      <c r="B64" s="184" t="s">
        <v>66</v>
      </c>
      <c r="C64" s="240">
        <v>3.0000000000000001E-3</v>
      </c>
      <c r="D64" s="261">
        <f>IFERROR(C64*'Inputs and assumptions'!D35/$D$27,0)</f>
        <v>37800</v>
      </c>
      <c r="E64" s="112"/>
      <c r="F64" s="140">
        <f>$D64*SUM($E$27:F$27)</f>
        <v>75600</v>
      </c>
      <c r="G64" s="140">
        <f>$D64*SUM($E$27:G$27)</f>
        <v>189000</v>
      </c>
      <c r="H64" s="140">
        <f>$D64*SUM($E$27:H$27)</f>
        <v>302400</v>
      </c>
      <c r="I64" s="140">
        <f>$D64*SUM($E$27:I$27)</f>
        <v>378000</v>
      </c>
      <c r="J64" s="140">
        <f>$D64*SUM($E$27:J$27)</f>
        <v>378000</v>
      </c>
      <c r="K64" s="140">
        <f>$D64*SUM($E$27:K$27)</f>
        <v>378000</v>
      </c>
      <c r="L64" s="140">
        <f>$D64*SUM($E$27:L$27)</f>
        <v>378000</v>
      </c>
      <c r="M64" s="140">
        <f>$D64*SUM($E$27:M$27)</f>
        <v>378000</v>
      </c>
      <c r="N64" s="140">
        <f>$D64*SUM($E$27:N$27)</f>
        <v>378000</v>
      </c>
      <c r="O64" s="140">
        <f>$D64*SUM($E$27:O$27)</f>
        <v>378000</v>
      </c>
      <c r="P64" s="140">
        <f>$D64*SUM($E$27:P$27)</f>
        <v>378000</v>
      </c>
      <c r="Q64" s="140">
        <f>$D64*SUM($E$27:Q$27)</f>
        <v>378000</v>
      </c>
      <c r="R64" s="140">
        <f>$D64*SUM($E$27:R$27)</f>
        <v>378000</v>
      </c>
      <c r="S64" s="140">
        <f>$D64*SUM($E$27:S$27)</f>
        <v>378000</v>
      </c>
      <c r="T64" s="141">
        <f>$D64*SUM($E$27:T$27)</f>
        <v>378000</v>
      </c>
    </row>
    <row r="65" spans="2:20" x14ac:dyDescent="0.3">
      <c r="B65" s="184" t="s">
        <v>67</v>
      </c>
      <c r="C65" s="240"/>
      <c r="D65" s="261">
        <f>IFERROR(C65*'Inputs and assumptions'!D36/$D$27,0)</f>
        <v>0</v>
      </c>
      <c r="E65" s="112"/>
      <c r="F65" s="140">
        <f>$D65*SUM($E$27:F$27)</f>
        <v>0</v>
      </c>
      <c r="G65" s="140">
        <f>$D65*SUM($E$27:G$27)</f>
        <v>0</v>
      </c>
      <c r="H65" s="140">
        <f>$D65*SUM($E$27:H$27)</f>
        <v>0</v>
      </c>
      <c r="I65" s="140">
        <f>$D65*SUM($E$27:I$27)</f>
        <v>0</v>
      </c>
      <c r="J65" s="140">
        <f>$D65*SUM($E$27:J$27)</f>
        <v>0</v>
      </c>
      <c r="K65" s="140">
        <f>$D65*SUM($E$27:K$27)</f>
        <v>0</v>
      </c>
      <c r="L65" s="140">
        <f>$D65*SUM($E$27:L$27)</f>
        <v>0</v>
      </c>
      <c r="M65" s="140">
        <f>$D65*SUM($E$27:M$27)</f>
        <v>0</v>
      </c>
      <c r="N65" s="140">
        <f>$D65*SUM($E$27:N$27)</f>
        <v>0</v>
      </c>
      <c r="O65" s="140">
        <f>$D65*SUM($E$27:O$27)</f>
        <v>0</v>
      </c>
      <c r="P65" s="140">
        <f>$D65*SUM($E$27:P$27)</f>
        <v>0</v>
      </c>
      <c r="Q65" s="140">
        <f>$D65*SUM($E$27:Q$27)</f>
        <v>0</v>
      </c>
      <c r="R65" s="140">
        <f>$D65*SUM($E$27:R$27)</f>
        <v>0</v>
      </c>
      <c r="S65" s="140">
        <f>$D65*SUM($E$27:S$27)</f>
        <v>0</v>
      </c>
      <c r="T65" s="141">
        <f>$D65*SUM($E$27:T$27)</f>
        <v>0</v>
      </c>
    </row>
    <row r="66" spans="2:20" x14ac:dyDescent="0.3">
      <c r="B66" s="184" t="s">
        <v>68</v>
      </c>
      <c r="C66" s="240"/>
      <c r="D66" s="261">
        <f>IFERROR(C66*'Inputs and assumptions'!D37/$D$27,0)</f>
        <v>0</v>
      </c>
      <c r="E66" s="112"/>
      <c r="F66" s="140">
        <f>$D66*SUM($E$27:F$27)</f>
        <v>0</v>
      </c>
      <c r="G66" s="140">
        <f>$D66*SUM($E$27:G$27)</f>
        <v>0</v>
      </c>
      <c r="H66" s="140">
        <f>$D66*SUM($E$27:H$27)</f>
        <v>0</v>
      </c>
      <c r="I66" s="140">
        <f>$D66*SUM($E$27:I$27)</f>
        <v>0</v>
      </c>
      <c r="J66" s="140">
        <f>$D66*SUM($E$27:J$27)</f>
        <v>0</v>
      </c>
      <c r="K66" s="140">
        <f>$D66*SUM($E$27:K$27)</f>
        <v>0</v>
      </c>
      <c r="L66" s="140">
        <f>$D66*SUM($E$27:L$27)</f>
        <v>0</v>
      </c>
      <c r="M66" s="140">
        <f>$D66*SUM($E$27:M$27)</f>
        <v>0</v>
      </c>
      <c r="N66" s="140">
        <f>$D66*SUM($E$27:N$27)</f>
        <v>0</v>
      </c>
      <c r="O66" s="140">
        <f>$D66*SUM($E$27:O$27)</f>
        <v>0</v>
      </c>
      <c r="P66" s="140">
        <f>$D66*SUM($E$27:P$27)</f>
        <v>0</v>
      </c>
      <c r="Q66" s="140">
        <f>$D66*SUM($E$27:Q$27)</f>
        <v>0</v>
      </c>
      <c r="R66" s="140">
        <f>$D66*SUM($E$27:R$27)</f>
        <v>0</v>
      </c>
      <c r="S66" s="140">
        <f>$D66*SUM($E$27:S$27)</f>
        <v>0</v>
      </c>
      <c r="T66" s="141">
        <f>$D66*SUM($E$27:T$27)</f>
        <v>0</v>
      </c>
    </row>
    <row r="67" spans="2:20" x14ac:dyDescent="0.3">
      <c r="B67" s="184" t="s">
        <v>69</v>
      </c>
      <c r="C67" s="240"/>
      <c r="D67" s="261">
        <f>IFERROR(C67*'Inputs and assumptions'!D38/$D$27,0)</f>
        <v>0</v>
      </c>
      <c r="E67" s="112"/>
      <c r="F67" s="140">
        <f>$D67*SUM($E$27:F$27)</f>
        <v>0</v>
      </c>
      <c r="G67" s="140">
        <f>$D67*SUM($E$27:G$27)</f>
        <v>0</v>
      </c>
      <c r="H67" s="140">
        <f>$D67*SUM($E$27:H$27)</f>
        <v>0</v>
      </c>
      <c r="I67" s="140">
        <f>$D67*SUM($E$27:I$27)</f>
        <v>0</v>
      </c>
      <c r="J67" s="140">
        <f>$D67*SUM($E$27:J$27)</f>
        <v>0</v>
      </c>
      <c r="K67" s="140">
        <f>$D67*SUM($E$27:K$27)</f>
        <v>0</v>
      </c>
      <c r="L67" s="140">
        <f>$D67*SUM($E$27:L$27)</f>
        <v>0</v>
      </c>
      <c r="M67" s="140">
        <f>$D67*SUM($E$27:M$27)</f>
        <v>0</v>
      </c>
      <c r="N67" s="140">
        <f>$D67*SUM($E$27:N$27)</f>
        <v>0</v>
      </c>
      <c r="O67" s="140">
        <f>$D67*SUM($E$27:O$27)</f>
        <v>0</v>
      </c>
      <c r="P67" s="140">
        <f>$D67*SUM($E$27:P$27)</f>
        <v>0</v>
      </c>
      <c r="Q67" s="140">
        <f>$D67*SUM($E$27:Q$27)</f>
        <v>0</v>
      </c>
      <c r="R67" s="140">
        <f>$D67*SUM($E$27:R$27)</f>
        <v>0</v>
      </c>
      <c r="S67" s="140">
        <f>$D67*SUM($E$27:S$27)</f>
        <v>0</v>
      </c>
      <c r="T67" s="141">
        <f>$D67*SUM($E$27:T$27)</f>
        <v>0</v>
      </c>
    </row>
    <row r="68" spans="2:20" x14ac:dyDescent="0.3">
      <c r="B68" s="184" t="s">
        <v>70</v>
      </c>
      <c r="C68" s="240"/>
      <c r="D68" s="261">
        <f>IFERROR(C68*'Inputs and assumptions'!D39/$D$27,0)</f>
        <v>0</v>
      </c>
      <c r="E68" s="112"/>
      <c r="F68" s="140">
        <f>$D68*SUM($E$27:F$27)</f>
        <v>0</v>
      </c>
      <c r="G68" s="140">
        <f>$D68*SUM($E$27:G$27)</f>
        <v>0</v>
      </c>
      <c r="H68" s="140">
        <f>$D68*SUM($E$27:H$27)</f>
        <v>0</v>
      </c>
      <c r="I68" s="140">
        <f>$D68*SUM($E$27:I$27)</f>
        <v>0</v>
      </c>
      <c r="J68" s="140">
        <f>$D68*SUM($E$27:J$27)</f>
        <v>0</v>
      </c>
      <c r="K68" s="140">
        <f>$D68*SUM($E$27:K$27)</f>
        <v>0</v>
      </c>
      <c r="L68" s="140">
        <f>$D68*SUM($E$27:L$27)</f>
        <v>0</v>
      </c>
      <c r="M68" s="140">
        <f>$D68*SUM($E$27:M$27)</f>
        <v>0</v>
      </c>
      <c r="N68" s="140">
        <f>$D68*SUM($E$27:N$27)</f>
        <v>0</v>
      </c>
      <c r="O68" s="140">
        <f>$D68*SUM($E$27:O$27)</f>
        <v>0</v>
      </c>
      <c r="P68" s="140">
        <f>$D68*SUM($E$27:P$27)</f>
        <v>0</v>
      </c>
      <c r="Q68" s="140">
        <f>$D68*SUM($E$27:Q$27)</f>
        <v>0</v>
      </c>
      <c r="R68" s="140">
        <f>$D68*SUM($E$27:R$27)</f>
        <v>0</v>
      </c>
      <c r="S68" s="140">
        <f>$D68*SUM($E$27:S$27)</f>
        <v>0</v>
      </c>
      <c r="T68" s="141">
        <f>$D68*SUM($E$27:T$27)</f>
        <v>0</v>
      </c>
    </row>
    <row r="69" spans="2:20" x14ac:dyDescent="0.3">
      <c r="B69" s="184" t="s">
        <v>71</v>
      </c>
      <c r="C69" s="240"/>
      <c r="D69" s="261">
        <f>IFERROR(C69*'Inputs and assumptions'!D40/$D$27,0)</f>
        <v>0</v>
      </c>
      <c r="E69" s="112"/>
      <c r="F69" s="140">
        <f>$D69*SUM($E$27:F$27)</f>
        <v>0</v>
      </c>
      <c r="G69" s="140">
        <f>$D69*SUM($E$27:G$27)</f>
        <v>0</v>
      </c>
      <c r="H69" s="140">
        <f>$D69*SUM($E$27:H$27)</f>
        <v>0</v>
      </c>
      <c r="I69" s="140">
        <f>$D69*SUM($E$27:I$27)</f>
        <v>0</v>
      </c>
      <c r="J69" s="140">
        <f>$D69*SUM($E$27:J$27)</f>
        <v>0</v>
      </c>
      <c r="K69" s="140">
        <f>$D69*SUM($E$27:K$27)</f>
        <v>0</v>
      </c>
      <c r="L69" s="140">
        <f>$D69*SUM($E$27:L$27)</f>
        <v>0</v>
      </c>
      <c r="M69" s="140">
        <f>$D69*SUM($E$27:M$27)</f>
        <v>0</v>
      </c>
      <c r="N69" s="140">
        <f>$D69*SUM($E$27:N$27)</f>
        <v>0</v>
      </c>
      <c r="O69" s="140">
        <f>$D69*SUM($E$27:O$27)</f>
        <v>0</v>
      </c>
      <c r="P69" s="140">
        <f>$D69*SUM($E$27:P$27)</f>
        <v>0</v>
      </c>
      <c r="Q69" s="140">
        <f>$D69*SUM($E$27:Q$27)</f>
        <v>0</v>
      </c>
      <c r="R69" s="140">
        <f>$D69*SUM($E$27:R$27)</f>
        <v>0</v>
      </c>
      <c r="S69" s="140">
        <f>$D69*SUM($E$27:S$27)</f>
        <v>0</v>
      </c>
      <c r="T69" s="141">
        <f>$D69*SUM($E$27:T$27)</f>
        <v>0</v>
      </c>
    </row>
    <row r="70" spans="2:20" x14ac:dyDescent="0.3">
      <c r="B70" s="184" t="s">
        <v>72</v>
      </c>
      <c r="C70" s="240"/>
      <c r="D70" s="261">
        <f>IFERROR(C70*'Inputs and assumptions'!D41/$D$27,0)</f>
        <v>0</v>
      </c>
      <c r="E70" s="112"/>
      <c r="F70" s="140">
        <f>$D70*SUM($E$27:F$27)</f>
        <v>0</v>
      </c>
      <c r="G70" s="140">
        <f>$D70*SUM($E$27:G$27)</f>
        <v>0</v>
      </c>
      <c r="H70" s="140">
        <f>$D70*SUM($E$27:H$27)</f>
        <v>0</v>
      </c>
      <c r="I70" s="140">
        <f>$D70*SUM($E$27:I$27)</f>
        <v>0</v>
      </c>
      <c r="J70" s="140">
        <f>$D70*SUM($E$27:J$27)</f>
        <v>0</v>
      </c>
      <c r="K70" s="140">
        <f>$D70*SUM($E$27:K$27)</f>
        <v>0</v>
      </c>
      <c r="L70" s="140">
        <f>$D70*SUM($E$27:L$27)</f>
        <v>0</v>
      </c>
      <c r="M70" s="140">
        <f>$D70*SUM($E$27:M$27)</f>
        <v>0</v>
      </c>
      <c r="N70" s="140">
        <f>$D70*SUM($E$27:N$27)</f>
        <v>0</v>
      </c>
      <c r="O70" s="140">
        <f>$D70*SUM($E$27:O$27)</f>
        <v>0</v>
      </c>
      <c r="P70" s="140">
        <f>$D70*SUM($E$27:P$27)</f>
        <v>0</v>
      </c>
      <c r="Q70" s="140">
        <f>$D70*SUM($E$27:Q$27)</f>
        <v>0</v>
      </c>
      <c r="R70" s="140">
        <f>$D70*SUM($E$27:R$27)</f>
        <v>0</v>
      </c>
      <c r="S70" s="140">
        <f>$D70*SUM($E$27:S$27)</f>
        <v>0</v>
      </c>
      <c r="T70" s="141">
        <f>$D70*SUM($E$27:T$27)</f>
        <v>0</v>
      </c>
    </row>
    <row r="71" spans="2:20" ht="13.5" thickBot="1" x14ac:dyDescent="0.35">
      <c r="B71" s="123"/>
      <c r="C71" s="112"/>
      <c r="D71" s="150"/>
      <c r="E71" s="112"/>
      <c r="F71" s="112"/>
      <c r="G71" s="112"/>
      <c r="H71" s="112"/>
      <c r="I71" s="112"/>
      <c r="J71" s="112"/>
      <c r="K71" s="112"/>
      <c r="L71" s="112"/>
      <c r="M71" s="112"/>
      <c r="N71" s="112"/>
      <c r="O71" s="112"/>
      <c r="P71" s="112"/>
      <c r="Q71" s="112"/>
      <c r="R71" s="112"/>
      <c r="S71" s="112"/>
      <c r="T71" s="150"/>
    </row>
    <row r="72" spans="2:20" x14ac:dyDescent="0.3">
      <c r="B72" s="186" t="s">
        <v>73</v>
      </c>
      <c r="C72" s="233"/>
      <c r="D72" s="187"/>
      <c r="E72" s="188"/>
      <c r="F72" s="189" t="str">
        <f>F26</f>
        <v>Year 1</v>
      </c>
      <c r="G72" s="189" t="s">
        <v>232</v>
      </c>
      <c r="H72" s="189" t="s">
        <v>26</v>
      </c>
      <c r="I72" s="189" t="s">
        <v>27</v>
      </c>
      <c r="J72" s="189" t="s">
        <v>28</v>
      </c>
      <c r="K72" s="189" t="s">
        <v>29</v>
      </c>
      <c r="L72" s="189" t="s">
        <v>30</v>
      </c>
      <c r="M72" s="189" t="s">
        <v>31</v>
      </c>
      <c r="N72" s="189" t="s">
        <v>32</v>
      </c>
      <c r="O72" s="189" t="s">
        <v>33</v>
      </c>
      <c r="P72" s="189" t="s">
        <v>34</v>
      </c>
      <c r="Q72" s="189" t="s">
        <v>35</v>
      </c>
      <c r="R72" s="189" t="s">
        <v>36</v>
      </c>
      <c r="S72" s="189" t="s">
        <v>37</v>
      </c>
      <c r="T72" s="190" t="s">
        <v>38</v>
      </c>
    </row>
    <row r="73" spans="2:20" x14ac:dyDescent="0.3">
      <c r="B73" s="191" t="s">
        <v>50</v>
      </c>
      <c r="C73" s="239" t="s">
        <v>236</v>
      </c>
      <c r="D73" s="202"/>
      <c r="F73" s="215"/>
      <c r="G73" s="215"/>
      <c r="H73" s="215"/>
      <c r="I73" s="215"/>
      <c r="J73" s="215"/>
      <c r="K73" s="215"/>
      <c r="L73" s="215"/>
      <c r="M73" s="215"/>
      <c r="N73" s="215"/>
      <c r="O73" s="215"/>
      <c r="P73" s="215"/>
      <c r="Q73" s="215"/>
      <c r="R73" s="215"/>
      <c r="S73" s="215"/>
      <c r="T73" s="216"/>
    </row>
    <row r="74" spans="2:20" x14ac:dyDescent="0.3">
      <c r="B74" s="193" t="s">
        <v>51</v>
      </c>
      <c r="C74" s="240"/>
      <c r="D74" s="261">
        <f>C74*'Inputs and assumptions'!D17</f>
        <v>0</v>
      </c>
      <c r="F74" s="175">
        <v>0</v>
      </c>
      <c r="G74" s="175">
        <v>0</v>
      </c>
      <c r="H74" s="175">
        <v>0</v>
      </c>
      <c r="I74" s="175">
        <v>0</v>
      </c>
      <c r="J74" s="175">
        <v>0</v>
      </c>
      <c r="K74" s="175">
        <v>0</v>
      </c>
      <c r="L74" s="175">
        <v>0</v>
      </c>
      <c r="M74" s="175">
        <v>0</v>
      </c>
      <c r="N74" s="175">
        <v>0</v>
      </c>
      <c r="O74" s="175">
        <v>0</v>
      </c>
      <c r="P74" s="175">
        <v>0</v>
      </c>
      <c r="Q74" s="175">
        <v>0</v>
      </c>
      <c r="R74" s="175">
        <v>0</v>
      </c>
      <c r="S74" s="175">
        <v>0</v>
      </c>
      <c r="T74" s="192">
        <v>0</v>
      </c>
    </row>
    <row r="75" spans="2:20" x14ac:dyDescent="0.3">
      <c r="B75" s="193" t="s">
        <v>52</v>
      </c>
      <c r="C75" s="240"/>
      <c r="D75" s="261">
        <f>C75*'Inputs and assumptions'!D18</f>
        <v>0</v>
      </c>
      <c r="F75" s="175">
        <v>0</v>
      </c>
      <c r="G75" s="175">
        <v>0</v>
      </c>
      <c r="H75" s="175">
        <v>0</v>
      </c>
      <c r="I75" s="175">
        <v>0</v>
      </c>
      <c r="J75" s="175">
        <v>0</v>
      </c>
      <c r="K75" s="175">
        <v>0</v>
      </c>
      <c r="L75" s="175">
        <v>0</v>
      </c>
      <c r="M75" s="175">
        <v>0</v>
      </c>
      <c r="N75" s="175">
        <v>0</v>
      </c>
      <c r="O75" s="175">
        <v>0</v>
      </c>
      <c r="P75" s="175">
        <v>0</v>
      </c>
      <c r="Q75" s="175">
        <v>0</v>
      </c>
      <c r="R75" s="175">
        <v>0</v>
      </c>
      <c r="S75" s="175">
        <v>0</v>
      </c>
      <c r="T75" s="192">
        <v>0</v>
      </c>
    </row>
    <row r="76" spans="2:20" x14ac:dyDescent="0.3">
      <c r="B76" s="193" t="s">
        <v>53</v>
      </c>
      <c r="C76" s="240"/>
      <c r="D76" s="261">
        <f>C76*'Inputs and assumptions'!D19</f>
        <v>0</v>
      </c>
      <c r="F76" s="175">
        <v>0</v>
      </c>
      <c r="G76" s="175">
        <v>0</v>
      </c>
      <c r="H76" s="175">
        <v>0</v>
      </c>
      <c r="I76" s="175">
        <v>0</v>
      </c>
      <c r="J76" s="175">
        <v>0</v>
      </c>
      <c r="K76" s="175">
        <v>0</v>
      </c>
      <c r="L76" s="175">
        <v>0</v>
      </c>
      <c r="M76" s="175">
        <v>0</v>
      </c>
      <c r="N76" s="175">
        <v>0</v>
      </c>
      <c r="O76" s="175">
        <v>0</v>
      </c>
      <c r="P76" s="175">
        <v>0</v>
      </c>
      <c r="Q76" s="175">
        <v>0</v>
      </c>
      <c r="R76" s="175">
        <v>0</v>
      </c>
      <c r="S76" s="175">
        <v>0</v>
      </c>
      <c r="T76" s="192">
        <v>0</v>
      </c>
    </row>
    <row r="77" spans="2:20" x14ac:dyDescent="0.3">
      <c r="B77" s="193" t="s">
        <v>54</v>
      </c>
      <c r="C77" s="240"/>
      <c r="D77" s="261">
        <f>C77*'Inputs and assumptions'!D20</f>
        <v>0</v>
      </c>
      <c r="F77" s="175">
        <v>0</v>
      </c>
      <c r="G77" s="175">
        <v>0</v>
      </c>
      <c r="H77" s="175">
        <v>0</v>
      </c>
      <c r="I77" s="175">
        <v>0</v>
      </c>
      <c r="J77" s="175">
        <v>0</v>
      </c>
      <c r="K77" s="175">
        <v>0</v>
      </c>
      <c r="L77" s="175">
        <v>0</v>
      </c>
      <c r="M77" s="175">
        <v>0</v>
      </c>
      <c r="N77" s="175">
        <v>0</v>
      </c>
      <c r="O77" s="175">
        <v>0</v>
      </c>
      <c r="P77" s="175">
        <v>0</v>
      </c>
      <c r="Q77" s="175">
        <v>0</v>
      </c>
      <c r="R77" s="175">
        <v>0</v>
      </c>
      <c r="S77" s="175">
        <v>0</v>
      </c>
      <c r="T77" s="192">
        <v>0</v>
      </c>
    </row>
    <row r="78" spans="2:20" x14ac:dyDescent="0.3">
      <c r="B78" s="193"/>
      <c r="D78" s="151"/>
      <c r="F78" s="215"/>
      <c r="G78" s="215"/>
      <c r="H78" s="215"/>
      <c r="I78" s="215"/>
      <c r="J78" s="215"/>
      <c r="K78" s="215"/>
      <c r="L78" s="215"/>
      <c r="M78" s="215"/>
      <c r="N78" s="215"/>
      <c r="O78" s="215"/>
      <c r="P78" s="215"/>
      <c r="Q78" s="215"/>
      <c r="R78" s="215"/>
      <c r="S78" s="215"/>
      <c r="T78" s="216"/>
    </row>
    <row r="79" spans="2:20" x14ac:dyDescent="0.3">
      <c r="B79" s="191" t="s">
        <v>55</v>
      </c>
      <c r="C79" s="239" t="s">
        <v>236</v>
      </c>
      <c r="D79" s="202"/>
      <c r="F79" s="215"/>
      <c r="G79" s="215"/>
      <c r="H79" s="215"/>
      <c r="I79" s="215"/>
      <c r="J79" s="215"/>
      <c r="K79" s="215"/>
      <c r="L79" s="215"/>
      <c r="M79" s="215"/>
      <c r="N79" s="215"/>
      <c r="O79" s="215"/>
      <c r="P79" s="215"/>
      <c r="Q79" s="215"/>
      <c r="R79" s="215"/>
      <c r="S79" s="215"/>
      <c r="T79" s="216"/>
    </row>
    <row r="80" spans="2:20" x14ac:dyDescent="0.3">
      <c r="B80" s="193" t="s">
        <v>56</v>
      </c>
      <c r="C80" s="240"/>
      <c r="D80" s="261">
        <f>C80*'Inputs and assumptions'!D23</f>
        <v>0</v>
      </c>
      <c r="F80" s="175">
        <v>0</v>
      </c>
      <c r="G80" s="175">
        <v>0</v>
      </c>
      <c r="H80" s="175">
        <v>0</v>
      </c>
      <c r="I80" s="175">
        <v>0</v>
      </c>
      <c r="J80" s="175">
        <v>0</v>
      </c>
      <c r="K80" s="175">
        <v>0</v>
      </c>
      <c r="L80" s="175">
        <v>0</v>
      </c>
      <c r="M80" s="175">
        <v>0</v>
      </c>
      <c r="N80" s="175">
        <v>0</v>
      </c>
      <c r="O80" s="175">
        <v>0</v>
      </c>
      <c r="P80" s="175">
        <v>0</v>
      </c>
      <c r="Q80" s="175">
        <v>0</v>
      </c>
      <c r="R80" s="175">
        <v>0</v>
      </c>
      <c r="S80" s="175">
        <v>0</v>
      </c>
      <c r="T80" s="192">
        <v>0</v>
      </c>
    </row>
    <row r="81" spans="2:20" x14ac:dyDescent="0.3">
      <c r="B81" s="193" t="s">
        <v>57</v>
      </c>
      <c r="C81" s="240"/>
      <c r="D81" s="261">
        <f>C81*'Inputs and assumptions'!D24</f>
        <v>0</v>
      </c>
      <c r="F81" s="175">
        <v>0</v>
      </c>
      <c r="G81" s="175">
        <v>0</v>
      </c>
      <c r="H81" s="175">
        <v>0</v>
      </c>
      <c r="I81" s="175">
        <v>0</v>
      </c>
      <c r="J81" s="175">
        <v>0</v>
      </c>
      <c r="K81" s="175">
        <v>0</v>
      </c>
      <c r="L81" s="175">
        <v>0</v>
      </c>
      <c r="M81" s="175">
        <v>0</v>
      </c>
      <c r="N81" s="175">
        <v>0</v>
      </c>
      <c r="O81" s="175">
        <v>0</v>
      </c>
      <c r="P81" s="175">
        <v>0</v>
      </c>
      <c r="Q81" s="175">
        <v>0</v>
      </c>
      <c r="R81" s="175">
        <v>0</v>
      </c>
      <c r="S81" s="175">
        <v>0</v>
      </c>
      <c r="T81" s="192">
        <v>0</v>
      </c>
    </row>
    <row r="82" spans="2:20" x14ac:dyDescent="0.3">
      <c r="B82" s="193" t="s">
        <v>58</v>
      </c>
      <c r="C82" s="240"/>
      <c r="D82" s="261">
        <f>C82*'Inputs and assumptions'!D25</f>
        <v>0</v>
      </c>
      <c r="F82" s="175">
        <v>0</v>
      </c>
      <c r="G82" s="175">
        <v>0</v>
      </c>
      <c r="H82" s="175">
        <v>0</v>
      </c>
      <c r="I82" s="175">
        <v>0</v>
      </c>
      <c r="J82" s="175">
        <v>0</v>
      </c>
      <c r="K82" s="175">
        <v>0</v>
      </c>
      <c r="L82" s="175">
        <v>0</v>
      </c>
      <c r="M82" s="175">
        <v>0</v>
      </c>
      <c r="N82" s="175">
        <v>0</v>
      </c>
      <c r="O82" s="175">
        <v>0</v>
      </c>
      <c r="P82" s="175">
        <v>0</v>
      </c>
      <c r="Q82" s="175">
        <v>0</v>
      </c>
      <c r="R82" s="175">
        <v>0</v>
      </c>
      <c r="S82" s="175">
        <v>0</v>
      </c>
      <c r="T82" s="192">
        <v>0</v>
      </c>
    </row>
    <row r="83" spans="2:20" x14ac:dyDescent="0.3">
      <c r="B83" s="193" t="s">
        <v>59</v>
      </c>
      <c r="C83" s="240"/>
      <c r="D83" s="261">
        <f>C83*'Inputs and assumptions'!D26</f>
        <v>0</v>
      </c>
      <c r="F83" s="175">
        <v>0</v>
      </c>
      <c r="G83" s="175">
        <v>0</v>
      </c>
      <c r="H83" s="175">
        <v>0</v>
      </c>
      <c r="I83" s="175">
        <v>0</v>
      </c>
      <c r="J83" s="175">
        <v>0</v>
      </c>
      <c r="K83" s="175">
        <v>0</v>
      </c>
      <c r="L83" s="175">
        <v>0</v>
      </c>
      <c r="M83" s="175">
        <v>0</v>
      </c>
      <c r="N83" s="175">
        <v>0</v>
      </c>
      <c r="O83" s="175">
        <v>0</v>
      </c>
      <c r="P83" s="175">
        <v>0</v>
      </c>
      <c r="Q83" s="175">
        <v>0</v>
      </c>
      <c r="R83" s="175">
        <v>0</v>
      </c>
      <c r="S83" s="175">
        <v>0</v>
      </c>
      <c r="T83" s="192">
        <v>0</v>
      </c>
    </row>
    <row r="84" spans="2:20" x14ac:dyDescent="0.3">
      <c r="B84" s="193" t="s">
        <v>60</v>
      </c>
      <c r="C84" s="240"/>
      <c r="D84" s="261">
        <f>C84*'Inputs and assumptions'!D27</f>
        <v>0</v>
      </c>
      <c r="F84" s="175">
        <v>0</v>
      </c>
      <c r="G84" s="175">
        <v>0</v>
      </c>
      <c r="H84" s="175">
        <v>0</v>
      </c>
      <c r="I84" s="175">
        <v>0</v>
      </c>
      <c r="J84" s="175">
        <v>0</v>
      </c>
      <c r="K84" s="175">
        <v>0</v>
      </c>
      <c r="L84" s="175">
        <v>0</v>
      </c>
      <c r="M84" s="175">
        <v>0</v>
      </c>
      <c r="N84" s="175">
        <v>0</v>
      </c>
      <c r="O84" s="175">
        <v>0</v>
      </c>
      <c r="P84" s="175">
        <v>0</v>
      </c>
      <c r="Q84" s="175">
        <v>0</v>
      </c>
      <c r="R84" s="175">
        <v>0</v>
      </c>
      <c r="S84" s="175">
        <v>0</v>
      </c>
      <c r="T84" s="192">
        <v>0</v>
      </c>
    </row>
    <row r="85" spans="2:20" x14ac:dyDescent="0.3">
      <c r="B85" s="193" t="s">
        <v>61</v>
      </c>
      <c r="C85" s="240"/>
      <c r="D85" s="261">
        <f>C85*'Inputs and assumptions'!D28</f>
        <v>0</v>
      </c>
      <c r="F85" s="175">
        <v>0</v>
      </c>
      <c r="G85" s="175">
        <v>0</v>
      </c>
      <c r="H85" s="175">
        <v>0</v>
      </c>
      <c r="I85" s="175">
        <v>0</v>
      </c>
      <c r="J85" s="175">
        <v>0</v>
      </c>
      <c r="K85" s="175">
        <v>0</v>
      </c>
      <c r="L85" s="175">
        <v>0</v>
      </c>
      <c r="M85" s="175">
        <v>0</v>
      </c>
      <c r="N85" s="175">
        <v>0</v>
      </c>
      <c r="O85" s="175">
        <v>0</v>
      </c>
      <c r="P85" s="175">
        <v>0</v>
      </c>
      <c r="Q85" s="175">
        <v>0</v>
      </c>
      <c r="R85" s="175">
        <v>0</v>
      </c>
      <c r="S85" s="175">
        <v>0</v>
      </c>
      <c r="T85" s="192">
        <v>0</v>
      </c>
    </row>
    <row r="86" spans="2:20" x14ac:dyDescent="0.3">
      <c r="B86" s="193"/>
      <c r="D86" s="151"/>
      <c r="F86" s="215"/>
      <c r="G86" s="215"/>
      <c r="H86" s="215"/>
      <c r="I86" s="215"/>
      <c r="J86" s="215"/>
      <c r="K86" s="215"/>
      <c r="L86" s="215"/>
      <c r="M86" s="215"/>
      <c r="N86" s="215"/>
      <c r="O86" s="215"/>
      <c r="P86" s="215"/>
      <c r="Q86" s="215"/>
      <c r="R86" s="215"/>
      <c r="S86" s="215"/>
      <c r="T86" s="216"/>
    </row>
    <row r="87" spans="2:20" x14ac:dyDescent="0.3">
      <c r="B87" s="191" t="s">
        <v>62</v>
      </c>
      <c r="C87" s="239" t="s">
        <v>236</v>
      </c>
      <c r="D87" s="202"/>
      <c r="F87" s="215"/>
      <c r="G87" s="215"/>
      <c r="H87" s="215"/>
      <c r="I87" s="215"/>
      <c r="J87" s="215"/>
      <c r="K87" s="215"/>
      <c r="L87" s="215"/>
      <c r="M87" s="215"/>
      <c r="N87" s="215"/>
      <c r="O87" s="215"/>
      <c r="P87" s="215"/>
      <c r="Q87" s="215"/>
      <c r="R87" s="215"/>
      <c r="S87" s="215"/>
      <c r="T87" s="216"/>
    </row>
    <row r="88" spans="2:20" x14ac:dyDescent="0.3">
      <c r="B88" s="193" t="s">
        <v>63</v>
      </c>
      <c r="C88" s="240"/>
      <c r="D88" s="261">
        <f>C88*'Inputs and assumptions'!D31</f>
        <v>0</v>
      </c>
      <c r="F88" s="175">
        <v>0</v>
      </c>
      <c r="G88" s="175">
        <v>0</v>
      </c>
      <c r="H88" s="175">
        <v>0</v>
      </c>
      <c r="I88" s="175">
        <v>0</v>
      </c>
      <c r="J88" s="175">
        <v>0</v>
      </c>
      <c r="K88" s="175">
        <v>0</v>
      </c>
      <c r="L88" s="175">
        <v>0</v>
      </c>
      <c r="M88" s="175">
        <v>0</v>
      </c>
      <c r="N88" s="175">
        <v>0</v>
      </c>
      <c r="O88" s="175">
        <v>0</v>
      </c>
      <c r="P88" s="175">
        <v>0</v>
      </c>
      <c r="Q88" s="175">
        <v>0</v>
      </c>
      <c r="R88" s="175">
        <v>0</v>
      </c>
      <c r="S88" s="175">
        <v>0</v>
      </c>
      <c r="T88" s="192">
        <v>0</v>
      </c>
    </row>
    <row r="89" spans="2:20" x14ac:dyDescent="0.3">
      <c r="B89" s="193" t="s">
        <v>64</v>
      </c>
      <c r="C89" s="240"/>
      <c r="D89" s="261">
        <f>C89*'Inputs and assumptions'!D32</f>
        <v>0</v>
      </c>
      <c r="F89" s="175">
        <v>0</v>
      </c>
      <c r="G89" s="175">
        <v>0</v>
      </c>
      <c r="H89" s="175">
        <v>0</v>
      </c>
      <c r="I89" s="175">
        <v>0</v>
      </c>
      <c r="J89" s="175">
        <v>0</v>
      </c>
      <c r="K89" s="175">
        <v>0</v>
      </c>
      <c r="L89" s="175">
        <v>0</v>
      </c>
      <c r="M89" s="175">
        <v>0</v>
      </c>
      <c r="N89" s="175">
        <v>0</v>
      </c>
      <c r="O89" s="175">
        <v>0</v>
      </c>
      <c r="P89" s="175">
        <v>0</v>
      </c>
      <c r="Q89" s="175">
        <v>0</v>
      </c>
      <c r="R89" s="175">
        <v>0</v>
      </c>
      <c r="S89" s="175">
        <v>0</v>
      </c>
      <c r="T89" s="192">
        <v>0</v>
      </c>
    </row>
    <row r="90" spans="2:20" x14ac:dyDescent="0.3">
      <c r="B90" s="193"/>
      <c r="D90" s="151"/>
      <c r="F90" s="215"/>
      <c r="G90" s="215"/>
      <c r="H90" s="215"/>
      <c r="I90" s="215"/>
      <c r="J90" s="215"/>
      <c r="K90" s="215"/>
      <c r="L90" s="215"/>
      <c r="M90" s="215"/>
      <c r="N90" s="215"/>
      <c r="O90" s="215"/>
      <c r="P90" s="215"/>
      <c r="Q90" s="215"/>
      <c r="R90" s="215"/>
      <c r="S90" s="215"/>
      <c r="T90" s="216"/>
    </row>
    <row r="91" spans="2:20" x14ac:dyDescent="0.3">
      <c r="B91" s="191" t="s">
        <v>65</v>
      </c>
      <c r="C91" s="239" t="s">
        <v>236</v>
      </c>
      <c r="D91" s="202"/>
      <c r="F91" s="215"/>
      <c r="G91" s="215"/>
      <c r="H91" s="215"/>
      <c r="I91" s="215"/>
      <c r="J91" s="215"/>
      <c r="K91" s="215"/>
      <c r="L91" s="215"/>
      <c r="M91" s="215"/>
      <c r="N91" s="215"/>
      <c r="O91" s="215"/>
      <c r="P91" s="215"/>
      <c r="Q91" s="215"/>
      <c r="R91" s="215"/>
      <c r="S91" s="215"/>
      <c r="T91" s="216"/>
    </row>
    <row r="92" spans="2:20" x14ac:dyDescent="0.3">
      <c r="B92" s="193" t="s">
        <v>66</v>
      </c>
      <c r="C92" s="240"/>
      <c r="D92" s="261">
        <f>C92*'Inputs and assumptions'!D35</f>
        <v>0</v>
      </c>
      <c r="F92" s="175">
        <v>0</v>
      </c>
      <c r="G92" s="175">
        <v>0</v>
      </c>
      <c r="H92" s="175">
        <v>0</v>
      </c>
      <c r="I92" s="175">
        <v>0</v>
      </c>
      <c r="J92" s="175">
        <v>0</v>
      </c>
      <c r="K92" s="175">
        <v>0</v>
      </c>
      <c r="L92" s="175">
        <v>0</v>
      </c>
      <c r="M92" s="175">
        <v>0</v>
      </c>
      <c r="N92" s="175">
        <v>0</v>
      </c>
      <c r="O92" s="175">
        <v>0</v>
      </c>
      <c r="P92" s="175">
        <v>0</v>
      </c>
      <c r="Q92" s="175">
        <v>0</v>
      </c>
      <c r="R92" s="175">
        <v>0</v>
      </c>
      <c r="S92" s="175">
        <v>0</v>
      </c>
      <c r="T92" s="192">
        <v>0</v>
      </c>
    </row>
    <row r="93" spans="2:20" x14ac:dyDescent="0.3">
      <c r="B93" s="193" t="s">
        <v>67</v>
      </c>
      <c r="C93" s="240"/>
      <c r="D93" s="261">
        <f>C93*'Inputs and assumptions'!D36</f>
        <v>0</v>
      </c>
      <c r="F93" s="175">
        <v>0</v>
      </c>
      <c r="G93" s="175">
        <v>0</v>
      </c>
      <c r="H93" s="175">
        <v>0</v>
      </c>
      <c r="I93" s="175">
        <v>0</v>
      </c>
      <c r="J93" s="175">
        <v>0</v>
      </c>
      <c r="K93" s="175">
        <v>0</v>
      </c>
      <c r="L93" s="175">
        <v>0</v>
      </c>
      <c r="M93" s="175">
        <v>0</v>
      </c>
      <c r="N93" s="175">
        <v>0</v>
      </c>
      <c r="O93" s="175">
        <v>0</v>
      </c>
      <c r="P93" s="175">
        <v>0</v>
      </c>
      <c r="Q93" s="175">
        <v>0</v>
      </c>
      <c r="R93" s="175">
        <v>0</v>
      </c>
      <c r="S93" s="175">
        <v>0</v>
      </c>
      <c r="T93" s="192">
        <v>0</v>
      </c>
    </row>
    <row r="94" spans="2:20" x14ac:dyDescent="0.3">
      <c r="B94" s="193" t="s">
        <v>68</v>
      </c>
      <c r="C94" s="240"/>
      <c r="D94" s="261">
        <f>C94*'Inputs and assumptions'!D37</f>
        <v>0</v>
      </c>
      <c r="F94" s="175">
        <v>0</v>
      </c>
      <c r="G94" s="175">
        <v>0</v>
      </c>
      <c r="H94" s="175">
        <v>0</v>
      </c>
      <c r="I94" s="175">
        <v>0</v>
      </c>
      <c r="J94" s="175">
        <v>0</v>
      </c>
      <c r="K94" s="175">
        <v>0</v>
      </c>
      <c r="L94" s="175">
        <v>0</v>
      </c>
      <c r="M94" s="175">
        <v>0</v>
      </c>
      <c r="N94" s="175">
        <v>0</v>
      </c>
      <c r="O94" s="175">
        <v>0</v>
      </c>
      <c r="P94" s="175">
        <v>0</v>
      </c>
      <c r="Q94" s="175">
        <v>0</v>
      </c>
      <c r="R94" s="175">
        <v>0</v>
      </c>
      <c r="S94" s="175">
        <v>0</v>
      </c>
      <c r="T94" s="192">
        <v>0</v>
      </c>
    </row>
    <row r="95" spans="2:20" x14ac:dyDescent="0.3">
      <c r="B95" s="193" t="s">
        <v>69</v>
      </c>
      <c r="C95" s="240"/>
      <c r="D95" s="261">
        <f>C95*'Inputs and assumptions'!D38</f>
        <v>0</v>
      </c>
      <c r="F95" s="175">
        <v>0</v>
      </c>
      <c r="G95" s="175">
        <v>0</v>
      </c>
      <c r="H95" s="175">
        <v>0</v>
      </c>
      <c r="I95" s="175">
        <v>0</v>
      </c>
      <c r="J95" s="175">
        <v>0</v>
      </c>
      <c r="K95" s="175">
        <v>0</v>
      </c>
      <c r="L95" s="175">
        <v>0</v>
      </c>
      <c r="M95" s="175">
        <v>0</v>
      </c>
      <c r="N95" s="175">
        <v>0</v>
      </c>
      <c r="O95" s="175">
        <v>0</v>
      </c>
      <c r="P95" s="175">
        <v>0</v>
      </c>
      <c r="Q95" s="175">
        <v>0</v>
      </c>
      <c r="R95" s="175">
        <v>0</v>
      </c>
      <c r="S95" s="175">
        <v>0</v>
      </c>
      <c r="T95" s="192">
        <v>0</v>
      </c>
    </row>
    <row r="96" spans="2:20" x14ac:dyDescent="0.3">
      <c r="B96" s="193" t="s">
        <v>70</v>
      </c>
      <c r="C96" s="240"/>
      <c r="D96" s="261">
        <f>C96*'Inputs and assumptions'!D39</f>
        <v>0</v>
      </c>
      <c r="F96" s="175">
        <v>0</v>
      </c>
      <c r="G96" s="175">
        <v>0</v>
      </c>
      <c r="H96" s="175">
        <v>0</v>
      </c>
      <c r="I96" s="175">
        <v>0</v>
      </c>
      <c r="J96" s="175">
        <v>0</v>
      </c>
      <c r="K96" s="175">
        <v>0</v>
      </c>
      <c r="L96" s="175">
        <v>0</v>
      </c>
      <c r="M96" s="175">
        <v>0</v>
      </c>
      <c r="N96" s="175">
        <v>0</v>
      </c>
      <c r="O96" s="175">
        <v>0</v>
      </c>
      <c r="P96" s="175">
        <v>0</v>
      </c>
      <c r="Q96" s="175">
        <v>0</v>
      </c>
      <c r="R96" s="175">
        <v>0</v>
      </c>
      <c r="S96" s="175">
        <v>0</v>
      </c>
      <c r="T96" s="192">
        <v>0</v>
      </c>
    </row>
    <row r="97" spans="2:20" x14ac:dyDescent="0.3">
      <c r="B97" s="193" t="s">
        <v>71</v>
      </c>
      <c r="C97" s="240"/>
      <c r="D97" s="261">
        <f>C97*'Inputs and assumptions'!D40</f>
        <v>0</v>
      </c>
      <c r="F97" s="175">
        <v>0</v>
      </c>
      <c r="G97" s="175">
        <v>0</v>
      </c>
      <c r="H97" s="175">
        <v>0</v>
      </c>
      <c r="I97" s="175">
        <v>0</v>
      </c>
      <c r="J97" s="175">
        <v>0</v>
      </c>
      <c r="K97" s="175">
        <v>0</v>
      </c>
      <c r="L97" s="175">
        <v>0</v>
      </c>
      <c r="M97" s="175">
        <v>0</v>
      </c>
      <c r="N97" s="175">
        <v>0</v>
      </c>
      <c r="O97" s="175">
        <v>0</v>
      </c>
      <c r="P97" s="175">
        <v>0</v>
      </c>
      <c r="Q97" s="175">
        <v>0</v>
      </c>
      <c r="R97" s="175">
        <v>0</v>
      </c>
      <c r="S97" s="175">
        <v>0</v>
      </c>
      <c r="T97" s="192">
        <v>0</v>
      </c>
    </row>
    <row r="98" spans="2:20" ht="13.5" thickBot="1" x14ac:dyDescent="0.35">
      <c r="B98" s="194" t="s">
        <v>72</v>
      </c>
      <c r="C98" s="254"/>
      <c r="D98" s="262">
        <f>C98*'Inputs and assumptions'!D41</f>
        <v>0</v>
      </c>
      <c r="E98" s="195"/>
      <c r="F98" s="196">
        <v>0</v>
      </c>
      <c r="G98" s="196">
        <v>0</v>
      </c>
      <c r="H98" s="196">
        <v>0</v>
      </c>
      <c r="I98" s="196">
        <v>0</v>
      </c>
      <c r="J98" s="196">
        <v>0</v>
      </c>
      <c r="K98" s="196">
        <v>0</v>
      </c>
      <c r="L98" s="196">
        <v>0</v>
      </c>
      <c r="M98" s="196">
        <v>0</v>
      </c>
      <c r="N98" s="196">
        <v>0</v>
      </c>
      <c r="O98" s="196">
        <v>0</v>
      </c>
      <c r="P98" s="196">
        <v>0</v>
      </c>
      <c r="Q98" s="196">
        <v>0</v>
      </c>
      <c r="R98" s="196">
        <v>0</v>
      </c>
      <c r="S98" s="196">
        <v>0</v>
      </c>
      <c r="T98" s="197">
        <v>0</v>
      </c>
    </row>
    <row r="99" spans="2:20" ht="13.5" thickBot="1" x14ac:dyDescent="0.35"/>
    <row r="100" spans="2:20" ht="15" thickBot="1" x14ac:dyDescent="0.35">
      <c r="B100" s="583" t="s">
        <v>74</v>
      </c>
      <c r="C100" s="583"/>
      <c r="D100" s="583"/>
      <c r="E100" s="263" t="str">
        <f>E43</f>
        <v>Per Unit</v>
      </c>
    </row>
    <row r="101" spans="2:20" x14ac:dyDescent="0.3">
      <c r="B101" s="119" t="s">
        <v>75</v>
      </c>
      <c r="C101" s="234"/>
      <c r="D101" s="172" t="s">
        <v>49</v>
      </c>
      <c r="E101" s="148"/>
      <c r="F101" s="168" t="str">
        <f>F26</f>
        <v>Year 1</v>
      </c>
      <c r="G101" s="168" t="s">
        <v>232</v>
      </c>
      <c r="H101" s="168" t="s">
        <v>26</v>
      </c>
      <c r="I101" s="168" t="s">
        <v>27</v>
      </c>
      <c r="J101" s="168" t="s">
        <v>28</v>
      </c>
      <c r="K101" s="168" t="s">
        <v>29</v>
      </c>
      <c r="L101" s="168" t="s">
        <v>30</v>
      </c>
      <c r="M101" s="168" t="s">
        <v>31</v>
      </c>
      <c r="N101" s="168" t="s">
        <v>32</v>
      </c>
      <c r="O101" s="168" t="s">
        <v>33</v>
      </c>
      <c r="P101" s="168" t="s">
        <v>34</v>
      </c>
      <c r="Q101" s="168" t="s">
        <v>35</v>
      </c>
      <c r="R101" s="168" t="s">
        <v>36</v>
      </c>
      <c r="S101" s="168" t="s">
        <v>37</v>
      </c>
      <c r="T101" s="167" t="s">
        <v>38</v>
      </c>
    </row>
    <row r="102" spans="2:20" x14ac:dyDescent="0.3">
      <c r="B102" s="123" t="s">
        <v>76</v>
      </c>
      <c r="C102" s="112"/>
      <c r="D102" s="313">
        <f>E111</f>
        <v>212500</v>
      </c>
      <c r="E102" s="112"/>
      <c r="F102" s="140">
        <f t="shared" ref="F102:T102" si="6">$D$102*F27</f>
        <v>425000</v>
      </c>
      <c r="G102" s="140">
        <f t="shared" si="6"/>
        <v>637500</v>
      </c>
      <c r="H102" s="140">
        <f t="shared" si="6"/>
        <v>637500</v>
      </c>
      <c r="I102" s="140">
        <f t="shared" si="6"/>
        <v>425000</v>
      </c>
      <c r="J102" s="140">
        <f t="shared" si="6"/>
        <v>0</v>
      </c>
      <c r="K102" s="140">
        <f t="shared" si="6"/>
        <v>0</v>
      </c>
      <c r="L102" s="140">
        <f t="shared" si="6"/>
        <v>0</v>
      </c>
      <c r="M102" s="140">
        <f t="shared" si="6"/>
        <v>0</v>
      </c>
      <c r="N102" s="140">
        <f t="shared" si="6"/>
        <v>0</v>
      </c>
      <c r="O102" s="140">
        <f t="shared" si="6"/>
        <v>0</v>
      </c>
      <c r="P102" s="140">
        <f t="shared" si="6"/>
        <v>0</v>
      </c>
      <c r="Q102" s="140">
        <f t="shared" si="6"/>
        <v>0</v>
      </c>
      <c r="R102" s="140">
        <f t="shared" si="6"/>
        <v>0</v>
      </c>
      <c r="S102" s="140">
        <f t="shared" si="6"/>
        <v>0</v>
      </c>
      <c r="T102" s="141">
        <f t="shared" si="6"/>
        <v>0</v>
      </c>
    </row>
    <row r="103" spans="2:20" x14ac:dyDescent="0.3">
      <c r="B103" s="123" t="s">
        <v>77</v>
      </c>
      <c r="C103" s="112"/>
      <c r="D103" s="305">
        <v>7500</v>
      </c>
      <c r="E103" s="112"/>
      <c r="F103" s="140">
        <f>$D103*SUM($E$27:F$27)</f>
        <v>15000</v>
      </c>
      <c r="G103" s="140">
        <f>$D103*SUM($E$27:G$27)</f>
        <v>37500</v>
      </c>
      <c r="H103" s="140">
        <f>$D103*SUM($E$27:H$27)</f>
        <v>60000</v>
      </c>
      <c r="I103" s="140">
        <f>$D103*SUM($E$27:I$27)</f>
        <v>75000</v>
      </c>
      <c r="J103" s="140">
        <f>$D103*SUM($E$27:J$27)</f>
        <v>75000</v>
      </c>
      <c r="K103" s="140">
        <f>$D103*SUM($E$27:K$27)</f>
        <v>75000</v>
      </c>
      <c r="L103" s="140">
        <f>$D103*SUM($E$27:L$27)</f>
        <v>75000</v>
      </c>
      <c r="M103" s="140">
        <f>$D103*SUM($E$27:M$27)</f>
        <v>75000</v>
      </c>
      <c r="N103" s="140">
        <f>$D103*SUM($E$27:N$27)</f>
        <v>75000</v>
      </c>
      <c r="O103" s="140">
        <f>$D103*SUM($E$27:O$27)</f>
        <v>75000</v>
      </c>
      <c r="P103" s="140">
        <f>$D103*SUM($E$27:P$27)</f>
        <v>75000</v>
      </c>
      <c r="Q103" s="140">
        <f>$D103*SUM($E$27:Q$27)</f>
        <v>75000</v>
      </c>
      <c r="R103" s="140">
        <f>$D103*SUM($E$27:R$27)</f>
        <v>75000</v>
      </c>
      <c r="S103" s="140">
        <f>$D103*SUM($E$27:S$27)</f>
        <v>75000</v>
      </c>
      <c r="T103" s="141">
        <f>$D103*SUM($E$27:T$27)</f>
        <v>75000</v>
      </c>
    </row>
    <row r="104" spans="2:20" x14ac:dyDescent="0.3">
      <c r="B104" s="123"/>
      <c r="C104" s="112"/>
      <c r="D104" s="151"/>
      <c r="E104" s="112"/>
      <c r="F104" s="111"/>
      <c r="G104" s="111"/>
      <c r="H104" s="111"/>
      <c r="I104" s="111"/>
      <c r="J104" s="111"/>
      <c r="K104" s="111"/>
      <c r="L104" s="111"/>
      <c r="M104" s="111"/>
      <c r="N104" s="111"/>
      <c r="O104" s="111"/>
      <c r="P104" s="111"/>
      <c r="Q104" s="111"/>
      <c r="R104" s="111"/>
      <c r="S104" s="111"/>
      <c r="T104" s="131"/>
    </row>
    <row r="105" spans="2:20" ht="13.5" thickBot="1" x14ac:dyDescent="0.35">
      <c r="B105" s="152"/>
      <c r="C105" s="235"/>
      <c r="D105" s="149"/>
      <c r="E105" s="135"/>
      <c r="F105" s="135"/>
      <c r="G105" s="135"/>
      <c r="H105" s="135"/>
      <c r="I105" s="135"/>
      <c r="J105" s="135"/>
      <c r="K105" s="135"/>
      <c r="L105" s="135"/>
      <c r="M105" s="135"/>
      <c r="N105" s="135"/>
      <c r="O105" s="135"/>
      <c r="P105" s="135"/>
      <c r="Q105" s="135"/>
      <c r="R105" s="135"/>
      <c r="S105" s="135"/>
      <c r="T105" s="149"/>
    </row>
    <row r="106" spans="2:20" x14ac:dyDescent="0.3">
      <c r="B106" s="153" t="s">
        <v>78</v>
      </c>
      <c r="C106" s="236"/>
      <c r="D106" s="148"/>
      <c r="E106" s="129"/>
      <c r="F106" s="166" t="str">
        <f>F26</f>
        <v>Year 1</v>
      </c>
      <c r="G106" s="166" t="s">
        <v>232</v>
      </c>
      <c r="H106" s="166" t="s">
        <v>26</v>
      </c>
      <c r="I106" s="166" t="s">
        <v>27</v>
      </c>
      <c r="J106" s="166" t="s">
        <v>28</v>
      </c>
      <c r="K106" s="166" t="s">
        <v>29</v>
      </c>
      <c r="L106" s="166" t="s">
        <v>30</v>
      </c>
      <c r="M106" s="166" t="s">
        <v>31</v>
      </c>
      <c r="N106" s="166" t="s">
        <v>32</v>
      </c>
      <c r="O106" s="166" t="s">
        <v>33</v>
      </c>
      <c r="P106" s="166" t="s">
        <v>34</v>
      </c>
      <c r="Q106" s="166" t="s">
        <v>35</v>
      </c>
      <c r="R106" s="166" t="s">
        <v>36</v>
      </c>
      <c r="S106" s="166" t="s">
        <v>37</v>
      </c>
      <c r="T106" s="167" t="s">
        <v>38</v>
      </c>
    </row>
    <row r="107" spans="2:20" x14ac:dyDescent="0.3">
      <c r="B107" s="123" t="s">
        <v>76</v>
      </c>
      <c r="C107" s="112"/>
      <c r="F107" s="175">
        <v>0</v>
      </c>
      <c r="G107" s="175">
        <v>0</v>
      </c>
      <c r="H107" s="175">
        <v>0</v>
      </c>
      <c r="I107" s="175">
        <v>0</v>
      </c>
      <c r="J107" s="175">
        <v>0</v>
      </c>
      <c r="K107" s="175">
        <v>0</v>
      </c>
      <c r="L107" s="175">
        <v>0</v>
      </c>
      <c r="M107" s="175">
        <v>0</v>
      </c>
      <c r="N107" s="175">
        <v>0</v>
      </c>
      <c r="O107" s="175">
        <v>0</v>
      </c>
      <c r="P107" s="175">
        <v>0</v>
      </c>
      <c r="Q107" s="175">
        <v>0</v>
      </c>
      <c r="R107" s="175">
        <v>0</v>
      </c>
      <c r="S107" s="175">
        <v>0</v>
      </c>
      <c r="T107" s="176">
        <v>0</v>
      </c>
    </row>
    <row r="108" spans="2:20" x14ac:dyDescent="0.3">
      <c r="B108" s="123" t="s">
        <v>79</v>
      </c>
      <c r="C108" s="112"/>
      <c r="F108" s="175">
        <v>0</v>
      </c>
      <c r="G108" s="175">
        <v>0</v>
      </c>
      <c r="H108" s="175">
        <v>0</v>
      </c>
      <c r="I108" s="175">
        <v>0</v>
      </c>
      <c r="J108" s="175">
        <v>0</v>
      </c>
      <c r="K108" s="175">
        <v>0</v>
      </c>
      <c r="L108" s="175">
        <v>0</v>
      </c>
      <c r="M108" s="175">
        <v>0</v>
      </c>
      <c r="N108" s="175">
        <v>0</v>
      </c>
      <c r="O108" s="175">
        <v>0</v>
      </c>
      <c r="P108" s="175">
        <v>0</v>
      </c>
      <c r="Q108" s="175">
        <v>0</v>
      </c>
      <c r="R108" s="175">
        <v>0</v>
      </c>
      <c r="S108" s="175">
        <v>0</v>
      </c>
      <c r="T108" s="176">
        <v>0</v>
      </c>
    </row>
    <row r="109" spans="2:20" ht="13.5" thickBot="1" x14ac:dyDescent="0.35">
      <c r="B109" s="124"/>
      <c r="C109" s="135"/>
      <c r="D109" s="135"/>
      <c r="E109" s="135"/>
      <c r="F109" s="135"/>
      <c r="G109" s="138"/>
      <c r="H109" s="135"/>
      <c r="I109" s="135"/>
      <c r="J109" s="135"/>
      <c r="K109" s="135"/>
      <c r="L109" s="135"/>
      <c r="M109" s="135"/>
      <c r="N109" s="135"/>
      <c r="O109" s="135"/>
      <c r="P109" s="135"/>
      <c r="Q109" s="135"/>
      <c r="R109" s="135"/>
      <c r="S109" s="135"/>
      <c r="T109" s="149"/>
    </row>
    <row r="111" spans="2:20" x14ac:dyDescent="0.3">
      <c r="E111" s="299">
        <v>212500</v>
      </c>
      <c r="N111" s="110"/>
    </row>
    <row r="112" spans="2:20" ht="16" thickBot="1" x14ac:dyDescent="0.35">
      <c r="B112" s="115" t="s">
        <v>80</v>
      </c>
      <c r="C112" s="115"/>
      <c r="D112" s="115"/>
      <c r="E112" s="115"/>
      <c r="F112" s="180"/>
      <c r="G112" s="180"/>
      <c r="H112" s="180"/>
      <c r="I112" s="180"/>
      <c r="J112" s="180"/>
      <c r="K112" s="180"/>
      <c r="L112" s="180"/>
      <c r="M112" s="180"/>
      <c r="N112" s="180"/>
      <c r="O112" s="180"/>
      <c r="P112" s="180"/>
      <c r="Q112" s="180"/>
      <c r="R112" s="180"/>
      <c r="S112" s="180"/>
    </row>
    <row r="113" spans="2:20" ht="15" customHeight="1" x14ac:dyDescent="0.3">
      <c r="B113" s="587" t="s">
        <v>244</v>
      </c>
      <c r="C113" s="588"/>
      <c r="D113" s="588"/>
      <c r="E113" s="589"/>
      <c r="F113" s="303"/>
      <c r="G113" s="303"/>
      <c r="H113" s="303"/>
      <c r="I113" s="303"/>
      <c r="J113" s="303"/>
      <c r="K113" s="303"/>
      <c r="L113" s="181"/>
      <c r="M113" s="181"/>
      <c r="N113" s="181"/>
      <c r="O113" s="181"/>
      <c r="P113" s="181"/>
      <c r="Q113" s="181"/>
      <c r="R113" s="181"/>
      <c r="S113" s="181"/>
      <c r="T113" s="181"/>
    </row>
    <row r="114" spans="2:20" ht="15" customHeight="1" x14ac:dyDescent="0.3">
      <c r="B114" s="590"/>
      <c r="C114" s="586"/>
      <c r="D114" s="586"/>
      <c r="E114" s="591"/>
      <c r="F114" s="303"/>
      <c r="G114" s="303"/>
      <c r="H114" s="303"/>
      <c r="I114" s="303"/>
      <c r="J114" s="303"/>
      <c r="K114" s="303"/>
      <c r="L114" s="181"/>
      <c r="M114" s="181"/>
      <c r="N114" s="181"/>
      <c r="O114" s="181"/>
      <c r="P114" s="181"/>
      <c r="Q114" s="181"/>
      <c r="R114" s="181"/>
      <c r="S114" s="181"/>
      <c r="T114" s="181"/>
    </row>
    <row r="115" spans="2:20" ht="15" customHeight="1" x14ac:dyDescent="0.3">
      <c r="B115" s="590"/>
      <c r="C115" s="586"/>
      <c r="D115" s="586"/>
      <c r="E115" s="591"/>
      <c r="F115" s="303"/>
      <c r="G115" s="303"/>
      <c r="H115" s="303"/>
      <c r="I115" s="303"/>
      <c r="J115" s="303"/>
      <c r="K115" s="303"/>
      <c r="L115" s="181"/>
      <c r="M115" s="181"/>
      <c r="N115" s="181"/>
      <c r="O115" s="181"/>
      <c r="P115" s="181"/>
      <c r="Q115" s="181"/>
      <c r="R115" s="181"/>
      <c r="S115" s="181"/>
      <c r="T115" s="181"/>
    </row>
    <row r="116" spans="2:20" ht="15" customHeight="1" x14ac:dyDescent="0.3">
      <c r="B116" s="590"/>
      <c r="C116" s="586"/>
      <c r="D116" s="586"/>
      <c r="E116" s="591"/>
      <c r="F116" s="303"/>
      <c r="G116" s="303"/>
      <c r="H116" s="303"/>
      <c r="I116" s="303"/>
      <c r="J116" s="303"/>
      <c r="K116" s="303"/>
      <c r="L116" s="181"/>
      <c r="M116" s="181"/>
      <c r="N116" s="181"/>
      <c r="O116" s="181"/>
      <c r="P116" s="181"/>
      <c r="Q116" s="181"/>
      <c r="R116" s="181"/>
      <c r="S116" s="181"/>
      <c r="T116" s="181"/>
    </row>
    <row r="117" spans="2:20" ht="15" customHeight="1" x14ac:dyDescent="0.3">
      <c r="B117" s="590"/>
      <c r="C117" s="586"/>
      <c r="D117" s="586"/>
      <c r="E117" s="591"/>
      <c r="F117" s="303"/>
      <c r="G117" s="303"/>
      <c r="H117" s="303"/>
      <c r="I117" s="303"/>
      <c r="J117" s="303"/>
      <c r="K117" s="303"/>
      <c r="L117" s="181"/>
      <c r="M117" s="181"/>
      <c r="N117" s="181"/>
      <c r="O117" s="181"/>
      <c r="P117" s="181"/>
      <c r="Q117" s="181"/>
      <c r="R117" s="181"/>
      <c r="S117" s="181"/>
      <c r="T117" s="181"/>
    </row>
    <row r="118" spans="2:20" ht="15" customHeight="1" x14ac:dyDescent="0.3">
      <c r="B118" s="590"/>
      <c r="C118" s="586"/>
      <c r="D118" s="586"/>
      <c r="E118" s="591"/>
      <c r="F118" s="303"/>
      <c r="G118" s="303"/>
      <c r="H118" s="303"/>
      <c r="I118" s="303"/>
      <c r="J118" s="303"/>
      <c r="K118" s="303"/>
      <c r="L118" s="181"/>
      <c r="M118" s="181"/>
      <c r="N118" s="181"/>
      <c r="O118" s="181"/>
      <c r="P118" s="181"/>
      <c r="Q118" s="181"/>
      <c r="R118" s="181"/>
      <c r="S118" s="181"/>
      <c r="T118" s="181"/>
    </row>
    <row r="119" spans="2:20" ht="15" customHeight="1" x14ac:dyDescent="0.3">
      <c r="B119" s="590"/>
      <c r="C119" s="586"/>
      <c r="D119" s="586"/>
      <c r="E119" s="591"/>
      <c r="F119" s="303"/>
      <c r="G119" s="303"/>
      <c r="H119" s="303"/>
      <c r="I119" s="303"/>
      <c r="J119" s="303"/>
      <c r="K119" s="303"/>
      <c r="L119" s="181"/>
      <c r="M119" s="181"/>
      <c r="N119" s="181"/>
      <c r="O119" s="181"/>
      <c r="P119" s="181"/>
      <c r="Q119" s="181"/>
      <c r="R119" s="181"/>
      <c r="S119" s="181"/>
      <c r="T119" s="181"/>
    </row>
    <row r="120" spans="2:20" ht="15" customHeight="1" x14ac:dyDescent="0.3">
      <c r="B120" s="590"/>
      <c r="C120" s="586"/>
      <c r="D120" s="586"/>
      <c r="E120" s="591"/>
      <c r="F120" s="303"/>
      <c r="G120" s="303"/>
      <c r="H120" s="303"/>
      <c r="I120" s="303"/>
      <c r="J120" s="303"/>
      <c r="K120" s="303"/>
      <c r="L120" s="181"/>
      <c r="M120" s="181"/>
      <c r="N120" s="181"/>
      <c r="O120" s="181"/>
      <c r="P120" s="181"/>
      <c r="Q120" s="181"/>
      <c r="R120" s="181"/>
      <c r="S120" s="181"/>
      <c r="T120" s="181"/>
    </row>
    <row r="121" spans="2:20" ht="15" customHeight="1" x14ac:dyDescent="0.3">
      <c r="B121" s="590"/>
      <c r="C121" s="586"/>
      <c r="D121" s="586"/>
      <c r="E121" s="591"/>
      <c r="F121" s="303"/>
      <c r="G121" s="303"/>
      <c r="H121" s="303"/>
      <c r="I121" s="303"/>
      <c r="J121" s="303"/>
      <c r="K121" s="303"/>
      <c r="L121" s="181"/>
      <c r="M121" s="181"/>
      <c r="N121" s="181"/>
      <c r="O121" s="181"/>
      <c r="P121" s="181"/>
      <c r="Q121" s="181"/>
      <c r="R121" s="181"/>
      <c r="S121" s="181"/>
      <c r="T121" s="181"/>
    </row>
    <row r="122" spans="2:20" ht="15.75" customHeight="1" thickBot="1" x14ac:dyDescent="0.35">
      <c r="B122" s="592"/>
      <c r="C122" s="593"/>
      <c r="D122" s="593"/>
      <c r="E122" s="594"/>
      <c r="F122" s="303"/>
      <c r="G122" s="303"/>
      <c r="H122" s="303"/>
      <c r="I122" s="303"/>
      <c r="J122" s="303"/>
      <c r="K122" s="303"/>
      <c r="L122" s="181"/>
      <c r="M122" s="181"/>
      <c r="N122" s="181"/>
      <c r="O122" s="181"/>
      <c r="P122" s="181"/>
      <c r="Q122" s="181"/>
      <c r="R122" s="181"/>
      <c r="S122" s="181"/>
      <c r="T122" s="181"/>
    </row>
  </sheetData>
  <mergeCells count="8">
    <mergeCell ref="N17:R17"/>
    <mergeCell ref="N21:R21"/>
    <mergeCell ref="G7:T15"/>
    <mergeCell ref="B113:E122"/>
    <mergeCell ref="B43:D43"/>
    <mergeCell ref="B100:D100"/>
    <mergeCell ref="N18:Q18"/>
    <mergeCell ref="N19:Q19"/>
  </mergeCells>
  <pageMargins left="0.7" right="0.7" top="0.75" bottom="0.75" header="0.3" footer="0.3"/>
  <pageSetup paperSize="9" scale="29" orientation="landscape" r:id="rId1"/>
  <headerFooter>
    <oddFooter>&amp;L_x000D_&amp;1#&amp;"Calibri"&amp;8&amp;K000000 For Official use only</oddFooter>
  </headerFooter>
  <customProperties>
    <customPr name="EpmWorksheetKeyString_GUID" r:id="rId2"/>
  </customProperties>
  <ignoredErrors>
    <ignoredError sqref="F103:H103 F46:H70" formulaRange="1"/>
  </ignoredErrors>
  <drawing r:id="rId3"/>
  <extLst>
    <ext xmlns:x14="http://schemas.microsoft.com/office/spreadsheetml/2009/9/main" uri="{CCE6A557-97BC-4b89-ADB6-D9C93CAAB3DF}">
      <x14:dataValidations xmlns:xm="http://schemas.microsoft.com/office/excel/2006/main" count="8">
        <x14:dataValidation type="list" allowBlank="1" showInputMessage="1" showErrorMessage="1" xr:uid="{D8A361C9-CF2C-4B19-A63D-4A15D8D51FAD}">
          <x14:formula1>
            <xm:f>'Inputs and assumptions'!$J$17:$J$18</xm:f>
          </x14:formula1>
          <xm:sqref>E43</xm:sqref>
        </x14:dataValidation>
        <x14:dataValidation type="list" allowBlank="1" showInputMessage="1" showErrorMessage="1" xr:uid="{3573A8D3-089D-4768-897C-7A51D896F256}">
          <x14:formula1>
            <xm:f>'Inputs and assumptions'!$H$27:$H$29</xm:f>
          </x14:formula1>
          <xm:sqref>E11</xm:sqref>
        </x14:dataValidation>
        <x14:dataValidation type="list" allowBlank="1" showInputMessage="1" showErrorMessage="1" xr:uid="{E673F328-016E-4F45-A056-E3B39F65776F}">
          <x14:formula1>
            <xm:f>'Inputs and assumptions'!$H$23:$H$24</xm:f>
          </x14:formula1>
          <xm:sqref>E10</xm:sqref>
        </x14:dataValidation>
        <x14:dataValidation type="list" allowBlank="1" showInputMessage="1" showErrorMessage="1" xr:uid="{454C1E2E-4954-4B7B-B943-A47485F69BDC}">
          <x14:formula1>
            <xm:f>'Inputs and assumptions'!$G$16:$G$20</xm:f>
          </x14:formula1>
          <xm:sqref>E7</xm:sqref>
        </x14:dataValidation>
        <x14:dataValidation type="list" allowBlank="1" showInputMessage="1" showErrorMessage="1" xr:uid="{0A7FA9DE-14E6-4915-AB8F-19A608179720}">
          <x14:formula1>
            <xm:f>'Inputs and assumptions'!$H$16:$H$20</xm:f>
          </x14:formula1>
          <xm:sqref>E8</xm:sqref>
        </x14:dataValidation>
        <x14:dataValidation type="list" allowBlank="1" showInputMessage="1" showErrorMessage="1" xr:uid="{7F3B9ECA-DF3F-45A3-A380-582E2867D333}">
          <x14:formula1>
            <xm:f>'Inputs and assumptions'!$H$31:$H$34</xm:f>
          </x14:formula1>
          <xm:sqref>E12</xm:sqref>
        </x14:dataValidation>
        <x14:dataValidation type="list" allowBlank="1" showInputMessage="1" showErrorMessage="1" xr:uid="{18D41B1A-E564-43BC-91B2-F238671A1227}">
          <x14:formula1>
            <xm:f>'Inputs and assumptions'!$H$36:$H$40</xm:f>
          </x14:formula1>
          <xm:sqref>E13</xm:sqref>
        </x14:dataValidation>
        <x14:dataValidation type="list" allowBlank="1" showInputMessage="1" showErrorMessage="1" xr:uid="{E762C5D1-5583-4C90-ADC8-B51563D40FC1}">
          <x14:formula1>
            <xm:f>'Inputs and assumptions'!$J$21:$J$24</xm:f>
          </x14:formula1>
          <xm:sqref>E14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7979ed89-640b-4b5b-af66-a44d5fa4dbe0">
      <UserInfo>
        <DisplayName>Naomi Wynn</DisplayName>
        <AccountId>154</AccountId>
        <AccountType/>
      </UserInfo>
    </SharedWithUsers>
    <lcf76f155ced4ddcb4097134ff3c332f xmlns="22bb1572-9652-4799-87f4-00cf85b5992b">
      <Terms xmlns="http://schemas.microsoft.com/office/infopath/2007/PartnerControls"/>
    </lcf76f155ced4ddcb4097134ff3c332f>
    <TaxCatchAll xmlns="7979ed89-640b-4b5b-af66-a44d5fa4dbe0" xsi:nil="true"/>
    <Categorisation xmlns="22bb1572-9652-4799-87f4-00cf85b5992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20" ma:contentTypeDescription="Create a new document." ma:contentTypeScope="" ma:versionID="4889acc6d0a0fabbdb65eff736ca2b86">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a24e412a3c7e46a7c7a7b963ae228548"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91B5C5-5D90-43B3-B64A-FFF28BA2107A}">
  <ds:schemaRefs>
    <ds:schemaRef ds:uri="http://schemas.microsoft.com/office/2006/metadata/properties"/>
    <ds:schemaRef ds:uri="http://schemas.microsoft.com/office/infopath/2007/PartnerControls"/>
    <ds:schemaRef ds:uri="http://schemas.microsoft.com/sharepoint/v3"/>
    <ds:schemaRef ds:uri="7979ed89-640b-4b5b-af66-a44d5fa4dbe0"/>
    <ds:schemaRef ds:uri="22bb1572-9652-4799-87f4-00cf85b5992b"/>
  </ds:schemaRefs>
</ds:datastoreItem>
</file>

<file path=customXml/itemProps2.xml><?xml version="1.0" encoding="utf-8"?>
<ds:datastoreItem xmlns:ds="http://schemas.openxmlformats.org/officeDocument/2006/customXml" ds:itemID="{196755B5-C98B-4BB3-8452-A8B26A040C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3206D8-B182-40CE-A776-A7DED38629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Cover page</vt:lpstr>
      <vt:lpstr>Information</vt:lpstr>
      <vt:lpstr>Inputs and assumptions</vt:lpstr>
      <vt:lpstr>Project Summary</vt:lpstr>
      <vt:lpstr>Benefits Summary</vt:lpstr>
      <vt:lpstr>Benefits detail</vt:lpstr>
      <vt:lpstr>PR005</vt:lpstr>
      <vt:lpstr>PR012</vt:lpstr>
      <vt:lpstr>PR013</vt:lpstr>
      <vt:lpstr>PR015</vt:lpstr>
      <vt:lpstr>PR016</vt:lpstr>
      <vt:lpstr>PR017</vt:lpstr>
      <vt:lpstr>PR018</vt:lpstr>
      <vt:lpstr>PR019</vt:lpstr>
      <vt:lpstr>PR023</vt:lpstr>
      <vt:lpstr>PR026</vt:lpstr>
      <vt:lpstr>PR023+PR026</vt:lpstr>
      <vt:lpstr>PR027</vt:lpstr>
      <vt:lpstr>PR028</vt:lpstr>
      <vt:lpstr>PR029</vt:lpstr>
      <vt:lpstr>PR031</vt:lpstr>
      <vt:lpstr>PR035</vt:lpstr>
      <vt:lpstr>PR031+PR035</vt:lpstr>
      <vt:lpstr>PR036</vt:lpstr>
      <vt:lpstr>PR039</vt:lpstr>
      <vt:lpstr>PR040</vt:lpstr>
      <vt:lpstr>PR042</vt:lpstr>
      <vt:lpstr>PR043</vt:lpstr>
      <vt:lpstr>PR105</vt:lpstr>
      <vt:lpstr>PR043+PR105</vt:lpstr>
      <vt:lpstr>PR049</vt:lpstr>
      <vt:lpstr>PR084</vt:lpstr>
      <vt:lpstr>PR049+PR084</vt:lpstr>
      <vt:lpstr>PR074</vt:lpstr>
      <vt:lpstr>PR082</vt:lpstr>
      <vt:lpstr>PR089</vt:lpstr>
      <vt:lpstr>PR109</vt:lpstr>
      <vt:lpstr>PR180</vt:lpstr>
      <vt:lpstr>PR181</vt:lpstr>
      <vt:lpstr>PR182</vt:lpstr>
      <vt:lpstr>PR183</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Victoria Chen</dc:creator>
  <cp:keywords/>
  <dc:description/>
  <cp:lastModifiedBy>Stefanie Strauss</cp:lastModifiedBy>
  <cp:revision/>
  <dcterms:created xsi:type="dcterms:W3CDTF">2018-08-01T22:54:29Z</dcterms:created>
  <dcterms:modified xsi:type="dcterms:W3CDTF">2023-11-29T23:49:45Z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SIP_Label_895930eb-db2c-4917-a4e2-4c584d225a4f_Enabled">
    <vt:lpwstr>true</vt:lpwstr>
  </property>
  <property fmtid="{D5CDD505-2E9C-101B-9397-08002B2CF9AE}" pid="10" name="MSIP_Label_895930eb-db2c-4917-a4e2-4c584d225a4f_SetDate">
    <vt:lpwstr>2022-03-23T04:43:48Z</vt:lpwstr>
  </property>
  <property fmtid="{D5CDD505-2E9C-101B-9397-08002B2CF9AE}" pid="11" name="MSIP_Label_895930eb-db2c-4917-a4e2-4c584d225a4f_Method">
    <vt:lpwstr>Standard</vt:lpwstr>
  </property>
  <property fmtid="{D5CDD505-2E9C-101B-9397-08002B2CF9AE}" pid="12" name="MSIP_Label_895930eb-db2c-4917-a4e2-4c584d225a4f_Name">
    <vt:lpwstr>AG-For Official use only</vt:lpwstr>
  </property>
  <property fmtid="{D5CDD505-2E9C-101B-9397-08002B2CF9AE}" pid="13" name="MSIP_Label_895930eb-db2c-4917-a4e2-4c584d225a4f_SiteId">
    <vt:lpwstr>11302428-4f10-4c14-a17f-b368bb82853d</vt:lpwstr>
  </property>
  <property fmtid="{D5CDD505-2E9C-101B-9397-08002B2CF9AE}" pid="14" name="MSIP_Label_895930eb-db2c-4917-a4e2-4c584d225a4f_ActionId">
    <vt:lpwstr>461e9978-aa0d-4a2f-9cfd-3d6712e89c3b</vt:lpwstr>
  </property>
  <property fmtid="{D5CDD505-2E9C-101B-9397-08002B2CF9AE}" pid="15" name="MSIP_Label_895930eb-db2c-4917-a4e2-4c584d225a4f_ContentBits">
    <vt:lpwstr>2</vt:lpwstr>
  </property>
  <property fmtid="{D5CDD505-2E9C-101B-9397-08002B2CF9AE}" pid="16" name="MediaServiceImageTags">
    <vt:lpwstr/>
  </property>
</Properties>
</file>