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4" documentId="13_ncr:1_{00BE177E-49DD-4A59-A5DC-CC707C5D7C3A}" xr6:coauthVersionLast="47" xr6:coauthVersionMax="47" xr10:uidLastSave="{4F32CD2A-B406-48C4-8B70-79042A418863}"/>
  <bookViews>
    <workbookView xWindow="450" yWindow="780" windowWidth="24750" windowHeight="14970" tabRatio="743" activeTab="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FY20 Capex" sheetId="14" r:id="rId4"/>
    <sheet name="Input | Reported Capex" sheetId="3" r:id="rId5"/>
    <sheet name="Calc | CESS Revenue Increments" sheetId="4" r:id="rId6"/>
    <sheet name="Output | Models" sheetId="10" r:id="rId7"/>
    <sheet name="Output|FY20 CESS adjustment" sheetId="15" r:id="rId8"/>
  </sheets>
  <externalReferences>
    <externalReference r:id="rId9"/>
    <externalReference r:id="rId10"/>
  </externalReferences>
  <definedNames>
    <definedName name="dollars" localSheetId="7">#REF!</definedName>
    <definedName name="dollars">#REF!</definedName>
    <definedName name="factor" localSheetId="7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6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5" l="1"/>
  <c r="O4" i="15"/>
  <c r="L4" i="15"/>
  <c r="M4" i="15"/>
  <c r="K4" i="15"/>
  <c r="G9" i="15" l="1"/>
  <c r="H9" i="15"/>
  <c r="I9" i="15"/>
  <c r="J9" i="15"/>
  <c r="F9" i="15"/>
  <c r="F6" i="15" l="1"/>
  <c r="G6" i="15" s="1"/>
  <c r="H6" i="15" s="1"/>
  <c r="I6" i="15" s="1"/>
  <c r="J6" i="15" s="1"/>
  <c r="F7" i="15"/>
  <c r="G7" i="15"/>
  <c r="H7" i="15"/>
  <c r="I7" i="15"/>
  <c r="J7" i="15"/>
  <c r="I21" i="15" s="1"/>
  <c r="F19" i="15"/>
  <c r="H21" i="15" l="1"/>
  <c r="G21" i="15" s="1"/>
  <c r="F21" i="15" s="1"/>
  <c r="F23" i="15" s="1"/>
  <c r="L21" i="3"/>
  <c r="K12" i="14"/>
  <c r="L20" i="3" l="1"/>
  <c r="K11" i="14"/>
  <c r="L19" i="3"/>
  <c r="K10" i="14"/>
  <c r="K9" i="14"/>
  <c r="L18" i="3"/>
  <c r="I14" i="14"/>
  <c r="H14" i="14"/>
  <c r="K14" i="14" l="1"/>
  <c r="L22" i="13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N22" i="13" s="1"/>
  <c r="L15" i="13"/>
  <c r="M15" i="13" s="1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F25" i="4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P22" i="13" s="1"/>
  <c r="G25" i="4"/>
  <c r="G27" i="4" s="1"/>
  <c r="K31" i="3"/>
  <c r="G26" i="4" s="1"/>
  <c r="O15" i="13"/>
  <c r="H18" i="4" l="1"/>
  <c r="H21" i="4" s="1"/>
  <c r="D35" i="4" s="1"/>
  <c r="H25" i="4"/>
  <c r="H27" i="4" s="1"/>
  <c r="P15" i="13"/>
  <c r="L30" i="3"/>
  <c r="L31" i="3" s="1"/>
  <c r="H26" i="4" s="1"/>
  <c r="G28" i="4"/>
  <c r="H28" i="4" l="1"/>
  <c r="D31" i="4" s="1"/>
  <c r="D34" i="4" s="1"/>
  <c r="D36" i="4" s="1"/>
  <c r="D42" i="4" s="1"/>
  <c r="F10" i="15" s="1"/>
  <c r="F12" i="15" s="1"/>
  <c r="F13" i="15" s="1"/>
  <c r="F22" i="15" l="1"/>
  <c r="G14" i="15"/>
  <c r="G19" i="15" s="1"/>
  <c r="G23" i="15" s="1"/>
  <c r="H14" i="15"/>
  <c r="I14" i="15"/>
  <c r="J14" i="15"/>
  <c r="E42" i="4"/>
  <c r="G10" i="15" s="1"/>
  <c r="G12" i="15" s="1"/>
  <c r="G13" i="15" s="1"/>
  <c r="J8" i="10"/>
  <c r="D33" i="4"/>
  <c r="J15" i="15" l="1"/>
  <c r="G22" i="15"/>
  <c r="H15" i="15"/>
  <c r="H19" i="15" s="1"/>
  <c r="H23" i="15" s="1"/>
  <c r="I15" i="15"/>
  <c r="F42" i="4"/>
  <c r="H10" i="15" s="1"/>
  <c r="H12" i="15" s="1"/>
  <c r="H13" i="15" s="1"/>
  <c r="K8" i="10"/>
  <c r="I16" i="15" l="1"/>
  <c r="I19" i="15" s="1"/>
  <c r="I23" i="15" s="1"/>
  <c r="J16" i="15"/>
  <c r="H22" i="15"/>
  <c r="G42" i="4"/>
  <c r="I10" i="15" s="1"/>
  <c r="I12" i="15" s="1"/>
  <c r="I13" i="15" s="1"/>
  <c r="L8" i="10"/>
  <c r="J17" i="15" l="1"/>
  <c r="J19" i="15" s="1"/>
  <c r="J23" i="15" s="1"/>
  <c r="I22" i="15"/>
  <c r="H42" i="4"/>
  <c r="M8" i="10"/>
  <c r="D44" i="4"/>
  <c r="M44" i="4" s="1"/>
  <c r="N8" i="10" l="1"/>
  <c r="O8" i="10" s="1"/>
  <c r="J10" i="15"/>
  <c r="J12" i="15" s="1"/>
  <c r="J13" i="15" s="1"/>
  <c r="J22" i="15" s="1"/>
  <c r="J24" i="15" s="1"/>
  <c r="F28" i="15" l="1"/>
  <c r="G28" i="15" l="1"/>
  <c r="H28" i="15" s="1"/>
  <c r="I28" i="15" s="1"/>
  <c r="J28" i="15" s="1"/>
  <c r="I29" i="15" s="1"/>
  <c r="F29" i="15" l="1"/>
  <c r="J29" i="15"/>
  <c r="H29" i="15"/>
  <c r="G29" i="15"/>
  <c r="F3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5" authorId="0" shapeId="0" xr:uid="{FBDFBB9A-A118-4FA0-AF68-DB423027DB4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9" authorId="0" shapeId="0" xr:uid="{0A80C68E-8A5C-44DF-867D-CD2B52EA963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sharedStrings.xml><?xml version="1.0" encoding="utf-8"?>
<sst xmlns="http://schemas.openxmlformats.org/spreadsheetml/2006/main" count="292" uniqueCount="143">
  <si>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</si>
  <si>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</si>
  <si>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</si>
  <si>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</si>
  <si>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</si>
  <si>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</si>
  <si>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</si>
  <si>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</si>
  <si>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</si>
  <si>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</si>
  <si>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</si>
  <si>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</si>
  <si>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</si>
  <si>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</si>
  <si>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</si>
  <si>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</si>
  <si>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</si>
  <si>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</si>
  <si>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</si>
  <si>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</si>
  <si>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</si>
  <si>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</si>
  <si>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</si>
  <si>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</si>
  <si>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</si>
  <si>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</si>
  <si>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</si>
  <si>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</si>
  <si>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</si>
  <si>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</si>
  <si>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</si>
  <si>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</si>
  <si>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</si>
  <si>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</si>
  <si>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</si>
  <si>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</si>
  <si>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</si>
  <si>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</si>
  <si>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</si>
  <si>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</si>
  <si>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</si>
  <si>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</si>
  <si>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</si>
  <si>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</si>
  <si>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</si>
  <si>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</si>
  <si>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</si>
  <si>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</si>
  <si>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</si>
  <si>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</si>
  <si>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</si>
  <si>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</si>
  <si>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</si>
  <si>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</si>
  <si>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</si>
  <si>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</si>
  <si>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</si>
  <si>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</si>
  <si>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</si>
  <si>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</si>
  <si>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</si>
  <si>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</si>
  <si>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</si>
  <si>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</si>
  <si>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</si>
  <si>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</si>
  <si>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</si>
  <si>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</si>
  <si>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</si>
  <si>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</si>
  <si>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</si>
  <si>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</si>
  <si>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</si>
  <si>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</si>
  <si>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</si>
  <si>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</si>
  <si>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</si>
  <si>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</si>
  <si>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</si>
  <si>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</si>
  <si>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</si>
  <si>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</si>
  <si>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</si>
  <si>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</si>
  <si>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</si>
  <si>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</si>
  <si>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</si>
  <si>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</si>
  <si>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</si>
  <si>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</si>
  <si>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</si>
  <si>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</si>
  <si>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</si>
  <si>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</si>
  <si>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</si>
  <si>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</si>
  <si>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</si>
  <si>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</si>
  <si>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</si>
  <si>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2021-25</t>
  </si>
  <si>
    <t>Base regulatory year</t>
  </si>
  <si>
    <t>Ergon Energy</t>
  </si>
  <si>
    <t>DNSP</t>
  </si>
  <si>
    <t>2020-21</t>
  </si>
  <si>
    <t>Final Decision</t>
  </si>
  <si>
    <t>Data sources:</t>
  </si>
  <si>
    <t>AER FD</t>
  </si>
  <si>
    <t>Final Year Difference</t>
  </si>
  <si>
    <t>2018–19</t>
  </si>
  <si>
    <t>Column H is from the AER Final Determination, which was based on forecast FY20 Capex</t>
  </si>
  <si>
    <t>Column I is Actual FY20 capex</t>
  </si>
  <si>
    <t>2019-20</t>
  </si>
  <si>
    <t>Movements in provisions 
allocated to 
as-incurred capex</t>
  </si>
  <si>
    <t>2021–22</t>
  </si>
  <si>
    <t>2022–23</t>
  </si>
  <si>
    <t>2023–24</t>
  </si>
  <si>
    <t>2024–25</t>
  </si>
  <si>
    <t>As per determination</t>
  </si>
  <si>
    <t>Movement</t>
  </si>
  <si>
    <t>Total CESS Payment ($2023–24 million)</t>
  </si>
  <si>
    <t>CESS Payment Per Year ($2023–24 million)</t>
  </si>
  <si>
    <t>2028–29</t>
  </si>
  <si>
    <t>2027–28</t>
  </si>
  <si>
    <t>2026–27</t>
  </si>
  <si>
    <t>2025–26</t>
  </si>
  <si>
    <t>2024-25</t>
  </si>
  <si>
    <t>Calc | Total FY19 CESS Payment Adjustments</t>
  </si>
  <si>
    <t>NPV of CESS payment adjustments</t>
  </si>
  <si>
    <t>NPV Difference in CESS increment amounts</t>
  </si>
  <si>
    <t>Benefit B</t>
  </si>
  <si>
    <t>Benefit A</t>
  </si>
  <si>
    <t>Difference in CESS increment amounts</t>
  </si>
  <si>
    <t>Nominal vanilla WACC (fixed real time varying)</t>
  </si>
  <si>
    <t xml:space="preserve">Cumulative Actual CPI </t>
  </si>
  <si>
    <t xml:space="preserve">Actual CPI </t>
  </si>
  <si>
    <t>Forecast real vanilla WACC</t>
  </si>
  <si>
    <t>Real vanilla WACC</t>
  </si>
  <si>
    <t>2020–21</t>
  </si>
  <si>
    <t xml:space="preserve">Distribution </t>
  </si>
  <si>
    <t>AER FD PTRM 2020-25, 2023 RoD Update</t>
  </si>
  <si>
    <t>2029-30</t>
  </si>
  <si>
    <t>AER Final Decision (FY20 Forecast Capex)</t>
  </si>
  <si>
    <t>Adjusted for FY20 Actual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</si>
</sst>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8" formatCode="&quot;$&quot;#,##0.00;[Red]\-&quot;$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_-* #,##0.000_-;\-* #,##0.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3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0" fillId="0" borderId="0" xfId="265" applyFont="1" applyFill="1" applyBorder="1" applyAlignment="1" applyProtection="1">
      <alignment horizontal="center" vertical="center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89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9" fontId="22" fillId="3" borderId="2" xfId="0" applyNumberFormat="1" applyFont="1" applyFill="1" applyBorder="1" applyAlignment="1">
      <alignment horizontal="left" vertical="center"/>
    </xf>
    <xf numFmtId="169" fontId="19" fillId="3" borderId="2" xfId="0" applyNumberFormat="1" applyFont="1" applyFill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79" fillId="56" borderId="0" xfId="0" applyFont="1" applyFill="1" applyBorder="1" applyAlignment="1">
      <alignment vertical="center"/>
    </xf>
    <xf numFmtId="0" fontId="10" fillId="56" borderId="0" xfId="0" applyFont="1" applyFill="1" applyAlignment="1">
      <alignment horizontal="center" vertical="center"/>
    </xf>
    <xf numFmtId="2" fontId="10" fillId="56" borderId="0" xfId="0" applyNumberFormat="1" applyFont="1" applyFill="1" applyAlignment="1">
      <alignment horizontal="center" vertical="center"/>
    </xf>
    <xf numFmtId="0" fontId="10" fillId="56" borderId="0" xfId="0" applyFont="1" applyFill="1" applyBorder="1" applyAlignment="1">
      <alignment horizontal="center" vertical="center"/>
    </xf>
    <xf numFmtId="0" fontId="22" fillId="56" borderId="0" xfId="0" applyNumberFormat="1" applyFont="1" applyFill="1" applyBorder="1" applyAlignment="1" applyProtection="1">
      <alignment horizontal="right" vertical="center"/>
    </xf>
    <xf numFmtId="0" fontId="15" fillId="56" borderId="0" xfId="0" applyFont="1" applyFill="1" applyAlignment="1">
      <alignment horizontal="center" vertical="center"/>
    </xf>
    <xf numFmtId="167" fontId="24" fillId="56" borderId="2" xfId="304" applyFont="1" applyFill="1" applyBorder="1" applyAlignment="1">
      <alignment horizontal="right" vertical="center"/>
    </xf>
    <xf numFmtId="167" fontId="24" fillId="56" borderId="37" xfId="304" applyFont="1" applyFill="1" applyBorder="1" applyAlignment="1">
      <alignment horizontal="right" vertical="center"/>
    </xf>
    <xf numFmtId="168" fontId="24" fillId="56" borderId="2" xfId="0" applyNumberFormat="1" applyFont="1" applyFill="1" applyBorder="1" applyAlignment="1">
      <alignment horizontal="right" vertical="center"/>
    </xf>
    <xf numFmtId="168" fontId="24" fillId="56" borderId="37" xfId="0" applyNumberFormat="1" applyFont="1" applyFill="1" applyBorder="1" applyAlignment="1">
      <alignment horizontal="right" vertical="center"/>
    </xf>
    <xf numFmtId="0" fontId="0" fillId="56" borderId="0" xfId="0" applyFill="1"/>
    <xf numFmtId="168" fontId="24" fillId="56" borderId="6" xfId="0" applyNumberFormat="1" applyFont="1" applyFill="1" applyBorder="1" applyAlignment="1">
      <alignment horizontal="right" vertical="center"/>
    </xf>
    <xf numFmtId="0" fontId="24" fillId="56" borderId="0" xfId="0" applyFont="1" applyFill="1" applyAlignment="1">
      <alignment horizontal="center" vertical="center"/>
    </xf>
    <xf numFmtId="168" fontId="0" fillId="56" borderId="0" xfId="0" applyNumberFormat="1" applyFill="1"/>
    <xf numFmtId="43" fontId="0" fillId="0" borderId="0" xfId="0" applyNumberFormat="1"/>
    <xf numFmtId="43" fontId="0" fillId="0" borderId="0" xfId="339" applyFont="1"/>
    <xf numFmtId="43" fontId="105" fillId="0" borderId="0" xfId="339" applyFont="1"/>
    <xf numFmtId="8" fontId="0" fillId="0" borderId="0" xfId="0" applyNumberFormat="1"/>
    <xf numFmtId="0" fontId="105" fillId="0" borderId="0" xfId="0" applyFont="1" applyAlignment="1">
      <alignment horizontal="right"/>
    </xf>
    <xf numFmtId="0" fontId="105" fillId="0" borderId="0" xfId="0" applyFont="1"/>
    <xf numFmtId="189" fontId="0" fillId="0" borderId="0" xfId="339" applyNumberFormat="1" applyFont="1"/>
    <xf numFmtId="10" fontId="0" fillId="0" borderId="0" xfId="268" applyNumberFormat="1" applyFont="1"/>
    <xf numFmtId="194" fontId="0" fillId="0" borderId="0" xfId="339" applyNumberFormat="1" applyFont="1"/>
    <xf numFmtId="191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10" fontId="0" fillId="0" borderId="0" xfId="268" applyNumberFormat="1" applyFont="1" applyFill="1"/>
    <xf numFmtId="10" fontId="0" fillId="56" borderId="0" xfId="268" applyNumberFormat="1" applyFont="1" applyFill="1"/>
    <xf numFmtId="0" fontId="88" fillId="3" borderId="23" xfId="3" applyNumberFormat="1" applyFont="1" applyFill="1" applyBorder="1" applyAlignment="1" applyProtection="1">
      <alignment horizontal="center"/>
    </xf>
  </cellXfs>
  <cellStyles count="340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39" xr:uid="{4CB53B0A-FC9E-4C0C-99A3-8BF1DA072B3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6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RG%20PTRM%20Final%20AER%20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DMIAM"/>
      <sheetName val="Debt Raising Costs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9">
          <cell r="G19">
            <v>3.1539166955611632E-2</v>
          </cell>
          <cell r="H19">
            <v>3.2003502749014291E-2</v>
          </cell>
          <cell r="I19">
            <v>3.2711797595705597E-2</v>
          </cell>
          <cell r="J19">
            <v>3.3769275901938747E-2</v>
          </cell>
          <cell r="K19">
            <v>3.4849420276806688E-2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>
      <selection activeCell="D1" sqref="D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Ergon Energy 2021-25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tabSelected="1" workbookViewId="0">
      <selection activeCell="H8" sqref="H8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20.57031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Ergon Energy 2021-25 Final Decision - Capital expenditure sharing scheme model</v>
      </c>
      <c r="F1" s="105"/>
      <c r="G1" s="106" t="s">
        <v>47</v>
      </c>
      <c r="H1" s="159" t="s">
        <v>48</v>
      </c>
      <c r="I1" s="163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0" t="s">
        <v>101</v>
      </c>
      <c r="J6" s="79"/>
      <c r="K6" s="79"/>
      <c r="L6" s="79"/>
      <c r="M6" s="79"/>
    </row>
    <row r="7" spans="1:13" s="70" customFormat="1" ht="11.25" customHeight="1">
      <c r="C7" s="69" t="s">
        <v>88</v>
      </c>
      <c r="D7" s="160" t="s">
        <v>104</v>
      </c>
      <c r="I7" s="79"/>
      <c r="J7" s="79"/>
      <c r="K7" s="79"/>
      <c r="L7" s="79"/>
    </row>
    <row r="8" spans="1:13" s="70" customFormat="1" ht="11.25" customHeight="1">
      <c r="C8" s="69" t="s">
        <v>89</v>
      </c>
      <c r="D8" s="160" t="s">
        <v>99</v>
      </c>
      <c r="J8" s="79"/>
      <c r="K8" s="79"/>
      <c r="L8" s="79"/>
      <c r="M8" s="79"/>
    </row>
    <row r="9" spans="1:13" s="70" customFormat="1" ht="11.25" customHeight="1">
      <c r="C9" s="190" t="s">
        <v>100</v>
      </c>
      <c r="D9" s="160" t="s">
        <v>103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4" t="s">
        <v>87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89" t="str">
        <f t="shared" ref="D13:F13" si="0">IF(LEN(E13)&gt;4,CONCATENATE(LEFT(E13,4)-1&amp;"–"&amp;IF(RIGHT(E13,2)="00","99",IF(RIGHT(E13,2)-1&lt;10,"0","")&amp;RIGHT(E13,2)-1)),E13-1)</f>
        <v>2015–16</v>
      </c>
      <c r="E13" s="189" t="str">
        <f t="shared" si="0"/>
        <v>2016–17</v>
      </c>
      <c r="F13" s="189" t="str">
        <f t="shared" si="0"/>
        <v>2017–18</v>
      </c>
      <c r="G13" s="189" t="str">
        <f>IF(LEN(H13)&gt;4,CONCATENATE(LEFT(H13,4)-1&amp;"–"&amp;IF(RIGHT(H13,2)="00","99",IF(RIGHT(H13,2)-1&lt;10,"0","")&amp;RIGHT(H13,2)-1)),H13-1)</f>
        <v>2018–19</v>
      </c>
      <c r="H13" s="189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0" t="s">
        <v>8</v>
      </c>
      <c r="E14" s="160" t="s">
        <v>8</v>
      </c>
      <c r="F14" s="160" t="s">
        <v>8</v>
      </c>
      <c r="G14" s="160" t="s">
        <v>8</v>
      </c>
      <c r="H14" s="160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0" t="s">
        <v>7</v>
      </c>
      <c r="E15" s="160" t="s">
        <v>7</v>
      </c>
      <c r="F15" s="160" t="s">
        <v>7</v>
      </c>
      <c r="G15" s="160" t="s">
        <v>7</v>
      </c>
      <c r="H15" s="160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89" t="str">
        <f>D9</f>
        <v>2020-21</v>
      </c>
      <c r="E18" s="189" t="str">
        <f>IF(LEN(D18)&gt;4,CONCATENATE(LEFT(D18,4)+1&amp;"–"&amp;IF(RIGHT(D18,2)+1&gt;9,"","0")&amp;RIGHT(D18,2)+1),D18+1)</f>
        <v>2021–22</v>
      </c>
      <c r="F18" s="189" t="str">
        <f t="shared" ref="F18:H18" si="1">IF(LEN(E18)&gt;4,CONCATENATE(LEFT(E18,4)+1&amp;"–"&amp;IF(RIGHT(E18,2)+1&gt;9,"","0")&amp;RIGHT(E18,2)+1),E18+1)</f>
        <v>2022–23</v>
      </c>
      <c r="G18" s="189" t="str">
        <f t="shared" si="1"/>
        <v>2023–24</v>
      </c>
      <c r="H18" s="189" t="str">
        <f t="shared" si="1"/>
        <v>2024–25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P12" sqref="P12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Ergon Energy 2021-25 Final Decision - Capital expenditure sharing scheme model</v>
      </c>
      <c r="D1" s="12"/>
      <c r="E1" s="12"/>
      <c r="F1" s="12"/>
      <c r="G1" s="105"/>
      <c r="H1" s="106" t="s">
        <v>47</v>
      </c>
      <c r="I1" s="159" t="s">
        <v>48</v>
      </c>
      <c r="J1" s="163" t="s">
        <v>36</v>
      </c>
      <c r="K1" s="155"/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90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6" t="str">
        <f>IF(LEN(G7)&gt;4,CONCATENATE(LEFT(G7,4)-1&amp;"–"&amp;IF(RIGHT(G7,2)="00","99",IF(RIGHT(G7,2)-1&lt;10,"0","")&amp;RIGHT(G7,2)-1)),G7-1)</f>
        <v>2014–15</v>
      </c>
      <c r="G7" s="175" t="str">
        <f>'Input | General'!D13</f>
        <v>2015–16</v>
      </c>
      <c r="H7" s="175" t="str">
        <f>'Input | General'!E13</f>
        <v>2016–17</v>
      </c>
      <c r="I7" s="175" t="str">
        <f>'Input | General'!F13</f>
        <v>2017–18</v>
      </c>
      <c r="J7" s="175" t="str">
        <f>'Input | General'!G13</f>
        <v>2018–19</v>
      </c>
      <c r="K7" s="175" t="str">
        <f>'Input | General'!H13</f>
        <v>2019–20</v>
      </c>
      <c r="L7" s="175" t="str">
        <f>'Input | General'!D18</f>
        <v>2020-21</v>
      </c>
      <c r="M7" s="175" t="str">
        <f>'Input | General'!E18</f>
        <v>2021–22</v>
      </c>
      <c r="N7" s="175" t="str">
        <f>'Input | General'!F18</f>
        <v>2022–23</v>
      </c>
      <c r="O7" s="175" t="str">
        <f>'Input | General'!G18</f>
        <v>2023–24</v>
      </c>
      <c r="P7" s="175" t="str">
        <f>'Input | General'!H18</f>
        <v>2024–25</v>
      </c>
    </row>
    <row r="8" spans="1:20" ht="11.25" customHeight="1">
      <c r="A8" s="11"/>
      <c r="B8" s="11"/>
      <c r="C8" s="80" t="s">
        <v>81</v>
      </c>
      <c r="D8" s="78" t="s">
        <v>102</v>
      </c>
      <c r="E8" s="78" t="s">
        <v>51</v>
      </c>
      <c r="F8" s="78"/>
      <c r="G8" s="202">
        <v>1.6885553470919357E-2</v>
      </c>
      <c r="H8" s="202">
        <v>1.4760147601476037E-2</v>
      </c>
      <c r="I8" s="202">
        <v>1.9090909090909047E-2</v>
      </c>
      <c r="J8" s="202">
        <v>1.7841213202497874E-2</v>
      </c>
      <c r="K8" s="202">
        <v>1.7000000000000001E-2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102</v>
      </c>
      <c r="E9" s="78" t="s">
        <v>51</v>
      </c>
      <c r="F9" s="78"/>
      <c r="G9" s="130"/>
      <c r="H9" s="130"/>
      <c r="I9" s="130"/>
      <c r="J9" s="130"/>
      <c r="K9" s="130"/>
      <c r="L9" s="202">
        <v>2.3699999999999999E-2</v>
      </c>
      <c r="M9" s="142">
        <f t="shared" ref="M9:P9" si="0">L9</f>
        <v>2.3699999999999999E-2</v>
      </c>
      <c r="N9" s="142">
        <f t="shared" si="0"/>
        <v>2.3699999999999999E-2</v>
      </c>
      <c r="O9" s="142">
        <f t="shared" si="0"/>
        <v>2.3699999999999999E-2</v>
      </c>
      <c r="P9" s="142">
        <f t="shared" si="0"/>
        <v>2.3699999999999999E-2</v>
      </c>
    </row>
    <row r="10" spans="1:20" ht="11.25" customHeight="1">
      <c r="A10" s="11"/>
      <c r="B10" s="11"/>
      <c r="C10" s="139" t="str">
        <f>"CPI Index (base year "&amp;F7&amp;")"</f>
        <v>CPI Index (base year 2014–15)</v>
      </c>
      <c r="D10" s="78" t="s">
        <v>102</v>
      </c>
      <c r="E10" s="78" t="s">
        <v>30</v>
      </c>
      <c r="F10" s="137">
        <v>1</v>
      </c>
      <c r="G10" s="123">
        <f>IF(G7&lt;&gt;"",(F10*(1+G8)),"")</f>
        <v>1.0168855534709194</v>
      </c>
      <c r="H10" s="123">
        <f>IF(H7&lt;&gt;"",(G10*(1+H8)),"")</f>
        <v>1.0318949343339587</v>
      </c>
      <c r="I10" s="123">
        <f>IF(I7&lt;&gt;"",(H10*(1+I8)),"")</f>
        <v>1.0515947467166979</v>
      </c>
      <c r="J10" s="123">
        <f>IF(J7&lt;&gt;"",(I10*(1+J8)),"")</f>
        <v>1.0703564727954973</v>
      </c>
      <c r="K10" s="123">
        <f>IF(K7&lt;&gt;"",(J10*(1+K8)),"")</f>
        <v>1.0885525328330206</v>
      </c>
      <c r="L10" s="87">
        <f t="shared" ref="L10:P10" si="1">IF(L7&lt;&gt;"",(K10*(1+L9)),"")</f>
        <v>1.1143512278611631</v>
      </c>
      <c r="M10" s="87">
        <f t="shared" si="1"/>
        <v>1.1407613519614728</v>
      </c>
      <c r="N10" s="87">
        <f t="shared" si="1"/>
        <v>1.1677973960029597</v>
      </c>
      <c r="O10" s="87">
        <f t="shared" si="1"/>
        <v>1.1954741942882299</v>
      </c>
      <c r="P10" s="87">
        <f t="shared" si="1"/>
        <v>1.2238069326928609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202">
        <v>1.6885553470919357E-2</v>
      </c>
      <c r="H13" s="202">
        <v>1.4760147601476037E-2</v>
      </c>
      <c r="I13" s="202">
        <v>1.9090909090909047E-2</v>
      </c>
      <c r="J13" s="202">
        <v>1.7841213202497874E-2</v>
      </c>
      <c r="K13" s="202">
        <v>1.84049079754602E-2</v>
      </c>
      <c r="L13" s="192"/>
      <c r="M13" s="192"/>
      <c r="N13" s="192"/>
      <c r="O13" s="192"/>
      <c r="P13" s="192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131"/>
      <c r="K14" s="131"/>
      <c r="L14" s="202">
        <v>2.2739900899011012E-2</v>
      </c>
      <c r="M14" s="142">
        <f t="shared" ref="M14:P14" si="2">L14</f>
        <v>2.2739900899011012E-2</v>
      </c>
      <c r="N14" s="142">
        <f t="shared" si="2"/>
        <v>2.2739900899011012E-2</v>
      </c>
      <c r="O14" s="142">
        <f t="shared" si="2"/>
        <v>2.2739900899011012E-2</v>
      </c>
      <c r="P14" s="142">
        <f t="shared" si="2"/>
        <v>2.2739900899011012E-2</v>
      </c>
    </row>
    <row r="15" spans="1:20" ht="11.25" customHeight="1">
      <c r="A15" s="11"/>
      <c r="B15" s="11"/>
      <c r="C15" s="139" t="str">
        <f>"CPI Index (base year "&amp;F7&amp;")"</f>
        <v>CPI Index (base year 2014–15)</v>
      </c>
      <c r="D15" s="78" t="s">
        <v>49</v>
      </c>
      <c r="E15" s="78" t="s">
        <v>30</v>
      </c>
      <c r="F15" s="137">
        <v>1</v>
      </c>
      <c r="G15" s="123">
        <f>IF(G7&lt;&gt;"",(F15*(1+G13)),"")</f>
        <v>1.0168855534709194</v>
      </c>
      <c r="H15" s="123">
        <f>IF(H7&lt;&gt;"",(G15*(1+H13)),"")</f>
        <v>1.0318949343339587</v>
      </c>
      <c r="I15" s="123">
        <f>IF(I7&lt;&gt;"",(H15*(1+I13)),"")</f>
        <v>1.0515947467166979</v>
      </c>
      <c r="J15" s="193">
        <f>IF(J7&lt;&gt;"",(I15*(1+J13)),"")</f>
        <v>1.0703564727954973</v>
      </c>
      <c r="K15" s="194">
        <f>IF(K7&lt;&gt;"",(J15*(1+K13)),"")</f>
        <v>1.0900562851782367</v>
      </c>
      <c r="L15" s="194">
        <f t="shared" ref="L15:P15" si="3">IF(L7&lt;&gt;"",(K15*(1+L14)),"")</f>
        <v>1.114844057077534</v>
      </c>
      <c r="M15" s="194">
        <f t="shared" si="3"/>
        <v>1.1401955004533284</v>
      </c>
      <c r="N15" s="194">
        <f t="shared" si="3"/>
        <v>1.1661234331391352</v>
      </c>
      <c r="O15" s="194">
        <f t="shared" si="3"/>
        <v>1.1926409644447338</v>
      </c>
      <c r="P15" s="194">
        <f t="shared" si="3"/>
        <v>1.219761501784308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131"/>
      <c r="K16" s="195"/>
      <c r="L16" s="195"/>
      <c r="M16" s="195"/>
      <c r="N16" s="195"/>
      <c r="O16" s="195"/>
      <c r="P16" s="195"/>
    </row>
    <row r="17" spans="1:16" s="81" customFormat="1" ht="12.75" customHeight="1">
      <c r="C17" s="29" t="s">
        <v>68</v>
      </c>
      <c r="D17" s="82"/>
      <c r="E17" s="82"/>
      <c r="F17" s="82"/>
      <c r="J17" s="196"/>
      <c r="K17" s="196"/>
      <c r="L17" s="196"/>
      <c r="M17" s="197"/>
      <c r="N17" s="196"/>
      <c r="O17" s="196"/>
      <c r="P17" s="196"/>
    </row>
    <row r="18" spans="1:16" ht="11.25" customHeight="1">
      <c r="A18" s="16"/>
      <c r="B18" s="79"/>
      <c r="C18" s="79"/>
      <c r="D18" s="79"/>
      <c r="E18" s="79"/>
      <c r="F18" s="75"/>
      <c r="J18" s="14"/>
      <c r="K18" s="14"/>
      <c r="L18" s="14"/>
      <c r="M18" s="198"/>
      <c r="N18" s="14"/>
      <c r="O18" s="199"/>
      <c r="P18" s="199"/>
    </row>
    <row r="19" spans="1:16" ht="11.25" customHeight="1">
      <c r="C19" s="16"/>
      <c r="D19" s="75" t="s">
        <v>6</v>
      </c>
      <c r="E19" s="75" t="s">
        <v>52</v>
      </c>
      <c r="F19" s="79"/>
      <c r="G19" s="175" t="str">
        <f>G7</f>
        <v>2015–16</v>
      </c>
      <c r="H19" s="175" t="str">
        <f t="shared" ref="H19:P19" si="4">H7</f>
        <v>2016–17</v>
      </c>
      <c r="I19" s="175" t="str">
        <f t="shared" si="4"/>
        <v>2017–18</v>
      </c>
      <c r="J19" s="200" t="str">
        <f t="shared" si="4"/>
        <v>2018–19</v>
      </c>
      <c r="K19" s="200" t="str">
        <f t="shared" si="4"/>
        <v>2019–20</v>
      </c>
      <c r="L19" s="200" t="str">
        <f t="shared" si="4"/>
        <v>2020-21</v>
      </c>
      <c r="M19" s="200" t="str">
        <f t="shared" si="4"/>
        <v>2021–22</v>
      </c>
      <c r="N19" s="200" t="str">
        <f t="shared" si="4"/>
        <v>2022–23</v>
      </c>
      <c r="O19" s="200" t="str">
        <f t="shared" si="4"/>
        <v>2023–24</v>
      </c>
      <c r="P19" s="200" t="str">
        <f t="shared" si="4"/>
        <v>2024–25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202">
        <v>3.4223677885352854E-2</v>
      </c>
      <c r="H20" s="202">
        <v>3.4525892490292698E-2</v>
      </c>
      <c r="I20" s="202">
        <v>3.4583434536381352E-2</v>
      </c>
      <c r="J20" s="202">
        <v>3.4290771868183745E-2</v>
      </c>
      <c r="K20" s="202">
        <v>3.3975376840037708E-2</v>
      </c>
      <c r="L20" s="131"/>
      <c r="M20" s="131"/>
      <c r="N20" s="131"/>
      <c r="O20" s="131"/>
      <c r="P20" s="131"/>
    </row>
    <row r="21" spans="1:16" ht="11.25" customHeight="1">
      <c r="C21" s="154" t="s">
        <v>95</v>
      </c>
      <c r="D21" s="78" t="s">
        <v>49</v>
      </c>
      <c r="E21" s="78" t="s">
        <v>51</v>
      </c>
      <c r="F21" s="79"/>
      <c r="G21" s="79"/>
      <c r="H21" s="79"/>
      <c r="I21" s="79"/>
      <c r="J21" s="201"/>
      <c r="K21" s="201"/>
      <c r="L21" s="202">
        <v>2.3998445239976629E-2</v>
      </c>
      <c r="M21" s="202">
        <v>2.2745496891311889E-2</v>
      </c>
      <c r="N21" s="202">
        <v>2.149254854264715E-2</v>
      </c>
      <c r="O21" s="202">
        <v>2.023960019398241E-2</v>
      </c>
      <c r="P21" s="202">
        <v>1.8986651845317538E-2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3">
        <f>IF(AND(G13&lt;&gt;"",G20&lt;&gt;""),((1+G20)*(1+G13)-1),"")</f>
        <v>5.1687117099176838E-2</v>
      </c>
      <c r="H22" s="143">
        <f>IF(AND(H13&lt;&gt;"",H20&lt;&gt;""),((1+H20)*(1+H13)-1),"")</f>
        <v>4.9795647360998174E-2</v>
      </c>
      <c r="I22" s="143">
        <f>IF(AND(I13&lt;&gt;"",I20&lt;&gt;""),((1+I20)*(1+I13)-1),"")</f>
        <v>5.4334572832075878E-2</v>
      </c>
      <c r="J22" s="143">
        <f>IF(AND(J13&lt;&gt;"",J20&lt;&gt;""),((1+J20)*(1+J13)-1),"")</f>
        <v>5.2743774042460112E-2</v>
      </c>
      <c r="K22" s="143">
        <f>IF(AND(K13&lt;&gt;"",K20&lt;&gt;""),((1+K20)*(1+K13)-1),"")</f>
        <v>5.3005598499670459E-2</v>
      </c>
      <c r="L22" s="143">
        <f>IF(AND(L14&lt;&gt;"",L21&lt;&gt;""),((1+L21)*(1+L14)-1),"")</f>
        <v>4.7284068405474944E-2</v>
      </c>
      <c r="M22" s="143">
        <f t="shared" ref="M22:P22" si="5">IF(AND(M14&lt;&gt;"",M21&lt;&gt;""),((1+M21)*(1+M14)-1),"")</f>
        <v>4.6002628135530133E-2</v>
      </c>
      <c r="N22" s="143">
        <f t="shared" si="5"/>
        <v>4.4721187865585099E-2</v>
      </c>
      <c r="O22" s="143">
        <f t="shared" si="5"/>
        <v>4.3439747595640288E-2</v>
      </c>
      <c r="P22" s="143">
        <f t="shared" si="5"/>
        <v>4.2158307325695032E-2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107" spans="13:16" ht="18" customHeight="1"/>
    <row r="108" spans="13:16" ht="18" customHeight="1">
      <c r="M108" s="11"/>
      <c r="N108" s="11"/>
      <c r="O108" s="11"/>
      <c r="P108" s="11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FD635-2287-4BC5-A7C5-6A157539A007}">
  <dimension ref="A1:K17"/>
  <sheetViews>
    <sheetView zoomScale="115" zoomScaleNormal="115" workbookViewId="0">
      <selection activeCell="K9" sqref="K9"/>
    </sheetView>
  </sheetViews>
  <sheetFormatPr defaultRowHeight="15"/>
  <sheetData>
    <row r="1" spans="1:11">
      <c r="A1" t="s">
        <v>105</v>
      </c>
      <c r="C1" t="s">
        <v>109</v>
      </c>
    </row>
    <row r="2" spans="1:11">
      <c r="C2" t="s">
        <v>110</v>
      </c>
    </row>
    <row r="5" spans="1:11">
      <c r="A5" s="8"/>
      <c r="B5" s="74" t="s">
        <v>41</v>
      </c>
      <c r="C5" s="8"/>
      <c r="D5" s="18"/>
      <c r="E5" s="18"/>
      <c r="F5" s="18"/>
      <c r="G5" s="18"/>
      <c r="H5" s="8"/>
      <c r="I5" s="8"/>
    </row>
    <row r="6" spans="1:11">
      <c r="A6" s="11"/>
      <c r="B6" s="203"/>
      <c r="C6" s="11"/>
      <c r="D6" s="16"/>
      <c r="E6" s="16"/>
      <c r="F6" s="16"/>
      <c r="G6" s="78"/>
      <c r="H6" s="78" t="s">
        <v>106</v>
      </c>
      <c r="I6" s="78" t="s">
        <v>7</v>
      </c>
      <c r="K6" s="78" t="s">
        <v>107</v>
      </c>
    </row>
    <row r="7" spans="1:11">
      <c r="A7" s="11"/>
      <c r="B7" s="203"/>
      <c r="C7" s="68"/>
      <c r="D7" s="204" t="s">
        <v>6</v>
      </c>
      <c r="E7" s="204" t="s">
        <v>52</v>
      </c>
      <c r="F7" s="204" t="s">
        <v>4</v>
      </c>
      <c r="G7" s="205"/>
      <c r="H7" s="206" t="s">
        <v>111</v>
      </c>
      <c r="I7" s="206" t="s">
        <v>111</v>
      </c>
      <c r="K7" s="206" t="s">
        <v>111</v>
      </c>
    </row>
    <row r="8" spans="1:11">
      <c r="A8" s="11"/>
      <c r="B8" s="203"/>
      <c r="C8" s="68"/>
      <c r="D8" s="68"/>
      <c r="E8" s="68"/>
      <c r="F8" s="68"/>
      <c r="G8" s="68"/>
      <c r="H8" s="68"/>
      <c r="I8" s="68"/>
    </row>
    <row r="9" spans="1:11">
      <c r="A9" s="11"/>
      <c r="B9" s="203"/>
      <c r="C9" s="207" t="s">
        <v>77</v>
      </c>
      <c r="D9" s="78"/>
      <c r="E9" s="78" t="s">
        <v>50</v>
      </c>
      <c r="F9" s="78" t="s">
        <v>53</v>
      </c>
      <c r="G9" s="68"/>
      <c r="H9" s="161">
        <v>587.97760116700772</v>
      </c>
      <c r="I9" s="161">
        <v>829.09332700000004</v>
      </c>
      <c r="K9" s="161">
        <f>I9-H9</f>
        <v>241.11572583299233</v>
      </c>
    </row>
    <row r="10" spans="1:11">
      <c r="A10" s="11"/>
      <c r="B10" s="203"/>
      <c r="C10" s="207" t="s">
        <v>97</v>
      </c>
      <c r="D10" s="78"/>
      <c r="E10" s="78" t="s">
        <v>50</v>
      </c>
      <c r="F10" s="78" t="s">
        <v>53</v>
      </c>
      <c r="G10" s="208"/>
      <c r="H10" s="161">
        <v>47.735027780554276</v>
      </c>
      <c r="I10" s="161">
        <v>104.35216200000001</v>
      </c>
      <c r="K10" s="161">
        <f t="shared" ref="K10:K12" si="0">I10-H10</f>
        <v>56.617134219445731</v>
      </c>
    </row>
    <row r="11" spans="1:11">
      <c r="A11" s="11"/>
      <c r="B11" s="203"/>
      <c r="C11" s="209" t="s">
        <v>91</v>
      </c>
      <c r="D11" s="78"/>
      <c r="E11" s="78" t="s">
        <v>50</v>
      </c>
      <c r="F11" s="78" t="s">
        <v>53</v>
      </c>
      <c r="G11" s="208"/>
      <c r="H11" s="161">
        <v>3.83</v>
      </c>
      <c r="I11" s="161">
        <v>1.5815920000000001</v>
      </c>
      <c r="K11" s="161">
        <f t="shared" si="0"/>
        <v>-2.248408</v>
      </c>
    </row>
    <row r="12" spans="1:11">
      <c r="A12" s="11"/>
      <c r="B12" s="203"/>
      <c r="C12" s="210" t="s">
        <v>96</v>
      </c>
      <c r="D12" s="78"/>
      <c r="E12" s="78" t="s">
        <v>50</v>
      </c>
      <c r="F12" s="78" t="s">
        <v>53</v>
      </c>
      <c r="G12" s="68"/>
      <c r="H12" s="161"/>
      <c r="I12" s="161"/>
      <c r="K12" s="161">
        <f t="shared" si="0"/>
        <v>0</v>
      </c>
    </row>
    <row r="13" spans="1:11">
      <c r="A13" s="11"/>
      <c r="B13" s="203"/>
      <c r="C13" s="68"/>
      <c r="D13" s="68"/>
      <c r="E13" s="68"/>
      <c r="F13" s="68"/>
      <c r="G13" s="68"/>
      <c r="H13" s="67"/>
      <c r="I13" s="67"/>
      <c r="K13" s="67"/>
    </row>
    <row r="14" spans="1:11">
      <c r="A14" s="11"/>
      <c r="B14" s="203"/>
      <c r="C14" s="211" t="s">
        <v>76</v>
      </c>
      <c r="D14" s="212" t="s">
        <v>60</v>
      </c>
      <c r="E14" s="213" t="s">
        <v>50</v>
      </c>
      <c r="F14" s="213" t="s">
        <v>53</v>
      </c>
      <c r="G14" s="68"/>
      <c r="H14" s="66">
        <f>IF(H7="", "", H9-H10-H11-H12)</f>
        <v>536.41257338645335</v>
      </c>
      <c r="I14" s="66">
        <f t="shared" ref="I14:K14" si="1">IF(I7="", "", I9-I10-I11-I12)</f>
        <v>723.15957300000002</v>
      </c>
      <c r="K14" s="66">
        <f t="shared" si="1"/>
        <v>186.74699961354659</v>
      </c>
    </row>
    <row r="16" spans="1:11">
      <c r="C16" t="s">
        <v>112</v>
      </c>
    </row>
    <row r="17" spans="9:9">
      <c r="I17">
        <v>12.705494</v>
      </c>
    </row>
  </sheetData>
  <conditionalFormatting sqref="I9">
    <cfRule type="expression" dxfId="15" priority="9">
      <formula>IF($H$6&lt;&gt;"","FALSE","TRUE")</formula>
    </cfRule>
  </conditionalFormatting>
  <conditionalFormatting sqref="I10:I11">
    <cfRule type="expression" dxfId="14" priority="8">
      <formula>IF($H$6&lt;&gt;"","FALSE","TRUE")</formula>
    </cfRule>
  </conditionalFormatting>
  <conditionalFormatting sqref="I12">
    <cfRule type="expression" dxfId="13" priority="7">
      <formula>IF($H$6&lt;&gt;"","FALSE","TRUE")</formula>
    </cfRule>
  </conditionalFormatting>
  <conditionalFormatting sqref="H9:H11">
    <cfRule type="expression" dxfId="12" priority="6">
      <formula>IF($H$6&lt;&gt;"","FALSE","TRUE")</formula>
    </cfRule>
  </conditionalFormatting>
  <conditionalFormatting sqref="H12">
    <cfRule type="expression" dxfId="11" priority="4">
      <formula>IF($H$6&lt;&gt;"","FALSE","TRUE")</formula>
    </cfRule>
  </conditionalFormatting>
  <conditionalFormatting sqref="K9">
    <cfRule type="expression" dxfId="10" priority="3">
      <formula>IF($H$6&lt;&gt;"","FALSE","TRUE")</formula>
    </cfRule>
  </conditionalFormatting>
  <conditionalFormatting sqref="K10:K11">
    <cfRule type="expression" dxfId="9" priority="2">
      <formula>IF($H$6&lt;&gt;"","FALSE","TRUE")</formula>
    </cfRule>
  </conditionalFormatting>
  <conditionalFormatting sqref="K12">
    <cfRule type="expression" dxfId="8" priority="1">
      <formula>IF($H$6&lt;&gt;"","FALSE","TRUE")</formula>
    </cfRule>
  </conditionalFormatting>
  <pageMargins left="0.7" right="0.7" top="0.75" bottom="0.75" header="0.3" footer="0.3"/>
  <customProperties>
    <customPr name="_pios_id" r:id="rId1"/>
  </customProperti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>
      <selection activeCell="L19" sqref="L19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Ergon Energy 2021-25 Final Decision - Capital expenditure sharing scheme model</v>
      </c>
      <c r="D1" s="12"/>
      <c r="E1" s="12"/>
      <c r="F1" s="12"/>
      <c r="G1" s="12"/>
      <c r="H1" s="105"/>
      <c r="I1" s="106" t="s">
        <v>47</v>
      </c>
      <c r="J1" s="159" t="s">
        <v>48</v>
      </c>
      <c r="K1" s="163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7" t="str">
        <f>IF('Input | General'!D14="Yes",'Input | General'!D13,"n/a")</f>
        <v>2015–16</v>
      </c>
      <c r="I6" s="177" t="str">
        <f>IF('Input | General'!E14="Yes",'Input | General'!E13,"n/a")</f>
        <v>2016–17</v>
      </c>
      <c r="J6" s="177" t="str">
        <f>IF('Input | General'!F14="Yes",'Input | General'!F13,"n/a")</f>
        <v>2017–18</v>
      </c>
      <c r="K6" s="177" t="str">
        <f>IF('Input | General'!G14="Yes",'Input | General'!G13,"n/a")</f>
        <v>2018–19</v>
      </c>
      <c r="L6" s="177" t="str">
        <f>IF('Input | General'!H14="Yes",'Input | General'!H13,"n/a")</f>
        <v>2019–20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80" t="str">
        <f>'Input | Inflation and Disc Rate'!$F$7</f>
        <v>2014–15</v>
      </c>
      <c r="G8" s="68"/>
      <c r="H8" s="161">
        <v>696.62820898912275</v>
      </c>
      <c r="I8" s="161">
        <v>632.20989699665256</v>
      </c>
      <c r="J8" s="161">
        <v>585.59690832026251</v>
      </c>
      <c r="K8" s="161">
        <v>555.4274800165897</v>
      </c>
      <c r="L8" s="161">
        <v>547.06765487603479</v>
      </c>
      <c r="M8" s="2"/>
      <c r="N8" s="2"/>
    </row>
    <row r="9" spans="2:14" ht="10.5" customHeight="1">
      <c r="C9" s="80" t="s">
        <v>97</v>
      </c>
      <c r="D9" s="78" t="s">
        <v>49</v>
      </c>
      <c r="E9" s="78" t="s">
        <v>50</v>
      </c>
      <c r="F9" s="180" t="str">
        <f>'Input | Inflation and Disc Rate'!$F$7</f>
        <v>2014–15</v>
      </c>
      <c r="G9" s="68"/>
      <c r="H9" s="161">
        <v>29.619999999999994</v>
      </c>
      <c r="I9" s="161">
        <v>30.81</v>
      </c>
      <c r="J9" s="161">
        <v>32.030000000000008</v>
      </c>
      <c r="K9" s="161">
        <v>32.819999999999993</v>
      </c>
      <c r="L9" s="161">
        <v>33.519999999999996</v>
      </c>
      <c r="M9" s="2"/>
      <c r="N9" s="2"/>
    </row>
    <row r="10" spans="2:14" ht="10.5" customHeight="1">
      <c r="C10" s="80" t="s">
        <v>91</v>
      </c>
      <c r="D10" s="78" t="s">
        <v>49</v>
      </c>
      <c r="E10" s="78" t="s">
        <v>50</v>
      </c>
      <c r="F10" s="180" t="str">
        <f>'Input | Inflation and Disc Rate'!$F$7</f>
        <v>2014–15</v>
      </c>
      <c r="G10" s="68"/>
      <c r="H10" s="161">
        <v>7</v>
      </c>
      <c r="I10" s="161">
        <v>7</v>
      </c>
      <c r="J10" s="161">
        <v>7</v>
      </c>
      <c r="K10" s="161">
        <v>15.75</v>
      </c>
      <c r="L10" s="161">
        <v>16.689999999999998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60</v>
      </c>
      <c r="E12" s="178" t="s">
        <v>50</v>
      </c>
      <c r="F12" s="179" t="str">
        <f>'Input | Inflation and Disc Rate'!$F$7</f>
        <v>2014–15</v>
      </c>
      <c r="G12" s="68"/>
      <c r="H12" s="66">
        <f>IF(H6="", "", H8-H9-H10)</f>
        <v>660.00820898912275</v>
      </c>
      <c r="I12" s="66">
        <f t="shared" ref="I12:L12" si="0">IF(I6="", "", I8-I9-I10)</f>
        <v>594.39989699665261</v>
      </c>
      <c r="J12" s="66">
        <f t="shared" si="0"/>
        <v>546.56690832026254</v>
      </c>
      <c r="K12" s="66">
        <f t="shared" si="0"/>
        <v>506.85748001658976</v>
      </c>
      <c r="L12" s="66">
        <f t="shared" si="0"/>
        <v>496.85765487603481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7" t="str">
        <f>H6</f>
        <v>2015–16</v>
      </c>
      <c r="I16" s="177" t="str">
        <f t="shared" ref="I16:L16" si="1">I6</f>
        <v>2016–17</v>
      </c>
      <c r="J16" s="177" t="str">
        <f t="shared" si="1"/>
        <v>2017–18</v>
      </c>
      <c r="K16" s="177" t="str">
        <f t="shared" si="1"/>
        <v>2018–19</v>
      </c>
      <c r="L16" s="177" t="str">
        <f t="shared" si="1"/>
        <v>2019–20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1">
        <v>636.24875315492409</v>
      </c>
      <c r="I18" s="161">
        <v>517.34486845620916</v>
      </c>
      <c r="J18" s="161">
        <v>532.46001055299405</v>
      </c>
      <c r="K18" s="161">
        <v>610.58480582840264</v>
      </c>
      <c r="L18" s="161">
        <f>'FY20 Capex'!I9</f>
        <v>829.09332700000004</v>
      </c>
    </row>
    <row r="19" spans="2:14" s="2" customFormat="1" ht="10.5" customHeight="1">
      <c r="B19" s="73"/>
      <c r="C19" s="80" t="s">
        <v>97</v>
      </c>
      <c r="D19" s="78" t="s">
        <v>49</v>
      </c>
      <c r="E19" s="78" t="s">
        <v>50</v>
      </c>
      <c r="F19" s="78" t="s">
        <v>53</v>
      </c>
      <c r="G19" s="141"/>
      <c r="H19" s="162">
        <v>25.621829000000002</v>
      </c>
      <c r="I19" s="161">
        <v>9.3205489499999992</v>
      </c>
      <c r="J19" s="161">
        <v>42.755462922527542</v>
      </c>
      <c r="K19" s="161">
        <v>71.36591700000001</v>
      </c>
      <c r="L19" s="161">
        <f>'FY20 Capex'!I10</f>
        <v>104.35216200000001</v>
      </c>
    </row>
    <row r="20" spans="2:14" s="2" customFormat="1" ht="10.5" customHeight="1">
      <c r="B20" s="73"/>
      <c r="C20" s="140" t="s">
        <v>91</v>
      </c>
      <c r="D20" s="78" t="s">
        <v>49</v>
      </c>
      <c r="E20" s="78" t="s">
        <v>50</v>
      </c>
      <c r="F20" s="78" t="s">
        <v>53</v>
      </c>
      <c r="G20" s="141"/>
      <c r="H20" s="162">
        <v>5.6313649999999997</v>
      </c>
      <c r="I20" s="161">
        <v>8.5529909999999987</v>
      </c>
      <c r="J20" s="161">
        <v>3.8312844199999998</v>
      </c>
      <c r="K20" s="161">
        <v>1.154325</v>
      </c>
      <c r="L20" s="161">
        <f>'FY20 Capex'!I11</f>
        <v>1.5815920000000001</v>
      </c>
    </row>
    <row r="21" spans="2:14" s="2" customFormat="1" ht="10.5" customHeight="1">
      <c r="B21" s="73"/>
      <c r="C21" s="156" t="s">
        <v>96</v>
      </c>
      <c r="D21" s="78" t="s">
        <v>49</v>
      </c>
      <c r="E21" s="78" t="s">
        <v>50</v>
      </c>
      <c r="F21" s="78" t="s">
        <v>53</v>
      </c>
      <c r="G21" s="68"/>
      <c r="H21" s="162"/>
      <c r="I21" s="161"/>
      <c r="J21" s="161"/>
      <c r="K21" s="161"/>
      <c r="L21" s="161">
        <f>'FY20 Capex'!I12</f>
        <v>0</v>
      </c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76</v>
      </c>
      <c r="D23" s="76" t="s">
        <v>60</v>
      </c>
      <c r="E23" s="181" t="s">
        <v>50</v>
      </c>
      <c r="F23" s="181" t="s">
        <v>53</v>
      </c>
      <c r="G23" s="68"/>
      <c r="H23" s="66">
        <f>IF(H16="", "", H18-H19-H20-H21)</f>
        <v>604.99555915492408</v>
      </c>
      <c r="I23" s="66">
        <f t="shared" ref="I23:L23" si="2">IF(I16="", "", I18-I19-I20-I21)</f>
        <v>499.47132850620915</v>
      </c>
      <c r="J23" s="66">
        <f t="shared" si="2"/>
        <v>485.87326321046652</v>
      </c>
      <c r="K23" s="66">
        <f t="shared" si="2"/>
        <v>538.0645638284027</v>
      </c>
      <c r="L23" s="66">
        <f t="shared" si="2"/>
        <v>723.15957300000002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7" t="str">
        <f>'Input | General'!D18</f>
        <v>2020-21</v>
      </c>
      <c r="I27" s="177" t="str">
        <f>'Input | General'!E18</f>
        <v>2021–22</v>
      </c>
      <c r="J27" s="177" t="str">
        <f>'Input | General'!F18</f>
        <v>2022–23</v>
      </c>
      <c r="K27" s="177" t="str">
        <f>'Input | General'!G18</f>
        <v>2023–24</v>
      </c>
      <c r="L27" s="177" t="str">
        <f>'Input | General'!H18</f>
        <v>2024–25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102</v>
      </c>
      <c r="E29" s="78" t="s">
        <v>50</v>
      </c>
      <c r="F29" s="78" t="s">
        <v>53</v>
      </c>
      <c r="G29" s="68"/>
      <c r="H29" s="161">
        <v>19.401901055858673</v>
      </c>
      <c r="I29" s="161">
        <v>14.147878146201986</v>
      </c>
      <c r="J29" s="161">
        <v>18.08136445155192</v>
      </c>
      <c r="K29" s="161">
        <v>11.42598100329562</v>
      </c>
      <c r="L29" s="161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2014–15</v>
      </c>
      <c r="G30" s="68"/>
      <c r="H30" s="149">
        <f>IF(H29&lt;&gt;"",H29/('Input | Inflation and Disc Rate'!K10*(1+'Input | Inflation and Disc Rate'!L9)^0.5),"")</f>
        <v>17.616050279368853</v>
      </c>
      <c r="I30" s="149">
        <f>IF(I29&lt;&gt;"",I29/('Input | Inflation and Disc Rate'!L10*(1+'Input | Inflation and Disc Rate'!M9)^0.5),"")</f>
        <v>12.548241345112569</v>
      </c>
      <c r="J30" s="149">
        <f>IF(J29&lt;&gt;"",J29/('Input | Inflation and Disc Rate'!M10*(1+'Input | Inflation and Disc Rate'!N9)^0.5),"")</f>
        <v>15.66570878841763</v>
      </c>
      <c r="K30" s="149">
        <f>IF(K29&lt;&gt;"",K29/('Input | Inflation and Disc Rate'!N10*(1+'Input | Inflation and Disc Rate'!O9)^0.5),"")</f>
        <v>9.6702932350572546</v>
      </c>
      <c r="L30" s="149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49">
        <f>IF(H29&lt;&gt;"",H30*'Input | Inflation and Disc Rate'!K15*(1+'Input | Inflation and Disc Rate'!L14)^0.5,"")</f>
        <v>19.419590351995254</v>
      </c>
      <c r="I31" s="149">
        <f>IF(I29&lt;&gt;"",I30*'Input | Inflation and Disc Rate'!L15*(1+'Input | Inflation and Disc Rate'!M14)^0.5,"")</f>
        <v>14.147496201802548</v>
      </c>
      <c r="J31" s="149">
        <f>IF(J29&lt;&gt;"",J30*'Input | Inflation and Disc Rate'!M15*(1+'Input | Inflation and Disc Rate'!N14)^0.5,"")</f>
        <v>18.063918777041405</v>
      </c>
      <c r="K31" s="149">
        <f>IF(K29&lt;&gt;"",K30*'Input | Inflation and Disc Rate'!N15*(1+'Input | Inflation and Disc Rate'!O14)^0.5,"")</f>
        <v>11.404250964555507</v>
      </c>
      <c r="L31" s="149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F13" sqref="F13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Ergon Energy 2021-25 Final Decision - Capital expenditure sharing scheme model</v>
      </c>
      <c r="J1" s="122"/>
      <c r="K1" s="106" t="s">
        <v>47</v>
      </c>
      <c r="L1" s="159" t="s">
        <v>48</v>
      </c>
      <c r="M1" s="163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7" t="str">
        <f>IF('Input | General'!D14="Yes",'Input | General'!D13,"n/a")</f>
        <v>2015–16</v>
      </c>
      <c r="E7" s="177" t="str">
        <f>IF('Input | General'!E14="Yes",'Input | General'!E13,"n/a")</f>
        <v>2016–17</v>
      </c>
      <c r="F7" s="177" t="str">
        <f>IF('Input | General'!F14="Yes",'Input | General'!F13,"n/a")</f>
        <v>2017–18</v>
      </c>
      <c r="G7" s="177" t="str">
        <f>IF('Input | General'!G14="Yes",'Input | General'!G13,"n/a")</f>
        <v>2018–19</v>
      </c>
      <c r="H7" s="182" t="str">
        <f>IF('Input | General'!H14="Yes",'Input | General'!H13,"n/a")</f>
        <v>2019–20</v>
      </c>
      <c r="I7" s="97"/>
    </row>
    <row r="8" spans="2:23" ht="11.25" customHeight="1">
      <c r="C8" s="144" t="s">
        <v>93</v>
      </c>
      <c r="D8" s="164">
        <f>'Input | Inflation and Disc Rate'!G20</f>
        <v>3.4223677885352854E-2</v>
      </c>
      <c r="E8" s="165">
        <f>'Input | Inflation and Disc Rate'!H20</f>
        <v>3.4525892490292698E-2</v>
      </c>
      <c r="F8" s="165">
        <f>'Input | Inflation and Disc Rate'!I20</f>
        <v>3.4583434536381352E-2</v>
      </c>
      <c r="G8" s="165">
        <f>'Input | Inflation and Disc Rate'!J20</f>
        <v>3.4290771868183745E-2</v>
      </c>
      <c r="H8" s="166">
        <f>'Input | Inflation and Disc Rate'!K20</f>
        <v>3.3975376840037708E-2</v>
      </c>
      <c r="I8" s="97"/>
      <c r="J8" s="79"/>
      <c r="K8" s="79"/>
    </row>
    <row r="9" spans="2:23" ht="11.25" customHeight="1">
      <c r="C9" s="147" t="s">
        <v>94</v>
      </c>
      <c r="D9" s="165">
        <f>'Input | Inflation and Disc Rate'!G22</f>
        <v>5.1687117099176838E-2</v>
      </c>
      <c r="E9" s="165">
        <f>'Input | Inflation and Disc Rate'!H22</f>
        <v>4.9795647360998174E-2</v>
      </c>
      <c r="F9" s="165">
        <f>'Input | Inflation and Disc Rate'!I22</f>
        <v>5.4334572832075878E-2</v>
      </c>
      <c r="G9" s="165">
        <f>'Input | Inflation and Disc Rate'!J22</f>
        <v>5.2743774042460112E-2</v>
      </c>
      <c r="H9" s="166">
        <f>'Input | Inflation and Disc Rate'!K22</f>
        <v>5.3005598499670459E-2</v>
      </c>
      <c r="I9" s="97"/>
      <c r="J9" s="79"/>
      <c r="K9" s="79"/>
    </row>
    <row r="10" spans="2:23" ht="11.25" customHeight="1">
      <c r="C10" s="113" t="s">
        <v>13</v>
      </c>
      <c r="D10" s="167">
        <f>'Input | Reported Capex'!H$12*'Input | Inflation and Disc Rate'!G$15*(1+'Input | Inflation and Disc Rate'!G$20)^0.5</f>
        <v>682.54085623199478</v>
      </c>
      <c r="E10" s="168">
        <f>'Input | Reported Capex'!I$12*'Input | Inflation and Disc Rate'!H$15*(1+'Input | Inflation and Disc Rate'!H$20)^0.5</f>
        <v>623.85676429109265</v>
      </c>
      <c r="F10" s="168">
        <f>'Input | Reported Capex'!J$12*'Input | Inflation and Disc Rate'!I$15*(1+'Input | Inflation and Disc Rate'!I$20)^0.5</f>
        <v>584.62112191121935</v>
      </c>
      <c r="G10" s="168">
        <f>'Input | Reported Capex'!K$12*'Input | Inflation and Disc Rate'!J$15*(1+'Input | Inflation and Disc Rate'!J$20)^0.5</f>
        <v>551.74146625835442</v>
      </c>
      <c r="H10" s="169">
        <f>'Input | Reported Capex'!L$12*'Input | Inflation and Disc Rate'!K$15*(1+'Input | Inflation and Disc Rate'!K$20)^0.5</f>
        <v>550.72654104352557</v>
      </c>
      <c r="I10" s="97"/>
      <c r="J10" s="79"/>
      <c r="K10" s="79"/>
      <c r="N10" s="138"/>
    </row>
    <row r="11" spans="2:23" ht="11.25" customHeight="1">
      <c r="C11" s="113" t="s">
        <v>15</v>
      </c>
      <c r="D11" s="170">
        <f>'Input | Reported Capex'!H23*(1+D$9)^0.5</f>
        <v>620.43382072361646</v>
      </c>
      <c r="E11" s="168">
        <f>'Input | Reported Capex'!I23*(1+E$9)^0.5</f>
        <v>511.75600457473342</v>
      </c>
      <c r="F11" s="168">
        <f>'Input | Reported Capex'!J23*(1+F$9)^0.5</f>
        <v>498.8985309300333</v>
      </c>
      <c r="G11" s="168">
        <f>'Input | Reported Capex'!K23*(1+G$9)^0.5</f>
        <v>552.07201355210145</v>
      </c>
      <c r="H11" s="169">
        <f>'Input | Reported Capex'!L23*(1+H$9)^0.5</f>
        <v>742.07786890377827</v>
      </c>
      <c r="I11" s="97"/>
      <c r="J11" s="79"/>
      <c r="K11" s="79"/>
    </row>
    <row r="12" spans="2:23" s="19" customFormat="1" ht="11.25" customHeight="1">
      <c r="C12" s="113" t="s">
        <v>17</v>
      </c>
      <c r="D12" s="158">
        <f>(D10-D11)</f>
        <v>62.107035508378317</v>
      </c>
      <c r="E12" s="145">
        <f>(E10-E11)</f>
        <v>112.10075971635922</v>
      </c>
      <c r="F12" s="145">
        <f t="shared" ref="F12:H12" si="0">(F10-F11)</f>
        <v>85.722590981186045</v>
      </c>
      <c r="G12" s="145">
        <f t="shared" si="0"/>
        <v>-0.33054729374703129</v>
      </c>
      <c r="H12" s="150">
        <f t="shared" si="0"/>
        <v>-191.3513278602527</v>
      </c>
      <c r="I12" s="97"/>
      <c r="J12" s="79"/>
      <c r="K12" s="79"/>
    </row>
    <row r="13" spans="2:23" ht="11.25" customHeight="1">
      <c r="C13" s="113" t="s">
        <v>71</v>
      </c>
      <c r="D13" s="89"/>
      <c r="E13" s="145">
        <f>$D$12*$E$8</f>
        <v>2.1443008308530609</v>
      </c>
      <c r="F13" s="145">
        <f>$D$12*$F$8*(1+'Input | Inflation and Disc Rate'!H13)</f>
        <v>2.1795775428302444</v>
      </c>
      <c r="G13" s="145">
        <f>$D$12*$G$8*(1+'Input | Inflation and Disc Rate'!H13)*(1+'Input | Inflation and Disc Rate'!I13)</f>
        <v>2.2023908362880564</v>
      </c>
      <c r="H13" s="150">
        <f>$D$12*$H$8*(1+'Input | Inflation and Disc Rate'!H13)*(1+'Input | Inflation and Disc Rate'!I13)*(1+'Input | Inflation and Disc Rate'!J13)</f>
        <v>2.2210659010743883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72</v>
      </c>
      <c r="D14" s="89"/>
      <c r="E14" s="146"/>
      <c r="F14" s="145">
        <f>$E$12*F$8</f>
        <v>3.8768292851293249</v>
      </c>
      <c r="G14" s="145">
        <f>$E$12*G$8*(1+'Input | Inflation and Disc Rate'!I13)</f>
        <v>3.9174074441668099</v>
      </c>
      <c r="H14" s="150">
        <f>$E$12*H$8*(1+'Input | Inflation and Disc Rate'!I13)*(1+'Input | Inflation and Disc Rate'!J13)</f>
        <v>3.9506249079379421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73</v>
      </c>
      <c r="D15" s="89"/>
      <c r="E15" s="145"/>
      <c r="F15" s="145"/>
      <c r="G15" s="145">
        <f>$F$12*G$8</f>
        <v>2.9394938112854758</v>
      </c>
      <c r="H15" s="150">
        <f>$F$12*$H$8*(1+'Input | Inflation and Disc Rate'!J13)</f>
        <v>2.9644191044987811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74</v>
      </c>
      <c r="D16" s="89"/>
      <c r="E16" s="145"/>
      <c r="F16" s="145"/>
      <c r="G16" s="145"/>
      <c r="H16" s="150">
        <f>$G$12*$H$8</f>
        <v>-1.1230468868510028E-2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75</v>
      </c>
      <c r="D17" s="89"/>
      <c r="E17" s="145"/>
      <c r="F17" s="145"/>
      <c r="G17" s="145"/>
      <c r="H17" s="150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>
        <f>SUM(D13:D17)</f>
        <v>0</v>
      </c>
      <c r="E18" s="151">
        <f>SUM(E13:E17)</f>
        <v>2.1443008308530609</v>
      </c>
      <c r="F18" s="151">
        <f t="shared" ref="F18:H18" si="1">SUM(F13:F17)</f>
        <v>6.0564068279595693</v>
      </c>
      <c r="G18" s="151">
        <f t="shared" si="1"/>
        <v>9.0592920917403426</v>
      </c>
      <c r="H18" s="152">
        <f t="shared" si="1"/>
        <v>9.1248794446426018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92</v>
      </c>
      <c r="D19" s="126">
        <f>E19*(1+E$9)</f>
        <v>1.2269774395007549</v>
      </c>
      <c r="E19" s="151">
        <f>F19*(1+F$9)</f>
        <v>1.1687774116659377</v>
      </c>
      <c r="F19" s="151">
        <f>G19*(1+G$9)</f>
        <v>1.1085450878523826</v>
      </c>
      <c r="G19" s="151">
        <f>H19*(1+H$9)</f>
        <v>1.0530055984996705</v>
      </c>
      <c r="H19" s="153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>
        <f>D12*D19</f>
        <v>76.203931403052493</v>
      </c>
      <c r="E20" s="145">
        <f>E12*E19</f>
        <v>131.02083578707155</v>
      </c>
      <c r="F20" s="145">
        <f t="shared" ref="F20:H20" si="2">F12*F19</f>
        <v>95.027357150172747</v>
      </c>
      <c r="G20" s="145">
        <f t="shared" si="2"/>
        <v>-0.34806815088453907</v>
      </c>
      <c r="H20" s="150">
        <f t="shared" si="2"/>
        <v>-191.3513278602527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>
        <f>D18*D19</f>
        <v>0</v>
      </c>
      <c r="E21" s="151">
        <f>E18*E19</f>
        <v>2.5062103749175604</v>
      </c>
      <c r="F21" s="151">
        <f t="shared" ref="F21:H21" si="3">F18*F19</f>
        <v>6.7138000391702102</v>
      </c>
      <c r="G21" s="151">
        <f t="shared" si="3"/>
        <v>9.5394852910463701</v>
      </c>
      <c r="H21" s="152">
        <f t="shared" si="3"/>
        <v>9.1248794446426018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3" t="str">
        <f>'Input | General'!$D$18</f>
        <v>2020-21</v>
      </c>
      <c r="E24" s="183" t="str">
        <f>'Input | General'!$E$18</f>
        <v>2021–22</v>
      </c>
      <c r="F24" s="183" t="str">
        <f>'Input | General'!$F$18</f>
        <v>2022–23</v>
      </c>
      <c r="G24" s="183" t="str">
        <f>'Input | General'!$G$18</f>
        <v>2023–24</v>
      </c>
      <c r="H24" s="184" t="str">
        <f>'Input | General'!$H$18</f>
        <v>2024–25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70</v>
      </c>
      <c r="D25" s="171">
        <f>'Input | Inflation and Disc Rate'!L$22</f>
        <v>4.7284068405474944E-2</v>
      </c>
      <c r="E25" s="171">
        <f>'Input | Inflation and Disc Rate'!M$22</f>
        <v>4.6002628135530133E-2</v>
      </c>
      <c r="F25" s="171">
        <f>'Input | Inflation and Disc Rate'!N$22</f>
        <v>4.4721187865585099E-2</v>
      </c>
      <c r="G25" s="171">
        <f>'Input | Inflation and Disc Rate'!O$22</f>
        <v>4.3439747595640288E-2</v>
      </c>
      <c r="H25" s="172">
        <f>'Input | Inflation and Disc Rate'!P$22</f>
        <v>4.2158307325695032E-2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68">
        <f>'Input | Reported Capex'!H31</f>
        <v>19.419590351995254</v>
      </c>
      <c r="E26" s="168">
        <f>'Input | Reported Capex'!I31</f>
        <v>14.147496201802548</v>
      </c>
      <c r="F26" s="168">
        <f>'Input | Reported Capex'!J31</f>
        <v>18.063918777041405</v>
      </c>
      <c r="G26" s="168">
        <f>'Input | Reported Capex'!K31</f>
        <v>11.404250964555507</v>
      </c>
      <c r="H26" s="169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0.97716465901854321</v>
      </c>
      <c r="E27" s="124">
        <f>1/((1+E25)^(0.5)*(1+D25))</f>
        <v>0.93361778272276674</v>
      </c>
      <c r="F27" s="124">
        <f>1/((1+F25)^(0.5)*(1+E25)*(1+D25))</f>
        <v>0.89310501075495252</v>
      </c>
      <c r="G27" s="124">
        <f>1/((1+G25)^(0.5)*(1+F25)*(1+E25)*(1+D25))</f>
        <v>0.85539879973374677</v>
      </c>
      <c r="H27" s="125">
        <f>1/((1+H25)^(0.5)*(1+G25)*(1+F25)*(1+E25)*(1+D25))</f>
        <v>0.82029129167890191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18.976137384587233</v>
      </c>
      <c r="E28" s="91">
        <f t="shared" ref="E28:G28" si="4">E26*E27</f>
        <v>13.208354035005659</v>
      </c>
      <c r="F28" s="91">
        <f t="shared" si="4"/>
        <v>16.132976373646152</v>
      </c>
      <c r="G28" s="91">
        <f t="shared" si="4"/>
        <v>9.7551825869432047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52.480077948977303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36.73605456428411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15.74402338469319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27.884375149776744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-12.140351765083555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  <c r="J39" s="214" t="s">
        <v>117</v>
      </c>
      <c r="K39" s="215"/>
      <c r="L39" s="215"/>
      <c r="M39" s="215"/>
      <c r="N39" s="216"/>
      <c r="O39" s="217"/>
    </row>
    <row r="40" spans="1:16382" s="30" customFormat="1" ht="11.25" customHeight="1">
      <c r="C40" s="93"/>
      <c r="D40" s="185" t="str">
        <f>'Input | General'!D18</f>
        <v>2020-21</v>
      </c>
      <c r="E40" s="185" t="str">
        <f>'Input | General'!E18</f>
        <v>2021–22</v>
      </c>
      <c r="F40" s="185" t="str">
        <f>'Input | General'!F18</f>
        <v>2022–23</v>
      </c>
      <c r="G40" s="185" t="str">
        <f>'Input | General'!G18</f>
        <v>2023–24</v>
      </c>
      <c r="H40" s="185" t="str">
        <f>'Input | General'!H18</f>
        <v>2024–25</v>
      </c>
      <c r="I40" s="94"/>
      <c r="J40" s="218" t="s">
        <v>103</v>
      </c>
      <c r="K40" s="218" t="s">
        <v>113</v>
      </c>
      <c r="L40" s="218" t="s">
        <v>114</v>
      </c>
      <c r="M40" s="218" t="s">
        <v>115</v>
      </c>
      <c r="N40" s="218" t="s">
        <v>116</v>
      </c>
      <c r="O40" s="219"/>
    </row>
    <row r="41" spans="1:16382" s="30" customFormat="1" ht="11.25" customHeight="1">
      <c r="C41" s="100" t="s">
        <v>98</v>
      </c>
      <c r="D41" s="173">
        <f>1/(1+'Input | Inflation and Disc Rate'!L21)</f>
        <v>0.97656398273695377</v>
      </c>
      <c r="E41" s="173">
        <f>D41/(1+'Input | Inflation and Disc Rate'!M21)</f>
        <v>0.95484554633119456</v>
      </c>
      <c r="F41" s="173">
        <f>E41/(1+'Input | Inflation and Disc Rate'!N21)</f>
        <v>0.93475527324547092</v>
      </c>
      <c r="G41" s="173">
        <f>F41/(1+'Input | Inflation and Disc Rate'!O21)</f>
        <v>0.91621151841953796</v>
      </c>
      <c r="H41" s="174">
        <f>G41/(1+'Input | Inflation and Disc Rate'!P21)</f>
        <v>0.89913986288273695</v>
      </c>
      <c r="I41" s="94"/>
      <c r="J41" s="220">
        <v>0.97656398273695377</v>
      </c>
      <c r="K41" s="220">
        <v>0.95484554633119456</v>
      </c>
      <c r="L41" s="220">
        <v>0.93475527324547092</v>
      </c>
      <c r="M41" s="220">
        <v>0.91621151841953796</v>
      </c>
      <c r="N41" s="221">
        <v>0.89913986288273695</v>
      </c>
      <c r="O41" s="219"/>
    </row>
    <row r="42" spans="1:16382" s="30" customFormat="1" ht="11.25" customHeight="1">
      <c r="C42" s="191" t="str">
        <f>CONCATENATE("CESS Payment Per Year ($", 'Output | Models'!$F$8," million)")</f>
        <v>CESS Payment Per Year ($2019–20 million)</v>
      </c>
      <c r="D42" s="110">
        <f>D36/(SUM(D41:H41))</f>
        <v>-2.5932521193821079</v>
      </c>
      <c r="E42" s="110">
        <f>D42</f>
        <v>-2.5932521193821079</v>
      </c>
      <c r="F42" s="110">
        <f t="shared" ref="F42:H42" si="5">E42</f>
        <v>-2.5932521193821079</v>
      </c>
      <c r="G42" s="110">
        <f t="shared" si="5"/>
        <v>-2.5932521193821079</v>
      </c>
      <c r="H42" s="148">
        <f t="shared" si="5"/>
        <v>-2.5932521193821079</v>
      </c>
      <c r="I42" s="94"/>
      <c r="J42" s="222">
        <v>9.6868986445509897</v>
      </c>
      <c r="K42" s="222">
        <v>9.6868986445509897</v>
      </c>
      <c r="L42" s="222">
        <v>9.6868986445509897</v>
      </c>
      <c r="M42" s="222">
        <v>9.6868986445509897</v>
      </c>
      <c r="N42" s="223">
        <v>9.6868986445509897</v>
      </c>
      <c r="O42" s="219"/>
    </row>
    <row r="43" spans="1:16382" s="79" customFormat="1" ht="11.25" customHeight="1">
      <c r="J43" s="224"/>
      <c r="K43" s="224"/>
      <c r="L43" s="224"/>
      <c r="M43" s="224"/>
      <c r="N43" s="224"/>
      <c r="O43" s="224"/>
    </row>
    <row r="44" spans="1:16382" s="30" customFormat="1" ht="11.25" customHeight="1">
      <c r="C44" s="191" t="str">
        <f>CONCATENATE("Total CESS Payment ($", 'Output | Models'!$F$8," million)")</f>
        <v>Total CESS Payment ($2019–20 million)</v>
      </c>
      <c r="D44" s="157">
        <f>SUM(D42:H42)</f>
        <v>-12.966260596910539</v>
      </c>
      <c r="E44" s="70"/>
      <c r="F44" s="70"/>
      <c r="G44" s="70"/>
      <c r="H44" s="70"/>
      <c r="I44" s="94"/>
      <c r="J44" s="225">
        <v>48.434493222754952</v>
      </c>
      <c r="K44" s="226"/>
      <c r="L44" s="224" t="s">
        <v>118</v>
      </c>
      <c r="M44" s="227">
        <f>D44-J44</f>
        <v>-61.400753819665489</v>
      </c>
      <c r="N44" s="226"/>
      <c r="O44" s="219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9"/>
      <c r="K45" s="70"/>
      <c r="L45" s="70"/>
      <c r="M45" s="70"/>
      <c r="N45" s="70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J8" sqref="J8:N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Ergon Energy 2021-25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59" t="s">
        <v>48</v>
      </c>
      <c r="M1" s="163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42"/>
      <c r="K3" s="242"/>
      <c r="L3" s="242"/>
      <c r="M3" s="42"/>
      <c r="N3" s="242"/>
      <c r="O3" s="242"/>
      <c r="P3" s="242"/>
      <c r="Q3" s="242"/>
      <c r="R3" s="242"/>
      <c r="S3" s="242"/>
      <c r="T3" s="242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6" t="str">
        <f>'Calc | CESS Revenue Increments'!D40</f>
        <v>2020-21</v>
      </c>
      <c r="K6" s="186" t="str">
        <f>'Calc | CESS Revenue Increments'!E40</f>
        <v>2021–22</v>
      </c>
      <c r="L6" s="186" t="str">
        <f>'Calc | CESS Revenue Increments'!F40</f>
        <v>2022–23</v>
      </c>
      <c r="M6" s="186" t="str">
        <f>'Calc | CESS Revenue Increments'!G40</f>
        <v>2023–24</v>
      </c>
      <c r="N6" s="186" t="str">
        <f>'Calc | CESS Revenue Increments'!H40</f>
        <v>2024–25</v>
      </c>
      <c r="O6" s="56" t="s">
        <v>86</v>
      </c>
      <c r="P6" s="135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8" t="s">
        <v>58</v>
      </c>
      <c r="E8" s="52" t="s">
        <v>50</v>
      </c>
      <c r="F8" s="187" t="str">
        <f>IF(LEN(J6)&gt;4,CONCATENATE(LEFT(J6,4)-1&amp;"–"&amp;IF(RIGHT(J6,2)="00","99",IF(RIGHT(J6,2)-1&lt;10,"0","")&amp;RIGHT(J6,2)-1)),J6-1)</f>
        <v>2019–20</v>
      </c>
      <c r="H8" s="55"/>
      <c r="I8" s="55"/>
      <c r="J8" s="132">
        <f>'Calc | CESS Revenue Increments'!D42-'Calc | CESS Revenue Increments'!J42</f>
        <v>-12.280150763933097</v>
      </c>
      <c r="K8" s="132">
        <f>'Calc | CESS Revenue Increments'!E42-'Calc | CESS Revenue Increments'!K42</f>
        <v>-12.280150763933097</v>
      </c>
      <c r="L8" s="132">
        <f>'Calc | CESS Revenue Increments'!F42-'Calc | CESS Revenue Increments'!L42</f>
        <v>-12.280150763933097</v>
      </c>
      <c r="M8" s="132">
        <f>'Calc | CESS Revenue Increments'!G42-'Calc | CESS Revenue Increments'!M42</f>
        <v>-12.280150763933097</v>
      </c>
      <c r="N8" s="132">
        <f>'Calc | CESS Revenue Increments'!H42-'Calc | CESS Revenue Increments'!N42</f>
        <v>-12.280150763933097</v>
      </c>
      <c r="O8" s="60">
        <f>SUM(J8:N8)</f>
        <v>-61.400753819665482</v>
      </c>
      <c r="P8" s="136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3"/>
      <c r="K10" s="133"/>
      <c r="L10" s="133"/>
      <c r="M10" s="133"/>
      <c r="N10" s="133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DA0B-742F-49CE-9B74-428A2CE58FDD}">
  <sheetPr>
    <tabColor rgb="FF8DB4E2"/>
  </sheetPr>
  <dimension ref="A1:O32"/>
  <sheetViews>
    <sheetView topLeftCell="C1" workbookViewId="0">
      <selection activeCell="L41" sqref="L41"/>
    </sheetView>
  </sheetViews>
  <sheetFormatPr defaultRowHeight="15"/>
  <cols>
    <col min="1" max="1" width="40.7109375" customWidth="1"/>
    <col min="2" max="2" width="40.28515625" customWidth="1"/>
    <col min="3" max="3" width="9.5703125" customWidth="1"/>
    <col min="6" max="6" width="11.28515625" customWidth="1"/>
    <col min="10" max="10" width="10.42578125" customWidth="1"/>
  </cols>
  <sheetData>
    <row r="1" spans="1:15">
      <c r="A1" s="233" t="s">
        <v>138</v>
      </c>
    </row>
    <row r="2" spans="1:15">
      <c r="E2" s="239"/>
      <c r="F2" s="239" t="s">
        <v>137</v>
      </c>
      <c r="G2" s="239" t="s">
        <v>113</v>
      </c>
      <c r="H2" s="239" t="s">
        <v>114</v>
      </c>
      <c r="I2" s="239" t="s">
        <v>115</v>
      </c>
      <c r="J2" s="239" t="s">
        <v>125</v>
      </c>
      <c r="K2" s="239" t="s">
        <v>124</v>
      </c>
      <c r="L2" s="239" t="s">
        <v>123</v>
      </c>
      <c r="M2" s="239" t="s">
        <v>122</v>
      </c>
      <c r="N2" s="239" t="s">
        <v>121</v>
      </c>
      <c r="O2" s="239" t="s">
        <v>140</v>
      </c>
    </row>
    <row r="3" spans="1:15">
      <c r="A3" t="s">
        <v>136</v>
      </c>
      <c r="B3" t="s">
        <v>139</v>
      </c>
      <c r="F3" s="235">
        <v>2.3998445239976629E-2</v>
      </c>
      <c r="G3" s="235">
        <v>2.2429515237719279E-2</v>
      </c>
      <c r="H3" s="235">
        <v>2.1803719524386755E-2</v>
      </c>
      <c r="I3" s="235">
        <v>2.2573324923264429E-2</v>
      </c>
      <c r="J3" s="235">
        <v>1.8986651845317538E-2</v>
      </c>
    </row>
    <row r="4" spans="1:15">
      <c r="A4" t="s">
        <v>135</v>
      </c>
      <c r="F4" s="235"/>
      <c r="G4" s="235"/>
      <c r="H4" s="235"/>
      <c r="I4" s="235"/>
      <c r="J4" s="235"/>
      <c r="K4" s="238">
        <f>[2]WACC!G19</f>
        <v>3.1539166955611632E-2</v>
      </c>
      <c r="L4" s="238">
        <f>[2]WACC!H19</f>
        <v>3.2003502749014291E-2</v>
      </c>
      <c r="M4" s="238">
        <f>[2]WACC!I19</f>
        <v>3.2711797595705597E-2</v>
      </c>
      <c r="N4" s="238">
        <f>[2]WACC!J19</f>
        <v>3.3769275901938747E-2</v>
      </c>
      <c r="O4" s="238">
        <f>[2]WACC!K19</f>
        <v>3.4849420276806688E-2</v>
      </c>
    </row>
    <row r="5" spans="1:15">
      <c r="A5" t="s">
        <v>134</v>
      </c>
      <c r="E5" s="235"/>
      <c r="F5" s="240">
        <v>8.6058519793459354E-3</v>
      </c>
      <c r="G5" s="240">
        <v>3.4982935153583528E-2</v>
      </c>
      <c r="H5" s="240">
        <v>7.8318219291014124E-2</v>
      </c>
      <c r="I5" s="241">
        <v>4.1000000000000002E-2</v>
      </c>
      <c r="J5" s="241">
        <v>3.3000000000000002E-2</v>
      </c>
      <c r="K5" s="238"/>
      <c r="L5" s="238"/>
      <c r="M5" s="238"/>
      <c r="N5" s="238"/>
      <c r="O5" s="238"/>
    </row>
    <row r="6" spans="1:15">
      <c r="A6" t="s">
        <v>133</v>
      </c>
      <c r="E6" s="237"/>
      <c r="F6" s="236">
        <f>(1+F5)</f>
        <v>1.0086058519793459</v>
      </c>
      <c r="G6" s="236">
        <f>F6*(1+G5)</f>
        <v>1.0438898450946643</v>
      </c>
      <c r="H6" s="236">
        <f>G6*(1+H5)</f>
        <v>1.1256454388984509</v>
      </c>
      <c r="I6" s="236">
        <f>H6*(1+I5)</f>
        <v>1.1717969018932872</v>
      </c>
      <c r="J6" s="236">
        <f>I6*(1+J5)</f>
        <v>1.2104661996557655</v>
      </c>
    </row>
    <row r="7" spans="1:15">
      <c r="A7" t="s">
        <v>132</v>
      </c>
      <c r="F7" s="235">
        <f>(1+F3)*(1+F5)-1</f>
        <v>3.2810824286792162E-2</v>
      </c>
      <c r="G7" s="235">
        <f>(1+G3)*(1+G5)-1</f>
        <v>5.8197100668390123E-2</v>
      </c>
      <c r="H7" s="235">
        <f>(1+H3)*(1+H5)-1</f>
        <v>0.10182956730247161</v>
      </c>
      <c r="I7" s="235">
        <f>(1+I3)*(1+I5)-1</f>
        <v>6.4498831245118238E-2</v>
      </c>
      <c r="J7" s="235">
        <f>(1+J3)*(1+J5)-1</f>
        <v>5.2613211356212775E-2</v>
      </c>
    </row>
    <row r="9" spans="1:15">
      <c r="A9" t="s">
        <v>83</v>
      </c>
      <c r="B9" t="s">
        <v>141</v>
      </c>
      <c r="C9" t="s">
        <v>50</v>
      </c>
      <c r="D9" t="s">
        <v>108</v>
      </c>
      <c r="F9" s="229">
        <f>'Calc | CESS Revenue Increments'!J42</f>
        <v>9.6868986445509897</v>
      </c>
      <c r="G9" s="229">
        <f>'Calc | CESS Revenue Increments'!K42</f>
        <v>9.6868986445509897</v>
      </c>
      <c r="H9" s="229">
        <f>'Calc | CESS Revenue Increments'!L42</f>
        <v>9.6868986445509897</v>
      </c>
      <c r="I9" s="229">
        <f>'Calc | CESS Revenue Increments'!M42</f>
        <v>9.6868986445509897</v>
      </c>
      <c r="J9" s="229">
        <f>'Calc | CESS Revenue Increments'!N42</f>
        <v>9.6868986445509897</v>
      </c>
    </row>
    <row r="10" spans="1:15">
      <c r="A10" t="s">
        <v>83</v>
      </c>
      <c r="B10" t="s">
        <v>142</v>
      </c>
      <c r="C10" t="s">
        <v>50</v>
      </c>
      <c r="D10" t="s">
        <v>108</v>
      </c>
      <c r="F10" s="229">
        <f>'Calc | CESS Revenue Increments'!D42</f>
        <v>-2.5932521193821079</v>
      </c>
      <c r="G10" s="229">
        <f>'Calc | CESS Revenue Increments'!E42</f>
        <v>-2.5932521193821079</v>
      </c>
      <c r="H10" s="229">
        <f>'Calc | CESS Revenue Increments'!F42</f>
        <v>-2.5932521193821079</v>
      </c>
      <c r="I10" s="229">
        <f>'Calc | CESS Revenue Increments'!G42</f>
        <v>-2.5932521193821079</v>
      </c>
      <c r="J10" s="229">
        <f>'Calc | CESS Revenue Increments'!H42</f>
        <v>-2.5932521193821079</v>
      </c>
    </row>
    <row r="11" spans="1:15">
      <c r="F11" s="229"/>
      <c r="G11" s="229"/>
      <c r="H11" s="229"/>
      <c r="I11" s="229"/>
      <c r="J11" s="229"/>
    </row>
    <row r="12" spans="1:15">
      <c r="A12" t="s">
        <v>131</v>
      </c>
      <c r="C12" t="s">
        <v>50</v>
      </c>
      <c r="D12" t="s">
        <v>108</v>
      </c>
      <c r="F12" s="229">
        <f t="shared" ref="F12:J12" si="0">F10-F9</f>
        <v>-12.280150763933097</v>
      </c>
      <c r="G12" s="229">
        <f t="shared" si="0"/>
        <v>-12.280150763933097</v>
      </c>
      <c r="H12" s="229">
        <f t="shared" si="0"/>
        <v>-12.280150763933097</v>
      </c>
      <c r="I12" s="229">
        <f t="shared" si="0"/>
        <v>-12.280150763933097</v>
      </c>
      <c r="J12" s="229">
        <f t="shared" si="0"/>
        <v>-12.280150763933097</v>
      </c>
    </row>
    <row r="13" spans="1:15">
      <c r="A13" t="s">
        <v>131</v>
      </c>
      <c r="B13" t="s">
        <v>130</v>
      </c>
      <c r="C13" t="s">
        <v>50</v>
      </c>
      <c r="D13" t="s">
        <v>53</v>
      </c>
      <c r="F13" s="229">
        <f>F12*F6</f>
        <v>-12.385831923691557</v>
      </c>
      <c r="G13" s="229">
        <f>G12*G6</f>
        <v>-12.819124678701245</v>
      </c>
      <c r="H13" s="229">
        <f>H12*H6</f>
        <v>-13.823095696406618</v>
      </c>
      <c r="I13" s="229">
        <f>I12*I6</f>
        <v>-14.389842619959287</v>
      </c>
      <c r="J13" s="229">
        <f>J12*J6</f>
        <v>-14.864707426417942</v>
      </c>
    </row>
    <row r="14" spans="1:15">
      <c r="A14" t="s">
        <v>71</v>
      </c>
      <c r="F14" s="229"/>
      <c r="G14" s="229">
        <f>$F$13*G$3</f>
        <v>-0.27780820586426963</v>
      </c>
      <c r="H14" s="229">
        <f>$F$13*G$6/$F$6*H$3</f>
        <v>-0.27950459904254643</v>
      </c>
      <c r="I14" s="229">
        <f>$F$13*H$6/$F$6*I$3</f>
        <v>-0.31203323060036475</v>
      </c>
      <c r="J14" s="229">
        <f>$F$13*I$6/$F$6*J$3</f>
        <v>-0.27321493193407898</v>
      </c>
    </row>
    <row r="15" spans="1:15">
      <c r="A15" t="s">
        <v>72</v>
      </c>
      <c r="F15" s="229"/>
      <c r="G15" s="229"/>
      <c r="H15" s="229">
        <f>$G$13*H$3</f>
        <v>-0.27950459904254643</v>
      </c>
      <c r="I15" s="229">
        <f>$G$13*H$6/$G$6*I$3</f>
        <v>-0.31203323060036481</v>
      </c>
      <c r="J15" s="229">
        <f>$G$13*I$6/$G$6*J$3</f>
        <v>-0.27321493193407898</v>
      </c>
    </row>
    <row r="16" spans="1:15">
      <c r="A16" t="s">
        <v>73</v>
      </c>
      <c r="F16" s="229"/>
      <c r="G16" s="229"/>
      <c r="H16" s="229"/>
      <c r="I16" s="229">
        <f>$H$13*I$3</f>
        <v>-0.31203323060036475</v>
      </c>
      <c r="J16" s="229">
        <f>$H$13*I$6/$H$6*J$3</f>
        <v>-0.27321493193407898</v>
      </c>
    </row>
    <row r="17" spans="1:12">
      <c r="A17" t="s">
        <v>74</v>
      </c>
      <c r="F17" s="229"/>
      <c r="G17" s="229"/>
      <c r="H17" s="229"/>
      <c r="I17" s="229"/>
      <c r="J17" s="229">
        <f>$I$13*J$3</f>
        <v>-0.27321493193407898</v>
      </c>
    </row>
    <row r="18" spans="1:12">
      <c r="A18" t="s">
        <v>75</v>
      </c>
      <c r="F18" s="229"/>
      <c r="G18" s="229"/>
      <c r="H18" s="229"/>
      <c r="I18" s="229"/>
      <c r="J18" s="234"/>
    </row>
    <row r="19" spans="1:12">
      <c r="A19" t="s">
        <v>19</v>
      </c>
      <c r="B19" t="s">
        <v>129</v>
      </c>
      <c r="C19" t="s">
        <v>50</v>
      </c>
      <c r="F19" s="229">
        <f>SUM(F14:F18)</f>
        <v>0</v>
      </c>
      <c r="G19" s="229">
        <f>SUM(G14:G18)</f>
        <v>-0.27780820586426963</v>
      </c>
      <c r="H19" s="229">
        <f>SUM(H14:H18)</f>
        <v>-0.55900919808509286</v>
      </c>
      <c r="I19" s="229">
        <f>SUM(I14:I18)</f>
        <v>-0.93609969180109442</v>
      </c>
      <c r="J19" s="229">
        <f>SUM(J14:J18)</f>
        <v>-1.0928597277363159</v>
      </c>
    </row>
    <row r="20" spans="1:12">
      <c r="F20" s="229"/>
      <c r="G20" s="229"/>
      <c r="H20" s="229"/>
      <c r="I20" s="229"/>
      <c r="J20" s="229"/>
    </row>
    <row r="21" spans="1:12">
      <c r="A21" t="s">
        <v>92</v>
      </c>
      <c r="F21" s="229">
        <f>G21*(1+G7)</f>
        <v>1.3064566239021143</v>
      </c>
      <c r="G21" s="229">
        <f>H21*(1+H7)</f>
        <v>1.2346061268519029</v>
      </c>
      <c r="H21" s="229">
        <f>I21*(1+I7)</f>
        <v>1.1205055332418592</v>
      </c>
      <c r="I21" s="229">
        <f>J21*(1+J7)</f>
        <v>1.0526132113562128</v>
      </c>
      <c r="J21" s="229">
        <v>1</v>
      </c>
    </row>
    <row r="22" spans="1:12">
      <c r="A22" t="s">
        <v>128</v>
      </c>
      <c r="C22" t="s">
        <v>50</v>
      </c>
      <c r="F22" s="229">
        <f>F13*F21</f>
        <v>-16.181552159245101</v>
      </c>
      <c r="G22" s="229">
        <f>G13*G21</f>
        <v>-15.826569869202988</v>
      </c>
      <c r="H22" s="229">
        <f>H13*H21</f>
        <v>-15.488855214355347</v>
      </c>
      <c r="I22" s="229">
        <f>I13*I21</f>
        <v>-15.146938451105845</v>
      </c>
      <c r="J22" s="229">
        <f>J13*J21</f>
        <v>-14.864707426417942</v>
      </c>
    </row>
    <row r="23" spans="1:12">
      <c r="A23" t="s">
        <v>21</v>
      </c>
      <c r="C23" t="s">
        <v>50</v>
      </c>
      <c r="F23" s="229">
        <f>F19*F21</f>
        <v>0</v>
      </c>
      <c r="G23" s="229">
        <f>G19*G21</f>
        <v>-0.342983713049762</v>
      </c>
      <c r="H23" s="229">
        <f>H19*H21</f>
        <v>-0.62637289958744102</v>
      </c>
      <c r="I23" s="229">
        <f>I19*I21</f>
        <v>-0.9853509027363111</v>
      </c>
      <c r="J23" s="229">
        <f>J19*J21</f>
        <v>-1.0928597277363159</v>
      </c>
    </row>
    <row r="24" spans="1:12">
      <c r="A24" t="s">
        <v>127</v>
      </c>
      <c r="C24" t="s">
        <v>50</v>
      </c>
      <c r="F24" s="229"/>
      <c r="G24" s="229"/>
      <c r="H24" s="229"/>
      <c r="I24" s="229"/>
      <c r="J24" s="228">
        <f>SUM(F22:J23)</f>
        <v>-80.55619036343704</v>
      </c>
      <c r="L24" s="231"/>
    </row>
    <row r="25" spans="1:12">
      <c r="F25" s="228"/>
      <c r="G25" s="228"/>
      <c r="H25" s="228"/>
      <c r="I25" s="228"/>
    </row>
    <row r="26" spans="1:12">
      <c r="F26" s="229"/>
      <c r="G26" s="229"/>
      <c r="H26" s="229"/>
      <c r="I26" s="229"/>
      <c r="J26" s="229"/>
    </row>
    <row r="27" spans="1:12">
      <c r="A27" s="233" t="s">
        <v>126</v>
      </c>
      <c r="F27" s="232" t="s">
        <v>125</v>
      </c>
      <c r="G27" s="232" t="s">
        <v>124</v>
      </c>
      <c r="H27" s="232" t="s">
        <v>123</v>
      </c>
      <c r="I27" s="232" t="s">
        <v>122</v>
      </c>
      <c r="J27" s="232" t="s">
        <v>121</v>
      </c>
      <c r="L27" s="231"/>
    </row>
    <row r="28" spans="1:12">
      <c r="A28" t="s">
        <v>98</v>
      </c>
      <c r="F28" s="229">
        <f>1/(1+K4)</f>
        <v>0.96942513869958691</v>
      </c>
      <c r="G28" s="229">
        <f>F28/(1+L4)</f>
        <v>0.93936225615249047</v>
      </c>
      <c r="H28" s="229">
        <f>G28/(1+M4)</f>
        <v>0.90960736416438193</v>
      </c>
      <c r="I28" s="229">
        <f>H28/(1+N4)</f>
        <v>0.8798939815373904</v>
      </c>
      <c r="J28" s="229">
        <f>I28/(1+O4)</f>
        <v>0.85026281533987047</v>
      </c>
    </row>
    <row r="29" spans="1:12">
      <c r="A29" t="s">
        <v>120</v>
      </c>
      <c r="F29" s="230">
        <f>$J$24/SUM($F$28:$J$28)</f>
        <v>-17.710295106814282</v>
      </c>
      <c r="G29" s="230">
        <f>$J$24/SUM($F$28:$J$28)</f>
        <v>-17.710295106814282</v>
      </c>
      <c r="H29" s="230">
        <f>$J$24/SUM($F$28:$J$28)</f>
        <v>-17.710295106814282</v>
      </c>
      <c r="I29" s="230">
        <f>$J$24/SUM($F$28:$J$28)</f>
        <v>-17.710295106814282</v>
      </c>
      <c r="J29" s="230">
        <f>$J$24/SUM($F$28:$J$28)</f>
        <v>-17.710295106814282</v>
      </c>
    </row>
    <row r="31" spans="1:12">
      <c r="A31" t="s">
        <v>119</v>
      </c>
      <c r="F31" s="230">
        <f>SUM(F29:J29)</f>
        <v>-88.551475534071415</v>
      </c>
      <c r="G31" s="229"/>
      <c r="H31" s="229"/>
      <c r="I31" s="229"/>
      <c r="J31" s="229"/>
    </row>
    <row r="32" spans="1:12">
      <c r="G32" s="228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0D77742-0A53-4EB0-A989-F2B9C6044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17EFA3-27EB-44C2-A299-D9268EB86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4DACF-E465-4A48-8AB6-8ED413C528DD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2b6314a3-02c5-49ae-9e9b-4170ca21d125"/>
    <ds:schemaRef ds:uri="db304e25-41f7-439f-a0b4-57d6fe7814b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FY20 Capex</vt:lpstr>
      <vt:lpstr>Input | Reported Capex</vt:lpstr>
      <vt:lpstr>Calc | CESS Revenue Increments</vt:lpstr>
      <vt:lpstr>Output | Models</vt:lpstr>
      <vt:lpstr>Output|FY20 CESS adjustment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9.003 Capital Expenditure Efficiency Sharing Scheme (CESS) Model DEC19 PUBLIC</dc:title>
  <dc:subject/>
  <dc:creator/>
  <cp:keywords/>
  <dc:description>Ergon Energy 2020 - 2025</dc:description>
  <cp:lastModifiedBy/>
  <dcterms:created xsi:type="dcterms:W3CDTF">2019-11-27T22:11:01Z</dcterms:created>
  <dcterms:modified xsi:type="dcterms:W3CDTF">2024-01-29T03:58:52Z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Order">
    <vt:r8>135200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