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Ausgrid\4. Final decision\"/>
    </mc:Choice>
  </mc:AlternateContent>
  <xr:revisionPtr revIDLastSave="0" documentId="13_ncr:1_{6E1AAEA3-54F5-47E8-BA99-1C0394E42046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Input|Dx Tx split" sheetId="60" r:id="rId7"/>
    <sheet name="Calc|Opex forecast" sheetId="42" r:id="rId8"/>
    <sheet name="Output|Decomposition" sheetId="61" r:id="rId9"/>
    <sheet name="Output|Models" sheetId="44" r:id="rId10"/>
    <sheet name="Lookup|Tables" sheetId="4" r:id="rId11"/>
    <sheet name="Check|List" sheetId="16" r:id="rId12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58" l="1"/>
  <c r="O47" i="58" l="1"/>
  <c r="D23" i="61" l="1"/>
  <c r="D22" i="61"/>
  <c r="D21" i="61"/>
  <c r="D20" i="61"/>
  <c r="D19" i="61"/>
  <c r="D18" i="61"/>
  <c r="D17" i="61"/>
  <c r="D16" i="61"/>
  <c r="D15" i="61"/>
  <c r="B15" i="61"/>
  <c r="D14" i="61"/>
  <c r="D13" i="61"/>
  <c r="D12" i="61"/>
  <c r="D11" i="61"/>
  <c r="B11" i="61"/>
  <c r="S3" i="61"/>
  <c r="R3" i="61"/>
  <c r="Q3" i="61"/>
  <c r="P3" i="61"/>
  <c r="O3" i="61"/>
  <c r="N3" i="61"/>
  <c r="M3" i="61"/>
  <c r="L3" i="61"/>
  <c r="K3" i="61"/>
  <c r="J3" i="61"/>
  <c r="I3" i="61"/>
  <c r="B2" i="61"/>
  <c r="B1" i="61"/>
  <c r="C15" i="16" l="1"/>
  <c r="D15" i="16" s="1"/>
  <c r="V22" i="44"/>
  <c r="C24" i="44"/>
  <c r="C25" i="44"/>
  <c r="C26" i="44"/>
  <c r="C27" i="44"/>
  <c r="C23" i="44"/>
  <c r="C14" i="44"/>
  <c r="C22" i="44"/>
  <c r="C13" i="44"/>
  <c r="E27" i="44"/>
  <c r="E26" i="44"/>
  <c r="E25" i="44"/>
  <c r="E24" i="44"/>
  <c r="E23" i="44"/>
  <c r="E22" i="44"/>
  <c r="B2" i="60" l="1"/>
  <c r="T4" i="60"/>
  <c r="T10" i="60" s="1"/>
  <c r="T15" i="60" s="1"/>
  <c r="S4" i="60"/>
  <c r="R4" i="60"/>
  <c r="R10" i="60" s="1"/>
  <c r="Q4" i="60"/>
  <c r="Q10" i="60" s="1"/>
  <c r="P4" i="60"/>
  <c r="P10" i="60" s="1"/>
  <c r="O4" i="60"/>
  <c r="O10" i="60" s="1"/>
  <c r="N4" i="60"/>
  <c r="N10" i="60" s="1"/>
  <c r="N15" i="60" s="1"/>
  <c r="M4" i="60"/>
  <c r="M10" i="60" s="1"/>
  <c r="M15" i="60" s="1"/>
  <c r="L4" i="60"/>
  <c r="L10" i="60" s="1"/>
  <c r="L15" i="60" s="1"/>
  <c r="K4" i="60"/>
  <c r="J4" i="60"/>
  <c r="J10" i="60" s="1"/>
  <c r="J15" i="60" s="1"/>
  <c r="B1" i="60"/>
  <c r="O15" i="60" l="1"/>
  <c r="R15" i="60"/>
  <c r="Q15" i="60"/>
  <c r="P15" i="60"/>
  <c r="K10" i="60"/>
  <c r="K15" i="60" s="1"/>
  <c r="S10" i="60"/>
  <c r="S15" i="60" s="1"/>
  <c r="W15" i="60" l="1"/>
  <c r="S1" i="60" s="1"/>
  <c r="G15" i="16" s="1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4" i="55" s="1"/>
  <c r="H78" i="55" s="1"/>
  <c r="H82" i="55" s="1"/>
  <c r="I82" i="55" s="1"/>
  <c r="H83" i="55"/>
  <c r="I83" i="55" s="1"/>
  <c r="H84" i="55"/>
  <c r="I84" i="55" s="1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J95" i="2"/>
  <c r="E100" i="2"/>
  <c r="E99" i="2"/>
  <c r="E98" i="2"/>
  <c r="E97" i="2"/>
  <c r="E96" i="2"/>
  <c r="E95" i="2"/>
  <c r="C87" i="2"/>
  <c r="C88" i="2"/>
  <c r="C89" i="2"/>
  <c r="C90" i="2"/>
  <c r="C91" i="2"/>
  <c r="C86" i="2"/>
  <c r="K93" i="2"/>
  <c r="L93" i="2"/>
  <c r="M93" i="2"/>
  <c r="J93" i="2"/>
  <c r="I65" i="55" l="1"/>
  <c r="V65" i="55" s="1"/>
  <c r="I57" i="55"/>
  <c r="V57" i="55" s="1"/>
  <c r="I49" i="55"/>
  <c r="V49" i="55" s="1"/>
  <c r="I41" i="55"/>
  <c r="V41" i="55" s="1"/>
  <c r="I33" i="55"/>
  <c r="V33" i="55" s="1"/>
  <c r="I25" i="55"/>
  <c r="I66" i="55"/>
  <c r="V66" i="55" s="1"/>
  <c r="I58" i="55"/>
  <c r="V58" i="55" s="1"/>
  <c r="I50" i="55"/>
  <c r="V50" i="55" s="1"/>
  <c r="I42" i="55"/>
  <c r="V42" i="55" s="1"/>
  <c r="I34" i="55"/>
  <c r="V34" i="55" s="1"/>
  <c r="I60" i="55"/>
  <c r="V60" i="55" s="1"/>
  <c r="I52" i="55"/>
  <c r="V52" i="55" s="1"/>
  <c r="I44" i="55"/>
  <c r="V44" i="55" s="1"/>
  <c r="I36" i="55"/>
  <c r="V36" i="55" s="1"/>
  <c r="I26" i="55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78" i="55"/>
  <c r="V78" i="55" s="1"/>
  <c r="I68" i="55"/>
  <c r="V68" i="55" s="1"/>
  <c r="I74" i="55"/>
  <c r="V74" i="55" s="1"/>
  <c r="Q40" i="2" l="1"/>
  <c r="R40" i="2"/>
  <c r="S40" i="2"/>
  <c r="T40" i="2"/>
  <c r="P40" i="2"/>
  <c r="Q42" i="2" l="1"/>
  <c r="R42" i="2"/>
  <c r="S42" i="2"/>
  <c r="T42" i="2"/>
  <c r="P42" i="2"/>
  <c r="T115" i="2" l="1"/>
  <c r="S67" i="42" s="1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7" i="58"/>
  <c r="F49" i="42" s="1"/>
  <c r="F66" i="58"/>
  <c r="F65" i="58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31" i="42" s="1"/>
  <c r="K4" i="42"/>
  <c r="L4" i="42"/>
  <c r="M4" i="42"/>
  <c r="M43" i="42" s="1"/>
  <c r="N4" i="42"/>
  <c r="N10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64" i="42"/>
  <c r="T67" i="42"/>
  <c r="U79" i="2"/>
  <c r="U80" i="2"/>
  <c r="U4" i="2"/>
  <c r="U104" i="2" s="1"/>
  <c r="U107" i="2" s="1"/>
  <c r="H78" i="4"/>
  <c r="G78" i="4" s="1"/>
  <c r="T4" i="53"/>
  <c r="T38" i="53" s="1"/>
  <c r="T43" i="53" s="1"/>
  <c r="T4" i="58"/>
  <c r="J102" i="2" a="1"/>
  <c r="J102" i="2" s="1"/>
  <c r="K102" i="2" a="1"/>
  <c r="K102" i="2" s="1"/>
  <c r="L102" i="2" a="1"/>
  <c r="L102" i="2" s="1"/>
  <c r="M102" i="2" a="1"/>
  <c r="M102" i="2" s="1"/>
  <c r="U78" i="2"/>
  <c r="C17" i="16"/>
  <c r="D17" i="16" s="1"/>
  <c r="C16" i="16"/>
  <c r="D16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P47" i="58"/>
  <c r="Q47" i="58"/>
  <c r="R47" i="58"/>
  <c r="S47" i="58"/>
  <c r="V29" i="58"/>
  <c r="C106" i="2" a="1"/>
  <c r="C109" i="2" s="1"/>
  <c r="T102" i="2" a="1"/>
  <c r="T102" i="2" s="1"/>
  <c r="S102" i="2" a="1"/>
  <c r="S102" i="2" s="1"/>
  <c r="R102" i="2" a="1"/>
  <c r="R102" i="2" s="1"/>
  <c r="Q102" i="2" a="1"/>
  <c r="Q102" i="2" s="1"/>
  <c r="P102" i="2" a="1"/>
  <c r="P102" i="2" s="1"/>
  <c r="O102" i="2" a="1"/>
  <c r="O102" i="2" s="1"/>
  <c r="N102" i="2" a="1"/>
  <c r="N102" i="2" s="1"/>
  <c r="C100" i="2"/>
  <c r="C99" i="2"/>
  <c r="C98" i="2"/>
  <c r="C97" i="2"/>
  <c r="C96" i="2"/>
  <c r="C95" i="2"/>
  <c r="F19" i="42"/>
  <c r="F8" i="44"/>
  <c r="F17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R4" i="44"/>
  <c r="Q4" i="44"/>
  <c r="P4" i="44"/>
  <c r="O4" i="44"/>
  <c r="N4" i="44"/>
  <c r="N20" i="44" s="1"/>
  <c r="M4" i="44"/>
  <c r="M20" i="44" s="1"/>
  <c r="L4" i="44"/>
  <c r="K4" i="44"/>
  <c r="J4" i="44"/>
  <c r="S4" i="53"/>
  <c r="S10" i="53" s="1"/>
  <c r="S22" i="53" s="1"/>
  <c r="R4" i="53"/>
  <c r="R10" i="53" s="1"/>
  <c r="R22" i="53" s="1"/>
  <c r="Q4" i="53"/>
  <c r="Q38" i="53" s="1"/>
  <c r="Q43" i="53" s="1"/>
  <c r="P4" i="53"/>
  <c r="O4" i="53"/>
  <c r="O38" i="53" s="1"/>
  <c r="O43" i="53" s="1"/>
  <c r="N4" i="53"/>
  <c r="N10" i="53" s="1"/>
  <c r="N22" i="53" s="1"/>
  <c r="M4" i="53"/>
  <c r="M10" i="53" s="1"/>
  <c r="M22" i="53" s="1"/>
  <c r="L4" i="53"/>
  <c r="L38" i="53" s="1"/>
  <c r="L43" i="53" s="1"/>
  <c r="K4" i="53"/>
  <c r="J4" i="53"/>
  <c r="J26" i="53" s="1"/>
  <c r="J34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17" i="44"/>
  <c r="E15" i="44"/>
  <c r="E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7" i="42"/>
  <c r="E111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8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6" i="16"/>
  <c r="G17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V57" i="58"/>
  <c r="F15" i="42" l="1"/>
  <c r="J43" i="42"/>
  <c r="J14" i="42"/>
  <c r="R10" i="42"/>
  <c r="M11" i="44"/>
  <c r="M16" i="44" s="1"/>
  <c r="S24" i="2"/>
  <c r="N40" i="42"/>
  <c r="R26" i="53"/>
  <c r="R34" i="53" s="1"/>
  <c r="N10" i="58"/>
  <c r="F13" i="42"/>
  <c r="F50" i="42"/>
  <c r="J38" i="53"/>
  <c r="J43" i="53" s="1"/>
  <c r="M26" i="53"/>
  <c r="M34" i="53" s="1"/>
  <c r="F19" i="58"/>
  <c r="O91" i="42"/>
  <c r="E19" i="42"/>
  <c r="O19" i="42"/>
  <c r="O75" i="42"/>
  <c r="O12" i="42"/>
  <c r="O58" i="42"/>
  <c r="O65" i="42" s="1" a="1"/>
  <c r="O65" i="42" s="1"/>
  <c r="O14" i="42"/>
  <c r="O49" i="42"/>
  <c r="O21" i="42"/>
  <c r="O16" i="42"/>
  <c r="O23" i="42"/>
  <c r="O10" i="42"/>
  <c r="R38" i="53"/>
  <c r="R43" i="53" s="1"/>
  <c r="J10" i="53"/>
  <c r="J22" i="53" s="1"/>
  <c r="F20" i="58"/>
  <c r="L14" i="2"/>
  <c r="P35" i="42"/>
  <c r="F13" i="44"/>
  <c r="F41" i="42"/>
  <c r="P91" i="42"/>
  <c r="F83" i="42"/>
  <c r="N37" i="42"/>
  <c r="P12" i="42"/>
  <c r="N21" i="42"/>
  <c r="F35" i="42"/>
  <c r="P37" i="42"/>
  <c r="N19" i="42"/>
  <c r="P14" i="42"/>
  <c r="P75" i="42"/>
  <c r="F82" i="42"/>
  <c r="F99" i="42"/>
  <c r="F14" i="44"/>
  <c r="T24" i="2"/>
  <c r="N23" i="42"/>
  <c r="F54" i="42"/>
  <c r="N14" i="42"/>
  <c r="F108" i="42"/>
  <c r="F15" i="44"/>
  <c r="P10" i="42"/>
  <c r="P33" i="42"/>
  <c r="P49" i="42"/>
  <c r="P46" i="42"/>
  <c r="F21" i="58"/>
  <c r="N11" i="44"/>
  <c r="N14" i="44" s="1"/>
  <c r="J36" i="2"/>
  <c r="J47" i="2" s="1"/>
  <c r="F23" i="58"/>
  <c r="G79" i="4"/>
  <c r="J14" i="2"/>
  <c r="R9" i="61"/>
  <c r="R22" i="61"/>
  <c r="E21" i="42"/>
  <c r="Q9" i="61"/>
  <c r="Q22" i="61"/>
  <c r="J49" i="2"/>
  <c r="J60" i="2" s="1"/>
  <c r="P9" i="61"/>
  <c r="P22" i="61"/>
  <c r="M113" i="2"/>
  <c r="M117" i="2" s="1"/>
  <c r="J10" i="2"/>
  <c r="J12" i="2" s="1"/>
  <c r="J75" i="2"/>
  <c r="J34" i="58"/>
  <c r="N9" i="61"/>
  <c r="N22" i="61"/>
  <c r="M36" i="2"/>
  <c r="M47" i="2" s="1"/>
  <c r="J64" i="2"/>
  <c r="J73" i="2" s="1"/>
  <c r="E18" i="61"/>
  <c r="E14" i="61"/>
  <c r="E21" i="61"/>
  <c r="E15" i="61"/>
  <c r="E23" i="61"/>
  <c r="E22" i="61"/>
  <c r="E16" i="61"/>
  <c r="E13" i="61"/>
  <c r="E12" i="61"/>
  <c r="E11" i="61"/>
  <c r="E19" i="61"/>
  <c r="E17" i="61"/>
  <c r="E20" i="61"/>
  <c r="M49" i="2"/>
  <c r="M60" i="2" s="1"/>
  <c r="M10" i="2"/>
  <c r="M12" i="2" s="1"/>
  <c r="M24" i="2"/>
  <c r="J24" i="2"/>
  <c r="F22" i="42"/>
  <c r="K103" i="42"/>
  <c r="K111" i="42"/>
  <c r="K108" i="42"/>
  <c r="K105" i="42"/>
  <c r="K113" i="42"/>
  <c r="K110" i="42"/>
  <c r="K106" i="42"/>
  <c r="K107" i="42"/>
  <c r="K112" i="42"/>
  <c r="K109" i="42"/>
  <c r="K19" i="42"/>
  <c r="P49" i="2"/>
  <c r="P60" i="2" s="1"/>
  <c r="T10" i="53"/>
  <c r="T22" i="53" s="1"/>
  <c r="M91" i="42"/>
  <c r="M109" i="42"/>
  <c r="M106" i="42"/>
  <c r="M111" i="42"/>
  <c r="M112" i="42"/>
  <c r="M108" i="42"/>
  <c r="M113" i="42"/>
  <c r="M105" i="42"/>
  <c r="M110" i="42"/>
  <c r="M107" i="42"/>
  <c r="Q34" i="58"/>
  <c r="L103" i="42"/>
  <c r="L106" i="42"/>
  <c r="L111" i="42"/>
  <c r="L108" i="42"/>
  <c r="L105" i="42"/>
  <c r="L113" i="42"/>
  <c r="L110" i="42"/>
  <c r="L107" i="42"/>
  <c r="L109" i="42"/>
  <c r="L112" i="42"/>
  <c r="J16" i="42"/>
  <c r="J108" i="42"/>
  <c r="J105" i="42"/>
  <c r="J113" i="42"/>
  <c r="J110" i="42"/>
  <c r="J107" i="42"/>
  <c r="J112" i="42"/>
  <c r="J111" i="42"/>
  <c r="J109" i="42"/>
  <c r="J106" i="42"/>
  <c r="M27" i="44"/>
  <c r="P75" i="2"/>
  <c r="N103" i="42"/>
  <c r="N112" i="42"/>
  <c r="N109" i="42"/>
  <c r="N107" i="42"/>
  <c r="N106" i="42"/>
  <c r="N111" i="42"/>
  <c r="N108" i="42"/>
  <c r="N105" i="42"/>
  <c r="N113" i="42"/>
  <c r="N110" i="42"/>
  <c r="Q11" i="44"/>
  <c r="T11" i="44"/>
  <c r="T13" i="44" s="1"/>
  <c r="T20" i="44"/>
  <c r="T22" i="44" s="1"/>
  <c r="J11" i="44"/>
  <c r="J20" i="44"/>
  <c r="R11" i="44"/>
  <c r="K11" i="44"/>
  <c r="K20" i="44"/>
  <c r="S11" i="44"/>
  <c r="L11" i="44"/>
  <c r="L20" i="44"/>
  <c r="F16" i="44"/>
  <c r="F26" i="44"/>
  <c r="F22" i="44"/>
  <c r="F24" i="44"/>
  <c r="F27" i="44"/>
  <c r="F23" i="44"/>
  <c r="F25" i="44"/>
  <c r="P11" i="44"/>
  <c r="O11" i="44"/>
  <c r="S33" i="42"/>
  <c r="S40" i="42"/>
  <c r="S19" i="42"/>
  <c r="L40" i="42"/>
  <c r="S14" i="42"/>
  <c r="P103" i="42"/>
  <c r="S10" i="42"/>
  <c r="T108" i="42"/>
  <c r="S21" i="42"/>
  <c r="L19" i="42"/>
  <c r="M31" i="42"/>
  <c r="N75" i="42"/>
  <c r="M14" i="42"/>
  <c r="S37" i="42"/>
  <c r="L46" i="42"/>
  <c r="L37" i="42"/>
  <c r="L49" i="42"/>
  <c r="N12" i="42"/>
  <c r="S23" i="42"/>
  <c r="L23" i="42"/>
  <c r="L58" i="42"/>
  <c r="L68" i="42" s="1" a="1"/>
  <c r="L68" i="42" s="1"/>
  <c r="S91" i="42"/>
  <c r="N91" i="42"/>
  <c r="S46" i="42"/>
  <c r="N43" i="42"/>
  <c r="L16" i="42"/>
  <c r="S49" i="42"/>
  <c r="N49" i="42"/>
  <c r="S35" i="42"/>
  <c r="T12" i="42"/>
  <c r="N58" i="42"/>
  <c r="N68" i="42" s="1" a="1"/>
  <c r="N68" i="42" s="1"/>
  <c r="L75" i="42"/>
  <c r="L43" i="42"/>
  <c r="N16" i="42"/>
  <c r="S12" i="42"/>
  <c r="T75" i="42"/>
  <c r="S31" i="42"/>
  <c r="L21" i="42"/>
  <c r="L12" i="42"/>
  <c r="L91" i="42"/>
  <c r="S43" i="42"/>
  <c r="S16" i="42"/>
  <c r="L10" i="42"/>
  <c r="L14" i="42"/>
  <c r="T105" i="42"/>
  <c r="M12" i="42"/>
  <c r="T111" i="42"/>
  <c r="S75" i="42"/>
  <c r="R23" i="42"/>
  <c r="K31" i="42"/>
  <c r="J103" i="42"/>
  <c r="K91" i="42"/>
  <c r="M14" i="2"/>
  <c r="F18" i="44"/>
  <c r="S58" i="42"/>
  <c r="S65" i="42" s="1" a="1"/>
  <c r="S65" i="42" s="1"/>
  <c r="K12" i="42"/>
  <c r="K40" i="42"/>
  <c r="R46" i="42"/>
  <c r="R40" i="42"/>
  <c r="R31" i="42"/>
  <c r="R16" i="42"/>
  <c r="R12" i="42"/>
  <c r="J61" i="58"/>
  <c r="J28" i="42" s="1"/>
  <c r="R75" i="42"/>
  <c r="R14" i="42"/>
  <c r="R49" i="42"/>
  <c r="N34" i="58"/>
  <c r="F25" i="58"/>
  <c r="R91" i="42"/>
  <c r="K16" i="42"/>
  <c r="R37" i="42"/>
  <c r="K49" i="42"/>
  <c r="R19" i="42"/>
  <c r="R43" i="42"/>
  <c r="R33" i="42"/>
  <c r="R21" i="42"/>
  <c r="F77" i="42"/>
  <c r="F85" i="42"/>
  <c r="E12" i="42"/>
  <c r="Q40" i="42"/>
  <c r="Q16" i="42"/>
  <c r="P40" i="42"/>
  <c r="M34" i="58"/>
  <c r="Q21" i="42"/>
  <c r="P19" i="42"/>
  <c r="J21" i="42"/>
  <c r="J58" i="42"/>
  <c r="J68" i="42" s="1" a="1"/>
  <c r="J68" i="42" s="1"/>
  <c r="F28" i="42"/>
  <c r="J12" i="42"/>
  <c r="P31" i="42"/>
  <c r="F33" i="42"/>
  <c r="F47" i="42"/>
  <c r="Q75" i="42"/>
  <c r="Q14" i="42"/>
  <c r="F78" i="42"/>
  <c r="F87" i="42"/>
  <c r="F43" i="42"/>
  <c r="Q46" i="42"/>
  <c r="J46" i="42"/>
  <c r="J10" i="42"/>
  <c r="L49" i="2"/>
  <c r="L60" i="2" s="1"/>
  <c r="M75" i="2"/>
  <c r="S10" i="2"/>
  <c r="S12" i="2" s="1"/>
  <c r="Q33" i="42"/>
  <c r="Q23" i="42"/>
  <c r="P21" i="42"/>
  <c r="J23" i="42"/>
  <c r="F26" i="42"/>
  <c r="F29" i="42"/>
  <c r="J37" i="42"/>
  <c r="F17" i="42"/>
  <c r="F111" i="42"/>
  <c r="Q19" i="42"/>
  <c r="J19" i="42"/>
  <c r="F79" i="42"/>
  <c r="F93" i="42"/>
  <c r="F105" i="42"/>
  <c r="E14" i="42"/>
  <c r="P16" i="42"/>
  <c r="O10" i="53"/>
  <c r="O22" i="53" s="1"/>
  <c r="T36" i="2"/>
  <c r="T47" i="2" s="1"/>
  <c r="Q12" i="42"/>
  <c r="P23" i="42"/>
  <c r="F20" i="42"/>
  <c r="F96" i="42"/>
  <c r="F29" i="58"/>
  <c r="F84" i="42"/>
  <c r="F38" i="42"/>
  <c r="J75" i="42"/>
  <c r="F80" i="42"/>
  <c r="F94" i="42"/>
  <c r="E37" i="42"/>
  <c r="E16" i="42"/>
  <c r="F46" i="42"/>
  <c r="Q10" i="42"/>
  <c r="P43" i="42"/>
  <c r="J40" i="42"/>
  <c r="Q31" i="42"/>
  <c r="S36" i="2"/>
  <c r="S47" i="2" s="1"/>
  <c r="O26" i="53"/>
  <c r="O34" i="53" s="1"/>
  <c r="J49" i="42"/>
  <c r="Q49" i="42"/>
  <c r="J33" i="42"/>
  <c r="J35" i="42"/>
  <c r="F31" i="42"/>
  <c r="F97" i="42"/>
  <c r="F24" i="42"/>
  <c r="F44" i="42"/>
  <c r="F52" i="42"/>
  <c r="Q91" i="42"/>
  <c r="J91" i="42"/>
  <c r="F81" i="42"/>
  <c r="F95" i="42"/>
  <c r="Q43" i="42"/>
  <c r="Q37" i="42"/>
  <c r="N26" i="53"/>
  <c r="N34" i="53" s="1"/>
  <c r="Q35" i="42"/>
  <c r="M38" i="53"/>
  <c r="M43" i="53" s="1"/>
  <c r="C106" i="2"/>
  <c r="P64" i="2"/>
  <c r="P73" i="2" s="1"/>
  <c r="Q49" i="2"/>
  <c r="Q60" i="2" s="1"/>
  <c r="R10" i="2"/>
  <c r="R12" i="2" s="1"/>
  <c r="M108" i="2"/>
  <c r="P14" i="2"/>
  <c r="S1" i="58"/>
  <c r="G12" i="16" s="1"/>
  <c r="C107" i="2"/>
  <c r="N65" i="42" a="1"/>
  <c r="N65" i="42" s="1"/>
  <c r="F26" i="58"/>
  <c r="L36" i="2"/>
  <c r="L47" i="2" s="1"/>
  <c r="L10" i="53"/>
  <c r="L22" i="53" s="1"/>
  <c r="T64" i="2"/>
  <c r="T73" i="2" s="1"/>
  <c r="J113" i="2"/>
  <c r="J117" i="2" s="1"/>
  <c r="O10" i="2"/>
  <c r="O12" i="2" s="1"/>
  <c r="K21" i="42"/>
  <c r="U113" i="2"/>
  <c r="U117" i="2" s="1"/>
  <c r="Q58" i="42"/>
  <c r="Q65" i="42" s="1" a="1"/>
  <c r="Q65" i="42" s="1"/>
  <c r="F27" i="58"/>
  <c r="K75" i="42"/>
  <c r="K43" i="42"/>
  <c r="K37" i="42"/>
  <c r="P36" i="2"/>
  <c r="P47" i="2" s="1"/>
  <c r="Q75" i="2"/>
  <c r="M64" i="2"/>
  <c r="M73" i="2" s="1"/>
  <c r="K23" i="42"/>
  <c r="J107" i="2"/>
  <c r="N38" i="53"/>
  <c r="N43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S26" i="53"/>
  <c r="S34" i="53" s="1"/>
  <c r="R35" i="42"/>
  <c r="T58" i="42"/>
  <c r="T71" i="42" s="1" a="1"/>
  <c r="T71" i="42" s="1"/>
  <c r="F22" i="58"/>
  <c r="K46" i="42"/>
  <c r="Q113" i="2"/>
  <c r="Q117" i="2" s="1"/>
  <c r="S38" i="53"/>
  <c r="S43" i="53" s="1"/>
  <c r="O75" i="2"/>
  <c r="K33" i="42"/>
  <c r="R34" i="58"/>
  <c r="L26" i="53"/>
  <c r="L34" i="53" s="1"/>
  <c r="K14" i="42"/>
  <c r="K10" i="42"/>
  <c r="Q24" i="2"/>
  <c r="Q10" i="2"/>
  <c r="Q12" i="2" s="1"/>
  <c r="Q14" i="2"/>
  <c r="O61" i="58"/>
  <c r="O10" i="58"/>
  <c r="O34" i="58"/>
  <c r="P38" i="53"/>
  <c r="P43" i="53" s="1"/>
  <c r="P10" i="53"/>
  <c r="P22" i="53" s="1"/>
  <c r="P26" i="53"/>
  <c r="P34" i="53" s="1"/>
  <c r="N104" i="2"/>
  <c r="N64" i="2"/>
  <c r="N73" i="2" s="1"/>
  <c r="N24" i="2"/>
  <c r="N113" i="2"/>
  <c r="N117" i="2" s="1"/>
  <c r="N75" i="2"/>
  <c r="N14" i="2"/>
  <c r="N10" i="2"/>
  <c r="N12" i="2" s="1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3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X102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O113" i="2"/>
  <c r="O117" i="2" s="1"/>
  <c r="L10" i="2"/>
  <c r="L12" i="2" s="1"/>
  <c r="M10" i="58"/>
  <c r="M28" i="42" s="1"/>
  <c r="Q61" i="58"/>
  <c r="L104" i="2"/>
  <c r="P104" i="2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M13" i="44" l="1"/>
  <c r="M18" i="44"/>
  <c r="M23" i="61"/>
  <c r="S23" i="61"/>
  <c r="K23" i="61"/>
  <c r="I23" i="61"/>
  <c r="J23" i="61"/>
  <c r="L23" i="61"/>
  <c r="M15" i="44"/>
  <c r="M23" i="44"/>
  <c r="M14" i="44"/>
  <c r="M25" i="44"/>
  <c r="M17" i="44"/>
  <c r="M22" i="44"/>
  <c r="M24" i="44"/>
  <c r="M26" i="44"/>
  <c r="N17" i="44"/>
  <c r="N13" i="44"/>
  <c r="N18" i="44"/>
  <c r="L71" i="42" a="1"/>
  <c r="L71" i="42" s="1"/>
  <c r="O68" i="42" a="1"/>
  <c r="O68" i="42" s="1"/>
  <c r="T20" i="42"/>
  <c r="N23" i="44"/>
  <c r="N22" i="44"/>
  <c r="N24" i="44"/>
  <c r="N25" i="44"/>
  <c r="N27" i="44"/>
  <c r="N16" i="44"/>
  <c r="N15" i="44"/>
  <c r="N26" i="44"/>
  <c r="T13" i="42"/>
  <c r="T15" i="44"/>
  <c r="T16" i="44"/>
  <c r="T17" i="44"/>
  <c r="T14" i="44"/>
  <c r="L62" i="42" a="1"/>
  <c r="L62" i="42" s="1"/>
  <c r="Q68" i="42" a="1"/>
  <c r="Q68" i="42" s="1"/>
  <c r="L65" i="42" a="1"/>
  <c r="L65" i="42" s="1"/>
  <c r="O9" i="61"/>
  <c r="O22" i="61"/>
  <c r="J9" i="61"/>
  <c r="J15" i="61"/>
  <c r="J22" i="61"/>
  <c r="J16" i="61"/>
  <c r="J13" i="61"/>
  <c r="J12" i="61"/>
  <c r="J11" i="61"/>
  <c r="J20" i="61"/>
  <c r="J19" i="61"/>
  <c r="J21" i="61"/>
  <c r="J18" i="61"/>
  <c r="J17" i="61"/>
  <c r="J14" i="61"/>
  <c r="S19" i="61" a="1"/>
  <c r="S19" i="61" s="1"/>
  <c r="S18" i="61" a="1"/>
  <c r="S18" i="61" s="1"/>
  <c r="S9" i="61"/>
  <c r="S22" i="61"/>
  <c r="S17" i="61" a="1"/>
  <c r="S17" i="61" s="1"/>
  <c r="S16" i="61"/>
  <c r="S13" i="61"/>
  <c r="S20" i="61"/>
  <c r="S14" i="61"/>
  <c r="S15" i="61"/>
  <c r="S11" i="61"/>
  <c r="S21" i="61"/>
  <c r="S12" i="61"/>
  <c r="I21" i="61"/>
  <c r="I15" i="61"/>
  <c r="I13" i="61"/>
  <c r="I9" i="61"/>
  <c r="I12" i="61"/>
  <c r="I11" i="61"/>
  <c r="I22" i="61"/>
  <c r="I16" i="61"/>
  <c r="I17" i="61"/>
  <c r="I20" i="61"/>
  <c r="I19" i="61"/>
  <c r="I18" i="61"/>
  <c r="I14" i="61"/>
  <c r="M20" i="61"/>
  <c r="M19" i="61"/>
  <c r="M16" i="61"/>
  <c r="M13" i="61"/>
  <c r="M18" i="61"/>
  <c r="M17" i="61"/>
  <c r="M14" i="61"/>
  <c r="M22" i="61"/>
  <c r="M12" i="61"/>
  <c r="M21" i="61"/>
  <c r="M15" i="61"/>
  <c r="M11" i="61"/>
  <c r="M9" i="61"/>
  <c r="K22" i="61"/>
  <c r="K16" i="61"/>
  <c r="K13" i="61"/>
  <c r="K12" i="61"/>
  <c r="K11" i="61"/>
  <c r="K9" i="61"/>
  <c r="K20" i="61"/>
  <c r="K19" i="61"/>
  <c r="K18" i="61"/>
  <c r="K17" i="61"/>
  <c r="K14" i="61"/>
  <c r="K21" i="61"/>
  <c r="K15" i="61"/>
  <c r="L22" i="61"/>
  <c r="L16" i="61"/>
  <c r="L13" i="61"/>
  <c r="L12" i="61"/>
  <c r="L11" i="61"/>
  <c r="L14" i="61"/>
  <c r="L20" i="61"/>
  <c r="L19" i="61"/>
  <c r="L18" i="61"/>
  <c r="L17" i="61"/>
  <c r="L9" i="61"/>
  <c r="L21" i="61"/>
  <c r="L15" i="61"/>
  <c r="K14" i="44"/>
  <c r="K26" i="44"/>
  <c r="K13" i="44"/>
  <c r="K25" i="44"/>
  <c r="K18" i="44"/>
  <c r="K23" i="44"/>
  <c r="K16" i="44"/>
  <c r="K22" i="44"/>
  <c r="K15" i="44"/>
  <c r="K27" i="44"/>
  <c r="K24" i="44"/>
  <c r="K17" i="44"/>
  <c r="J26" i="44"/>
  <c r="J13" i="44"/>
  <c r="J23" i="44"/>
  <c r="J16" i="44"/>
  <c r="J14" i="44"/>
  <c r="J22" i="44"/>
  <c r="J17" i="44"/>
  <c r="J25" i="44"/>
  <c r="J18" i="44"/>
  <c r="J15" i="44"/>
  <c r="J27" i="44"/>
  <c r="J24" i="44"/>
  <c r="L24" i="44"/>
  <c r="L17" i="44"/>
  <c r="L14" i="44"/>
  <c r="L22" i="44"/>
  <c r="L18" i="44"/>
  <c r="L26" i="44"/>
  <c r="L13" i="44"/>
  <c r="L23" i="44"/>
  <c r="L16" i="44"/>
  <c r="L27" i="44"/>
  <c r="L25" i="44"/>
  <c r="L15" i="44"/>
  <c r="T18" i="44"/>
  <c r="T24" i="44"/>
  <c r="T25" i="44"/>
  <c r="T26" i="44"/>
  <c r="T27" i="44"/>
  <c r="T23" i="44"/>
  <c r="L61" i="42"/>
  <c r="L70" i="42" s="1"/>
  <c r="S68" i="42" a="1"/>
  <c r="S68" i="42" s="1"/>
  <c r="F21" i="42"/>
  <c r="F23" i="42"/>
  <c r="J62" i="42" a="1"/>
  <c r="J62" i="42" s="1"/>
  <c r="T62" i="42" a="1"/>
  <c r="T62" i="42" s="1"/>
  <c r="J61" i="42"/>
  <c r="J70" i="42" s="1"/>
  <c r="Q28" i="42"/>
  <c r="T61" i="42"/>
  <c r="T70" i="42" s="1"/>
  <c r="L28" i="42"/>
  <c r="T65" i="42" a="1"/>
  <c r="T65" i="42" s="1"/>
  <c r="J71" i="42" a="1"/>
  <c r="J71" i="42" s="1"/>
  <c r="J65" i="42" a="1"/>
  <c r="J65" i="42" s="1"/>
  <c r="T68" i="42" a="1"/>
  <c r="T68" i="42" s="1"/>
  <c r="P61" i="42"/>
  <c r="R68" i="42" a="1"/>
  <c r="R68" i="42" s="1"/>
  <c r="P28" i="42"/>
  <c r="S28" i="42"/>
  <c r="K28" i="42"/>
  <c r="W22" i="53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3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W34" i="53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P70" i="42" l="1"/>
  <c r="U22" i="61"/>
  <c r="R61" i="42"/>
  <c r="S61" i="42"/>
  <c r="Q61" i="42"/>
  <c r="O61" i="42"/>
  <c r="S1" i="53"/>
  <c r="G14" i="16" s="1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Z22" i="61" l="1"/>
  <c r="Q70" i="42"/>
  <c r="S70" i="42"/>
  <c r="R70" i="42"/>
  <c r="O70" i="42"/>
  <c r="AA22" i="61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P71" i="42" l="1" a="1"/>
  <c r="P71" i="42" s="1"/>
  <c r="O71" i="42" a="1"/>
  <c r="O71" i="42" s="1"/>
  <c r="R71" i="42" a="1"/>
  <c r="R71" i="42" s="1"/>
  <c r="Q71" i="42" a="1"/>
  <c r="Q71" i="42" s="1"/>
  <c r="S71" i="42" a="1"/>
  <c r="S71" i="42" s="1"/>
  <c r="Q85" i="42"/>
  <c r="J29" i="42"/>
  <c r="T29" i="42"/>
  <c r="Q47" i="42"/>
  <c r="J47" i="42"/>
  <c r="N97" i="42"/>
  <c r="R83" i="42"/>
  <c r="O83" i="42"/>
  <c r="P83" i="42"/>
  <c r="K96" i="42"/>
  <c r="T47" i="42"/>
  <c r="N41" i="42"/>
  <c r="J77" i="42"/>
  <c r="N77" i="42"/>
  <c r="S80" i="42"/>
  <c r="O95" i="42"/>
  <c r="O79" i="42"/>
  <c r="L97" i="42"/>
  <c r="M82" i="42"/>
  <c r="R47" i="42"/>
  <c r="N79" i="42"/>
  <c r="J85" i="42"/>
  <c r="T38" i="42"/>
  <c r="K93" i="42"/>
  <c r="S77" i="42"/>
  <c r="Q38" i="42"/>
  <c r="S82" i="42"/>
  <c r="S94" i="42"/>
  <c r="L29" i="42"/>
  <c r="Q29" i="42"/>
  <c r="P47" i="42"/>
  <c r="P97" i="42"/>
  <c r="Q97" i="42"/>
  <c r="O82" i="42"/>
  <c r="L44" i="42"/>
  <c r="M96" i="42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J44" i="42"/>
  <c r="S50" i="42"/>
  <c r="S97" i="42"/>
  <c r="K44" i="42"/>
  <c r="L82" i="42"/>
  <c r="L96" i="42"/>
  <c r="M78" i="42"/>
  <c r="T85" i="42"/>
  <c r="L78" i="42"/>
  <c r="P93" i="42"/>
  <c r="S38" i="42"/>
  <c r="M29" i="42"/>
  <c r="R50" i="42"/>
  <c r="P94" i="42"/>
  <c r="J82" i="42"/>
  <c r="K47" i="42"/>
  <c r="S29" i="42"/>
  <c r="T97" i="42"/>
  <c r="R44" i="42"/>
  <c r="S44" i="42"/>
  <c r="Q82" i="42"/>
  <c r="R82" i="42"/>
  <c r="R94" i="42"/>
  <c r="S79" i="42"/>
  <c r="K94" i="42"/>
  <c r="T96" i="42"/>
  <c r="S84" i="42"/>
  <c r="R77" i="42"/>
  <c r="O96" i="42"/>
  <c r="P85" i="42"/>
  <c r="J97" i="42"/>
  <c r="J78" i="42"/>
  <c r="P96" i="42"/>
  <c r="J83" i="42"/>
  <c r="M94" i="42"/>
  <c r="M47" i="42"/>
  <c r="M41" i="42"/>
  <c r="Q44" i="42"/>
  <c r="M97" i="42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P44" i="42"/>
  <c r="N94" i="42"/>
  <c r="Q94" i="42"/>
  <c r="K81" i="42"/>
  <c r="N95" i="42"/>
  <c r="K38" i="42"/>
  <c r="Q84" i="42"/>
  <c r="R96" i="42"/>
  <c r="J17" i="2"/>
  <c r="J27" i="2" s="1"/>
  <c r="M20" i="2"/>
  <c r="L20" i="2" s="1"/>
  <c r="K20" i="2" s="1"/>
  <c r="L19" i="2"/>
  <c r="K19" i="2" s="1"/>
  <c r="K29" i="2" s="1"/>
  <c r="K80" i="42"/>
  <c r="S96" i="42"/>
  <c r="N93" i="42"/>
  <c r="L80" i="42"/>
  <c r="N96" i="42"/>
  <c r="M79" i="42"/>
  <c r="S93" i="42"/>
  <c r="T41" i="42"/>
  <c r="M84" i="42"/>
  <c r="R41" i="42"/>
  <c r="T50" i="42"/>
  <c r="L47" i="42"/>
  <c r="R93" i="42"/>
  <c r="P80" i="42"/>
  <c r="R81" i="42"/>
  <c r="S85" i="42"/>
  <c r="K50" i="42"/>
  <c r="Q95" i="42"/>
  <c r="O50" i="42"/>
  <c r="T79" i="42"/>
  <c r="Q80" i="42"/>
  <c r="K95" i="42"/>
  <c r="K78" i="42"/>
  <c r="T82" i="42"/>
  <c r="N85" i="42"/>
  <c r="S47" i="42"/>
  <c r="M93" i="42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J96" i="42"/>
  <c r="T77" i="42"/>
  <c r="S95" i="42"/>
  <c r="M77" i="42"/>
  <c r="J80" i="42"/>
  <c r="T44" i="42"/>
  <c r="T84" i="42"/>
  <c r="L81" i="42"/>
  <c r="L77" i="42"/>
  <c r="R38" i="42"/>
  <c r="P81" i="42"/>
  <c r="P41" i="42"/>
  <c r="P78" i="42"/>
  <c r="O80" i="42"/>
  <c r="R78" i="42"/>
  <c r="O31" i="2"/>
  <c r="J26" i="2"/>
  <c r="T81" i="42"/>
  <c r="J94" i="42"/>
  <c r="O94" i="42"/>
  <c r="K82" i="42"/>
  <c r="R85" i="42"/>
  <c r="Q93" i="42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R95" i="42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N29" i="2"/>
  <c r="O19" i="2"/>
  <c r="O29" i="2" s="1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Q20" i="42"/>
  <c r="Q13" i="42"/>
  <c r="Q26" i="42" s="1"/>
  <c r="Q14" i="44" l="1"/>
  <c r="Q23" i="44"/>
  <c r="Q16" i="44"/>
  <c r="Q25" i="44"/>
  <c r="S17" i="44"/>
  <c r="S26" i="44"/>
  <c r="R15" i="44"/>
  <c r="R24" i="44"/>
  <c r="R18" i="44"/>
  <c r="R27" i="44"/>
  <c r="S15" i="44"/>
  <c r="S24" i="44"/>
  <c r="Q17" i="44"/>
  <c r="Q26" i="44"/>
  <c r="Q24" i="44"/>
  <c r="Q15" i="44"/>
  <c r="O26" i="44"/>
  <c r="O17" i="44"/>
  <c r="P24" i="44"/>
  <c r="P15" i="44"/>
  <c r="Q27" i="44"/>
  <c r="Q18" i="44"/>
  <c r="O15" i="44"/>
  <c r="O24" i="44"/>
  <c r="S14" i="44"/>
  <c r="S23" i="44"/>
  <c r="P18" i="44"/>
  <c r="P27" i="44"/>
  <c r="P16" i="44"/>
  <c r="P25" i="44"/>
  <c r="R23" i="44"/>
  <c r="R14" i="44"/>
  <c r="R26" i="44"/>
  <c r="R17" i="44"/>
  <c r="O18" i="44"/>
  <c r="O27" i="44"/>
  <c r="P26" i="44"/>
  <c r="P17" i="44"/>
  <c r="S27" i="44"/>
  <c r="S18" i="44"/>
  <c r="R25" i="44"/>
  <c r="R16" i="44"/>
  <c r="S16" i="44"/>
  <c r="S25" i="44"/>
  <c r="P14" i="44"/>
  <c r="P23" i="44"/>
  <c r="O16" i="44"/>
  <c r="O25" i="44"/>
  <c r="O14" i="44"/>
  <c r="O23" i="44"/>
  <c r="N20" i="42"/>
  <c r="L29" i="2"/>
  <c r="L99" i="42"/>
  <c r="J19" i="2"/>
  <c r="J29" i="2" s="1"/>
  <c r="L30" i="2"/>
  <c r="S87" i="42"/>
  <c r="M30" i="2"/>
  <c r="Q99" i="42"/>
  <c r="S52" i="42"/>
  <c r="S54" i="42" s="1"/>
  <c r="P52" i="42"/>
  <c r="P54" i="42" s="1"/>
  <c r="T99" i="42"/>
  <c r="M52" i="42"/>
  <c r="M54" i="42" s="1"/>
  <c r="N13" i="42"/>
  <c r="N26" i="42" s="1"/>
  <c r="Q52" i="42"/>
  <c r="Q54" i="42" s="1"/>
  <c r="R52" i="42"/>
  <c r="R54" i="42" s="1"/>
  <c r="K52" i="42"/>
  <c r="K54" i="42" s="1"/>
  <c r="R99" i="42"/>
  <c r="N87" i="42"/>
  <c r="O87" i="42"/>
  <c r="J99" i="42"/>
  <c r="O52" i="42"/>
  <c r="O54" i="42" s="1"/>
  <c r="J52" i="42"/>
  <c r="K99" i="42"/>
  <c r="N99" i="42"/>
  <c r="S99" i="42"/>
  <c r="O99" i="42"/>
  <c r="M99" i="42"/>
  <c r="Q87" i="42"/>
  <c r="M87" i="42"/>
  <c r="J87" i="42"/>
  <c r="L87" i="42"/>
  <c r="K87" i="42"/>
  <c r="P87" i="42"/>
  <c r="T87" i="42"/>
  <c r="R87" i="42"/>
  <c r="P99" i="42"/>
  <c r="K28" i="2"/>
  <c r="M17" i="2"/>
  <c r="L27" i="2"/>
  <c r="M16" i="2"/>
  <c r="L26" i="2"/>
  <c r="K30" i="2"/>
  <c r="J20" i="2"/>
  <c r="J30" i="2" s="1"/>
  <c r="N28" i="2"/>
  <c r="O18" i="2"/>
  <c r="O28" i="2" s="1"/>
  <c r="M21" i="2"/>
  <c r="N31" i="2"/>
  <c r="N28" i="42" l="1"/>
  <c r="N29" i="42" s="1"/>
  <c r="N46" i="42"/>
  <c r="N47" i="42" s="1"/>
  <c r="J54" i="42"/>
  <c r="R20" i="61"/>
  <c r="Q20" i="61"/>
  <c r="N20" i="61"/>
  <c r="N21" i="61"/>
  <c r="O21" i="61"/>
  <c r="P21" i="61"/>
  <c r="O20" i="61"/>
  <c r="R21" i="61"/>
  <c r="Q21" i="61"/>
  <c r="P20" i="61"/>
  <c r="N16" i="2"/>
  <c r="M26" i="2"/>
  <c r="M27" i="2"/>
  <c r="N17" i="2"/>
  <c r="M13" i="42"/>
  <c r="M26" i="42" s="1"/>
  <c r="M20" i="42"/>
  <c r="L21" i="2"/>
  <c r="M31" i="2"/>
  <c r="U20" i="61" l="1"/>
  <c r="Z20" i="61" s="1"/>
  <c r="U21" i="61"/>
  <c r="P13" i="61"/>
  <c r="Q13" i="61"/>
  <c r="N13" i="61"/>
  <c r="R13" i="61"/>
  <c r="O13" i="61"/>
  <c r="R14" i="61"/>
  <c r="Q14" i="61"/>
  <c r="N14" i="61"/>
  <c r="O14" i="61"/>
  <c r="P14" i="61"/>
  <c r="O17" i="2"/>
  <c r="O27" i="2" s="1"/>
  <c r="N27" i="2"/>
  <c r="N26" i="2"/>
  <c r="O16" i="2"/>
  <c r="K21" i="2"/>
  <c r="L31" i="2"/>
  <c r="L13" i="42"/>
  <c r="L26" i="42" s="1"/>
  <c r="L20" i="42"/>
  <c r="AA20" i="61" l="1"/>
  <c r="Z21" i="61"/>
  <c r="AA21" i="61"/>
  <c r="U13" i="61"/>
  <c r="U14" i="61"/>
  <c r="Q24" i="42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 s="1"/>
  <c r="K20" i="42"/>
  <c r="J21" i="2"/>
  <c r="J31" i="2" s="1"/>
  <c r="K31" i="2"/>
  <c r="AA14" i="61" l="1"/>
  <c r="Z14" i="61"/>
  <c r="AA13" i="61"/>
  <c r="Z13" i="61"/>
  <c r="L31" i="42"/>
  <c r="N31" i="42"/>
  <c r="J13" i="42"/>
  <c r="J26" i="42" s="1"/>
  <c r="J20" i="42"/>
  <c r="N15" i="61" l="1"/>
  <c r="R15" i="61"/>
  <c r="Q15" i="61"/>
  <c r="P15" i="61"/>
  <c r="O15" i="61"/>
  <c r="R11" i="61"/>
  <c r="Q11" i="61"/>
  <c r="P11" i="61"/>
  <c r="O11" i="61"/>
  <c r="N11" i="61"/>
  <c r="N35" i="42"/>
  <c r="L35" i="42"/>
  <c r="L33" i="42"/>
  <c r="L52" i="42" s="1"/>
  <c r="N33" i="42"/>
  <c r="Q16" i="61" l="1"/>
  <c r="P16" i="61"/>
  <c r="N16" i="61"/>
  <c r="O16" i="61"/>
  <c r="R16" i="61"/>
  <c r="U15" i="61"/>
  <c r="U11" i="61"/>
  <c r="L54" i="42"/>
  <c r="N52" i="42"/>
  <c r="R12" i="61" l="1"/>
  <c r="Q12" i="61"/>
  <c r="O12" i="61"/>
  <c r="N12" i="61"/>
  <c r="P12" i="61"/>
  <c r="Y11" i="61"/>
  <c r="U16" i="61"/>
  <c r="AA15" i="61"/>
  <c r="Z15" i="61"/>
  <c r="N54" i="42"/>
  <c r="N18" i="61" l="1"/>
  <c r="Q19" i="61"/>
  <c r="N19" i="61"/>
  <c r="R17" i="61"/>
  <c r="P19" i="61"/>
  <c r="N17" i="61"/>
  <c r="R18" i="61"/>
  <c r="O19" i="61"/>
  <c r="R19" i="61"/>
  <c r="O17" i="61"/>
  <c r="P17" i="61"/>
  <c r="O18" i="61"/>
  <c r="Q18" i="61"/>
  <c r="Q17" i="61"/>
  <c r="P18" i="61"/>
  <c r="AA16" i="61"/>
  <c r="Z16" i="61"/>
  <c r="U12" i="61"/>
  <c r="O105" i="42"/>
  <c r="O108" i="42"/>
  <c r="O111" i="42" s="1"/>
  <c r="Q108" i="42"/>
  <c r="Q111" i="42" s="1"/>
  <c r="P108" i="42"/>
  <c r="P111" i="42" s="1"/>
  <c r="R108" i="42"/>
  <c r="R111" i="42" s="1"/>
  <c r="Q105" i="42"/>
  <c r="P105" i="42"/>
  <c r="S108" i="42"/>
  <c r="S111" i="42" s="1"/>
  <c r="R105" i="42"/>
  <c r="S105" i="42"/>
  <c r="P23" i="61" l="1"/>
  <c r="Q23" i="61"/>
  <c r="R23" i="61"/>
  <c r="O23" i="61"/>
  <c r="N23" i="61"/>
  <c r="U17" i="61"/>
  <c r="Z12" i="61"/>
  <c r="AA12" i="61"/>
  <c r="X12" i="61" s="1"/>
  <c r="X14" i="61"/>
  <c r="X13" i="61"/>
  <c r="X15" i="61"/>
  <c r="X16" i="61"/>
  <c r="U19" i="61"/>
  <c r="U18" i="61"/>
  <c r="S107" i="42"/>
  <c r="S22" i="44" s="1"/>
  <c r="R107" i="42"/>
  <c r="R22" i="44" s="1"/>
  <c r="P107" i="42"/>
  <c r="P22" i="44" s="1"/>
  <c r="Q107" i="42"/>
  <c r="Q22" i="44" s="1"/>
  <c r="O110" i="42"/>
  <c r="O113" i="42" s="1"/>
  <c r="O109" i="42"/>
  <c r="O112" i="42" s="1"/>
  <c r="P109" i="42"/>
  <c r="P112" i="42" s="1"/>
  <c r="P110" i="42"/>
  <c r="P113" i="42" s="1"/>
  <c r="Q109" i="42"/>
  <c r="Q112" i="42" s="1"/>
  <c r="Q110" i="42"/>
  <c r="Q113" i="42" s="1"/>
  <c r="S109" i="42"/>
  <c r="S112" i="42" s="1"/>
  <c r="S110" i="42"/>
  <c r="S113" i="42" s="1"/>
  <c r="R109" i="42"/>
  <c r="R112" i="42" s="1"/>
  <c r="R110" i="42"/>
  <c r="R113" i="42" s="1"/>
  <c r="O107" i="42"/>
  <c r="O106" i="42"/>
  <c r="R106" i="42"/>
  <c r="S106" i="42"/>
  <c r="P106" i="42"/>
  <c r="Q106" i="42"/>
  <c r="H72" i="55"/>
  <c r="H76" i="55" s="1"/>
  <c r="H80" i="55" s="1"/>
  <c r="H81" i="55" s="1"/>
  <c r="U23" i="61" l="1"/>
  <c r="V20" i="61" s="1"/>
  <c r="O22" i="44"/>
  <c r="X22" i="61"/>
  <c r="AA18" i="61"/>
  <c r="X18" i="61" s="1"/>
  <c r="Z18" i="61"/>
  <c r="Z19" i="61"/>
  <c r="AA19" i="61"/>
  <c r="X19" i="61" s="1"/>
  <c r="X20" i="61"/>
  <c r="X21" i="61"/>
  <c r="AA17" i="61"/>
  <c r="X17" i="61" s="1"/>
  <c r="Z17" i="61"/>
  <c r="S13" i="44"/>
  <c r="P13" i="44"/>
  <c r="Q13" i="44"/>
  <c r="R13" i="44"/>
  <c r="O13" i="44"/>
  <c r="I80" i="55"/>
  <c r="H79" i="55"/>
  <c r="H75" i="55"/>
  <c r="I76" i="55"/>
  <c r="V76" i="55" s="1"/>
  <c r="H77" i="55"/>
  <c r="I81" i="55" s="1"/>
  <c r="H73" i="55"/>
  <c r="I73" i="55" s="1"/>
  <c r="V73" i="55" s="1"/>
  <c r="I72" i="55"/>
  <c r="V72" i="55" s="1"/>
  <c r="H71" i="55"/>
  <c r="I71" i="55" s="1"/>
  <c r="V71" i="55" s="1"/>
  <c r="I79" i="55" l="1"/>
  <c r="V19" i="61"/>
  <c r="V14" i="61"/>
  <c r="V17" i="61"/>
  <c r="V21" i="61"/>
  <c r="V15" i="61"/>
  <c r="V23" i="61"/>
  <c r="V16" i="61"/>
  <c r="V22" i="61"/>
  <c r="V24" i="61"/>
  <c r="Y23" i="61"/>
  <c r="V18" i="61"/>
  <c r="V13" i="61"/>
  <c r="V12" i="61"/>
  <c r="I77" i="55"/>
  <c r="V77" i="55" s="1"/>
  <c r="I75" i="55"/>
  <c r="V75" i="55" s="1"/>
  <c r="V1" i="55" l="1"/>
  <c r="G11" i="16" s="1"/>
  <c r="S1" i="16" s="1"/>
  <c r="V1" i="61"/>
  <c r="Y1" i="61" l="1"/>
  <c r="V1" i="60"/>
  <c r="V1" i="53"/>
  <c r="W1" i="42"/>
  <c r="Y1" i="55"/>
  <c r="V1" i="54"/>
  <c r="W1" i="44"/>
  <c r="V1" i="58"/>
  <c r="V1" i="4"/>
  <c r="X1" i="2"/>
  <c r="N47" i="58"/>
</calcChain>
</file>

<file path=xl/sharedStrings.xml><?xml version="1.0" encoding="utf-8"?>
<sst xmlns="http://schemas.openxmlformats.org/spreadsheetml/2006/main" count="851" uniqueCount="255">
  <si>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</si>
  <si>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</si>
  <si>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</si>
  <si>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</si>
  <si>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</si>
  <si>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</si>
  <si>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</si>
  <si>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</si>
  <si>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</si>
  <si>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</si>
  <si>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</si>
  <si>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</si>
  <si>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</si>
  <si>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</si>
  <si>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</si>
  <si>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</si>
  <si>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</si>
  <si>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</si>
  <si>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</si>
  <si>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</si>
  <si>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</si>
  <si>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</si>
  <si>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</si>
  <si>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</si>
  <si>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</si>
  <si>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</si>
  <si>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</si>
  <si>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</si>
  <si>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</si>
  <si>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</si>
  <si>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</si>
  <si>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</si>
  <si>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</si>
  <si>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</si>
  <si>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</si>
  <si>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</si>
  <si>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</si>
  <si>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</si>
  <si>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</si>
  <si>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</si>
  <si>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</si>
  <si>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</si>
  <si>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</si>
  <si>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</si>
  <si>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</si>
  <si>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</si>
  <si>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</si>
  <si>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</si>
  <si>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</si>
  <si>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</si>
  <si>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</si>
  <si>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</si>
  <si>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</si>
  <si>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</si>
  <si>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</si>
  <si>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</si>
  <si>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</si>
  <si>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</si>
  <si>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</si>
  <si>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</si>
  <si>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</si>
  <si>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</si>
  <si>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</si>
  <si>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</si>
  <si>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</si>
  <si>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</si>
  <si>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</si>
  <si>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</si>
  <si>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</si>
  <si>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</si>
  <si>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</si>
  <si>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</si>
  <si>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</si>
  <si>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</si>
  <si>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</si>
  <si>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</si>
  <si>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</si>
  <si>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</si>
  <si>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</si>
  <si>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</si>
  <si>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</si>
  <si>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</si>
  <si>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</si>
  <si>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</si>
  <si>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</si>
  <si>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</si>
  <si>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</si>
  <si>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</si>
  <si>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</si>
  <si>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</si>
  <si>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</si>
  <si>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</si>
  <si>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</si>
  <si>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</si>
  <si>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</si>
  <si>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</si>
  <si>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</si>
  <si>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</si>
  <si>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</si>
  <si>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</si>
  <si>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</si>
  <si>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</si>
  <si>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</si>
  <si>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</si>
  <si>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</si>
  <si>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</si>
  <si>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</si>
  <si>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</si>
  <si>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</si>
  <si>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</si>
  <si>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</si>
  <si>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</si>
  <si>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</si>
  <si>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</si>
  <si>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</si>
  <si>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</si>
  <si>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</si>
  <si>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</si>
  <si>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</si>
  <si>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</si>
  <si>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</si>
  <si>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</si>
  <si>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</si>
  <si>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</si>
  <si>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</si>
  <si>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</si>
  <si>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</si>
  <si>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</si>
  <si>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</si>
  <si>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</si>
  <si>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</si>
  <si>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</si>
  <si>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</si>
  <si>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</si>
  <si>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</si>
  <si>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</si>
  <si>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</si>
  <si>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</si>
  <si>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</si>
  <si>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</si>
  <si>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</si>
  <si>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</si>
  <si>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</si>
  <si>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</si>
  <si>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</si>
  <si>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</si>
  <si>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</si>
  <si>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</si>
  <si>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</si>
  <si>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</si>
  <si>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</si>
  <si>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</si>
  <si>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</si>
  <si>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</si>
  <si>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</si>
  <si>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</si>
  <si>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</si>
  <si>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</si>
  <si>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</si>
  <si>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</si>
  <si>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</si>
  <si>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</si>
  <si>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</si>
  <si>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</si>
  <si>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</si>
  <si>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</si>
  <si>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</si>
  <si>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</si>
  <si>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</si>
  <si>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</si>
  <si>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</si>
  <si>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</si>
  <si>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</si>
  <si>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</si>
  <si>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</si>
  <si>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</si>
  <si>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</si>
  <si>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</si>
  <si>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</si>
  <si>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</si>
  <si>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</si>
  <si>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</si>
  <si>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</si>
  <si>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</si>
  <si>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</si>
  <si>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</si>
  <si>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</si>
  <si>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</si>
  <si>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</si>
  <si>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</si>
  <si>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</si>
  <si>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</si>
  <si>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</si>
  <si>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</si>
  <si>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</si>
  <si>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</si>
  <si>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</si>
  <si>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</si>
  <si>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</si>
  <si>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</si>
  <si>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</si>
  <si>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</si>
  <si>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</si>
  <si>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</si>
  <si>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</si>
  <si>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</si>
  <si>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</si>
  <si>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</si>
  <si>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</si>
  <si>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</si>
  <si>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Ausgrid</t>
  </si>
  <si>
    <t>CAM adjustment</t>
  </si>
  <si>
    <t>WPI - BIS Oxford forecast (placeholder)</t>
  </si>
  <si>
    <t>Distribution</t>
  </si>
  <si>
    <t>Transmission</t>
  </si>
  <si>
    <t>Input | Dx/Tx split</t>
  </si>
  <si>
    <t>Inputs the split of total opex between distribution and transmission services.</t>
  </si>
  <si>
    <t>Operating expenditure - Distribution</t>
  </si>
  <si>
    <t>Operating expenditure - Transmission</t>
  </si>
  <si>
    <t>AER opex model v2.1</t>
  </si>
  <si>
    <t>Add SaaS (from capex)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</si>
  <si>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</si>
  <si>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</si>
  <si>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</si>
  <si>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</si>
  <si>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</si>
  <si>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</si>
  <si>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</si>
  <si>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</si>
  <si>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</si>
  <si>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</si>
  <si>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</si>
  <si>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</si>
  <si>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</si>
  <si>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</si>
  <si>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Cyber security</t>
  </si>
  <si>
    <t>Insurance premiums</t>
  </si>
  <si>
    <t>Smart meter data</t>
  </si>
  <si>
    <t>Network innovation program</t>
  </si>
  <si>
    <t>ICT enablement for CER integration</t>
  </si>
  <si>
    <t>Property</t>
  </si>
  <si>
    <t>Nature induced costs</t>
  </si>
  <si>
    <t>DMIA</t>
  </si>
  <si>
    <t>add in Zetland lease</t>
  </si>
  <si>
    <t>add in other leases</t>
  </si>
  <si>
    <t>remove other leases</t>
  </si>
  <si>
    <t>WPI - KPMG forecast</t>
  </si>
  <si>
    <t>Estimate: RBA, Statement on monetary policy (SoMP), November 2023.</t>
  </si>
  <si>
    <t>remove ROLR bad debts</t>
  </si>
  <si>
    <t>Climate resilience</t>
  </si>
  <si>
    <t>Updated using new inflation</t>
  </si>
  <si>
    <t>SaaS costs</t>
  </si>
  <si>
    <t>Removed and put in as a step change</t>
  </si>
  <si>
    <t>Debt raising costs (distribution)</t>
  </si>
  <si>
    <t>Debt raising costs (transmission)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</si>
</sst>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2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3" fontId="15" fillId="0" borderId="0" xfId="5" applyNumberFormat="1" applyBorder="1" applyAlignment="1" applyProtection="1">
      <alignment horizontal="center" vertical="center"/>
    </xf>
    <xf numFmtId="174" fontId="12" fillId="0" borderId="0" xfId="5" applyNumberFormat="1" applyFont="1" applyBorder="1" applyAlignment="1" applyProtection="1">
      <alignment horizontal="center" vertical="center"/>
    </xf>
    <xf numFmtId="174" fontId="20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77" fontId="15" fillId="0" borderId="0" xfId="5" applyNumberFormat="1" applyBorder="1" applyAlignment="1" applyProtection="1">
      <alignment horizontal="center" vertic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95" fontId="6" fillId="0" borderId="0" xfId="0" applyNumberFormat="1" applyFont="1"/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99" fontId="12" fillId="0" borderId="4" xfId="5" applyNumberFormat="1" applyFont="1" applyBorder="1" applyAlignment="1" applyProtection="1">
      <alignment horizontal="center" vertic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68" fontId="8" fillId="0" borderId="4" xfId="0" applyNumberFormat="1" applyFont="1" applyBorder="1" applyAlignment="1">
      <alignment horizontal="left"/>
    </xf>
    <xf numFmtId="168" fontId="7" fillId="0" borderId="4" xfId="0" applyNumberFormat="1" applyFont="1" applyBorder="1" applyAlignment="1">
      <alignment horizontal="center"/>
    </xf>
    <xf numFmtId="166" fontId="6" fillId="0" borderId="0" xfId="0" applyNumberFormat="1" applyFont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2" fontId="15" fillId="0" borderId="0" xfId="2" applyNumberFormat="1" applyFont="1" applyFill="1" applyBorder="1" applyAlignment="1" applyProtection="1">
      <alignment horizontal="center" vertical="center"/>
    </xf>
    <xf numFmtId="176" fontId="6" fillId="0" borderId="0" xfId="0" applyNumberFormat="1" applyFont="1"/>
    <xf numFmtId="168" fontId="6" fillId="0" borderId="0" xfId="0" applyNumberFormat="1" applyFont="1" applyAlignment="1">
      <alignment horizontal="left"/>
    </xf>
    <xf numFmtId="194" fontId="6" fillId="8" borderId="3" xfId="0" applyNumberFormat="1" applyFont="1" applyFill="1" applyBorder="1" applyAlignment="1">
      <alignment horizontal="left" indent="1"/>
    </xf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8" fillId="0" borderId="7" xfId="0" applyNumberFormat="1" applyFont="1" applyBorder="1" applyAlignment="1">
      <alignment horizontal="center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168" fontId="14" fillId="0" borderId="0" xfId="3" applyNumberFormat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6" fontId="6" fillId="0" borderId="0" xfId="2" applyNumberFormat="1" applyFont="1" applyFill="1" applyBorder="1" applyAlignment="1" applyProtection="1">
      <alignment horizontal="center"/>
      <protection locked="0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2" fontId="12" fillId="0" borderId="4" xfId="5" applyNumberFormat="1" applyFont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0" fontId="6" fillId="0" borderId="0" xfId="2" applyNumberFormat="1" applyFont="1" applyFill="1" applyBorder="1" applyAlignment="1" applyProtection="1">
      <alignment horizontal="center"/>
    </xf>
    <xf numFmtId="182" fontId="6" fillId="0" borderId="0" xfId="2" applyNumberFormat="1" applyFont="1" applyAlignment="1" applyProtection="1">
      <alignment horizontal="center"/>
      <protection locked="0"/>
    </xf>
    <xf numFmtId="174" fontId="12" fillId="0" borderId="0" xfId="5" applyNumberFormat="1" applyFont="1" applyBorder="1" applyAlignment="1">
      <alignment horizontal="center" vertical="center"/>
      <protection locked="0"/>
    </xf>
    <xf numFmtId="168" fontId="15" fillId="0" borderId="0" xfId="5" applyNumberFormat="1" applyBorder="1" applyAlignment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168" fontId="6" fillId="51" borderId="3" xfId="0" applyNumberFormat="1" applyFont="1" applyFill="1" applyBorder="1" applyAlignment="1" applyProtection="1">
      <alignment horizontal="left" indent="1"/>
      <protection locked="0"/>
    </xf>
    <xf numFmtId="168" fontId="6" fillId="41" borderId="3" xfId="0" applyNumberFormat="1" applyFont="1" applyFill="1" applyBorder="1" applyAlignment="1" applyProtection="1">
      <alignment horizontal="left" indent="1"/>
      <protection locked="0"/>
    </xf>
    <xf numFmtId="0" fontId="6" fillId="41" borderId="3" xfId="0" applyFont="1" applyFill="1" applyBorder="1" applyAlignment="1" applyProtection="1">
      <alignment horizontal="left" indent="1"/>
      <protection locked="0"/>
    </xf>
    <xf numFmtId="10" fontId="6" fillId="0" borderId="0" xfId="2" applyNumberFormat="1" applyFont="1" applyFill="1" applyProtection="1">
      <protection locked="0"/>
    </xf>
    <xf numFmtId="182" fontId="6" fillId="0" borderId="0" xfId="2" applyNumberFormat="1" applyFont="1" applyFill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</xf>
    <xf numFmtId="49" fontId="6" fillId="0" borderId="0" xfId="0" applyNumberFormat="1" applyFont="1" applyAlignment="1">
      <alignment horizontal="left" indent="1"/>
    </xf>
    <xf numFmtId="49" fontId="6" fillId="0" borderId="28" xfId="0" applyNumberFormat="1" applyFont="1" applyBorder="1" applyAlignment="1">
      <alignment horizontal="left" indent="1"/>
    </xf>
    <xf numFmtId="49" fontId="7" fillId="0" borderId="4" xfId="0" applyNumberFormat="1" applyFont="1" applyBorder="1" applyAlignment="1">
      <alignment horizontal="center"/>
    </xf>
    <xf numFmtId="204" fontId="7" fillId="0" borderId="4" xfId="0" applyNumberFormat="1" applyFont="1" applyBorder="1" applyAlignment="1">
      <alignment horizontal="center"/>
    </xf>
    <xf numFmtId="193" fontId="15" fillId="41" borderId="3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68" fontId="20" fillId="0" borderId="0" xfId="0" applyNumberFormat="1" applyFont="1"/>
    <xf numFmtId="10" fontId="6" fillId="0" borderId="0" xfId="2" applyNumberFormat="1" applyFont="1" applyFill="1" applyAlignment="1" applyProtection="1">
      <alignment horizontal="center"/>
      <protection locked="0"/>
    </xf>
    <xf numFmtId="194" fontId="8" fillId="40" borderId="26" xfId="0" applyNumberFormat="1" applyFont="1" applyFill="1" applyBorder="1" applyAlignment="1" applyProtection="1">
      <alignment horizontal="center"/>
      <protection locked="0"/>
    </xf>
    <xf numFmtId="208" fontId="6" fillId="41" borderId="3" xfId="2" applyNumberFormat="1" applyFont="1" applyFill="1" applyBorder="1" applyAlignment="1" applyProtection="1">
      <alignment horizontal="center"/>
      <protection locked="0"/>
    </xf>
    <xf numFmtId="208" fontId="6" fillId="41" borderId="3" xfId="0" applyNumberFormat="1" applyFont="1" applyFill="1" applyBorder="1" applyAlignment="1" applyProtection="1">
      <alignment horizontal="left" indent="1"/>
      <protection locked="0"/>
    </xf>
    <xf numFmtId="168" fontId="94" fillId="0" borderId="0" xfId="0" applyNumberFormat="1" applyFont="1" applyAlignment="1">
      <alignment horizontal="center"/>
    </xf>
    <xf numFmtId="193" fontId="6" fillId="0" borderId="0" xfId="0" applyNumberFormat="1" applyFont="1" applyAlignment="1" applyProtection="1">
      <alignment horizontal="center"/>
      <protection locked="0"/>
    </xf>
    <xf numFmtId="193" fontId="0" fillId="41" borderId="3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0" fontId="13" fillId="0" borderId="0" xfId="2" applyNumberFormat="1" applyFont="1" applyAlignment="1" applyProtection="1">
      <alignment horizontal="center"/>
      <protection locked="0"/>
    </xf>
    <xf numFmtId="10" fontId="13" fillId="0" borderId="0" xfId="2" applyNumberFormat="1" applyFont="1" applyFill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196" fontId="13" fillId="0" borderId="0" xfId="2" applyNumberFormat="1" applyFont="1" applyFill="1" applyBorder="1" applyAlignment="1" applyProtection="1">
      <alignment horizontal="center"/>
      <protection locked="0"/>
    </xf>
    <xf numFmtId="10" fontId="13" fillId="0" borderId="0" xfId="2" applyNumberFormat="1" applyFont="1" applyFill="1" applyBorder="1" applyAlignment="1" applyProtection="1">
      <alignment horizontal="center"/>
      <protection locked="0"/>
    </xf>
    <xf numFmtId="49" fontId="0" fillId="38" borderId="0" xfId="0" applyNumberFormat="1" applyFill="1" applyAlignment="1" applyProtection="1">
      <alignment horizontal="left" indent="1"/>
      <protection locked="0"/>
    </xf>
    <xf numFmtId="200" fontId="6" fillId="0" borderId="0" xfId="0" applyNumberFormat="1" applyFont="1" applyAlignment="1">
      <alignment horizontal="center"/>
    </xf>
    <xf numFmtId="176" fontId="6" fillId="0" borderId="0" xfId="0" applyNumberFormat="1" applyFont="1" applyProtection="1">
      <protection locked="0"/>
    </xf>
    <xf numFmtId="205" fontId="13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1" fillId="0" borderId="0" xfId="305"/>
    <xf numFmtId="0" fontId="95" fillId="0" borderId="0" xfId="305" applyFont="1"/>
    <xf numFmtId="0" fontId="95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5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 applyProtection="1">
      <protection locked="0"/>
    </xf>
    <xf numFmtId="196" fontId="6" fillId="0" borderId="0" xfId="2" quotePrefix="1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182" fontId="6" fillId="0" borderId="0" xfId="2" applyNumberFormat="1" applyFont="1" applyBorder="1" applyAlignment="1" applyProtection="1">
      <alignment horizontal="center"/>
    </xf>
    <xf numFmtId="209" fontId="6" fillId="8" borderId="3" xfId="2" applyNumberFormat="1" applyFont="1" applyFill="1" applyBorder="1" applyAlignment="1" applyProtection="1">
      <alignment horizontal="center"/>
    </xf>
    <xf numFmtId="194" fontId="8" fillId="8" borderId="26" xfId="0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9B038254-6F9B-40C7-8F58-8A046A31BB58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CCFFCC"/>
      <color rgb="FFDAEEF3"/>
      <color rgb="FFFFFFCC"/>
      <color rgb="FF006100"/>
      <color rgb="FFC6EFCE"/>
      <color rgb="FF9C0006"/>
      <color rgb="FFFFFF99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'Output|Decomposition'!$X$9</c:f>
              <c:strCache>
                <c:ptCount val="1"/>
                <c:pt idx="0">
                  <c:v>Padding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('Output|Decomposition'!$B$11,'Output|Decomposition'!$B$14:$B$20,'Output|Decomposition'!$B$22:$B$23)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2023–24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('Output|Decomposition'!$X$11,'Output|Decomposition'!$X$14:$X$20,'Output|Decomposition'!$X$22)</c:f>
              <c:numCache>
                <c:formatCode>_-* #\ ##0.00_-;\-* #\ ##0.00_-;_-* "-"??_-;_-@_-</c:formatCode>
                <c:ptCount val="9"/>
                <c:pt idx="1">
                  <c:v>2055.3241158485766</c:v>
                </c:pt>
                <c:pt idx="2">
                  <c:v>2090.0597012379098</c:v>
                </c:pt>
                <c:pt idx="3">
                  <c:v>2100.0599492867786</c:v>
                </c:pt>
                <c:pt idx="4">
                  <c:v>2100.2182143116711</c:v>
                </c:pt>
                <c:pt idx="5">
                  <c:v>2127.4784745865772</c:v>
                </c:pt>
                <c:pt idx="6">
                  <c:v>2142.600439463225</c:v>
                </c:pt>
                <c:pt idx="7">
                  <c:v>2142.600439463225</c:v>
                </c:pt>
                <c:pt idx="8">
                  <c:v>2297.8131613976184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0-4FE2-B5B6-E0424FB8780F}"/>
            </c:ext>
          </c:extLst>
        </c:ser>
        <c:ser>
          <c:idx val="1"/>
          <c:order val="1"/>
          <c:tx>
            <c:strRef>
              <c:f>'Output|Decomposition'!$Y$9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('Output|Decomposition'!$B$11,'Output|Decomposition'!$B$14:$B$20,'Output|Decomposition'!$B$22:$B$23)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2023–24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('Output|Decomposition'!$Y$11,'Output|Decomposition'!$Y$14:$Y$20,'Output|Decomposition'!$Y$22:$Y$23)</c:f>
              <c:numCache>
                <c:formatCode>_-* #\ ##0.00_-;\-* #\ ##0.00_-;_-* "-"??_-;_-@_-</c:formatCode>
                <c:ptCount val="10"/>
                <c:pt idx="0">
                  <c:v>2081.5151458792079</c:v>
                </c:pt>
                <c:pt idx="9">
                  <c:v>2344.0269533203646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0-4FE2-B5B6-E0424FB8780F}"/>
            </c:ext>
          </c:extLst>
        </c:ser>
        <c:ser>
          <c:idx val="2"/>
          <c:order val="2"/>
          <c:tx>
            <c:strRef>
              <c:f>'Output|Decomposition'!$Z$9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accent2"/>
              </a:solidFill>
            </a:ln>
          </c:spPr>
          <c:invertIfNegative val="0"/>
          <c:dLbls>
            <c:dLbl>
              <c:idx val="3"/>
              <c:layout>
                <c:manualLayout>
                  <c:x val="-3.8242414758622365E-17"/>
                  <c:y val="-5.123098062450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0-4FE2-B5B6-E0424FB8780F}"/>
                </c:ext>
              </c:extLst>
            </c:dLbl>
            <c:dLbl>
              <c:idx val="4"/>
              <c:layout>
                <c:manualLayout>
                  <c:x val="1.9218345670368379E-3"/>
                  <c:y val="-3.33535353535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0-4FE2-B5B6-E0424FB8780F}"/>
                </c:ext>
              </c:extLst>
            </c:dLbl>
            <c:dLbl>
              <c:idx val="5"/>
              <c:layout>
                <c:manualLayout>
                  <c:x val="0"/>
                  <c:y val="-3.656060606060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0-4FE2-B5B6-E0424FB8780F}"/>
                </c:ext>
              </c:extLst>
            </c:dLbl>
            <c:dLbl>
              <c:idx val="6"/>
              <c:layout>
                <c:manualLayout>
                  <c:x val="-2.4169674382793346E-3"/>
                  <c:y val="-3.5919191919191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0-4FE2-B5B6-E0424FB8780F}"/>
                </c:ext>
              </c:extLst>
            </c:dLbl>
            <c:dLbl>
              <c:idx val="7"/>
              <c:layout>
                <c:manualLayout>
                  <c:x val="-2.4169674382793346E-3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0-4FE2-B5B6-E0424FB8780F}"/>
                </c:ext>
              </c:extLst>
            </c:dLbl>
            <c:dLbl>
              <c:idx val="8"/>
              <c:layout>
                <c:manualLayout>
                  <c:x val="-1.9031516563211444E-7"/>
                  <c:y val="-2.597727272727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0-4FE2-B5B6-E0424FB8780F}"/>
                </c:ext>
              </c:extLst>
            </c:dLbl>
            <c:dLbl>
              <c:idx val="9"/>
              <c:layout>
                <c:manualLayout>
                  <c:x val="0"/>
                  <c:y val="-4.1625171757409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0-4FE2-B5B6-E0424FB8780F}"/>
                </c:ext>
              </c:extLst>
            </c:dLbl>
            <c:dLbl>
              <c:idx val="11"/>
              <c:layout>
                <c:manualLayout>
                  <c:x val="0"/>
                  <c:y val="-2.886363636363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0-4FE2-B5B6-E0424FB8780F}"/>
                </c:ext>
              </c:extLst>
            </c:dLbl>
            <c:dLbl>
              <c:idx val="12"/>
              <c:layout>
                <c:manualLayout>
                  <c:x val="0"/>
                  <c:y val="-4.169191919191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0-4FE2-B5B6-E0424FB8780F}"/>
                </c:ext>
              </c:extLst>
            </c:dLbl>
            <c:dLbl>
              <c:idx val="13"/>
              <c:layout>
                <c:manualLayout>
                  <c:x val="0"/>
                  <c:y val="-4.8106060606060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A0-4FE2-B5B6-E0424FB8780F}"/>
                </c:ext>
              </c:extLst>
            </c:dLbl>
            <c:numFmt formatCode="#\ ##0.0;\–#\ ##0.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('Output|Decomposition'!$B$11,'Output|Decomposition'!$B$14:$B$20,'Output|Decomposition'!$B$22:$B$23)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2023–24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('Output|Decomposition'!$Z$11,'Output|Decomposition'!$Z$14:$Z$20,'Output|Decomposition'!$Z$22:$Z$23)</c:f>
              <c:numCache>
                <c:formatCode>_-* #\ ##0.00_-;\-* #\ ##0.00_-;_-* "-"??_-;_-@_-</c:formatCode>
                <c:ptCount val="10"/>
                <c:pt idx="1">
                  <c:v>34.735585389333153</c:v>
                </c:pt>
                <c:pt idx="2">
                  <c:v>10.000248048868912</c:v>
                </c:pt>
                <c:pt idx="3">
                  <c:v>0.15826502489250771</c:v>
                </c:pt>
                <c:pt idx="4">
                  <c:v>27.260260274906123</c:v>
                </c:pt>
                <c:pt idx="5">
                  <c:v>46.692341399060211</c:v>
                </c:pt>
                <c:pt idx="6">
                  <c:v>0</c:v>
                </c:pt>
                <c:pt idx="7">
                  <c:v>153.65875778684588</c:v>
                </c:pt>
                <c:pt idx="8">
                  <c:v>46.21379192274614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A0-4FE2-B5B6-E0424FB8780F}"/>
            </c:ext>
          </c:extLst>
        </c:ser>
        <c:ser>
          <c:idx val="3"/>
          <c:order val="3"/>
          <c:tx>
            <c:strRef>
              <c:f>'Output|Decomposition'!$AA$9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</c:spPr>
          <c:invertIfNegative val="0"/>
          <c:dLbls>
            <c:dLbl>
              <c:idx val="4"/>
              <c:layout>
                <c:manualLayout>
                  <c:x val="-2.4169674382793346E-3"/>
                  <c:y val="-4.1050757575757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A0-4FE2-B5B6-E0424FB8780F}"/>
                </c:ext>
              </c:extLst>
            </c:dLbl>
            <c:dLbl>
              <c:idx val="5"/>
              <c:layout>
                <c:manualLayout>
                  <c:x val="0"/>
                  <c:y val="-2.99454735194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A0-4FE2-B5B6-E0424FB8780F}"/>
                </c:ext>
              </c:extLst>
            </c:dLbl>
            <c:dLbl>
              <c:idx val="6"/>
              <c:layout>
                <c:manualLayout>
                  <c:x val="-1.6404904541500964E-7"/>
                  <c:y val="-3.2070707070707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A0-4FE2-B5B6-E0424FB8780F}"/>
                </c:ext>
              </c:extLst>
            </c:dLbl>
            <c:dLbl>
              <c:idx val="7"/>
              <c:layout>
                <c:manualLayout>
                  <c:x val="8.953389040612566E-17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0-4FE2-B5B6-E0424FB8780F}"/>
                </c:ext>
              </c:extLst>
            </c:dLbl>
            <c:dLbl>
              <c:idx val="8"/>
              <c:layout>
                <c:manualLayout>
                  <c:x val="0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A0-4FE2-B5B6-E0424FB8780F}"/>
                </c:ext>
              </c:extLst>
            </c:dLbl>
            <c:numFmt formatCode="\–#\ ##0.0;\–#\ ##0.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('Output|Decomposition'!$B$11,'Output|Decomposition'!$B$14:$B$20,'Output|Decomposition'!$B$22:$B$23)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2023–24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('Output|Decomposition'!$AA$11,'Output|Decomposition'!$AA$14:$AA$20,'Output|Decomposition'!$AA$22)</c:f>
              <c:numCache>
                <c:formatCode>_-* #\ ##0.00_-;\-* #\ ##0.00_-;_-* "-"??_-;_-@_-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31.570376522412296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A0-4FE2-B5B6-E0424FB87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  <c:max val="25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2023-24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9CC7C-30E4-465C-ACE7-084EE06FD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nov/forecasts.html" TargetMode="External"/><Relationship Id="rId2" Type="http://schemas.openxmlformats.org/officeDocument/2006/relationships/hyperlink" Target="https://www.rba.gov.au/publications/smp/2023/nov/forecasts.html" TargetMode="External"/><Relationship Id="rId1" Type="http://schemas.openxmlformats.org/officeDocument/2006/relationships/hyperlink" Target="https://www.rba.gov.au/publications/smp/2023/nov/forecasts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219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41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62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0</v>
      </c>
      <c r="D6" s="9" t="s">
        <v>1</v>
      </c>
    </row>
    <row r="7" spans="1:30">
      <c r="C7" s="19" t="s">
        <v>60</v>
      </c>
      <c r="D7" s="7" t="s">
        <v>61</v>
      </c>
    </row>
    <row r="8" spans="1:30">
      <c r="C8" s="19" t="s">
        <v>35</v>
      </c>
      <c r="D8" s="7" t="s">
        <v>95</v>
      </c>
    </row>
    <row r="9" spans="1:30">
      <c r="C9" s="19" t="s">
        <v>56</v>
      </c>
      <c r="D9" s="7" t="s">
        <v>57</v>
      </c>
    </row>
    <row r="10" spans="1:30">
      <c r="C10" s="19" t="s">
        <v>186</v>
      </c>
      <c r="D10" s="7" t="s">
        <v>172</v>
      </c>
    </row>
    <row r="11" spans="1:30">
      <c r="C11" s="19" t="s">
        <v>59</v>
      </c>
      <c r="D11" s="7" t="s">
        <v>50</v>
      </c>
    </row>
    <row r="12" spans="1:30">
      <c r="C12" s="19" t="s">
        <v>215</v>
      </c>
      <c r="D12" s="7" t="s">
        <v>216</v>
      </c>
    </row>
    <row r="13" spans="1:30">
      <c r="C13" s="19" t="s">
        <v>187</v>
      </c>
      <c r="D13" s="7" t="s">
        <v>173</v>
      </c>
    </row>
    <row r="14" spans="1:30">
      <c r="C14" s="19" t="s">
        <v>188</v>
      </c>
      <c r="D14" s="7" t="s">
        <v>174</v>
      </c>
    </row>
    <row r="15" spans="1:30">
      <c r="C15" s="19" t="s">
        <v>52</v>
      </c>
      <c r="D15" s="7" t="s">
        <v>58</v>
      </c>
    </row>
    <row r="16" spans="1:30">
      <c r="C16" s="19" t="s">
        <v>25</v>
      </c>
      <c r="D16" s="7" t="s">
        <v>51</v>
      </c>
    </row>
    <row r="17" spans="1:30" ht="12.75">
      <c r="C17" s="10"/>
      <c r="D17" s="7"/>
    </row>
    <row r="18" spans="1:30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  <c r="F25" s="26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</sheetData>
  <hyperlinks>
    <hyperlink ref="C13" location="'Calc|Opex forecast'!A1" display="Calc | Opex Forecast" xr:uid="{00000000-0004-0000-0100-000001000000}"/>
    <hyperlink ref="C14" location="'Output|Models'!A1" display="Output | Models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2" location="'Input|Dx Tx split'!A1" display="Input | Dx/Tx split" xr:uid="{55C4B6DF-C941-4CD4-B82A-AF11FEA929D3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IF(COUNTA($S$5:$S$16)=COUNTIF($S5:$S17,"OK"),"OK","Check")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60"/>
      <c r="G2" s="60"/>
      <c r="H2" s="60"/>
      <c r="I2" s="60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7"/>
      <c r="B4" s="43" t="s">
        <v>92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93</v>
      </c>
      <c r="D6" s="21" t="s">
        <v>7</v>
      </c>
      <c r="E6" s="21"/>
      <c r="F6" s="14"/>
      <c r="G6" s="14" t="s">
        <v>66</v>
      </c>
      <c r="H6" s="14"/>
      <c r="I6" s="8"/>
    </row>
    <row r="7" spans="1:30">
      <c r="C7" s="8" t="s">
        <v>63</v>
      </c>
      <c r="D7" s="16" t="s">
        <v>67</v>
      </c>
      <c r="E7" s="8"/>
      <c r="F7" s="8"/>
      <c r="G7" s="44" t="s">
        <v>210</v>
      </c>
      <c r="H7" s="8"/>
      <c r="I7" s="8"/>
      <c r="S7" s="90" t="str">
        <f>IF(COUNTBLANK($G7),"Check","Ok")</f>
        <v>Ok</v>
      </c>
    </row>
    <row r="8" spans="1:30">
      <c r="C8" s="8" t="s">
        <v>130</v>
      </c>
      <c r="D8" s="16" t="s">
        <v>68</v>
      </c>
      <c r="E8" s="8"/>
      <c r="F8" s="8"/>
      <c r="G8" s="44" t="s">
        <v>201</v>
      </c>
      <c r="H8" s="8"/>
      <c r="I8" s="8"/>
      <c r="S8" s="90" t="str">
        <f>IF(COUNTBLANK($G8),"Check","Ok")</f>
        <v>Ok</v>
      </c>
    </row>
    <row r="9" spans="1:30">
      <c r="C9" s="8" t="s">
        <v>114</v>
      </c>
      <c r="D9" s="16" t="s">
        <v>67</v>
      </c>
      <c r="E9" s="8"/>
      <c r="F9" s="8"/>
      <c r="G9" s="108">
        <v>36678</v>
      </c>
      <c r="H9" s="8"/>
      <c r="I9" s="8"/>
      <c r="S9" s="90" t="str">
        <f>IF(COUNTBLANK($G9),"Check","Ok")</f>
        <v>Ok</v>
      </c>
    </row>
    <row r="10" spans="1:30">
      <c r="C10" s="8" t="s">
        <v>144</v>
      </c>
      <c r="D10" s="16" t="s">
        <v>67</v>
      </c>
      <c r="E10" s="8"/>
      <c r="F10" s="8"/>
      <c r="G10" s="109">
        <v>2020</v>
      </c>
      <c r="H10" s="8"/>
      <c r="I10" s="8"/>
      <c r="S10" s="90" t="str">
        <f t="shared" ref="S10:S15" si="0">IF(COUNTBLANK($G10),"Check","Ok")</f>
        <v>Ok</v>
      </c>
    </row>
    <row r="11" spans="1:30">
      <c r="C11" s="8" t="s">
        <v>70</v>
      </c>
      <c r="D11" s="16" t="s">
        <v>67</v>
      </c>
      <c r="E11" s="8"/>
      <c r="F11" s="8"/>
      <c r="G11" s="109">
        <v>2023</v>
      </c>
      <c r="H11" s="8"/>
      <c r="I11" s="8"/>
      <c r="S11" s="90" t="str">
        <f t="shared" si="0"/>
        <v>Ok</v>
      </c>
    </row>
    <row r="12" spans="1:30">
      <c r="C12" s="8" t="s">
        <v>145</v>
      </c>
      <c r="D12" s="16" t="s">
        <v>67</v>
      </c>
      <c r="E12" s="8"/>
      <c r="F12" s="8"/>
      <c r="G12" s="109">
        <v>2024</v>
      </c>
      <c r="H12" s="8"/>
      <c r="I12" s="8"/>
      <c r="S12" s="90" t="str">
        <f t="shared" si="0"/>
        <v>Ok</v>
      </c>
    </row>
    <row r="13" spans="1:30">
      <c r="C13" s="8" t="s">
        <v>64</v>
      </c>
      <c r="D13" s="16" t="s">
        <v>67</v>
      </c>
      <c r="E13" s="8"/>
      <c r="F13" s="8"/>
      <c r="G13" s="109">
        <v>2025</v>
      </c>
      <c r="H13" s="8"/>
      <c r="I13" s="8"/>
      <c r="S13" s="90" t="str">
        <f t="shared" si="0"/>
        <v>Ok</v>
      </c>
    </row>
    <row r="14" spans="1:30">
      <c r="C14" s="8" t="s">
        <v>65</v>
      </c>
      <c r="D14" s="16" t="s">
        <v>67</v>
      </c>
      <c r="E14" s="8"/>
      <c r="F14" s="8"/>
      <c r="G14" s="109">
        <v>2029</v>
      </c>
      <c r="H14" s="8"/>
      <c r="I14" s="8"/>
      <c r="S14" s="90" t="str">
        <f t="shared" si="0"/>
        <v>Ok</v>
      </c>
    </row>
    <row r="15" spans="1:30">
      <c r="C15" s="8" t="s">
        <v>189</v>
      </c>
      <c r="D15" s="16" t="s">
        <v>67</v>
      </c>
      <c r="E15" s="8"/>
      <c r="F15" s="8"/>
      <c r="G15" s="109" t="s">
        <v>15</v>
      </c>
      <c r="H15" s="8"/>
      <c r="I15" s="8"/>
      <c r="S15" s="90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33" priority="13" operator="equal">
      <formula>"Check"</formula>
    </cfRule>
    <cfRule type="cellIs" dxfId="232" priority="14" operator="equal">
      <formula>"Ok"</formula>
    </cfRule>
  </conditionalFormatting>
  <conditionalFormatting sqref="V1">
    <cfRule type="cellIs" dxfId="231" priority="3" operator="equal">
      <formula>"Check"</formula>
    </cfRule>
    <cfRule type="cellIs" dxfId="230" priority="4" operator="equal">
      <formula>"Ok"</formula>
    </cfRule>
  </conditionalFormatting>
  <conditionalFormatting sqref="S7:S15">
    <cfRule type="cellIs" dxfId="229" priority="5" operator="equal">
      <formula>"Check"</formula>
    </cfRule>
    <cfRule type="cellIs" dxfId="228" priority="6" operator="equal">
      <formula>"Ok"</formula>
    </cfRule>
  </conditionalFormatting>
  <conditionalFormatting sqref="S1">
    <cfRule type="cellIs" dxfId="227" priority="1" operator="equal">
      <formula>"Check"</formula>
    </cfRule>
    <cfRule type="cellIs" dxfId="226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workbookViewId="0">
      <selection activeCell="M1" sqref="M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32" customFormat="1" ht="15.75">
      <c r="B1" s="29" t="str">
        <f>Index!$B$1</f>
        <v>AER opex model v2.1</v>
      </c>
      <c r="C1" s="29"/>
      <c r="D1" s="29"/>
      <c r="E1" s="29"/>
      <c r="F1" s="29"/>
      <c r="G1" s="29"/>
      <c r="H1" s="29"/>
      <c r="I1" s="30"/>
      <c r="J1" s="30"/>
      <c r="K1" s="30"/>
      <c r="L1" s="30"/>
      <c r="M1" s="31" t="s">
        <v>2</v>
      </c>
      <c r="O1" s="33" t="s">
        <v>3</v>
      </c>
      <c r="P1" s="51" t="s">
        <v>4</v>
      </c>
      <c r="Q1" s="11" t="s">
        <v>5</v>
      </c>
      <c r="R1" s="12" t="s">
        <v>6</v>
      </c>
      <c r="U1" s="33" t="s">
        <v>81</v>
      </c>
      <c r="V1" s="34" t="str">
        <f>IF(COUNTA($V$5:$V$85)=COUNTIF($V5:$V86,"OK"),"OK","Check")</f>
        <v>OK</v>
      </c>
      <c r="X1" s="131" t="s">
        <v>24</v>
      </c>
      <c r="Y1" s="34" t="str">
        <f>'Check|List'!$S$1</f>
        <v>Ok</v>
      </c>
    </row>
    <row r="2" spans="1:33" s="36" customFormat="1" ht="13.5" thickBot="1">
      <c r="B2" s="35" t="str">
        <f>Index!$C$7</f>
        <v>Input | General</v>
      </c>
      <c r="C2" s="35"/>
      <c r="D2" s="35"/>
      <c r="E2" s="35"/>
      <c r="F2" s="35"/>
      <c r="G2" s="35"/>
      <c r="H2" s="35"/>
      <c r="I2" s="60"/>
      <c r="J2" s="60"/>
      <c r="K2" s="60"/>
      <c r="L2" s="60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7"/>
      <c r="B4" s="43" t="s">
        <v>92</v>
      </c>
      <c r="C4" s="37"/>
      <c r="D4" s="37"/>
      <c r="E4" s="37"/>
      <c r="F4" s="37"/>
      <c r="G4" s="37"/>
      <c r="H4" s="37"/>
      <c r="I4" s="38"/>
      <c r="J4" s="38"/>
      <c r="K4" s="38"/>
      <c r="L4" s="38"/>
      <c r="M4" s="39"/>
      <c r="N4" s="40"/>
      <c r="O4" s="39"/>
      <c r="P4" s="40"/>
      <c r="Q4" s="39"/>
      <c r="R4" s="39"/>
      <c r="S4" s="39"/>
      <c r="T4" s="39"/>
      <c r="U4" s="39"/>
      <c r="V4" s="39"/>
      <c r="W4" s="39"/>
      <c r="X4" s="39"/>
      <c r="Y4" s="40"/>
      <c r="Z4" s="40"/>
      <c r="AA4" s="41"/>
      <c r="AB4" s="41"/>
      <c r="AC4" s="41"/>
      <c r="AD4" s="41"/>
      <c r="AE4" s="41"/>
      <c r="AF4" s="42"/>
      <c r="AG4" s="42"/>
    </row>
    <row r="5" spans="1:33" ht="11.25" customHeight="1"/>
    <row r="6" spans="1:33" ht="53.25">
      <c r="D6" s="54" t="s">
        <v>96</v>
      </c>
      <c r="E6" s="54" t="s">
        <v>128</v>
      </c>
      <c r="F6" s="54" t="s">
        <v>96</v>
      </c>
      <c r="G6" s="54" t="s">
        <v>207</v>
      </c>
      <c r="H6" s="54" t="s">
        <v>208</v>
      </c>
      <c r="I6" s="54" t="s">
        <v>128</v>
      </c>
      <c r="J6" s="54"/>
      <c r="K6" s="8"/>
      <c r="L6" s="8"/>
    </row>
    <row r="7" spans="1:33">
      <c r="C7" s="9" t="s">
        <v>7</v>
      </c>
      <c r="D7" s="58" t="s">
        <v>94</v>
      </c>
      <c r="E7" s="58" t="s">
        <v>30</v>
      </c>
      <c r="F7" s="58" t="s">
        <v>94</v>
      </c>
      <c r="G7" s="58" t="s">
        <v>206</v>
      </c>
      <c r="H7" s="58" t="s">
        <v>30</v>
      </c>
      <c r="I7" s="58" t="s">
        <v>30</v>
      </c>
      <c r="J7" s="58"/>
      <c r="K7" s="8"/>
      <c r="L7" s="8"/>
    </row>
    <row r="8" spans="1:33">
      <c r="C8" s="9" t="s">
        <v>8</v>
      </c>
      <c r="D8" s="58" t="s">
        <v>82</v>
      </c>
      <c r="E8" s="58" t="s">
        <v>16</v>
      </c>
      <c r="F8" s="58" t="s">
        <v>82</v>
      </c>
      <c r="G8" s="58" t="s">
        <v>16</v>
      </c>
      <c r="H8" s="58" t="s">
        <v>82</v>
      </c>
      <c r="I8" s="58" t="s">
        <v>16</v>
      </c>
      <c r="J8" s="58"/>
      <c r="K8" s="8"/>
      <c r="L8" s="8"/>
    </row>
    <row r="9" spans="1:33">
      <c r="C9" s="56">
        <v>39172</v>
      </c>
      <c r="D9" s="55">
        <v>155.6</v>
      </c>
      <c r="E9" s="8"/>
      <c r="F9" s="8"/>
      <c r="G9" s="8"/>
      <c r="H9" s="8"/>
      <c r="I9" s="8"/>
      <c r="J9" s="8"/>
      <c r="K9" s="8"/>
      <c r="L9" s="8"/>
      <c r="V9" s="90" t="str">
        <f>IF(C9&gt;EOMONTH(DATE('Input|General'!$G$12,MONTH('Input|General'!$G$9),1),0),"Ok",IF(D9="","Check","Ok"))</f>
        <v>Ok</v>
      </c>
    </row>
    <row r="10" spans="1:33">
      <c r="C10" s="56">
        <v>39263</v>
      </c>
      <c r="D10" s="55">
        <v>157.5</v>
      </c>
      <c r="E10" s="8"/>
      <c r="F10" s="8"/>
      <c r="G10" s="8"/>
      <c r="H10" s="8"/>
      <c r="I10" s="8"/>
      <c r="J10" s="8"/>
      <c r="K10" s="8"/>
      <c r="L10" s="8"/>
      <c r="V10" s="90" t="str">
        <f>IF(C10&gt;EOMONTH(DATE('Input|General'!$G$12,MONTH('Input|General'!$G$9),1),0),"Ok",IF(D10="","Check","Ok"))</f>
        <v>Ok</v>
      </c>
    </row>
    <row r="11" spans="1:33">
      <c r="C11" s="56">
        <v>39355</v>
      </c>
      <c r="D11" s="55">
        <v>158.6</v>
      </c>
      <c r="E11" s="8"/>
      <c r="F11" s="8"/>
      <c r="G11" s="8"/>
      <c r="H11" s="8"/>
      <c r="I11" s="8"/>
      <c r="J11" s="8"/>
      <c r="K11" s="8"/>
      <c r="L11" s="8"/>
      <c r="V11" s="90" t="str">
        <f>IF(C11&gt;EOMONTH(DATE('Input|General'!$G$12,MONTH('Input|General'!$G$9),1),0),"Ok",IF(D11="","Check","Ok"))</f>
        <v>Ok</v>
      </c>
    </row>
    <row r="12" spans="1:33">
      <c r="C12" s="56">
        <v>39447</v>
      </c>
      <c r="D12" s="55">
        <v>160.1</v>
      </c>
      <c r="E12" s="8"/>
      <c r="F12" s="8"/>
      <c r="G12" s="8"/>
      <c r="H12" s="8"/>
      <c r="I12" s="57"/>
      <c r="J12" s="8"/>
      <c r="K12" s="8"/>
      <c r="L12" s="8"/>
      <c r="V12" s="90" t="str">
        <f>IF(C12&gt;EOMONTH(DATE('Input|General'!$G$12,MONTH('Input|General'!$G$9),1),0),"Ok",IF(D12="","Check","Ok"))</f>
        <v>Ok</v>
      </c>
    </row>
    <row r="13" spans="1:33">
      <c r="C13" s="56">
        <v>39538</v>
      </c>
      <c r="D13" s="55">
        <v>162.19999999999999</v>
      </c>
      <c r="E13" s="80">
        <f>D13/D9-1</f>
        <v>4.2416452442159303E-2</v>
      </c>
      <c r="F13" s="8"/>
      <c r="G13" s="8"/>
      <c r="H13" s="8"/>
      <c r="I13" s="57"/>
      <c r="J13" s="8"/>
      <c r="K13" s="8"/>
      <c r="L13" s="8"/>
      <c r="V13" s="90" t="str">
        <f>IF(C13&gt;EOMONTH(DATE('Input|General'!$G$12,MONTH('Input|General'!$G$9),1),0),"Ok",IF(D13="","Check","Ok"))</f>
        <v>Ok</v>
      </c>
    </row>
    <row r="14" spans="1:33">
      <c r="C14" s="56">
        <v>39629</v>
      </c>
      <c r="D14" s="55">
        <v>164.6</v>
      </c>
      <c r="E14" s="80">
        <f t="shared" ref="E14:E29" si="0">D14/D10-1</f>
        <v>4.5079365079365052E-2</v>
      </c>
      <c r="F14" s="8"/>
      <c r="G14" s="8"/>
      <c r="H14" s="8"/>
      <c r="I14" s="57"/>
      <c r="J14" s="8"/>
      <c r="K14" s="8"/>
      <c r="L14" s="8"/>
      <c r="V14" s="90" t="str">
        <f>IF(C14&gt;EOMONTH(DATE('Input|General'!$G$12,MONTH('Input|General'!$G$9),1),0),"Ok",IF(D14="","Check","Ok"))</f>
        <v>Ok</v>
      </c>
    </row>
    <row r="15" spans="1:33">
      <c r="C15" s="56">
        <v>39721</v>
      </c>
      <c r="D15" s="55">
        <v>166.5</v>
      </c>
      <c r="E15" s="80">
        <f t="shared" si="0"/>
        <v>4.9810844892812067E-2</v>
      </c>
      <c r="F15" s="8"/>
      <c r="G15" s="8"/>
      <c r="H15" s="8"/>
      <c r="I15" s="57"/>
      <c r="J15" s="8"/>
      <c r="K15" s="8"/>
      <c r="L15" s="8"/>
      <c r="V15" s="90" t="str">
        <f>IF(C15&gt;EOMONTH(DATE('Input|General'!$G$12,MONTH('Input|General'!$G$9),1),0),"Ok",IF(D15="","Check","Ok"))</f>
        <v>Ok</v>
      </c>
    </row>
    <row r="16" spans="1:33">
      <c r="C16" s="56">
        <v>39813</v>
      </c>
      <c r="D16" s="55">
        <v>166</v>
      </c>
      <c r="E16" s="80">
        <f t="shared" si="0"/>
        <v>3.6851967520299844E-2</v>
      </c>
      <c r="F16" s="8"/>
      <c r="G16" s="8"/>
      <c r="H16" s="8"/>
      <c r="I16" s="57"/>
      <c r="J16" s="8"/>
      <c r="K16" s="8"/>
      <c r="L16" s="8"/>
      <c r="V16" s="90" t="str">
        <f>IF(C16&gt;EOMONTH(DATE('Input|General'!$G$12,MONTH('Input|General'!$G$9),1),0),"Ok",IF(D16="","Check","Ok"))</f>
        <v>Ok</v>
      </c>
    </row>
    <row r="17" spans="3:22">
      <c r="C17" s="56">
        <v>39903</v>
      </c>
      <c r="D17" s="55">
        <v>166.2</v>
      </c>
      <c r="E17" s="80">
        <f t="shared" si="0"/>
        <v>2.4660912453760897E-2</v>
      </c>
      <c r="F17" s="8"/>
      <c r="G17" s="8"/>
      <c r="H17" s="8"/>
      <c r="I17" s="57"/>
      <c r="J17" s="8"/>
      <c r="K17" s="8"/>
      <c r="L17" s="8"/>
      <c r="V17" s="90" t="str">
        <f>IF(C17&gt;EOMONTH(DATE('Input|General'!$G$12,MONTH('Input|General'!$G$9),1),0),"Ok",IF(D17="","Check","Ok"))</f>
        <v>Ok</v>
      </c>
    </row>
    <row r="18" spans="3:22">
      <c r="C18" s="56">
        <v>39994</v>
      </c>
      <c r="D18" s="55">
        <v>167</v>
      </c>
      <c r="E18" s="80">
        <f t="shared" si="0"/>
        <v>1.4580801944106936E-2</v>
      </c>
      <c r="F18" s="8"/>
      <c r="G18" s="8"/>
      <c r="H18" s="8"/>
      <c r="I18" s="57"/>
      <c r="J18" s="8"/>
      <c r="K18" s="8"/>
      <c r="L18" s="8"/>
      <c r="V18" s="90" t="str">
        <f>IF(C18&gt;EOMONTH(DATE('Input|General'!$G$12,MONTH('Input|General'!$G$9),1),0),"Ok",IF(D18="","Check","Ok"))</f>
        <v>Ok</v>
      </c>
    </row>
    <row r="19" spans="3:22">
      <c r="C19" s="56">
        <v>40086</v>
      </c>
      <c r="D19" s="55">
        <v>168.6</v>
      </c>
      <c r="E19" s="80">
        <f t="shared" si="0"/>
        <v>1.2612612612612484E-2</v>
      </c>
      <c r="F19" s="8"/>
      <c r="G19" s="8"/>
      <c r="H19" s="8"/>
      <c r="I19" s="57"/>
      <c r="J19" s="8"/>
      <c r="K19" s="8"/>
      <c r="L19" s="8"/>
      <c r="V19" s="90" t="str">
        <f>IF(C19&gt;EOMONTH(DATE('Input|General'!$G$12,MONTH('Input|General'!$G$9),1),0),"Ok",IF(D19="","Check","Ok"))</f>
        <v>Ok</v>
      </c>
    </row>
    <row r="20" spans="3:22">
      <c r="C20" s="56">
        <v>40178</v>
      </c>
      <c r="D20" s="55">
        <v>169.5</v>
      </c>
      <c r="E20" s="80">
        <f t="shared" si="0"/>
        <v>2.108433734939763E-2</v>
      </c>
      <c r="F20" s="8"/>
      <c r="G20" s="8"/>
      <c r="H20" s="8"/>
      <c r="I20" s="57"/>
      <c r="J20" s="8"/>
      <c r="K20" s="8"/>
      <c r="L20" s="8"/>
      <c r="V20" s="90" t="str">
        <f>IF(C20&gt;EOMONTH(DATE('Input|General'!$G$12,MONTH('Input|General'!$G$9),1),0),"Ok",IF(D20="","Check","Ok"))</f>
        <v>Ok</v>
      </c>
    </row>
    <row r="21" spans="3:22">
      <c r="C21" s="56">
        <v>40268</v>
      </c>
      <c r="D21" s="55">
        <v>171</v>
      </c>
      <c r="E21" s="80">
        <f t="shared" si="0"/>
        <v>2.8880866425992746E-2</v>
      </c>
      <c r="F21" s="55">
        <v>95.2</v>
      </c>
      <c r="G21" s="167"/>
      <c r="H21" s="167">
        <f>IF(ISBLANK(F21),IF(COUNT(G21:G$84)=0,"",IF(ISBLANK(G21),AVERAGE(H20,H22),(1+G21)*H17)),F21)</f>
        <v>95.2</v>
      </c>
      <c r="I21" s="57"/>
      <c r="J21" s="132"/>
      <c r="K21" s="8"/>
      <c r="L21" s="8"/>
      <c r="V21" s="90" t="str">
        <f>IF(C21&gt;EOMONTH(DATE('Input|General'!$G$12,MONTH('Input|General'!$G$9),1),0),"Ok",IF(D21="","Check","Ok"))</f>
        <v>Ok</v>
      </c>
    </row>
    <row r="22" spans="3:22">
      <c r="C22" s="56">
        <v>40359</v>
      </c>
      <c r="D22" s="55">
        <v>172.1</v>
      </c>
      <c r="E22" s="80">
        <f t="shared" si="0"/>
        <v>3.0538922155688653E-2</v>
      </c>
      <c r="F22" s="55">
        <v>95.8</v>
      </c>
      <c r="G22" s="167"/>
      <c r="H22" s="167">
        <f>IF(ISBLANK(F22),IF(COUNT(G22:G$84)=0,"",IF(ISBLANK(G22),AVERAGE(H21,H23),(1+G22)*H18)),F22)</f>
        <v>95.8</v>
      </c>
      <c r="I22" s="57"/>
      <c r="J22" s="132"/>
      <c r="K22" s="8"/>
      <c r="L22" s="8"/>
      <c r="V22" s="90" t="str">
        <f>IF(C22&gt;EOMONTH(DATE('Input|General'!$G$12,MONTH('Input|General'!$G$9),1),0),"Ok",IF(D22="","Check","Ok"))</f>
        <v>Ok</v>
      </c>
    </row>
    <row r="23" spans="3:22">
      <c r="C23" s="56">
        <v>40451</v>
      </c>
      <c r="D23" s="55">
        <v>173.3</v>
      </c>
      <c r="E23" s="80">
        <f t="shared" si="0"/>
        <v>2.7876631079478242E-2</v>
      </c>
      <c r="F23" s="55">
        <v>96.5</v>
      </c>
      <c r="G23" s="167"/>
      <c r="H23" s="167">
        <f>IF(ISBLANK(F23),IF(COUNT(G23:G$84)=0,"",IF(ISBLANK(G23),AVERAGE(H22,H24),(1+G23)*H19)),F23)</f>
        <v>96.5</v>
      </c>
      <c r="I23" s="57"/>
      <c r="J23" s="132"/>
      <c r="K23" s="8"/>
      <c r="L23" s="8"/>
      <c r="V23" s="90" t="str">
        <f>IF(C23&gt;EOMONTH(DATE('Input|General'!$G$12,MONTH('Input|General'!$G$9),1),0),"Ok",IF(D23="","Check","Ok"))</f>
        <v>Ok</v>
      </c>
    </row>
    <row r="24" spans="3:22">
      <c r="C24" s="56">
        <v>40543</v>
      </c>
      <c r="D24" s="55">
        <v>174</v>
      </c>
      <c r="E24" s="80">
        <f t="shared" si="0"/>
        <v>2.6548672566371723E-2</v>
      </c>
      <c r="F24" s="55">
        <v>96.9</v>
      </c>
      <c r="G24" s="167"/>
      <c r="H24" s="167">
        <f>IF(ISBLANK(F24),IF(COUNT(G24:G$84)=0,"",IF(ISBLANK(G24),AVERAGE(H23,H25),(1+G24)*H20)),F24)</f>
        <v>96.9</v>
      </c>
      <c r="I24" s="57"/>
      <c r="J24" s="132"/>
      <c r="K24" s="8"/>
      <c r="L24" s="8"/>
      <c r="V24" s="90" t="str">
        <f>IF(C24&gt;EOMONTH(DATE('Input|General'!$G$12,MONTH('Input|General'!$G$9),1),0),"Ok",IF(D24="","Check","Ok"))</f>
        <v>Ok</v>
      </c>
    </row>
    <row r="25" spans="3:22">
      <c r="C25" s="56">
        <v>40633</v>
      </c>
      <c r="D25" s="55">
        <v>176.7</v>
      </c>
      <c r="E25" s="80">
        <f t="shared" si="0"/>
        <v>3.3333333333333215E-2</v>
      </c>
      <c r="F25" s="55">
        <v>98.3</v>
      </c>
      <c r="G25" s="167"/>
      <c r="H25" s="167">
        <f>IF(ISBLANK(F25),IF(COUNT(G25:G$84)=0,"",IF(ISBLANK(G25),AVERAGE(H24,H26),(1+G25)*H21)),F25)</f>
        <v>98.3</v>
      </c>
      <c r="I25" s="80">
        <f t="shared" ref="I25:I74" si="1">IF(H25="","",H25/H21-1)</f>
        <v>3.2563025210083918E-2</v>
      </c>
      <c r="J25" s="132"/>
      <c r="K25" s="8"/>
      <c r="L25" s="8"/>
      <c r="V25" s="90" t="str">
        <f>IF(C25&gt;EOMONTH(DATE('Input|General'!$G$12,MONTH('Input|General'!$G$9),1),0),"Ok",IF(D25="","Check","Ok"))</f>
        <v>Ok</v>
      </c>
    </row>
    <row r="26" spans="3:22">
      <c r="C26" s="56">
        <v>40724</v>
      </c>
      <c r="D26" s="55">
        <v>178.3</v>
      </c>
      <c r="E26" s="80">
        <f t="shared" si="0"/>
        <v>3.6025566531086683E-2</v>
      </c>
      <c r="F26" s="55">
        <v>99.2</v>
      </c>
      <c r="G26" s="167"/>
      <c r="H26" s="167">
        <f>IF(ISBLANK(F26),IF(COUNT(G26:G$84)=0,"",IF(ISBLANK(G26),AVERAGE(H25,H27),(1+G26)*H22)),F26)</f>
        <v>99.2</v>
      </c>
      <c r="I26" s="80">
        <f t="shared" si="1"/>
        <v>3.5490605427975108E-2</v>
      </c>
      <c r="J26" s="132"/>
      <c r="K26" s="8"/>
      <c r="L26" s="8"/>
      <c r="V26" s="90" t="str">
        <f>IF(C26&gt;EOMONTH(DATE('Input|General'!$G$12,MONTH('Input|General'!$G$9),1),0),"Ok",IF(D26="","Check","Ok"))</f>
        <v>Ok</v>
      </c>
    </row>
    <row r="27" spans="3:22">
      <c r="C27" s="56">
        <v>40816</v>
      </c>
      <c r="D27" s="55">
        <v>179.4</v>
      </c>
      <c r="E27" s="80">
        <f t="shared" si="0"/>
        <v>3.5199076745527913E-2</v>
      </c>
      <c r="F27" s="55">
        <v>99.8</v>
      </c>
      <c r="G27" s="167"/>
      <c r="H27" s="167">
        <f>IF(ISBLANK(F27),IF(COUNT(G27:G$84)=0,"",IF(ISBLANK(G27),AVERAGE(H26,H28),(1+G27)*H23)),F27)</f>
        <v>99.8</v>
      </c>
      <c r="I27" s="80">
        <f t="shared" si="1"/>
        <v>3.4196891191709877E-2</v>
      </c>
      <c r="J27" s="132"/>
      <c r="K27" s="8"/>
      <c r="L27" s="8"/>
      <c r="V27" s="90" t="str">
        <f>IF(C27&gt;EOMONTH(DATE('Input|General'!$G$12,MONTH('Input|General'!$G$9),1),0),"Ok",IF(D27="","Check","Ok"))</f>
        <v>Ok</v>
      </c>
    </row>
    <row r="28" spans="3:22">
      <c r="C28" s="56">
        <v>40908</v>
      </c>
      <c r="D28" s="55">
        <v>179.4</v>
      </c>
      <c r="E28" s="80">
        <f t="shared" si="0"/>
        <v>3.1034482758620641E-2</v>
      </c>
      <c r="F28" s="55">
        <v>99.8</v>
      </c>
      <c r="G28" s="167"/>
      <c r="H28" s="167">
        <f>IF(ISBLANK(F28),IF(COUNT(G28:G$84)=0,"",IF(ISBLANK(G28),AVERAGE(H27,H29),(1+G28)*H24)),F28)</f>
        <v>99.8</v>
      </c>
      <c r="I28" s="80">
        <f t="shared" si="1"/>
        <v>2.9927760577915352E-2</v>
      </c>
      <c r="J28" s="132"/>
      <c r="K28" s="8"/>
      <c r="L28" s="8"/>
      <c r="V28" s="90" t="str">
        <f>IF(C28&gt;EOMONTH(DATE('Input|General'!$G$12,MONTH('Input|General'!$G$9),1),0),"Ok",IF(D28="","Check","Ok"))</f>
        <v>Ok</v>
      </c>
    </row>
    <row r="29" spans="3:22">
      <c r="C29" s="56">
        <v>40999</v>
      </c>
      <c r="D29" s="55">
        <v>179.5</v>
      </c>
      <c r="E29" s="80">
        <f t="shared" si="0"/>
        <v>1.5846066779853007E-2</v>
      </c>
      <c r="F29" s="55">
        <v>99.9</v>
      </c>
      <c r="G29" s="167"/>
      <c r="H29" s="167">
        <f>IF(ISBLANK(F29),IF(COUNT(G29:G$84)=0,"",IF(ISBLANK(G29),AVERAGE(H28,H30),(1+G29)*H25)),F29)</f>
        <v>99.9</v>
      </c>
      <c r="I29" s="80">
        <f t="shared" si="1"/>
        <v>1.6276703967446737E-2</v>
      </c>
      <c r="J29" s="132"/>
      <c r="K29" s="8"/>
      <c r="L29" s="8"/>
      <c r="V29" s="90" t="str">
        <f>IF(C29&gt;EOMONTH(DATE('Input|General'!$G$12,MONTH('Input|General'!$G$9),1),0),"Ok",IF(D29="","Check","Ok"))</f>
        <v>Ok</v>
      </c>
    </row>
    <row r="30" spans="3:22">
      <c r="C30" s="56">
        <v>41090</v>
      </c>
      <c r="D30" s="8"/>
      <c r="E30" s="8"/>
      <c r="F30" s="55">
        <v>100.4</v>
      </c>
      <c r="G30" s="167"/>
      <c r="H30" s="167">
        <f>IF(ISBLANK(F30),IF(COUNT(G30:G$84)=0,"",IF(ISBLANK(G30),AVERAGE(H29,H31),(1+G30)*H26)),F30)</f>
        <v>100.4</v>
      </c>
      <c r="I30" s="80">
        <f t="shared" si="1"/>
        <v>1.2096774193548487E-2</v>
      </c>
      <c r="J30" s="132"/>
      <c r="K30" s="8"/>
      <c r="L30" s="8"/>
      <c r="V30" s="90" t="str">
        <f>IF(C30&gt;EOMONTH(DATE('Input|General'!$G$12,MONTH('Input|General'!$G$9),1),0),"Ok",IF(I30="","Check","Ok"))</f>
        <v>Ok</v>
      </c>
    </row>
    <row r="31" spans="3:22">
      <c r="C31" s="56">
        <v>41182</v>
      </c>
      <c r="D31" s="8"/>
      <c r="E31" s="8"/>
      <c r="F31" s="55">
        <v>101.8</v>
      </c>
      <c r="G31" s="167"/>
      <c r="H31" s="167">
        <f>IF(ISBLANK(F31),IF(COUNT(G31:G$84)=0,"",IF(ISBLANK(G31),AVERAGE(H30,H32),(1+G31)*H27)),F31)</f>
        <v>101.8</v>
      </c>
      <c r="I31" s="80">
        <f t="shared" si="1"/>
        <v>2.0040080160320661E-2</v>
      </c>
      <c r="J31" s="132"/>
      <c r="K31" s="8"/>
      <c r="L31" s="8"/>
      <c r="V31" s="90" t="str">
        <f>IF(C31&gt;EOMONTH(DATE('Input|General'!$G$12,MONTH('Input|General'!$G$9),1),0),"Ok",IF(I31="","Check","Ok"))</f>
        <v>Ok</v>
      </c>
    </row>
    <row r="32" spans="3:22">
      <c r="C32" s="56">
        <v>41274</v>
      </c>
      <c r="D32" s="8"/>
      <c r="E32" s="8"/>
      <c r="F32" s="55">
        <v>102</v>
      </c>
      <c r="G32" s="167"/>
      <c r="H32" s="167">
        <f>IF(ISBLANK(F32),IF(COUNT(G32:G$84)=0,"",IF(ISBLANK(G32),AVERAGE(H31,H33),(1+G32)*H28)),F32)</f>
        <v>102</v>
      </c>
      <c r="I32" s="80">
        <f t="shared" si="1"/>
        <v>2.2044088176352838E-2</v>
      </c>
      <c r="J32" s="132"/>
      <c r="K32" s="8"/>
      <c r="L32" s="8"/>
      <c r="V32" s="90" t="str">
        <f>IF(C32&gt;EOMONTH(DATE('Input|General'!$G$12,MONTH('Input|General'!$G$9),1),0),"Ok",IF(I32="","Check","Ok"))</f>
        <v>Ok</v>
      </c>
    </row>
    <row r="33" spans="3:22">
      <c r="C33" s="56">
        <v>41364</v>
      </c>
      <c r="D33" s="8"/>
      <c r="E33" s="8"/>
      <c r="F33" s="55">
        <v>102.4</v>
      </c>
      <c r="G33" s="167"/>
      <c r="H33" s="167">
        <f>IF(ISBLANK(F33),IF(COUNT(G33:G$84)=0,"",IF(ISBLANK(G33),AVERAGE(H32,H34),(1+G33)*H29)),F33)</f>
        <v>102.4</v>
      </c>
      <c r="I33" s="80">
        <f t="shared" si="1"/>
        <v>2.5025025025025016E-2</v>
      </c>
      <c r="J33" s="132"/>
      <c r="K33" s="8"/>
      <c r="L33" s="8"/>
      <c r="V33" s="90" t="str">
        <f>IF(C33&gt;EOMONTH(DATE('Input|General'!$G$12,MONTH('Input|General'!$G$9),1),0),"Ok",IF(I33="","Check","Ok"))</f>
        <v>Ok</v>
      </c>
    </row>
    <row r="34" spans="3:22">
      <c r="C34" s="56">
        <v>41455</v>
      </c>
      <c r="D34" s="8"/>
      <c r="E34" s="8"/>
      <c r="F34" s="55">
        <v>102.8</v>
      </c>
      <c r="G34" s="167"/>
      <c r="H34" s="167">
        <f>IF(ISBLANK(F34),IF(COUNT(G34:G$84)=0,"",IF(ISBLANK(G34),AVERAGE(H33,H35),(1+G34)*H30)),F34)</f>
        <v>102.8</v>
      </c>
      <c r="I34" s="80">
        <f t="shared" si="1"/>
        <v>2.3904382470119501E-2</v>
      </c>
      <c r="J34" s="132"/>
      <c r="K34" s="8"/>
      <c r="L34" s="8"/>
      <c r="V34" s="90" t="str">
        <f>IF(C34&gt;EOMONTH(DATE('Input|General'!$G$12,MONTH('Input|General'!$G$9),1),0),"Ok",IF(I34="","Check","Ok"))</f>
        <v>Ok</v>
      </c>
    </row>
    <row r="35" spans="3:22">
      <c r="C35" s="56">
        <v>41547</v>
      </c>
      <c r="D35" s="8"/>
      <c r="E35" s="8"/>
      <c r="F35" s="55">
        <v>104</v>
      </c>
      <c r="G35" s="167"/>
      <c r="H35" s="167">
        <f>IF(ISBLANK(F35),IF(COUNT(G35:G$84)=0,"",IF(ISBLANK(G35),AVERAGE(H34,H36),(1+G35)*H31)),F35)</f>
        <v>104</v>
      </c>
      <c r="I35" s="80">
        <f t="shared" si="1"/>
        <v>2.16110019646365E-2</v>
      </c>
      <c r="J35" s="132"/>
      <c r="K35" s="8"/>
      <c r="L35" s="8"/>
      <c r="V35" s="90" t="str">
        <f>IF(C35&gt;EOMONTH(DATE('Input|General'!$G$12,MONTH('Input|General'!$G$9),1),0),"Ok",IF(I35="","Check","Ok"))</f>
        <v>Ok</v>
      </c>
    </row>
    <row r="36" spans="3:22">
      <c r="C36" s="56">
        <v>41639</v>
      </c>
      <c r="D36" s="8"/>
      <c r="E36" s="8"/>
      <c r="F36" s="55">
        <v>104.8</v>
      </c>
      <c r="G36" s="167"/>
      <c r="H36" s="167">
        <f>IF(ISBLANK(F36),IF(COUNT(G36:G$84)=0,"",IF(ISBLANK(G36),AVERAGE(H35,H37),(1+G36)*H32)),F36)</f>
        <v>104.8</v>
      </c>
      <c r="I36" s="80">
        <f t="shared" si="1"/>
        <v>2.7450980392156765E-2</v>
      </c>
      <c r="J36" s="132"/>
      <c r="K36" s="8"/>
      <c r="L36" s="8"/>
      <c r="V36" s="90" t="str">
        <f>IF(C36&gt;EOMONTH(DATE('Input|General'!$G$12,MONTH('Input|General'!$G$9),1),0),"Ok",IF(I36="","Check","Ok"))</f>
        <v>Ok</v>
      </c>
    </row>
    <row r="37" spans="3:22">
      <c r="C37" s="56">
        <v>41729</v>
      </c>
      <c r="D37" s="8"/>
      <c r="E37" s="8"/>
      <c r="F37" s="55">
        <v>105.4</v>
      </c>
      <c r="G37" s="167"/>
      <c r="H37" s="167">
        <f>IF(ISBLANK(F37),IF(COUNT(G37:G$84)=0,"",IF(ISBLANK(G37),AVERAGE(H36,H38),(1+G37)*H33)),F37)</f>
        <v>105.4</v>
      </c>
      <c r="I37" s="80">
        <f t="shared" si="1"/>
        <v>2.9296875E-2</v>
      </c>
      <c r="J37" s="132"/>
      <c r="K37" s="8"/>
      <c r="L37" s="8"/>
      <c r="V37" s="90" t="str">
        <f>IF(C37&gt;EOMONTH(DATE('Input|General'!$G$12,MONTH('Input|General'!$G$9),1),0),"Ok",IF(I37="","Check","Ok"))</f>
        <v>Ok</v>
      </c>
    </row>
    <row r="38" spans="3:22">
      <c r="C38" s="56">
        <v>41820</v>
      </c>
      <c r="D38" s="8"/>
      <c r="E38" s="8"/>
      <c r="F38" s="55">
        <v>105.9</v>
      </c>
      <c r="G38" s="167"/>
      <c r="H38" s="167">
        <f>IF(ISBLANK(F38),IF(COUNT(G38:G$84)=0,"",IF(ISBLANK(G38),AVERAGE(H37,H39),(1+G38)*H34)),F38)</f>
        <v>105.9</v>
      </c>
      <c r="I38" s="80">
        <f t="shared" si="1"/>
        <v>3.0155642023346418E-2</v>
      </c>
      <c r="J38" s="132"/>
      <c r="K38" s="8"/>
      <c r="L38" s="8"/>
      <c r="V38" s="90" t="str">
        <f>IF(C38&gt;EOMONTH(DATE('Input|General'!$G$12,MONTH('Input|General'!$G$9),1),0),"Ok",IF(I38="","Check","Ok"))</f>
        <v>Ok</v>
      </c>
    </row>
    <row r="39" spans="3:22">
      <c r="C39" s="56">
        <v>41912</v>
      </c>
      <c r="D39" s="8"/>
      <c r="E39" s="8"/>
      <c r="F39" s="55">
        <v>106.4</v>
      </c>
      <c r="G39" s="167"/>
      <c r="H39" s="167">
        <f>IF(ISBLANK(F39),IF(COUNT(G39:G$84)=0,"",IF(ISBLANK(G39),AVERAGE(H38,H40),(1+G39)*H35)),F39)</f>
        <v>106.4</v>
      </c>
      <c r="I39" s="80">
        <f t="shared" si="1"/>
        <v>2.3076923076923217E-2</v>
      </c>
      <c r="J39" s="132"/>
      <c r="K39" s="8"/>
      <c r="L39" s="8"/>
      <c r="V39" s="90" t="str">
        <f>IF(C39&gt;EOMONTH(DATE('Input|General'!$G$12,MONTH('Input|General'!$G$9),1),0),"Ok",IF(I39="","Check","Ok"))</f>
        <v>Ok</v>
      </c>
    </row>
    <row r="40" spans="3:22">
      <c r="C40" s="56">
        <v>42004</v>
      </c>
      <c r="D40" s="8"/>
      <c r="E40" s="8"/>
      <c r="F40" s="55">
        <v>106.6</v>
      </c>
      <c r="G40" s="167"/>
      <c r="H40" s="167">
        <f>IF(ISBLANK(F40),IF(COUNT(G40:G$84)=0,"",IF(ISBLANK(G40),AVERAGE(H39,H41),(1+G40)*H36)),F40)</f>
        <v>106.6</v>
      </c>
      <c r="I40" s="80">
        <f t="shared" si="1"/>
        <v>1.7175572519083859E-2</v>
      </c>
      <c r="J40" s="132"/>
      <c r="K40" s="8"/>
      <c r="L40" s="8"/>
      <c r="V40" s="90" t="str">
        <f>IF(C40&gt;EOMONTH(DATE('Input|General'!$G$12,MONTH('Input|General'!$G$9),1),0),"Ok",IF(I40="","Check","Ok"))</f>
        <v>Ok</v>
      </c>
    </row>
    <row r="41" spans="3:22">
      <c r="C41" s="56">
        <v>42094</v>
      </c>
      <c r="D41" s="8"/>
      <c r="E41" s="8"/>
      <c r="F41" s="55">
        <v>106.8</v>
      </c>
      <c r="G41" s="167"/>
      <c r="H41" s="167">
        <f>IF(ISBLANK(F41),IF(COUNT(G41:G$84)=0,"",IF(ISBLANK(G41),AVERAGE(H40,H42),(1+G41)*H37)),F41)</f>
        <v>106.8</v>
      </c>
      <c r="I41" s="80">
        <f t="shared" si="1"/>
        <v>1.3282732447817747E-2</v>
      </c>
      <c r="J41" s="132"/>
      <c r="K41" s="8"/>
      <c r="L41" s="8"/>
      <c r="V41" s="90" t="str">
        <f>IF(C41&gt;EOMONTH(DATE('Input|General'!$G$12,MONTH('Input|General'!$G$9),1),0),"Ok",IF(I41="","Check","Ok"))</f>
        <v>Ok</v>
      </c>
    </row>
    <row r="42" spans="3:22">
      <c r="C42" s="56">
        <v>42185</v>
      </c>
      <c r="D42" s="8"/>
      <c r="E42" s="8"/>
      <c r="F42" s="55">
        <v>107.5</v>
      </c>
      <c r="G42" s="167"/>
      <c r="H42" s="167">
        <f>IF(ISBLANK(F42),IF(COUNT(G42:G$84)=0,"",IF(ISBLANK(G42),AVERAGE(H41,H43),(1+G42)*H38)),F42)</f>
        <v>107.5</v>
      </c>
      <c r="I42" s="80">
        <f t="shared" si="1"/>
        <v>1.5108593012275628E-2</v>
      </c>
      <c r="J42" s="132"/>
      <c r="K42" s="8"/>
      <c r="L42" s="8"/>
      <c r="V42" s="90" t="str">
        <f>IF(C42&gt;EOMONTH(DATE('Input|General'!$G$12,MONTH('Input|General'!$G$9),1),0),"Ok",IF(I42="","Check","Ok"))</f>
        <v>Ok</v>
      </c>
    </row>
    <row r="43" spans="3:22">
      <c r="C43" s="56">
        <v>42277</v>
      </c>
      <c r="D43" s="8"/>
      <c r="E43" s="8"/>
      <c r="F43" s="55">
        <v>108</v>
      </c>
      <c r="G43" s="167"/>
      <c r="H43" s="167">
        <f>IF(ISBLANK(F43),IF(COUNT(G43:G$84)=0,"",IF(ISBLANK(G43),AVERAGE(H42,H44),(1+G43)*H39)),F43)</f>
        <v>108</v>
      </c>
      <c r="I43" s="80">
        <f t="shared" si="1"/>
        <v>1.5037593984962294E-2</v>
      </c>
      <c r="J43" s="132"/>
      <c r="K43" s="8"/>
      <c r="L43" s="8"/>
      <c r="V43" s="90" t="str">
        <f>IF(C43&gt;EOMONTH(DATE('Input|General'!$G$12,MONTH('Input|General'!$G$9),1),0),"Ok",IF(I43="","Check","Ok"))</f>
        <v>Ok</v>
      </c>
    </row>
    <row r="44" spans="3:22">
      <c r="C44" s="56">
        <v>42369</v>
      </c>
      <c r="D44" s="8"/>
      <c r="E44" s="8"/>
      <c r="F44" s="55">
        <v>108.4</v>
      </c>
      <c r="G44" s="167"/>
      <c r="H44" s="167">
        <f>IF(ISBLANK(F44),IF(COUNT(G44:G$84)=0,"",IF(ISBLANK(G44),AVERAGE(H43,H45),(1+G44)*H40)),F44)</f>
        <v>108.4</v>
      </c>
      <c r="I44" s="80">
        <f t="shared" si="1"/>
        <v>1.6885553470919357E-2</v>
      </c>
      <c r="J44" s="132"/>
      <c r="K44" s="8"/>
      <c r="L44" s="8"/>
      <c r="V44" s="90" t="str">
        <f>IF(C44&gt;EOMONTH(DATE('Input|General'!$G$12,MONTH('Input|General'!$G$9),1),0),"Ok",IF(I44="","Check","Ok"))</f>
        <v>Ok</v>
      </c>
    </row>
    <row r="45" spans="3:22">
      <c r="C45" s="56">
        <v>42460</v>
      </c>
      <c r="D45" s="8"/>
      <c r="E45" s="8"/>
      <c r="F45" s="55">
        <v>108.2</v>
      </c>
      <c r="G45" s="167"/>
      <c r="H45" s="167">
        <f>IF(ISBLANK(F45),IF(COUNT(G45:G$84)=0,"",IF(ISBLANK(G45),AVERAGE(H44,H46),(1+G45)*H41)),F45)</f>
        <v>108.2</v>
      </c>
      <c r="I45" s="80">
        <f t="shared" si="1"/>
        <v>1.3108614232209881E-2</v>
      </c>
      <c r="J45" s="132"/>
      <c r="K45" s="8"/>
      <c r="L45" s="8"/>
      <c r="V45" s="90" t="str">
        <f>IF(C45&gt;EOMONTH(DATE('Input|General'!$G$12,MONTH('Input|General'!$G$9),1),0),"Ok",IF(I45="","Check","Ok"))</f>
        <v>Ok</v>
      </c>
    </row>
    <row r="46" spans="3:22">
      <c r="C46" s="56">
        <v>42551</v>
      </c>
      <c r="D46" s="8"/>
      <c r="E46" s="8"/>
      <c r="F46" s="55">
        <v>108.6</v>
      </c>
      <c r="G46" s="167"/>
      <c r="H46" s="167">
        <f>IF(ISBLANK(F46),IF(COUNT(G46:G$84)=0,"",IF(ISBLANK(G46),AVERAGE(H45,H47),(1+G46)*H42)),F46)</f>
        <v>108.6</v>
      </c>
      <c r="I46" s="80">
        <f t="shared" si="1"/>
        <v>1.0232558139534831E-2</v>
      </c>
      <c r="J46" s="132"/>
      <c r="K46" s="8"/>
      <c r="L46" s="8"/>
      <c r="V46" s="90" t="str">
        <f>IF(C46&gt;EOMONTH(DATE('Input|General'!$G$12,MONTH('Input|General'!$G$9),1),0),"Ok",IF(I46="","Check","Ok"))</f>
        <v>Ok</v>
      </c>
    </row>
    <row r="47" spans="3:22">
      <c r="C47" s="56">
        <v>42643</v>
      </c>
      <c r="D47" s="8"/>
      <c r="E47" s="8"/>
      <c r="F47" s="55">
        <v>109.4</v>
      </c>
      <c r="G47" s="167"/>
      <c r="H47" s="167">
        <f>IF(ISBLANK(F47),IF(COUNT(G47:G$84)=0,"",IF(ISBLANK(G47),AVERAGE(H46,H48),(1+G47)*H43)),F47)</f>
        <v>109.4</v>
      </c>
      <c r="I47" s="80">
        <f t="shared" si="1"/>
        <v>1.2962962962963065E-2</v>
      </c>
      <c r="J47" s="132"/>
      <c r="K47" s="8"/>
      <c r="L47" s="8"/>
      <c r="V47" s="90" t="str">
        <f>IF(C47&gt;EOMONTH(DATE('Input|General'!$G$12,MONTH('Input|General'!$G$9),1),0),"Ok",IF(I47="","Check","Ok"))</f>
        <v>Ok</v>
      </c>
    </row>
    <row r="48" spans="3:22">
      <c r="C48" s="56">
        <v>42735</v>
      </c>
      <c r="D48" s="8"/>
      <c r="E48" s="8"/>
      <c r="F48" s="55">
        <v>110</v>
      </c>
      <c r="G48" s="167"/>
      <c r="H48" s="167">
        <f>IF(ISBLANK(F48),IF(COUNT(G48:G$84)=0,"",IF(ISBLANK(G48),AVERAGE(H47,H49),(1+G48)*H44)),F48)</f>
        <v>110</v>
      </c>
      <c r="I48" s="80">
        <f t="shared" si="1"/>
        <v>1.4760147601476037E-2</v>
      </c>
      <c r="J48" s="132"/>
      <c r="K48" s="8"/>
      <c r="L48" s="8"/>
      <c r="V48" s="90" t="str">
        <f>IF(C48&gt;EOMONTH(DATE('Input|General'!$G$12,MONTH('Input|General'!$G$9),1),0),"Ok",IF(I48="","Check","Ok"))</f>
        <v>Ok</v>
      </c>
    </row>
    <row r="49" spans="3:22">
      <c r="C49" s="56">
        <v>42825</v>
      </c>
      <c r="D49" s="8"/>
      <c r="E49" s="8"/>
      <c r="F49" s="55">
        <v>110.5</v>
      </c>
      <c r="G49" s="167"/>
      <c r="H49" s="167">
        <f>IF(ISBLANK(F49),IF(COUNT(G49:G$84)=0,"",IF(ISBLANK(G49),AVERAGE(H48,H50),(1+G49)*H45)),F49)</f>
        <v>110.5</v>
      </c>
      <c r="I49" s="80">
        <f t="shared" si="1"/>
        <v>2.1256931608133023E-2</v>
      </c>
      <c r="J49" s="132"/>
      <c r="K49" s="8"/>
      <c r="L49" s="8"/>
      <c r="V49" s="90" t="str">
        <f>IF(C49&gt;EOMONTH(DATE('Input|General'!$G$12,MONTH('Input|General'!$G$9),1),0),"Ok",IF(I49="","Check","Ok"))</f>
        <v>Ok</v>
      </c>
    </row>
    <row r="50" spans="3:22">
      <c r="C50" s="56">
        <v>42916</v>
      </c>
      <c r="D50" s="8"/>
      <c r="E50" s="8"/>
      <c r="F50" s="55">
        <v>110.7</v>
      </c>
      <c r="G50" s="167"/>
      <c r="H50" s="167">
        <f>IF(ISBLANK(F50),IF(COUNT(G50:G$84)=0,"",IF(ISBLANK(G50),AVERAGE(H49,H51),(1+G50)*H46)),F50)</f>
        <v>110.7</v>
      </c>
      <c r="I50" s="80">
        <f t="shared" si="1"/>
        <v>1.9337016574585641E-2</v>
      </c>
      <c r="J50" s="133"/>
      <c r="K50" s="8"/>
      <c r="L50" s="8"/>
      <c r="V50" s="90" t="str">
        <f>IF(C50&gt;EOMONTH(DATE('Input|General'!$G$12,MONTH('Input|General'!$G$9),1),0),"Ok",IF(I50="","Check","Ok"))</f>
        <v>Ok</v>
      </c>
    </row>
    <row r="51" spans="3:22">
      <c r="C51" s="56">
        <v>43008</v>
      </c>
      <c r="D51" s="8"/>
      <c r="E51" s="8"/>
      <c r="F51" s="55">
        <v>111.4</v>
      </c>
      <c r="G51" s="167"/>
      <c r="H51" s="167">
        <f>IF(ISBLANK(F51),IF(COUNT(G51:G$84)=0,"",IF(ISBLANK(G51),AVERAGE(H50,H52),(1+G51)*H47)),F51)</f>
        <v>111.4</v>
      </c>
      <c r="I51" s="80">
        <f t="shared" si="1"/>
        <v>1.8281535648994485E-2</v>
      </c>
      <c r="J51" s="132"/>
      <c r="K51" s="8"/>
      <c r="L51" s="8"/>
      <c r="V51" s="90" t="str">
        <f>IF(C51&gt;EOMONTH(DATE('Input|General'!$G$12,MONTH('Input|General'!$G$9),1),0),"Ok",IF(I51="","Check","Ok"))</f>
        <v>Ok</v>
      </c>
    </row>
    <row r="52" spans="3:22">
      <c r="C52" s="56">
        <v>43100</v>
      </c>
      <c r="D52" s="8"/>
      <c r="E52" s="8"/>
      <c r="F52" s="55">
        <v>112.1</v>
      </c>
      <c r="G52" s="167"/>
      <c r="H52" s="167">
        <f>IF(ISBLANK(F52),IF(COUNT(G52:G$84)=0,"",IF(ISBLANK(G52),AVERAGE(H51,H53),(1+G52)*H48)),F52)</f>
        <v>112.1</v>
      </c>
      <c r="I52" s="80">
        <f t="shared" si="1"/>
        <v>1.9090909090909047E-2</v>
      </c>
      <c r="J52" s="132"/>
      <c r="K52" s="8"/>
      <c r="L52" s="8"/>
      <c r="V52" s="90" t="str">
        <f>IF(C52&gt;EOMONTH(DATE('Input|General'!$G$12,MONTH('Input|General'!$G$9),1),0),"Ok",IF(I52="","Check","Ok"))</f>
        <v>Ok</v>
      </c>
    </row>
    <row r="53" spans="3:22">
      <c r="C53" s="56">
        <v>43190</v>
      </c>
      <c r="D53" s="8"/>
      <c r="E53" s="8"/>
      <c r="F53" s="55">
        <v>112.6</v>
      </c>
      <c r="G53" s="167"/>
      <c r="H53" s="167">
        <f>IF(ISBLANK(F53),IF(COUNT(G53:G$84)=0,"",IF(ISBLANK(G53),AVERAGE(H52,H54),(1+G53)*H49)),F53)</f>
        <v>112.6</v>
      </c>
      <c r="I53" s="80">
        <f t="shared" si="1"/>
        <v>1.9004524886877761E-2</v>
      </c>
      <c r="J53" s="132"/>
      <c r="K53" s="8"/>
      <c r="L53" s="8"/>
      <c r="V53" s="90" t="str">
        <f>IF(C53&gt;EOMONTH(DATE('Input|General'!$G$12,MONTH('Input|General'!$G$9),1),0),"Ok",IF(I53="","Check","Ok"))</f>
        <v>Ok</v>
      </c>
    </row>
    <row r="54" spans="3:22">
      <c r="C54" s="56">
        <v>43281</v>
      </c>
      <c r="D54" s="8"/>
      <c r="E54" s="8"/>
      <c r="F54" s="55">
        <v>113</v>
      </c>
      <c r="G54" s="167"/>
      <c r="H54" s="167">
        <f>IF(ISBLANK(F54),IF(COUNT(G54:G$84)=0,"",IF(ISBLANK(G54),AVERAGE(H53,H55),(1+G54)*H50)),F54)</f>
        <v>113</v>
      </c>
      <c r="I54" s="80">
        <f t="shared" si="1"/>
        <v>2.0776874435411097E-2</v>
      </c>
      <c r="J54" s="132"/>
      <c r="K54" s="8"/>
      <c r="L54" s="8"/>
      <c r="V54" s="90" t="str">
        <f>IF(C54&gt;EOMONTH(DATE('Input|General'!$G$12,MONTH('Input|General'!$G$9),1),0),"Ok",IF(I54="","Check","Ok"))</f>
        <v>Ok</v>
      </c>
    </row>
    <row r="55" spans="3:22">
      <c r="C55" s="56">
        <v>43373</v>
      </c>
      <c r="D55" s="8"/>
      <c r="E55" s="8"/>
      <c r="F55" s="55">
        <v>113.5</v>
      </c>
      <c r="G55" s="167"/>
      <c r="H55" s="167">
        <f>IF(ISBLANK(F55),IF(COUNT(G55:G$84)=0,"",IF(ISBLANK(G55),AVERAGE(H54,H56),(1+G55)*H51)),F55)</f>
        <v>113.5</v>
      </c>
      <c r="I55" s="80">
        <f t="shared" si="1"/>
        <v>1.8850987432674993E-2</v>
      </c>
      <c r="J55" s="132"/>
      <c r="K55" s="8"/>
      <c r="L55" s="8"/>
      <c r="V55" s="90" t="str">
        <f>IF(C55&gt;EOMONTH(DATE('Input|General'!$G$12,MONTH('Input|General'!$G$9),1),0),"Ok",IF(I55="","Check","Ok"))</f>
        <v>Ok</v>
      </c>
    </row>
    <row r="56" spans="3:22">
      <c r="C56" s="56">
        <v>43465</v>
      </c>
      <c r="D56" s="8"/>
      <c r="E56" s="8"/>
      <c r="F56" s="55">
        <v>114.1</v>
      </c>
      <c r="G56" s="167"/>
      <c r="H56" s="167">
        <f>IF(ISBLANK(F56),IF(COUNT(G56:G$84)=0,"",IF(ISBLANK(G56),AVERAGE(H55,H57),(1+G56)*H52)),F56)</f>
        <v>114.1</v>
      </c>
      <c r="I56" s="80">
        <f t="shared" si="1"/>
        <v>1.7841213202497874E-2</v>
      </c>
      <c r="J56" s="132"/>
      <c r="K56" s="8"/>
      <c r="L56" s="8"/>
      <c r="V56" s="90" t="str">
        <f>IF(C56&gt;EOMONTH(DATE('Input|General'!$G$12,MONTH('Input|General'!$G$9),1),0),"Ok",IF(I56="","Check","Ok"))</f>
        <v>Ok</v>
      </c>
    </row>
    <row r="57" spans="3:22">
      <c r="C57" s="56">
        <v>43555</v>
      </c>
      <c r="D57" s="8"/>
      <c r="E57" s="8"/>
      <c r="F57" s="55">
        <v>114.1</v>
      </c>
      <c r="G57" s="167"/>
      <c r="H57" s="167">
        <f>IF(ISBLANK(F57),IF(COUNT(G57:G$84)=0,"",IF(ISBLANK(G57),AVERAGE(H56,H58),(1+G57)*H53)),F57)</f>
        <v>114.1</v>
      </c>
      <c r="I57" s="80">
        <f t="shared" si="1"/>
        <v>1.3321492007104752E-2</v>
      </c>
      <c r="J57" s="132"/>
      <c r="K57" s="8"/>
      <c r="L57" s="8"/>
      <c r="V57" s="90" t="str">
        <f>IF(C57&gt;EOMONTH(DATE('Input|General'!$G$12,MONTH('Input|General'!$G$9),1),0),"Ok",IF(I57="","Check","Ok"))</f>
        <v>Ok</v>
      </c>
    </row>
    <row r="58" spans="3:22">
      <c r="C58" s="56">
        <v>43646</v>
      </c>
      <c r="D58" s="8"/>
      <c r="E58" s="8"/>
      <c r="F58" s="55">
        <v>114.8</v>
      </c>
      <c r="G58" s="167"/>
      <c r="H58" s="167">
        <f>IF(ISBLANK(F58),IF(COUNT(G58:G$84)=0,"",IF(ISBLANK(G58),AVERAGE(H57,H59),(1+G58)*H54)),F58)</f>
        <v>114.8</v>
      </c>
      <c r="I58" s="80">
        <f t="shared" si="1"/>
        <v>1.5929203539823078E-2</v>
      </c>
      <c r="J58" s="132"/>
      <c r="K58" s="8"/>
      <c r="L58" s="8"/>
      <c r="V58" s="90" t="str">
        <f>IF(C58&gt;EOMONTH(DATE('Input|General'!$G$12,MONTH('Input|General'!$G$9),1),0),"Ok",IF(I58="","Check","Ok"))</f>
        <v>Ok</v>
      </c>
    </row>
    <row r="59" spans="3:22">
      <c r="C59" s="56">
        <v>43738</v>
      </c>
      <c r="D59" s="8"/>
      <c r="E59" s="8"/>
      <c r="F59" s="55">
        <v>115.4</v>
      </c>
      <c r="G59" s="167"/>
      <c r="H59" s="167">
        <f>IF(ISBLANK(F59),IF(COUNT(G59:G$84)=0,"",IF(ISBLANK(G59),AVERAGE(H58,H60),(1+G59)*H55)),F59)</f>
        <v>115.4</v>
      </c>
      <c r="I59" s="80">
        <f t="shared" si="1"/>
        <v>1.6740088105726914E-2</v>
      </c>
      <c r="J59" s="132"/>
      <c r="K59" s="8"/>
      <c r="L59" s="8"/>
      <c r="V59" s="90" t="str">
        <f>IF(C59&gt;EOMONTH(DATE('Input|General'!$G$12,MONTH('Input|General'!$G$9),1),0),"Ok",IF(I59="","Check","Ok"))</f>
        <v>Ok</v>
      </c>
    </row>
    <row r="60" spans="3:22">
      <c r="C60" s="56">
        <v>43830</v>
      </c>
      <c r="D60" s="8"/>
      <c r="E60" s="8"/>
      <c r="F60" s="55">
        <v>116.2</v>
      </c>
      <c r="G60" s="167"/>
      <c r="H60" s="167">
        <f>IF(ISBLANK(F60),IF(COUNT(G60:G$84)=0,"",IF(ISBLANK(G60),AVERAGE(H59,H61),(1+G60)*H56)),F60)</f>
        <v>116.2</v>
      </c>
      <c r="I60" s="80">
        <f t="shared" si="1"/>
        <v>1.8404907975460238E-2</v>
      </c>
      <c r="J60" s="132"/>
      <c r="K60" s="8"/>
      <c r="L60" s="8"/>
      <c r="V60" s="90" t="str">
        <f>IF(C60&gt;EOMONTH(DATE('Input|General'!$G$12,MONTH('Input|General'!$G$9),1),0),"Ok",IF(I60="","Check","Ok"))</f>
        <v>Ok</v>
      </c>
    </row>
    <row r="61" spans="3:22">
      <c r="C61" s="56">
        <v>43921</v>
      </c>
      <c r="D61" s="8"/>
      <c r="E61" s="8"/>
      <c r="F61" s="55">
        <v>116.6</v>
      </c>
      <c r="G61" s="167"/>
      <c r="H61" s="167">
        <f>IF(ISBLANK(F61),IF(COUNT(G61:G$84)=0,"",IF(ISBLANK(G61),AVERAGE(H60,H62),(1+G61)*H57)),F61)</f>
        <v>116.6</v>
      </c>
      <c r="I61" s="80">
        <f t="shared" si="1"/>
        <v>2.1910604732690686E-2</v>
      </c>
      <c r="J61" s="132"/>
      <c r="K61" s="8"/>
      <c r="L61" s="8"/>
      <c r="V61" s="90" t="str">
        <f>IF(C61&gt;EOMONTH(DATE('Input|General'!$G$12,MONTH('Input|General'!$G$9),1),0),"Ok",IF(I61="","Check","Ok"))</f>
        <v>Ok</v>
      </c>
    </row>
    <row r="62" spans="3:22">
      <c r="C62" s="56">
        <v>44012</v>
      </c>
      <c r="D62" s="8"/>
      <c r="E62" s="8"/>
      <c r="F62" s="55">
        <v>114.4</v>
      </c>
      <c r="G62" s="167"/>
      <c r="H62" s="167">
        <f>IF(ISBLANK(F62),IF(COUNT(G62:G$84)=0,"",IF(ISBLANK(G62),AVERAGE(H61,H63),(1+G62)*H58)),F62)</f>
        <v>114.4</v>
      </c>
      <c r="I62" s="80">
        <f t="shared" si="1"/>
        <v>-3.4843205574912606E-3</v>
      </c>
      <c r="J62" s="132"/>
      <c r="K62" s="8"/>
      <c r="L62" s="8"/>
      <c r="V62" s="90" t="str">
        <f>IF(C62&gt;EOMONTH(DATE('Input|General'!$G$12,MONTH('Input|General'!$G$9),1),0),"Ok",IF(I62="","Check","Ok"))</f>
        <v>Ok</v>
      </c>
    </row>
    <row r="63" spans="3:22">
      <c r="C63" s="56">
        <v>44104</v>
      </c>
      <c r="D63" s="8"/>
      <c r="E63" s="8"/>
      <c r="F63" s="55">
        <v>116.2</v>
      </c>
      <c r="G63" s="167"/>
      <c r="H63" s="167">
        <f>IF(ISBLANK(F63),IF(COUNT(G63:G$84)=0,"",IF(ISBLANK(G63),AVERAGE(H62,H64),(1+G63)*H59)),F63)</f>
        <v>116.2</v>
      </c>
      <c r="I63" s="80">
        <f t="shared" si="1"/>
        <v>6.9324090121316573E-3</v>
      </c>
      <c r="J63" s="132"/>
      <c r="K63" s="8"/>
      <c r="L63" s="8"/>
      <c r="V63" s="90" t="str">
        <f>IF(C63&gt;EOMONTH(DATE('Input|General'!$G$12,MONTH('Input|General'!$G$9),1),0),"Ok",IF(I63="","Check","Ok"))</f>
        <v>Ok</v>
      </c>
    </row>
    <row r="64" spans="3:22">
      <c r="C64" s="56">
        <v>44196</v>
      </c>
      <c r="D64" s="8"/>
      <c r="E64" s="8"/>
      <c r="F64" s="55">
        <v>117.2</v>
      </c>
      <c r="G64" s="167"/>
      <c r="H64" s="167">
        <f>IF(ISBLANK(F64),IF(COUNT(G64:G$84)=0,"",IF(ISBLANK(G64),AVERAGE(H63,H65),(1+G64)*H60)),F64)</f>
        <v>117.2</v>
      </c>
      <c r="I64" s="80">
        <f t="shared" si="1"/>
        <v>8.6058519793459354E-3</v>
      </c>
      <c r="J64" s="132"/>
      <c r="K64" s="8"/>
      <c r="L64" s="8"/>
      <c r="V64" s="90" t="str">
        <f>IF(C64&gt;EOMONTH(DATE('Input|General'!$G$12,MONTH('Input|General'!$G$9),1),0),"Ok",IF(I64="","Check","Ok"))</f>
        <v>Ok</v>
      </c>
    </row>
    <row r="65" spans="3:22">
      <c r="C65" s="56">
        <v>44286</v>
      </c>
      <c r="D65" s="8"/>
      <c r="E65" s="8"/>
      <c r="F65" s="55">
        <v>117.9</v>
      </c>
      <c r="G65" s="167"/>
      <c r="H65" s="167">
        <f>IF(ISBLANK(F65),IF(COUNT(G65:G$84)=0,"",IF(ISBLANK(G65),AVERAGE(H64,H66),(1+G65)*H61)),F65)</f>
        <v>117.9</v>
      </c>
      <c r="I65" s="80">
        <f t="shared" si="1"/>
        <v>1.1149228130360234E-2</v>
      </c>
      <c r="J65" s="132"/>
      <c r="K65" s="8"/>
      <c r="L65" s="8"/>
      <c r="V65" s="90" t="str">
        <f>IF(C65&gt;EOMONTH(DATE('Input|General'!$G$12,MONTH('Input|General'!$G$9),1),0),"Ok",IF(I65="","Check","Ok"))</f>
        <v>Ok</v>
      </c>
    </row>
    <row r="66" spans="3:22">
      <c r="C66" s="56">
        <v>44377</v>
      </c>
      <c r="D66" s="8"/>
      <c r="E66" s="8"/>
      <c r="F66" s="55">
        <v>118.8</v>
      </c>
      <c r="G66" s="167"/>
      <c r="H66" s="167">
        <f>IF(ISBLANK(F66),IF(COUNT(G66:G$84)=0,"",IF(ISBLANK(G66),AVERAGE(H65,H67),(1+G66)*H62)),F66)</f>
        <v>118.8</v>
      </c>
      <c r="I66" s="80">
        <f t="shared" si="1"/>
        <v>3.8461538461538325E-2</v>
      </c>
      <c r="J66" s="132"/>
      <c r="K66" s="8"/>
      <c r="L66" s="8"/>
      <c r="V66" s="90" t="str">
        <f>IF(C66&gt;EOMONTH(DATE('Input|General'!$G$12,MONTH('Input|General'!$G$9),1),0),"Ok",IF(I66="","Check","Ok"))</f>
        <v>Ok</v>
      </c>
    </row>
    <row r="67" spans="3:22">
      <c r="C67" s="56">
        <v>44469</v>
      </c>
      <c r="D67" s="8"/>
      <c r="E67" s="8"/>
      <c r="F67" s="55">
        <v>119.7</v>
      </c>
      <c r="G67" s="167"/>
      <c r="H67" s="167">
        <f>IF(ISBLANK(F67),IF(COUNT(G67:G$84)=0,"",IF(ISBLANK(G67),AVERAGE(H66,H68),(1+G67)*H63)),F67)</f>
        <v>119.7</v>
      </c>
      <c r="I67" s="80">
        <f t="shared" si="1"/>
        <v>3.0120481927710774E-2</v>
      </c>
      <c r="J67" s="132"/>
      <c r="K67" s="8"/>
      <c r="L67" s="8"/>
      <c r="V67" s="90" t="str">
        <f>IF(C67&gt;EOMONTH(DATE('Input|General'!$G$12,MONTH('Input|General'!$G$9),1),0),"Ok",IF(I67="","Check","Ok"))</f>
        <v>Ok</v>
      </c>
    </row>
    <row r="68" spans="3:22">
      <c r="C68" s="56">
        <v>44561</v>
      </c>
      <c r="D68" s="8"/>
      <c r="E68" s="8"/>
      <c r="F68" s="55">
        <v>121.3</v>
      </c>
      <c r="G68" s="167"/>
      <c r="H68" s="167">
        <f>IF(ISBLANK(F68),IF(COUNT(G68:G$84)=0,"",IF(ISBLANK(G68),AVERAGE(H67,H69),(1+G68)*H64)),F68)</f>
        <v>121.3</v>
      </c>
      <c r="I68" s="80">
        <f t="shared" si="1"/>
        <v>3.4982935153583528E-2</v>
      </c>
      <c r="J68" s="132"/>
      <c r="K68" s="8"/>
      <c r="L68" s="8"/>
      <c r="V68" s="90" t="str">
        <f>IF(C68&gt;EOMONTH(DATE('Input|General'!$G$12,MONTH('Input|General'!$G$9),1),0),"Ok",IF(I68="","Check","Ok"))</f>
        <v>Ok</v>
      </c>
    </row>
    <row r="69" spans="3:22">
      <c r="C69" s="56">
        <v>44651</v>
      </c>
      <c r="D69" s="8"/>
      <c r="E69" s="8"/>
      <c r="F69" s="55">
        <v>123.9</v>
      </c>
      <c r="G69" s="167"/>
      <c r="H69" s="167">
        <f>IF(ISBLANK(F69),IF(COUNT(G69:G$84)=0,"",IF(ISBLANK(G69),AVERAGE(H68,H70),(1+G69)*H65)),F69)</f>
        <v>123.9</v>
      </c>
      <c r="I69" s="80">
        <f t="shared" si="1"/>
        <v>5.0890585241730291E-2</v>
      </c>
      <c r="J69" s="132"/>
      <c r="K69" s="8"/>
      <c r="L69" s="8"/>
      <c r="V69" s="90" t="str">
        <f>IF(C69&gt;EOMONTH(DATE('Input|General'!$G$12,MONTH('Input|General'!$G$9),1),0),"Ok",IF(I69="","Check","Ok"))</f>
        <v>Ok</v>
      </c>
    </row>
    <row r="70" spans="3:22">
      <c r="C70" s="56">
        <v>44742</v>
      </c>
      <c r="D70" s="8"/>
      <c r="E70" s="8"/>
      <c r="F70" s="158">
        <v>126.1</v>
      </c>
      <c r="G70" s="167"/>
      <c r="H70" s="167">
        <f>IF(ISBLANK(F70),IF(COUNT(G70:G$84)=0,"",IF(ISBLANK(G70),AVERAGE(H69,H71),(1+G70)*H66)),F70)</f>
        <v>126.1</v>
      </c>
      <c r="I70" s="80">
        <f t="shared" si="1"/>
        <v>6.1447811447811418E-2</v>
      </c>
      <c r="J70" s="160"/>
      <c r="K70" s="8"/>
      <c r="L70" s="8"/>
      <c r="V70" s="90" t="str">
        <f>IF(C70&gt;EOMONTH(DATE('Input|General'!$G$12,MONTH('Input|General'!$G$9),1),0),"Ok",IF(I70="","Check","Ok"))</f>
        <v>Ok</v>
      </c>
    </row>
    <row r="71" spans="3:22">
      <c r="C71" s="56">
        <v>44834</v>
      </c>
      <c r="D71" s="8"/>
      <c r="E71" s="8"/>
      <c r="F71" s="168">
        <v>128.4</v>
      </c>
      <c r="G71" s="167"/>
      <c r="H71" s="167">
        <f>IF(ISBLANK(F71),IF(COUNT(G71:G$84)=0,"",IF(ISBLANK(G71),AVERAGE(H70,H72),(1+G71)*H67)),F71)</f>
        <v>128.4</v>
      </c>
      <c r="I71" s="80">
        <f t="shared" si="1"/>
        <v>7.268170426065157E-2</v>
      </c>
      <c r="J71" s="159"/>
      <c r="K71" s="8"/>
      <c r="L71" s="8"/>
      <c r="V71" s="90" t="str">
        <f>IF(C71&gt;EOMONTH(DATE('Input|General'!$G$12,MONTH('Input|General'!$G$9),1),0),"Ok",IF(I71="","Check","Ok"))</f>
        <v>Ok</v>
      </c>
    </row>
    <row r="72" spans="3:22">
      <c r="C72" s="56">
        <v>44926</v>
      </c>
      <c r="D72" s="8"/>
      <c r="E72" s="8"/>
      <c r="F72" s="168">
        <v>130.80000000000001</v>
      </c>
      <c r="G72" s="140"/>
      <c r="H72" s="167">
        <f>IF(ISBLANK(F72),IF(COUNT(G72:G$84)=0,"",IF(ISBLANK(G72),AVERAGE(H71,H73),(1+G72)*H68)),F72)</f>
        <v>130.80000000000001</v>
      </c>
      <c r="I72" s="80">
        <f t="shared" si="1"/>
        <v>7.8318219291014124E-2</v>
      </c>
      <c r="J72" s="160"/>
      <c r="K72" s="8"/>
      <c r="L72" s="8"/>
      <c r="V72" s="90" t="str">
        <f>IF(C72&gt;EOMONTH(DATE('Input|General'!$G$12,MONTH('Input|General'!$G$9),1),0),"Ok",IF(I72="","Check","Ok"))</f>
        <v>Ok</v>
      </c>
    </row>
    <row r="73" spans="3:22">
      <c r="C73" s="56">
        <v>45016</v>
      </c>
      <c r="D73" s="8"/>
      <c r="E73" s="8"/>
      <c r="F73" s="168">
        <v>132.6</v>
      </c>
      <c r="G73" s="167"/>
      <c r="H73" s="167">
        <f>IF(ISBLANK(F73),IF(COUNT(G73:G$84)=0,"",IF(ISBLANK(G73),AVERAGE(H72,H74),(1+G73)*H69)),F73)</f>
        <v>132.6</v>
      </c>
      <c r="I73" s="80">
        <f t="shared" si="1"/>
        <v>7.0217917675544639E-2</v>
      </c>
      <c r="J73" s="132"/>
      <c r="K73" s="8"/>
      <c r="L73" s="8"/>
      <c r="V73" s="90" t="str">
        <f>IF(C73&gt;EOMONTH(DATE('Input|General'!$G$12,MONTH('Input|General'!$G$9),1),0),"Ok",IF(I73="","Check","Ok"))</f>
        <v>Ok</v>
      </c>
    </row>
    <row r="74" spans="3:22">
      <c r="C74" s="56">
        <v>45107</v>
      </c>
      <c r="D74" s="8"/>
      <c r="E74" s="8"/>
      <c r="F74" s="168">
        <v>133.69999999999999</v>
      </c>
      <c r="G74" s="140"/>
      <c r="H74" s="167">
        <f>IF(ISBLANK(F74),IF(COUNT(G74:G$84)=0,"",IF(ISBLANK(G74),AVERAGE(H73,H75),(1+G74)*H70)),F74)</f>
        <v>133.69999999999999</v>
      </c>
      <c r="I74" s="80">
        <f t="shared" si="1"/>
        <v>6.0269627279936566E-2</v>
      </c>
      <c r="J74" s="195"/>
      <c r="K74" s="8"/>
      <c r="L74" s="8"/>
      <c r="V74" s="90" t="str">
        <f>IF(C74&gt;EOMONTH(DATE('Input|General'!$G$12,MONTH('Input|General'!$G$9),1),0),"Ok",IF(I74="","Check","Ok"))</f>
        <v>Ok</v>
      </c>
    </row>
    <row r="75" spans="3:22">
      <c r="C75" s="56">
        <v>45199</v>
      </c>
      <c r="D75" s="8"/>
      <c r="E75" s="8"/>
      <c r="F75" s="168">
        <v>135.30000000000001</v>
      </c>
      <c r="G75" s="140"/>
      <c r="H75" s="167">
        <f>IF(ISBLANK(F75),IF(COUNT(G75:G$84)=0,"",IF(ISBLANK(G75),AVERAGE(H74,H76),(1+G75)*H71)),F75)</f>
        <v>135.30000000000001</v>
      </c>
      <c r="I75" s="80">
        <f t="shared" ref="I75:I78" si="2">IF(H75="","",H75/H71-1)</f>
        <v>5.3738317757009435E-2</v>
      </c>
      <c r="J75" s="132"/>
      <c r="K75" s="8"/>
      <c r="L75" s="8"/>
      <c r="V75" s="90" t="str">
        <f>IF(C75&gt;EOMONTH(DATE('Input|General'!$G$12,MONTH('Input|General'!$G$9),1),0),"Ok",IF(I75="","Check","Ok"))</f>
        <v>Ok</v>
      </c>
    </row>
    <row r="76" spans="3:22">
      <c r="C76" s="56">
        <v>45291</v>
      </c>
      <c r="D76" s="8"/>
      <c r="E76" s="8"/>
      <c r="F76" s="168">
        <v>136.1</v>
      </c>
      <c r="G76" s="140"/>
      <c r="H76" s="167">
        <f>IF(ISBLANK(F76),IF(COUNT(G76:G$84)=0,"",IF(ISBLANK(G76),AVERAGE(H75,H77),(1+G76)*H72)),F76)</f>
        <v>136.1</v>
      </c>
      <c r="I76" s="80">
        <f t="shared" si="2"/>
        <v>4.0519877675840865E-2</v>
      </c>
      <c r="J76" s="195"/>
      <c r="K76" s="8"/>
      <c r="L76" s="8"/>
      <c r="V76" s="90" t="str">
        <f>IF(C76&gt;EOMONTH(DATE('Input|General'!$G$12,MONTH('Input|General'!$G$9),1),0),"Ok",IF(I76="","Check","Ok"))</f>
        <v>Ok</v>
      </c>
    </row>
    <row r="77" spans="3:22">
      <c r="C77" s="56">
        <v>45382</v>
      </c>
      <c r="D77" s="8"/>
      <c r="E77" s="8"/>
      <c r="F77" s="168"/>
      <c r="G77" s="140"/>
      <c r="H77" s="167">
        <f>IF(ISBLANK(F77),IF(COUNT(G77:G$84)=0,"",IF(ISBLANK(G77),AVERAGE(H76,H78),(1+G77)*H73)),F77)</f>
        <v>137.10604999999998</v>
      </c>
      <c r="I77" s="80">
        <f t="shared" si="2"/>
        <v>3.3982277526395155E-2</v>
      </c>
      <c r="J77" s="132"/>
      <c r="K77" s="8"/>
      <c r="L77" s="8"/>
      <c r="V77" s="90" t="str">
        <f>IF(C77&gt;EOMONTH(DATE('Input|General'!$G$12,MONTH('Input|General'!$G$9),1),0),"Ok",IF(I77="","Check","Ok"))</f>
        <v>Ok</v>
      </c>
    </row>
    <row r="78" spans="3:22">
      <c r="C78" s="56">
        <v>45473</v>
      </c>
      <c r="D78" s="8"/>
      <c r="E78" s="8"/>
      <c r="F78" s="168"/>
      <c r="G78" s="140">
        <v>3.3000000000000002E-2</v>
      </c>
      <c r="H78" s="167">
        <f>IF(ISBLANK(F78),IF(COUNT(G78:G$84)=0,"",IF(ISBLANK(G78),AVERAGE(H77,H79),(1+G78)*H74)),F78)</f>
        <v>138.11209999999997</v>
      </c>
      <c r="I78" s="80">
        <f t="shared" si="2"/>
        <v>3.2999999999999918E-2</v>
      </c>
      <c r="J78" s="195" t="s">
        <v>247</v>
      </c>
      <c r="K78" s="8"/>
      <c r="L78" s="8"/>
      <c r="V78" s="90" t="str">
        <f>IF(C78&gt;EOMONTH(DATE('Input|General'!$G$12,MONTH('Input|General'!$G$9),1),0),"Ok",IF(I78="","Check","Ok"))</f>
        <v>Ok</v>
      </c>
    </row>
    <row r="79" spans="3:22">
      <c r="C79" s="56">
        <v>45565</v>
      </c>
      <c r="D79" s="8"/>
      <c r="E79" s="8"/>
      <c r="F79" s="168"/>
      <c r="G79" s="140"/>
      <c r="H79" s="167">
        <f>IF(ISBLANK(F79),IF(COUNT(G79:G$84)=0,"",IF(ISBLANK(G79),AVERAGE(H78,H80),(1+G79)*H75)),F79)</f>
        <v>139.28364999999997</v>
      </c>
      <c r="I79" s="80">
        <f>IF(H79="","",H79/H75-1)</f>
        <v>2.944308943089391E-2</v>
      </c>
      <c r="J79" s="132"/>
      <c r="K79" s="8"/>
      <c r="L79" s="8"/>
      <c r="V79" s="90" t="str">
        <f>IF(C79&gt;EOMONTH(DATE('Input|General'!$G$12,MONTH('Input|General'!$G$9),1),0),"Ok",IF(I79="","Check","Ok"))</f>
        <v>Ok</v>
      </c>
    </row>
    <row r="80" spans="3:22">
      <c r="C80" s="56">
        <v>45657</v>
      </c>
      <c r="D80" s="8"/>
      <c r="E80" s="8"/>
      <c r="F80" s="168"/>
      <c r="G80" s="140">
        <v>3.2000000000000001E-2</v>
      </c>
      <c r="H80" s="167">
        <f>IF(ISBLANK(F80),IF(COUNT(G80:G$84)=0,"",IF(ISBLANK(G80),AVERAGE(H79,H81),(1+G80)*H76)),F80)</f>
        <v>140.45519999999999</v>
      </c>
      <c r="I80" s="80">
        <f t="shared" ref="I80:I84" si="3">IF(H80="","",H80/H76-1)</f>
        <v>3.2000000000000028E-2</v>
      </c>
      <c r="J80" s="195" t="s">
        <v>247</v>
      </c>
      <c r="K80" s="8"/>
      <c r="L80" s="8"/>
      <c r="V80" s="90" t="str">
        <f>IF(C80&gt;EOMONTH(DATE('Input|General'!$G$12,MONTH('Input|General'!$G$9),1),0),"Ok",IF(I80="","Check","Ok"))</f>
        <v>Ok</v>
      </c>
    </row>
    <row r="81" spans="1:50">
      <c r="C81" s="56">
        <v>45747</v>
      </c>
      <c r="D81" s="8"/>
      <c r="E81" s="8"/>
      <c r="F81" s="168"/>
      <c r="G81" s="140"/>
      <c r="H81" s="167">
        <f>IF(ISBLANK(F81),IF(COUNT(G81:G$84)=0,"",IF(ISBLANK(G81),AVERAGE(H80,H82),(1+G81)*H77)),F81)</f>
        <v>141.42438754999998</v>
      </c>
      <c r="I81" s="80">
        <f t="shared" si="3"/>
        <v>3.1496331124702293E-2</v>
      </c>
      <c r="J81" s="132"/>
      <c r="K81" s="8"/>
      <c r="L81" s="8"/>
      <c r="V81" s="90" t="str">
        <f>IF(C81&gt;EOMONTH(DATE('Input|General'!$G$12,MONTH('Input|General'!$G$9),1),0),"Ok",IF(I81="","Check","Ok"))</f>
        <v>Ok</v>
      </c>
    </row>
    <row r="82" spans="1:50">
      <c r="C82" s="56">
        <v>45838</v>
      </c>
      <c r="D82" s="8"/>
      <c r="E82" s="8"/>
      <c r="F82" s="168"/>
      <c r="G82" s="140">
        <v>3.1E-2</v>
      </c>
      <c r="H82" s="167">
        <f>IF(ISBLANK(F82),IF(COUNT(G82:G$84)=0,"",IF(ISBLANK(G82),AVERAGE(H81,H83),(1+G82)*H78)),F82)</f>
        <v>142.39357509999996</v>
      </c>
      <c r="I82" s="80">
        <f t="shared" si="3"/>
        <v>3.0999999999999917E-2</v>
      </c>
      <c r="J82" s="195" t="s">
        <v>247</v>
      </c>
      <c r="K82" s="8"/>
      <c r="L82" s="8"/>
      <c r="V82" s="90" t="str">
        <f>IF(C82&gt;EOMONTH(DATE('Input|General'!$G$12,MONTH('Input|General'!$G$9),1),0),"Ok",IF(I82="","Check","Ok"))</f>
        <v>Ok</v>
      </c>
    </row>
    <row r="83" spans="1:50">
      <c r="C83" s="56">
        <v>45930</v>
      </c>
      <c r="D83" s="8"/>
      <c r="E83" s="8"/>
      <c r="F83" s="168"/>
      <c r="G83" s="140"/>
      <c r="H83" s="167" t="str">
        <f>IF(ISBLANK(F83),IF(COUNT(G83:G$84)=0,"",IF(ISBLANK(G83),AVERAGE(H82,H84),(1+G83)*H79)),F83)</f>
        <v/>
      </c>
      <c r="I83" s="80" t="str">
        <f t="shared" si="3"/>
        <v/>
      </c>
      <c r="J83" s="132"/>
      <c r="K83" s="8"/>
      <c r="L83" s="8"/>
      <c r="V83" s="90" t="str">
        <f>IF(C83&gt;EOMONTH(DATE('Input|General'!$G$12,MONTH('Input|General'!$G$9),1),0),"Ok",IF(I83="","Check","Ok"))</f>
        <v>Ok</v>
      </c>
    </row>
    <row r="84" spans="1:50">
      <c r="C84" s="56">
        <v>46022</v>
      </c>
      <c r="D84" s="8"/>
      <c r="E84" s="8"/>
      <c r="F84" s="168"/>
      <c r="G84" s="140"/>
      <c r="H84" s="167" t="str">
        <f>IF(ISBLANK(F84),IF(COUNT(G84:G$84)=0,"",IF(ISBLANK(G84),AVERAGE(H83,H85),(1+G84)*H80)),F84)</f>
        <v/>
      </c>
      <c r="I84" s="80" t="str">
        <f t="shared" si="3"/>
        <v/>
      </c>
      <c r="J84" s="132"/>
      <c r="K84" s="8"/>
      <c r="L84" s="8"/>
      <c r="V84" s="90" t="str">
        <f>IF(C84&gt;EOMONTH(DATE('Input|General'!$G$12,MONTH('Input|General'!$G$9),1),0),"Ok",IF(I84="","Check","Ok"))</f>
        <v>Ok</v>
      </c>
    </row>
    <row r="85" spans="1:50">
      <c r="F85" s="8"/>
      <c r="G85" s="8"/>
      <c r="H85" s="8"/>
      <c r="I85" s="8"/>
      <c r="J85" s="8"/>
      <c r="K85" s="8"/>
      <c r="L85" s="8"/>
      <c r="V85" s="91"/>
    </row>
    <row r="86" spans="1:50" customFormat="1" ht="12.75">
      <c r="A86" s="37"/>
      <c r="B86" s="43" t="s">
        <v>21</v>
      </c>
      <c r="C86" s="37"/>
      <c r="D86" s="37"/>
      <c r="E86" s="37"/>
      <c r="F86" s="37"/>
      <c r="G86" s="37"/>
      <c r="H86" s="37"/>
      <c r="I86" s="38"/>
      <c r="J86" s="38"/>
      <c r="K86" s="38"/>
      <c r="L86" s="38"/>
      <c r="M86" s="39"/>
      <c r="N86" s="40"/>
      <c r="O86" s="39"/>
      <c r="P86" s="40"/>
      <c r="Q86" s="39"/>
      <c r="R86" s="39"/>
      <c r="S86" s="39"/>
      <c r="T86" s="39"/>
      <c r="U86" s="39"/>
      <c r="V86" s="39"/>
      <c r="W86" s="39"/>
      <c r="X86" s="39"/>
      <c r="Y86" s="40"/>
      <c r="Z86" s="40"/>
      <c r="AA86" s="41"/>
      <c r="AB86" s="41"/>
      <c r="AC86" s="41"/>
      <c r="AD86" s="41"/>
      <c r="AE86" s="41"/>
      <c r="AF86" s="42"/>
      <c r="AG86" s="42"/>
    </row>
    <row r="87" spans="1:50" hidden="1">
      <c r="J87" s="21"/>
      <c r="K87" s="21"/>
    </row>
    <row r="88" spans="1:50" hidden="1">
      <c r="J88" s="21"/>
      <c r="K88" s="21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Z14:Z50 V85 Z63:Z85">
    <cfRule type="cellIs" dxfId="225" priority="13" operator="equal">
      <formula>"Check"</formula>
    </cfRule>
    <cfRule type="cellIs" dxfId="224" priority="14" operator="equal">
      <formula>"Ok"</formula>
    </cfRule>
  </conditionalFormatting>
  <conditionalFormatting sqref="Y1">
    <cfRule type="cellIs" dxfId="223" priority="9" operator="equal">
      <formula>"Check"</formula>
    </cfRule>
    <cfRule type="cellIs" dxfId="222" priority="10" operator="equal">
      <formula>"Ok"</formula>
    </cfRule>
  </conditionalFormatting>
  <conditionalFormatting sqref="V1">
    <cfRule type="cellIs" dxfId="221" priority="7" operator="equal">
      <formula>"Check"</formula>
    </cfRule>
    <cfRule type="cellIs" dxfId="220" priority="8" operator="equal">
      <formula>"Ok"</formula>
    </cfRule>
  </conditionalFormatting>
  <conditionalFormatting sqref="Z51:Z57">
    <cfRule type="cellIs" dxfId="219" priority="5" operator="equal">
      <formula>"Check"</formula>
    </cfRule>
    <cfRule type="cellIs" dxfId="218" priority="6" operator="equal">
      <formula>"Ok"</formula>
    </cfRule>
  </conditionalFormatting>
  <conditionalFormatting sqref="Z58:Z62 V9:V84">
    <cfRule type="cellIs" dxfId="217" priority="3" operator="equal">
      <formula>"Check"</formula>
    </cfRule>
    <cfRule type="cellIs" dxfId="216" priority="4" operator="equal">
      <formula>"Ok"</formula>
    </cfRule>
  </conditionalFormatting>
  <conditionalFormatting sqref="G21:G73 G83:G84">
    <cfRule type="expression" dxfId="215" priority="2">
      <formula>ISBLANK(F21)</formula>
    </cfRule>
  </conditionalFormatting>
  <conditionalFormatting sqref="G74:G82">
    <cfRule type="expression" dxfId="214" priority="1">
      <formula>ISBLANK(F74)</formula>
    </cfRule>
  </conditionalFormatting>
  <dataValidations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  <hyperlink ref="J78" r:id="rId1" xr:uid="{2CD101E1-E8CB-4198-A132-78DE071BA5FF}"/>
    <hyperlink ref="J80" r:id="rId2" xr:uid="{7D6B5787-F9B9-47C5-A8D0-6EBA2223761F}"/>
    <hyperlink ref="J82" r:id="rId3" xr:uid="{2ED9721B-20E9-496E-90F9-DFFCA93DDF19}"/>
  </hyperlinks>
  <pageMargins left="0.7" right="0.7" top="0.75" bottom="0.75" header="0.3" footer="0.3"/>
  <pageSetup paperSize="9" orientation="portrait" verticalDpi="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3" zoomScale="115" zoomScaleNormal="115" workbookViewId="0">
      <selection activeCell="J1" sqref="J1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3" width="10.83203125" customWidth="1"/>
    <col min="14" max="14" width="9.5" customWidth="1"/>
    <col min="15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v2.1</v>
      </c>
      <c r="D1" s="29"/>
      <c r="E1" s="29"/>
      <c r="F1" s="30"/>
      <c r="G1" s="30"/>
      <c r="H1" s="30"/>
      <c r="I1" s="30"/>
      <c r="J1" s="147" t="s">
        <v>2</v>
      </c>
      <c r="K1" s="32"/>
      <c r="L1" s="33" t="s">
        <v>3</v>
      </c>
      <c r="M1" s="51" t="s">
        <v>4</v>
      </c>
      <c r="N1" s="11" t="s">
        <v>5</v>
      </c>
      <c r="O1" s="12" t="s">
        <v>6</v>
      </c>
      <c r="P1" s="32"/>
      <c r="Q1" s="32"/>
      <c r="R1" s="33" t="s">
        <v>81</v>
      </c>
      <c r="S1" s="34" t="str">
        <f>IF(COUNTA($V$29:$V$266)=COUNTIF($V$29:$V$266,"OK"),"OK","Check")</f>
        <v>OK</v>
      </c>
      <c r="T1" s="34"/>
      <c r="U1" s="131" t="s">
        <v>24</v>
      </c>
      <c r="V1" s="34" t="str">
        <f>'Check|List'!$S$1</f>
        <v>Ok</v>
      </c>
    </row>
    <row r="2" spans="1:22" ht="13.5" thickBot="1">
      <c r="A2" s="36"/>
      <c r="B2" s="35"/>
      <c r="C2" s="35" t="str">
        <f>Index!$C$9</f>
        <v>Input | Reported opex</v>
      </c>
      <c r="D2" s="35"/>
      <c r="E2" s="35"/>
      <c r="F2" s="60"/>
      <c r="G2" s="60"/>
      <c r="H2" s="60"/>
      <c r="I2" s="6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>
      <c r="A3" s="92"/>
      <c r="B3" s="92"/>
      <c r="C3" s="92"/>
      <c r="D3" s="93"/>
      <c r="E3" s="93"/>
      <c r="F3" s="93"/>
      <c r="G3" s="93"/>
      <c r="H3" s="93"/>
      <c r="I3" s="93"/>
      <c r="J3" s="112" t="s">
        <v>114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4"/>
      <c r="V3" s="94"/>
    </row>
    <row r="4" spans="1:22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8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7"/>
      <c r="B8" s="43" t="s">
        <v>45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75</v>
      </c>
      <c r="D10" s="21" t="s">
        <v>7</v>
      </c>
      <c r="E10" s="21" t="s">
        <v>8</v>
      </c>
      <c r="F10" s="21" t="s">
        <v>22</v>
      </c>
      <c r="G10" s="21"/>
      <c r="H10" s="21"/>
      <c r="I10" s="16"/>
      <c r="J10" s="113">
        <f t="shared" ref="J10:S10" si="0">IF(YEAR(J$4)&lt;=PPLastYear,J$4,"")</f>
        <v>43983</v>
      </c>
      <c r="K10" s="113">
        <f t="shared" si="0"/>
        <v>44348</v>
      </c>
      <c r="L10" s="113">
        <f t="shared" si="0"/>
        <v>44713</v>
      </c>
      <c r="M10" s="113">
        <f t="shared" si="0"/>
        <v>45078</v>
      </c>
      <c r="N10" s="113">
        <f t="shared" si="0"/>
        <v>45444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/>
      <c r="U10" s="95" t="s">
        <v>53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161"/>
      <c r="V12" s="8"/>
    </row>
    <row r="13" spans="1:22">
      <c r="A13" s="8"/>
      <c r="B13" s="8"/>
      <c r="C13" s="53" t="s">
        <v>72</v>
      </c>
      <c r="D13" s="16" t="s">
        <v>68</v>
      </c>
      <c r="E13" s="16" t="str">
        <f>units</f>
        <v>$millions</v>
      </c>
      <c r="F13" s="139">
        <f>DATE(PPFirstYear-1,MONTH(month),1)</f>
        <v>43617</v>
      </c>
      <c r="G13" s="21"/>
      <c r="H13" s="21"/>
      <c r="I13" s="16"/>
      <c r="J13" s="117">
        <v>476.23173914743745</v>
      </c>
      <c r="K13" s="117">
        <v>462.76001521071157</v>
      </c>
      <c r="L13" s="117">
        <v>464.51695538729439</v>
      </c>
      <c r="M13" s="117">
        <v>466.27285497632533</v>
      </c>
      <c r="N13" s="117">
        <v>467.93531391512965</v>
      </c>
      <c r="O13" s="117"/>
      <c r="P13" s="117"/>
      <c r="Q13" s="117"/>
      <c r="R13" s="117"/>
      <c r="S13" s="117"/>
      <c r="T13" s="117"/>
      <c r="U13" s="8" t="s">
        <v>190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7" t="s">
        <v>72</v>
      </c>
      <c r="D15" s="98" t="str">
        <f>D13</f>
        <v>AER</v>
      </c>
      <c r="E15" s="157" t="str">
        <f>E13</f>
        <v>$millions</v>
      </c>
      <c r="F15" s="157">
        <f>$F$13</f>
        <v>43617</v>
      </c>
      <c r="G15" s="21"/>
      <c r="H15" s="21"/>
      <c r="I15" s="16"/>
      <c r="J15" s="89">
        <f>J13</f>
        <v>476.23173914743745</v>
      </c>
      <c r="K15" s="89">
        <f t="shared" ref="K15:S15" si="1">K13</f>
        <v>462.76001521071157</v>
      </c>
      <c r="L15" s="89">
        <f t="shared" si="1"/>
        <v>464.51695538729439</v>
      </c>
      <c r="M15" s="89">
        <f t="shared" si="1"/>
        <v>466.27285497632533</v>
      </c>
      <c r="N15" s="89">
        <f t="shared" si="1"/>
        <v>467.93531391512965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154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3" t="s">
        <v>253</v>
      </c>
      <c r="D19" s="16" t="s">
        <v>68</v>
      </c>
      <c r="E19" s="16" t="str">
        <f t="shared" ref="E19:E27" si="2">units</f>
        <v>$millions</v>
      </c>
      <c r="F19" s="115">
        <f>$F$13</f>
        <v>43617</v>
      </c>
      <c r="G19" s="21"/>
      <c r="H19" s="21"/>
      <c r="I19" s="16"/>
      <c r="J19" s="117">
        <v>6.8186781395619702</v>
      </c>
      <c r="K19" s="117">
        <v>6.8955674581362105</v>
      </c>
      <c r="L19" s="117">
        <v>6.9231330099269801</v>
      </c>
      <c r="M19" s="117">
        <v>6.9123373733544797</v>
      </c>
      <c r="N19" s="117">
        <v>6.88526287597346</v>
      </c>
      <c r="O19" s="117"/>
      <c r="P19" s="117"/>
      <c r="Q19" s="117"/>
      <c r="R19" s="117"/>
      <c r="S19" s="117"/>
      <c r="T19" s="117"/>
      <c r="U19" s="8" t="s">
        <v>166</v>
      </c>
      <c r="V19" s="8"/>
    </row>
    <row r="20" spans="1:22">
      <c r="A20" s="8"/>
      <c r="B20" s="8"/>
      <c r="C20" s="53" t="s">
        <v>254</v>
      </c>
      <c r="D20" s="16" t="s">
        <v>68</v>
      </c>
      <c r="E20" s="16" t="str">
        <f t="shared" si="2"/>
        <v>$millions</v>
      </c>
      <c r="F20" s="115">
        <f t="shared" ref="F20:F29" si="3">$F$13</f>
        <v>43617</v>
      </c>
      <c r="G20" s="21"/>
      <c r="H20" s="21"/>
      <c r="I20" s="16"/>
      <c r="J20" s="117">
        <v>0.94245138237035597</v>
      </c>
      <c r="K20" s="117">
        <v>0.94892575732537998</v>
      </c>
      <c r="L20" s="117">
        <v>0.95203741072834092</v>
      </c>
      <c r="M20" s="117">
        <v>0.94382972952483402</v>
      </c>
      <c r="N20" s="117">
        <v>0.94459396899556203</v>
      </c>
      <c r="O20" s="117"/>
      <c r="P20" s="117"/>
      <c r="Q20" s="117"/>
      <c r="R20" s="117"/>
      <c r="S20" s="117"/>
      <c r="T20" s="117"/>
      <c r="U20" s="8"/>
      <c r="V20" s="8"/>
    </row>
    <row r="21" spans="1:22">
      <c r="A21" s="8"/>
      <c r="B21" s="8"/>
      <c r="C21" s="53"/>
      <c r="D21" s="16" t="s">
        <v>68</v>
      </c>
      <c r="E21" s="16" t="str">
        <f t="shared" si="2"/>
        <v>$millions</v>
      </c>
      <c r="F21" s="115">
        <f t="shared" si="3"/>
        <v>43617</v>
      </c>
      <c r="G21" s="21"/>
      <c r="H21" s="21"/>
      <c r="I21" s="16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8"/>
      <c r="V21" s="8"/>
    </row>
    <row r="22" spans="1:22">
      <c r="A22" s="8"/>
      <c r="B22" s="8"/>
      <c r="C22" s="53"/>
      <c r="D22" s="16" t="s">
        <v>68</v>
      </c>
      <c r="E22" s="16" t="str">
        <f t="shared" si="2"/>
        <v>$millions</v>
      </c>
      <c r="F22" s="115">
        <f t="shared" si="3"/>
        <v>43617</v>
      </c>
      <c r="G22" s="21"/>
      <c r="H22" s="21"/>
      <c r="I22" s="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"/>
      <c r="V22" s="8"/>
    </row>
    <row r="23" spans="1:22">
      <c r="A23" s="8"/>
      <c r="B23" s="8"/>
      <c r="C23" s="53"/>
      <c r="D23" s="16" t="s">
        <v>68</v>
      </c>
      <c r="E23" s="16" t="str">
        <f t="shared" si="2"/>
        <v>$millions</v>
      </c>
      <c r="F23" s="115">
        <f t="shared" si="3"/>
        <v>43617</v>
      </c>
      <c r="G23" s="21"/>
      <c r="H23" s="21"/>
      <c r="I23" s="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8"/>
      <c r="V23" s="8"/>
    </row>
    <row r="24" spans="1:22">
      <c r="A24" s="8"/>
      <c r="B24" s="8"/>
      <c r="C24" s="53"/>
      <c r="D24" s="16" t="s">
        <v>68</v>
      </c>
      <c r="E24" s="16" t="str">
        <f t="shared" si="2"/>
        <v>$millions</v>
      </c>
      <c r="F24" s="115">
        <f t="shared" si="3"/>
        <v>43617</v>
      </c>
      <c r="G24" s="21"/>
      <c r="H24" s="21"/>
      <c r="I24" s="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"/>
      <c r="V24" s="8"/>
    </row>
    <row r="25" spans="1:22">
      <c r="A25" s="8"/>
      <c r="B25" s="8"/>
      <c r="C25" s="53"/>
      <c r="D25" s="16" t="s">
        <v>68</v>
      </c>
      <c r="E25" s="16" t="str">
        <f t="shared" si="2"/>
        <v>$millions</v>
      </c>
      <c r="F25" s="115">
        <f t="shared" si="3"/>
        <v>43617</v>
      </c>
      <c r="G25" s="21"/>
      <c r="H25" s="21"/>
      <c r="I25" s="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8"/>
      <c r="V25" s="8"/>
    </row>
    <row r="26" spans="1:22">
      <c r="A26" s="8"/>
      <c r="B26" s="8"/>
      <c r="C26" s="53"/>
      <c r="D26" s="16" t="s">
        <v>68</v>
      </c>
      <c r="E26" s="16" t="str">
        <f t="shared" si="2"/>
        <v>$millions</v>
      </c>
      <c r="F26" s="115">
        <f t="shared" si="3"/>
        <v>43617</v>
      </c>
      <c r="G26" s="21"/>
      <c r="H26" s="21"/>
      <c r="I26" s="16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8"/>
      <c r="V26" s="8"/>
    </row>
    <row r="27" spans="1:22">
      <c r="A27" s="8"/>
      <c r="B27" s="8"/>
      <c r="C27" s="53"/>
      <c r="D27" s="16" t="s">
        <v>68</v>
      </c>
      <c r="E27" s="16" t="str">
        <f t="shared" si="2"/>
        <v>$millions</v>
      </c>
      <c r="F27" s="115">
        <f t="shared" si="3"/>
        <v>43617</v>
      </c>
      <c r="G27" s="21"/>
      <c r="H27" s="21"/>
      <c r="I27" s="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7" t="s">
        <v>152</v>
      </c>
      <c r="D29" s="98" t="s">
        <v>30</v>
      </c>
      <c r="E29" s="156" t="str">
        <f>units</f>
        <v>$millions</v>
      </c>
      <c r="F29" s="157">
        <f t="shared" si="3"/>
        <v>43617</v>
      </c>
      <c r="G29" s="21"/>
      <c r="H29" s="21"/>
      <c r="I29" s="16"/>
      <c r="J29" s="89">
        <f>SUM(J19:J27)</f>
        <v>7.7611295219323262</v>
      </c>
      <c r="K29" s="89">
        <f t="shared" ref="K29:S29" si="4">SUM(K19:K27)</f>
        <v>7.8444932154615907</v>
      </c>
      <c r="L29" s="89">
        <f t="shared" si="4"/>
        <v>7.875170420655321</v>
      </c>
      <c r="M29" s="89">
        <f t="shared" si="4"/>
        <v>7.8561671028793141</v>
      </c>
      <c r="N29" s="89">
        <f t="shared" si="4"/>
        <v>7.8298568449690222</v>
      </c>
      <c r="O29" s="89">
        <f t="shared" si="4"/>
        <v>0</v>
      </c>
      <c r="P29" s="89">
        <f t="shared" si="4"/>
        <v>0</v>
      </c>
      <c r="Q29" s="89">
        <f t="shared" si="4"/>
        <v>0</v>
      </c>
      <c r="R29" s="89">
        <f t="shared" si="4"/>
        <v>0</v>
      </c>
      <c r="S29" s="89">
        <f t="shared" si="4"/>
        <v>0</v>
      </c>
      <c r="T29" s="89"/>
      <c r="U29" s="8"/>
      <c r="V29" s="72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7"/>
      <c r="B31" s="43" t="s">
        <v>56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7" t="s">
        <v>23</v>
      </c>
      <c r="K33" s="117" t="s">
        <v>23</v>
      </c>
      <c r="L33" s="117" t="s">
        <v>23</v>
      </c>
      <c r="M33" s="117" t="s">
        <v>23</v>
      </c>
      <c r="N33" s="117" t="s">
        <v>73</v>
      </c>
      <c r="O33" s="117"/>
      <c r="P33" s="117"/>
      <c r="Q33" s="117"/>
      <c r="R33" s="117"/>
      <c r="S33" s="117"/>
      <c r="T33" s="117"/>
      <c r="U33" s="8"/>
      <c r="V33" s="8"/>
    </row>
    <row r="34" spans="1:22">
      <c r="A34" s="8"/>
      <c r="B34" s="8"/>
      <c r="C34" s="9" t="s">
        <v>75</v>
      </c>
      <c r="D34" s="21" t="s">
        <v>7</v>
      </c>
      <c r="E34" s="21" t="s">
        <v>8</v>
      </c>
      <c r="F34" s="21" t="s">
        <v>22</v>
      </c>
      <c r="G34" s="21"/>
      <c r="H34" s="21"/>
      <c r="I34" s="21"/>
      <c r="J34" s="113">
        <f t="shared" ref="J34:S34" si="5">IF(YEAR(J$4)&lt;=PPLastYear,J$4,"")</f>
        <v>43983</v>
      </c>
      <c r="K34" s="113">
        <f t="shared" si="5"/>
        <v>44348</v>
      </c>
      <c r="L34" s="113">
        <f t="shared" si="5"/>
        <v>44713</v>
      </c>
      <c r="M34" s="113">
        <f t="shared" si="5"/>
        <v>45078</v>
      </c>
      <c r="N34" s="113">
        <f t="shared" si="5"/>
        <v>45444</v>
      </c>
      <c r="O34" s="113" t="str">
        <f t="shared" si="5"/>
        <v/>
      </c>
      <c r="P34" s="113" t="str">
        <f t="shared" si="5"/>
        <v/>
      </c>
      <c r="Q34" s="113" t="str">
        <f t="shared" si="5"/>
        <v/>
      </c>
      <c r="R34" s="113" t="str">
        <f t="shared" si="5"/>
        <v/>
      </c>
      <c r="S34" s="113" t="str">
        <f t="shared" si="5"/>
        <v/>
      </c>
      <c r="T34" s="113"/>
      <c r="U34" s="95" t="s">
        <v>53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3" t="s">
        <v>72</v>
      </c>
      <c r="D37" s="16" t="s">
        <v>74</v>
      </c>
      <c r="E37" s="16" t="str">
        <f>units</f>
        <v>$millions</v>
      </c>
      <c r="F37" s="115" t="s">
        <v>99</v>
      </c>
      <c r="G37" s="21"/>
      <c r="H37" s="21"/>
      <c r="I37" s="16"/>
      <c r="J37" s="117">
        <v>403.44837899999999</v>
      </c>
      <c r="K37" s="117">
        <v>386.31522799999999</v>
      </c>
      <c r="L37" s="117">
        <v>346.08466399999998</v>
      </c>
      <c r="M37" s="169">
        <v>391.85663411826999</v>
      </c>
      <c r="N37" s="169">
        <v>408.41038999338036</v>
      </c>
      <c r="O37" s="117"/>
      <c r="P37" s="117"/>
      <c r="Q37" s="117"/>
      <c r="R37" s="117"/>
      <c r="S37" s="117"/>
      <c r="T37" s="117"/>
      <c r="U37" s="8" t="s">
        <v>163</v>
      </c>
      <c r="V37" s="8"/>
    </row>
    <row r="38" spans="1:22">
      <c r="A38" s="8"/>
      <c r="B38" s="8"/>
      <c r="C38" s="15"/>
      <c r="D38" s="16"/>
      <c r="E38" s="16"/>
      <c r="F38" s="115"/>
      <c r="G38" s="21"/>
      <c r="H38" s="21"/>
      <c r="I38" s="16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8"/>
      <c r="V38" s="8"/>
    </row>
    <row r="39" spans="1:22">
      <c r="A39" s="8"/>
      <c r="B39" s="8"/>
      <c r="C39" s="9" t="s">
        <v>171</v>
      </c>
      <c r="D39" s="16"/>
      <c r="E39" s="16"/>
      <c r="F39" s="115"/>
      <c r="G39" s="21"/>
      <c r="H39" s="21"/>
      <c r="I39" s="16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8"/>
      <c r="V39" s="8"/>
    </row>
    <row r="40" spans="1:22">
      <c r="A40" s="8"/>
      <c r="B40" s="8"/>
      <c r="C40" s="9"/>
      <c r="D40" s="16"/>
      <c r="E40" s="16"/>
      <c r="F40" s="115"/>
      <c r="G40" s="21"/>
      <c r="H40" s="21"/>
      <c r="I40" s="16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8"/>
      <c r="V40" s="8"/>
    </row>
    <row r="41" spans="1:22">
      <c r="A41" s="8"/>
      <c r="B41" s="8"/>
      <c r="C41" s="53" t="s">
        <v>167</v>
      </c>
      <c r="D41" s="16" t="s">
        <v>74</v>
      </c>
      <c r="E41" s="16" t="str">
        <f>units</f>
        <v>$millions</v>
      </c>
      <c r="F41" s="115" t="s">
        <v>99</v>
      </c>
      <c r="G41" s="21"/>
      <c r="H41" s="21"/>
      <c r="I41" s="16"/>
      <c r="J41" s="117">
        <v>-103.52459399999999</v>
      </c>
      <c r="K41" s="117">
        <v>-1.2396529999999999</v>
      </c>
      <c r="L41" s="117">
        <v>-6.5247999999999999</v>
      </c>
      <c r="M41" s="169">
        <v>-6.4999149999999997</v>
      </c>
      <c r="N41" s="169">
        <v>1.8404602182417167</v>
      </c>
      <c r="O41" s="117"/>
      <c r="P41" s="117"/>
      <c r="Q41" s="117"/>
      <c r="R41" s="117"/>
      <c r="S41" s="117"/>
      <c r="T41" s="117"/>
      <c r="U41" s="8" t="s">
        <v>170</v>
      </c>
      <c r="V41" s="8"/>
    </row>
    <row r="42" spans="1:22">
      <c r="A42" s="8"/>
      <c r="B42" s="8"/>
      <c r="C42" s="53" t="s">
        <v>242</v>
      </c>
      <c r="D42" s="16" t="s">
        <v>74</v>
      </c>
      <c r="E42" s="16" t="str">
        <f>units</f>
        <v>$millions</v>
      </c>
      <c r="F42" s="115" t="s">
        <v>99</v>
      </c>
      <c r="G42" s="21"/>
      <c r="H42" s="21"/>
      <c r="I42" s="16"/>
      <c r="J42" s="117">
        <v>1.348147</v>
      </c>
      <c r="K42" s="117">
        <v>1.2363999999999999</v>
      </c>
      <c r="L42" s="117">
        <v>0.76658700000000002</v>
      </c>
      <c r="M42" s="169">
        <v>0.92933200000000005</v>
      </c>
      <c r="N42" s="169">
        <v>1.5714250000000001</v>
      </c>
      <c r="O42" s="117"/>
      <c r="P42" s="117"/>
      <c r="Q42" s="117"/>
      <c r="R42" s="117"/>
      <c r="S42" s="117"/>
      <c r="T42" s="117"/>
      <c r="U42" s="8"/>
      <c r="V42" s="8"/>
    </row>
    <row r="43" spans="1:22">
      <c r="A43" s="8"/>
      <c r="B43" s="8"/>
      <c r="C43" s="53" t="s">
        <v>243</v>
      </c>
      <c r="D43" s="16" t="s">
        <v>74</v>
      </c>
      <c r="E43" s="16" t="str">
        <f>units</f>
        <v>$millions</v>
      </c>
      <c r="F43" s="115" t="s">
        <v>99</v>
      </c>
      <c r="G43" s="21"/>
      <c r="H43" s="21"/>
      <c r="I43" s="16"/>
      <c r="J43" s="117"/>
      <c r="K43" s="117"/>
      <c r="L43" s="117"/>
      <c r="M43" s="117"/>
      <c r="N43" s="117">
        <v>-5.0075091900000004</v>
      </c>
      <c r="O43" s="117"/>
      <c r="P43" s="117"/>
      <c r="Q43" s="117"/>
      <c r="R43" s="117"/>
      <c r="S43" s="117"/>
      <c r="T43" s="117"/>
      <c r="U43" s="8"/>
      <c r="V43" s="8"/>
    </row>
    <row r="44" spans="1:22">
      <c r="A44" s="8"/>
      <c r="B44" s="8"/>
      <c r="C44" s="53" t="s">
        <v>244</v>
      </c>
      <c r="D44" s="16" t="s">
        <v>74</v>
      </c>
      <c r="E44" s="16" t="str">
        <f>units</f>
        <v>$millions</v>
      </c>
      <c r="F44" s="115" t="s">
        <v>99</v>
      </c>
      <c r="G44" s="21"/>
      <c r="H44" s="21"/>
      <c r="I44" s="16"/>
      <c r="J44" s="117">
        <v>-5.2413649999999999E-2</v>
      </c>
      <c r="K44" s="117">
        <v>-5.6553519999999996E-2</v>
      </c>
      <c r="L44" s="117">
        <v>-5.1259890000000002E-2</v>
      </c>
      <c r="M44" s="117"/>
      <c r="N44" s="117">
        <v>-5.1974269999999996E-2</v>
      </c>
      <c r="O44" s="117"/>
      <c r="P44" s="117"/>
      <c r="Q44" s="117"/>
      <c r="R44" s="117"/>
      <c r="S44" s="117"/>
      <c r="T44" s="117"/>
      <c r="U44" s="8"/>
      <c r="V44" s="8"/>
    </row>
    <row r="45" spans="1:22">
      <c r="A45" s="8"/>
      <c r="B45" s="8"/>
      <c r="C45" s="53" t="s">
        <v>248</v>
      </c>
      <c r="D45" s="16" t="s">
        <v>74</v>
      </c>
      <c r="E45" s="16" t="str">
        <f>units</f>
        <v>$millions</v>
      </c>
      <c r="F45" s="115" t="s">
        <v>99</v>
      </c>
      <c r="G45" s="21"/>
      <c r="H45" s="21"/>
      <c r="I45" s="16"/>
      <c r="J45" s="117"/>
      <c r="K45" s="117"/>
      <c r="L45" s="117"/>
      <c r="M45" s="117">
        <v>6.0449999999999999</v>
      </c>
      <c r="N45" s="117">
        <v>0</v>
      </c>
      <c r="O45" s="117"/>
      <c r="P45" s="117"/>
      <c r="Q45" s="117"/>
      <c r="R45" s="117"/>
      <c r="S45" s="117"/>
      <c r="T45" s="117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99"/>
      <c r="P46" s="99"/>
      <c r="Q46" s="99"/>
      <c r="R46" s="99"/>
      <c r="S46" s="99"/>
      <c r="T46" s="99"/>
      <c r="U46" s="8"/>
      <c r="V46" s="8"/>
    </row>
    <row r="47" spans="1:22">
      <c r="A47" s="8"/>
      <c r="B47" s="8"/>
      <c r="C47" s="97" t="s">
        <v>168</v>
      </c>
      <c r="D47" s="98" t="s">
        <v>30</v>
      </c>
      <c r="E47" s="156" t="str">
        <f>units</f>
        <v>$millions</v>
      </c>
      <c r="F47" s="157" t="s">
        <v>99</v>
      </c>
      <c r="G47" s="21"/>
      <c r="H47" s="21"/>
      <c r="I47" s="16"/>
      <c r="J47" s="89">
        <f>J37-SUM(J41:J45)</f>
        <v>505.67723964999999</v>
      </c>
      <c r="K47" s="89">
        <f t="shared" ref="K47:S47" si="6">K37-SUM(K41:K45)</f>
        <v>386.37503451999999</v>
      </c>
      <c r="L47" s="89">
        <f t="shared" si="6"/>
        <v>351.89413688999997</v>
      </c>
      <c r="M47" s="89">
        <f t="shared" si="6"/>
        <v>391.38221711826998</v>
      </c>
      <c r="N47" s="89">
        <f t="shared" si="6"/>
        <v>410.05798823513862</v>
      </c>
      <c r="O47" s="89">
        <f t="shared" si="6"/>
        <v>0</v>
      </c>
      <c r="P47" s="89">
        <f t="shared" si="6"/>
        <v>0</v>
      </c>
      <c r="Q47" s="89">
        <f t="shared" si="6"/>
        <v>0</v>
      </c>
      <c r="R47" s="89">
        <f t="shared" si="6"/>
        <v>0</v>
      </c>
      <c r="S47" s="89">
        <f t="shared" si="6"/>
        <v>0</v>
      </c>
      <c r="T47" s="89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107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3" t="s">
        <v>39</v>
      </c>
      <c r="D51" s="16" t="s">
        <v>74</v>
      </c>
      <c r="E51" s="16" t="str">
        <f>units</f>
        <v>$millions</v>
      </c>
      <c r="F51" s="115" t="s">
        <v>99</v>
      </c>
      <c r="G51" s="21"/>
      <c r="H51" s="21"/>
      <c r="I51" s="16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8" t="s">
        <v>166</v>
      </c>
      <c r="V51" s="8"/>
    </row>
    <row r="52" spans="1:22">
      <c r="A52" s="8"/>
      <c r="B52" s="8"/>
      <c r="C52" s="53"/>
      <c r="D52" s="16" t="s">
        <v>74</v>
      </c>
      <c r="E52" s="16" t="str">
        <f>units</f>
        <v>$millions</v>
      </c>
      <c r="F52" s="115" t="s">
        <v>99</v>
      </c>
      <c r="G52" s="21"/>
      <c r="H52" s="21"/>
      <c r="I52" s="16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8"/>
      <c r="V52" s="8"/>
    </row>
    <row r="53" spans="1:22">
      <c r="A53" s="8"/>
      <c r="B53" s="8"/>
      <c r="C53" s="53"/>
      <c r="D53" s="16" t="s">
        <v>74</v>
      </c>
      <c r="E53" s="16" t="str">
        <f>units</f>
        <v>$millions</v>
      </c>
      <c r="F53" s="115" t="s">
        <v>99</v>
      </c>
      <c r="G53" s="21"/>
      <c r="H53" s="21"/>
      <c r="I53" s="1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8"/>
      <c r="V53" s="8"/>
    </row>
    <row r="54" spans="1:22">
      <c r="A54" s="8"/>
      <c r="B54" s="8"/>
      <c r="C54" s="53"/>
      <c r="D54" s="16" t="s">
        <v>74</v>
      </c>
      <c r="E54" s="16" t="str">
        <f>units</f>
        <v>$millions</v>
      </c>
      <c r="F54" s="115" t="s">
        <v>99</v>
      </c>
      <c r="G54" s="21"/>
      <c r="H54" s="21"/>
      <c r="I54" s="1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8"/>
      <c r="V54" s="8"/>
    </row>
    <row r="55" spans="1:22">
      <c r="A55" s="8"/>
      <c r="B55" s="8"/>
      <c r="C55" s="53"/>
      <c r="D55" s="16" t="s">
        <v>74</v>
      </c>
      <c r="E55" s="16" t="str">
        <f>units</f>
        <v>$millions</v>
      </c>
      <c r="F55" s="115" t="s">
        <v>99</v>
      </c>
      <c r="G55" s="21"/>
      <c r="H55" s="21"/>
      <c r="I55" s="1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9"/>
      <c r="O56" s="99"/>
      <c r="P56" s="99"/>
      <c r="Q56" s="99"/>
      <c r="R56" s="99"/>
      <c r="S56" s="99"/>
      <c r="T56" s="99"/>
      <c r="U56" s="8"/>
      <c r="V56" s="8"/>
    </row>
    <row r="57" spans="1:22">
      <c r="A57" s="8"/>
      <c r="B57" s="8"/>
      <c r="C57" s="97" t="s">
        <v>152</v>
      </c>
      <c r="D57" s="98" t="s">
        <v>30</v>
      </c>
      <c r="E57" s="156" t="str">
        <f>units</f>
        <v>$millions</v>
      </c>
      <c r="F57" s="157" t="s">
        <v>99</v>
      </c>
      <c r="G57" s="21"/>
      <c r="H57" s="21"/>
      <c r="I57" s="16"/>
      <c r="J57" s="130">
        <f>SUM(J51:J55)</f>
        <v>0</v>
      </c>
      <c r="K57" s="130">
        <f t="shared" ref="K57:S57" si="7">SUM(K51:K55)</f>
        <v>0</v>
      </c>
      <c r="L57" s="130">
        <f t="shared" si="7"/>
        <v>0</v>
      </c>
      <c r="M57" s="130">
        <f t="shared" si="7"/>
        <v>0</v>
      </c>
      <c r="N57" s="130">
        <f t="shared" si="7"/>
        <v>0</v>
      </c>
      <c r="O57" s="130">
        <f t="shared" si="7"/>
        <v>0</v>
      </c>
      <c r="P57" s="130">
        <f t="shared" si="7"/>
        <v>0</v>
      </c>
      <c r="Q57" s="130">
        <f t="shared" si="7"/>
        <v>0</v>
      </c>
      <c r="R57" s="130">
        <f t="shared" si="7"/>
        <v>0</v>
      </c>
      <c r="S57" s="130">
        <f t="shared" si="7"/>
        <v>0</v>
      </c>
      <c r="T57" s="130"/>
      <c r="U57" s="8"/>
      <c r="V57" s="72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7"/>
      <c r="B59" s="43" t="s">
        <v>108</v>
      </c>
      <c r="C59" s="37"/>
      <c r="D59" s="37"/>
      <c r="E59" s="37"/>
      <c r="F59" s="38"/>
      <c r="G59" s="38"/>
      <c r="H59" s="38"/>
      <c r="I59" s="38"/>
      <c r="J59" s="39"/>
      <c r="K59" s="40"/>
      <c r="L59" s="39"/>
      <c r="M59" s="40"/>
      <c r="N59" s="39"/>
      <c r="O59" s="39"/>
      <c r="P59" s="39"/>
      <c r="Q59" s="39"/>
      <c r="R59" s="39"/>
      <c r="S59" s="39"/>
      <c r="T59" s="39"/>
      <c r="U59" s="39"/>
      <c r="V59" s="40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109</v>
      </c>
      <c r="D61" s="21" t="s">
        <v>7</v>
      </c>
      <c r="E61" s="21" t="s">
        <v>8</v>
      </c>
      <c r="F61" s="21" t="s">
        <v>22</v>
      </c>
      <c r="G61" s="21"/>
      <c r="H61" s="21"/>
      <c r="I61" s="21"/>
      <c r="J61" s="113" t="str">
        <f t="shared" ref="J61:S61" si="8">IF(YEAR(J$4)=PPLastYear,J$4,"")</f>
        <v/>
      </c>
      <c r="K61" s="113" t="str">
        <f t="shared" si="8"/>
        <v/>
      </c>
      <c r="L61" s="113" t="str">
        <f t="shared" si="8"/>
        <v/>
      </c>
      <c r="M61" s="113" t="str">
        <f t="shared" si="8"/>
        <v/>
      </c>
      <c r="N61" s="113">
        <f t="shared" si="8"/>
        <v>45444</v>
      </c>
      <c r="O61" s="113" t="str">
        <f t="shared" si="8"/>
        <v/>
      </c>
      <c r="P61" s="113" t="str">
        <f t="shared" si="8"/>
        <v/>
      </c>
      <c r="Q61" s="113" t="str">
        <f t="shared" si="8"/>
        <v/>
      </c>
      <c r="R61" s="113" t="str">
        <f t="shared" si="8"/>
        <v/>
      </c>
      <c r="S61" s="113" t="str">
        <f t="shared" si="8"/>
        <v/>
      </c>
      <c r="T61" s="113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"/>
      <c r="V62" s="8"/>
    </row>
    <row r="63" spans="1:22">
      <c r="A63" s="8"/>
      <c r="B63" s="8"/>
      <c r="C63" s="53" t="s">
        <v>220</v>
      </c>
      <c r="D63" s="16" t="s">
        <v>34</v>
      </c>
      <c r="E63" s="16" t="str">
        <f>units</f>
        <v>$millions</v>
      </c>
      <c r="F63" s="153">
        <f>DATE(PPLastYear,MONTH(month),1)</f>
        <v>45444</v>
      </c>
      <c r="G63" s="21"/>
      <c r="H63" s="21"/>
      <c r="I63" s="21"/>
      <c r="J63" s="117"/>
      <c r="K63" s="117"/>
      <c r="L63" s="117"/>
      <c r="M63" s="117"/>
      <c r="N63" s="117"/>
      <c r="O63" s="197" t="s">
        <v>252</v>
      </c>
      <c r="P63" s="117"/>
      <c r="Q63" s="117"/>
      <c r="R63" s="117"/>
      <c r="S63" s="117"/>
      <c r="T63" s="117"/>
      <c r="U63" s="8" t="s">
        <v>176</v>
      </c>
      <c r="V63" s="8"/>
    </row>
    <row r="64" spans="1:22">
      <c r="A64" s="8"/>
      <c r="B64" s="8"/>
      <c r="C64" s="53" t="s">
        <v>211</v>
      </c>
      <c r="D64" s="16" t="s">
        <v>34</v>
      </c>
      <c r="E64" s="16" t="str">
        <f>units</f>
        <v>$millions</v>
      </c>
      <c r="F64" s="153">
        <f>DATE(PPLastYear,MONTH(month),1)</f>
        <v>45444</v>
      </c>
      <c r="G64" s="21"/>
      <c r="H64" s="21"/>
      <c r="I64" s="21"/>
      <c r="J64" s="117"/>
      <c r="K64" s="117"/>
      <c r="L64" s="117"/>
      <c r="M64" s="117"/>
      <c r="N64" s="117">
        <v>7.002400749668368</v>
      </c>
      <c r="O64" s="117"/>
      <c r="P64" s="117"/>
      <c r="Q64" s="117"/>
      <c r="R64" s="117"/>
      <c r="S64" s="117"/>
      <c r="T64" s="117"/>
      <c r="U64" s="9"/>
      <c r="V64" s="8"/>
    </row>
    <row r="65" spans="1:22">
      <c r="A65" s="8"/>
      <c r="B65" s="8"/>
      <c r="C65" s="53" t="s">
        <v>241</v>
      </c>
      <c r="D65" s="16" t="s">
        <v>34</v>
      </c>
      <c r="E65" s="16" t="str">
        <f>units</f>
        <v>$millions</v>
      </c>
      <c r="F65" s="153">
        <f>DATE(PPLastYear,MONTH(month),1)</f>
        <v>45444</v>
      </c>
      <c r="G65" s="21"/>
      <c r="H65" s="21"/>
      <c r="I65" s="21"/>
      <c r="J65" s="117"/>
      <c r="K65" s="117"/>
      <c r="L65" s="117"/>
      <c r="M65" s="117"/>
      <c r="N65" s="117">
        <v>0</v>
      </c>
      <c r="O65" s="117"/>
      <c r="P65" s="117"/>
      <c r="Q65" s="117"/>
      <c r="R65" s="117"/>
      <c r="S65" s="117"/>
      <c r="T65" s="117"/>
      <c r="U65" s="9"/>
      <c r="V65" s="8"/>
    </row>
    <row r="66" spans="1:22">
      <c r="A66" s="8"/>
      <c r="B66" s="8"/>
      <c r="C66" s="53" t="s">
        <v>245</v>
      </c>
      <c r="D66" s="16" t="s">
        <v>34</v>
      </c>
      <c r="E66" s="16" t="str">
        <f>units</f>
        <v>$millions</v>
      </c>
      <c r="F66" s="153">
        <f>DATE(PPLastYear,MONTH(month),1)</f>
        <v>45444</v>
      </c>
      <c r="G66" s="21"/>
      <c r="H66" s="21"/>
      <c r="I66" s="21"/>
      <c r="J66" s="117"/>
      <c r="K66" s="117"/>
      <c r="L66" s="117"/>
      <c r="M66" s="117"/>
      <c r="N66" s="117">
        <v>-5.5283671801738161E-2</v>
      </c>
      <c r="O66" s="197" t="s">
        <v>250</v>
      </c>
      <c r="P66" s="117"/>
      <c r="Q66" s="117"/>
      <c r="R66" s="117"/>
      <c r="S66" s="117"/>
      <c r="T66" s="117"/>
      <c r="U66" s="9"/>
      <c r="V66" s="8"/>
    </row>
    <row r="67" spans="1:22">
      <c r="A67" s="8"/>
      <c r="B67" s="8"/>
      <c r="C67" s="53" t="s">
        <v>110</v>
      </c>
      <c r="D67" s="16" t="s">
        <v>34</v>
      </c>
      <c r="E67" s="16" t="str">
        <f>units</f>
        <v>$millions</v>
      </c>
      <c r="F67" s="153">
        <f>DATE(PPLastYear,MONTH(month),1)</f>
        <v>45444</v>
      </c>
      <c r="G67" s="21"/>
      <c r="H67" s="21"/>
      <c r="I67" s="21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9"/>
      <c r="V67" s="8"/>
    </row>
    <row r="68" spans="1:22">
      <c r="A68" s="8"/>
      <c r="B68" s="8"/>
      <c r="C68" s="155"/>
      <c r="D68" s="16"/>
      <c r="E68" s="16"/>
      <c r="F68" s="21"/>
      <c r="G68" s="21"/>
      <c r="H68" s="21"/>
      <c r="I68" s="2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9"/>
      <c r="V68" s="8"/>
    </row>
    <row r="69" spans="1:22">
      <c r="A69" s="8"/>
      <c r="B69" s="8"/>
      <c r="C69" s="154" t="s">
        <v>169</v>
      </c>
      <c r="D69" s="16" t="s">
        <v>34</v>
      </c>
      <c r="E69" s="16" t="str">
        <f>units</f>
        <v>$millions</v>
      </c>
      <c r="F69" s="153">
        <f>DATE(PPLastYear,MONTH(month),1)</f>
        <v>45444</v>
      </c>
      <c r="G69" s="21"/>
      <c r="H69" s="21"/>
      <c r="I69" s="21"/>
      <c r="J69" s="117"/>
      <c r="K69" s="117"/>
      <c r="L69" s="117"/>
      <c r="M69" s="117"/>
      <c r="N69" s="117">
        <v>-5.2382060061262132</v>
      </c>
      <c r="O69" s="117"/>
      <c r="P69" s="117"/>
      <c r="Q69" s="117"/>
      <c r="R69" s="117"/>
      <c r="S69" s="117"/>
      <c r="T69" s="117"/>
      <c r="U69" s="9"/>
      <c r="V69" s="8"/>
    </row>
    <row r="70" spans="1:22">
      <c r="A70" s="8"/>
      <c r="B70" s="8"/>
      <c r="C70" s="154"/>
      <c r="D70" s="16"/>
      <c r="E70" s="16"/>
      <c r="F70" s="21"/>
      <c r="G70" s="21"/>
      <c r="H70" s="21"/>
      <c r="I70" s="2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9"/>
      <c r="V70" s="8"/>
    </row>
    <row r="71" spans="1:22">
      <c r="A71" s="8"/>
      <c r="B71" s="8"/>
      <c r="C71" s="154" t="s">
        <v>88</v>
      </c>
      <c r="D71" s="16" t="s">
        <v>34</v>
      </c>
      <c r="E71" s="16" t="s">
        <v>31</v>
      </c>
      <c r="F71" s="21"/>
      <c r="G71" s="21"/>
      <c r="H71" s="21"/>
      <c r="I71" s="21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7"/>
      <c r="B73" s="43" t="s">
        <v>21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40"/>
    </row>
  </sheetData>
  <conditionalFormatting sqref="V37 V51:V55 V41:V45">
    <cfRule type="cellIs" dxfId="213" priority="64" operator="equal">
      <formula>"Check"</formula>
    </cfRule>
    <cfRule type="cellIs" dxfId="212" priority="65" operator="equal">
      <formula>"Ok"</formula>
    </cfRule>
  </conditionalFormatting>
  <conditionalFormatting sqref="V57">
    <cfRule type="cellIs" dxfId="211" priority="62" operator="equal">
      <formula>"Check"</formula>
    </cfRule>
    <cfRule type="cellIs" dxfId="210" priority="63" operator="equal">
      <formula>"Ok"</formula>
    </cfRule>
  </conditionalFormatting>
  <conditionalFormatting sqref="V15">
    <cfRule type="cellIs" dxfId="209" priority="60" operator="equal">
      <formula>"Check"</formula>
    </cfRule>
    <cfRule type="cellIs" dxfId="208" priority="61" operator="equal">
      <formula>"Ok"</formula>
    </cfRule>
  </conditionalFormatting>
  <conditionalFormatting sqref="V1">
    <cfRule type="cellIs" dxfId="207" priority="58" operator="equal">
      <formula>"Check"</formula>
    </cfRule>
    <cfRule type="cellIs" dxfId="206" priority="59" operator="equal">
      <formula>"Ok"</formula>
    </cfRule>
  </conditionalFormatting>
  <conditionalFormatting sqref="S1">
    <cfRule type="cellIs" dxfId="205" priority="56" operator="equal">
      <formula>"Check"</formula>
    </cfRule>
    <cfRule type="cellIs" dxfId="204" priority="57" operator="equal">
      <formula>"Ok"</formula>
    </cfRule>
  </conditionalFormatting>
  <conditionalFormatting sqref="J15:N15">
    <cfRule type="cellIs" dxfId="203" priority="55" operator="equal">
      <formula>0</formula>
    </cfRule>
  </conditionalFormatting>
  <conditionalFormatting sqref="J57:N57">
    <cfRule type="cellIs" dxfId="202" priority="54" operator="equal">
      <formula>0</formula>
    </cfRule>
  </conditionalFormatting>
  <conditionalFormatting sqref="V48:V50">
    <cfRule type="cellIs" dxfId="201" priority="52" operator="equal">
      <formula>"Check"</formula>
    </cfRule>
    <cfRule type="cellIs" dxfId="200" priority="53" operator="equal">
      <formula>"Ok"</formula>
    </cfRule>
  </conditionalFormatting>
  <conditionalFormatting sqref="J33:N33 N37 J54:J55 J52:M52 J51:N51 J41:L42 J43:N45">
    <cfRule type="expression" dxfId="199" priority="50">
      <formula>J$34=J$4</formula>
    </cfRule>
  </conditionalFormatting>
  <conditionalFormatting sqref="J21:N27 J13:O13">
    <cfRule type="expression" dxfId="198" priority="49">
      <formula>J$10=J$4</formula>
    </cfRule>
  </conditionalFormatting>
  <conditionalFormatting sqref="J37:N37">
    <cfRule type="expression" dxfId="197" priority="46">
      <formula>J$10=J$4</formula>
    </cfRule>
  </conditionalFormatting>
  <conditionalFormatting sqref="V47">
    <cfRule type="cellIs" dxfId="196" priority="44" operator="equal">
      <formula>"Check"</formula>
    </cfRule>
    <cfRule type="cellIs" dxfId="195" priority="45" operator="equal">
      <formula>"Ok"</formula>
    </cfRule>
  </conditionalFormatting>
  <conditionalFormatting sqref="J47:N47">
    <cfRule type="cellIs" dxfId="194" priority="42" operator="equal">
      <formula>0</formula>
    </cfRule>
  </conditionalFormatting>
  <conditionalFormatting sqref="J69:T69 J71:T71 J63:N67">
    <cfRule type="expression" dxfId="193" priority="41">
      <formula>J$61=J$4</formula>
    </cfRule>
  </conditionalFormatting>
  <conditionalFormatting sqref="V29">
    <cfRule type="cellIs" dxfId="192" priority="37" operator="equal">
      <formula>"Check"</formula>
    </cfRule>
    <cfRule type="cellIs" dxfId="191" priority="38" operator="equal">
      <formula>"Ok"</formula>
    </cfRule>
  </conditionalFormatting>
  <conditionalFormatting sqref="J29:N29">
    <cfRule type="cellIs" dxfId="190" priority="36" operator="equal">
      <formula>0</formula>
    </cfRule>
  </conditionalFormatting>
  <conditionalFormatting sqref="T1">
    <cfRule type="cellIs" dxfId="189" priority="29" operator="equal">
      <formula>"Check"</formula>
    </cfRule>
    <cfRule type="cellIs" dxfId="188" priority="30" operator="equal">
      <formula>"Ok"</formula>
    </cfRule>
  </conditionalFormatting>
  <conditionalFormatting sqref="O57:T57">
    <cfRule type="cellIs" dxfId="187" priority="11" operator="equal">
      <formula>0</formula>
    </cfRule>
  </conditionalFormatting>
  <conditionalFormatting sqref="O37:T37">
    <cfRule type="expression" dxfId="186" priority="8">
      <formula>O$10=O$4</formula>
    </cfRule>
  </conditionalFormatting>
  <conditionalFormatting sqref="O47:T47">
    <cfRule type="cellIs" dxfId="185" priority="7" operator="equal">
      <formula>0</formula>
    </cfRule>
  </conditionalFormatting>
  <conditionalFormatting sqref="O63:T67">
    <cfRule type="expression" dxfId="184" priority="6">
      <formula>O$61=O$4</formula>
    </cfRule>
  </conditionalFormatting>
  <conditionalFormatting sqref="O29:T29">
    <cfRule type="cellIs" dxfId="183" priority="5" operator="equal">
      <formula>0</formula>
    </cfRule>
  </conditionalFormatting>
  <conditionalFormatting sqref="O15:T15">
    <cfRule type="cellIs" dxfId="182" priority="12" operator="equal">
      <formula>0</formula>
    </cfRule>
  </conditionalFormatting>
  <conditionalFormatting sqref="O41:T45 O33:T33 O37:T37 O51:T51 O54:T55 P52:T53">
    <cfRule type="expression" dxfId="181" priority="10">
      <formula>O$34=O$4</formula>
    </cfRule>
  </conditionalFormatting>
  <conditionalFormatting sqref="P13:T13 O20:T27 P19:T19">
    <cfRule type="expression" dxfId="180" priority="9">
      <formula>O$10=O$4</formula>
    </cfRule>
  </conditionalFormatting>
  <conditionalFormatting sqref="J19:O19 J20:N20">
    <cfRule type="expression" dxfId="179" priority="4">
      <formula>J$10=J$4</formula>
    </cfRule>
  </conditionalFormatting>
  <conditionalFormatting sqref="J53 O52:O53 K53:N55 N52">
    <cfRule type="expression" dxfId="178" priority="3">
      <formula>J$34=J$4</formula>
    </cfRule>
  </conditionalFormatting>
  <conditionalFormatting sqref="N41:N42">
    <cfRule type="expression" dxfId="177" priority="2">
      <formula>N$34=N$4</formula>
    </cfRule>
  </conditionalFormatting>
  <conditionalFormatting sqref="M41:N42">
    <cfRule type="expression" dxfId="176" priority="1">
      <formula>M$10=M$4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76" zoomScaleNormal="100" workbookViewId="0">
      <selection activeCell="K1" sqref="K1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0"/>
      <c r="K1" s="31" t="s">
        <v>2</v>
      </c>
      <c r="M1" s="33" t="s">
        <v>3</v>
      </c>
      <c r="N1" s="51" t="s">
        <v>4</v>
      </c>
      <c r="O1" s="11" t="s">
        <v>5</v>
      </c>
      <c r="P1" s="12" t="s">
        <v>6</v>
      </c>
      <c r="S1" s="33" t="s">
        <v>81</v>
      </c>
      <c r="T1" s="34" t="str">
        <f>IF(COUNTIF(X5:X118,"Check")=0,"Ok","Check")</f>
        <v>Ok</v>
      </c>
      <c r="U1" s="34"/>
      <c r="W1" s="131" t="s">
        <v>24</v>
      </c>
      <c r="X1" s="34" t="str">
        <f>'Check|List'!$S$1</f>
        <v>Ok</v>
      </c>
    </row>
    <row r="2" spans="1:34" s="36" customFormat="1" ht="13.5" thickBot="1">
      <c r="B2" s="35" t="str">
        <f>Index!$C$10</f>
        <v>Input | Rate of change</v>
      </c>
      <c r="C2" s="35"/>
      <c r="D2" s="35"/>
      <c r="E2" s="35"/>
      <c r="F2" s="60"/>
      <c r="G2" s="60"/>
      <c r="H2" s="60"/>
      <c r="I2" s="60"/>
      <c r="J2" s="60"/>
    </row>
    <row r="3" spans="1:34" s="61" customFormat="1">
      <c r="D3" s="127"/>
      <c r="E3" s="127"/>
      <c r="F3" s="127"/>
      <c r="G3" s="127"/>
      <c r="H3" s="127"/>
      <c r="I3" s="127"/>
      <c r="J3" s="112" t="s">
        <v>114</v>
      </c>
      <c r="K3" s="201"/>
      <c r="L3" s="201"/>
      <c r="M3" s="201"/>
      <c r="N3" s="127"/>
      <c r="O3" s="201"/>
      <c r="P3" s="201"/>
      <c r="Q3" s="201"/>
      <c r="R3" s="201"/>
      <c r="S3" s="201"/>
      <c r="T3" s="201"/>
      <c r="U3" s="127"/>
      <c r="V3" s="62"/>
      <c r="W3" s="62"/>
      <c r="X3" s="62"/>
      <c r="Y3" s="62"/>
      <c r="Z3" s="62"/>
      <c r="AA3" s="62"/>
      <c r="AB3" s="62"/>
      <c r="AC3" s="62"/>
      <c r="AD3" s="62"/>
    </row>
    <row r="4" spans="1:34" s="71" customFormat="1" ht="10.5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DATE(PPFirstYear-1,MONTH('Input|General'!$G$9),1)</f>
        <v>43617</v>
      </c>
      <c r="K4" s="110">
        <f>DATE(PPFirstYear,MONTH('Input|General'!$G$9),1)</f>
        <v>43983</v>
      </c>
      <c r="L4" s="110">
        <f>DATE(PPFirstYear+1,MONTH('Input|General'!$G$9),1)</f>
        <v>44348</v>
      </c>
      <c r="M4" s="110">
        <f>DATE(PPFirstYear+2,MONTH('Input|General'!$G$9),1)</f>
        <v>44713</v>
      </c>
      <c r="N4" s="110">
        <f>DATE(PPFirstYear+3,MONTH('Input|General'!$G$9),1)</f>
        <v>45078</v>
      </c>
      <c r="O4" s="110">
        <f>DATE(PPFirstYear+4,MONTH('Input|General'!$G$9),1)</f>
        <v>45444</v>
      </c>
      <c r="P4" s="110">
        <f>DATE(PPFirstYear+5,MONTH('Input|General'!$G$9),1)</f>
        <v>45809</v>
      </c>
      <c r="Q4" s="110">
        <f>DATE(PPFirstYear+6,MONTH('Input|General'!$G$9),1)</f>
        <v>46174</v>
      </c>
      <c r="R4" s="110">
        <f>DATE(PPFirstYear+7,MONTH('Input|General'!$G$9),1)</f>
        <v>46539</v>
      </c>
      <c r="S4" s="110">
        <f>DATE(PPFirstYear+8,MONTH('Input|General'!$G$9),1)</f>
        <v>46905</v>
      </c>
      <c r="T4" s="110">
        <f>DATE(PPFirstYear+9,MONTH('Input|General'!$G$9),1)</f>
        <v>47270</v>
      </c>
      <c r="U4" s="110">
        <f>DATE(PPFirstYear+10,MONTH('Input|General'!$G$9),1)</f>
        <v>47635</v>
      </c>
      <c r="V4" s="67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70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7"/>
      <c r="B8" s="43" t="s">
        <v>35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25" customHeight="1" outlineLevel="1"/>
    <row r="10" spans="1:34" ht="11.25" customHeight="1" outlineLevel="1">
      <c r="C10" s="9" t="s">
        <v>33</v>
      </c>
      <c r="J10" s="113">
        <f t="shared" ref="J10:T10" si="0">IF(YEAR(J$4)&lt;=PPLastYear,J$4,"")</f>
        <v>43617</v>
      </c>
      <c r="K10" s="113">
        <f t="shared" si="0"/>
        <v>43983</v>
      </c>
      <c r="L10" s="113">
        <f t="shared" si="0"/>
        <v>44348</v>
      </c>
      <c r="M10" s="113">
        <f t="shared" si="0"/>
        <v>44713</v>
      </c>
      <c r="N10" s="113">
        <f t="shared" si="0"/>
        <v>45078</v>
      </c>
      <c r="O10" s="113">
        <f t="shared" si="0"/>
        <v>45444</v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116"/>
    </row>
    <row r="11" spans="1:34" ht="11.25" customHeight="1" outlineLevel="1">
      <c r="C11" s="9"/>
      <c r="J11" s="8"/>
      <c r="P11" s="100"/>
      <c r="Q11" s="100"/>
      <c r="R11" s="100"/>
      <c r="S11" s="100"/>
      <c r="T11" s="100"/>
      <c r="U11" s="100"/>
      <c r="V11" s="14"/>
      <c r="W11" s="14"/>
      <c r="X11" s="14"/>
    </row>
    <row r="12" spans="1:34" ht="11.25" customHeight="1" outlineLevel="1">
      <c r="C12" s="15" t="s">
        <v>33</v>
      </c>
      <c r="D12" s="101" t="s">
        <v>97</v>
      </c>
      <c r="E12" s="16" t="str">
        <f>percent</f>
        <v>Per cent</v>
      </c>
      <c r="J12" s="100">
        <f>IF(J10=J4,LOOKUP(EOMONTH(J4,0),'Input|Inflation'!$C$9:$C$84,'Input|Inflation'!$I$9:$I$84),"")</f>
        <v>1.5929203539823078E-2</v>
      </c>
      <c r="K12" s="100">
        <f>IF(K10=K4,LOOKUP(EOMONTH(K4,0),'Input|Inflation'!$C$9:$C$84,'Input|Inflation'!$I$9:$I$84),"")</f>
        <v>-3.4843205574912606E-3</v>
      </c>
      <c r="L12" s="100">
        <f>IF(L10=L4,LOOKUP(EOMONTH(L4,0),'Input|Inflation'!$C$9:$C$84,'Input|Inflation'!$I$9:$I$84),"")</f>
        <v>3.8461538461538325E-2</v>
      </c>
      <c r="M12" s="100">
        <f>IF(M10=M4,LOOKUP(EOMONTH(M4,0),'Input|Inflation'!$C$9:$C$84,'Input|Inflation'!$I$9:$I$84),"")</f>
        <v>6.1447811447811418E-2</v>
      </c>
      <c r="N12" s="100">
        <f>IF(N10=N4,LOOKUP(EOMONTH(N4,0),'Input|Inflation'!$C$9:$C$84,'Input|Inflation'!$I$9:$I$84),"")</f>
        <v>6.0269627279936566E-2</v>
      </c>
      <c r="O12" s="100">
        <f>IF(O10=O4,LOOKUP(EOMONTH(O4,0),'Input|Inflation'!$C$9:$C$84,'Input|Inflation'!$I$9:$I$84),"")</f>
        <v>3.2999999999999918E-2</v>
      </c>
      <c r="P12" s="100" t="str">
        <f>IF(P10=P4,LOOKUP(EOMONTH(P4,0),'Input|Inflation'!$C$9:$C$84,'Input|Inflation'!$I$9:$I$84),"")</f>
        <v/>
      </c>
      <c r="Q12" s="100" t="str">
        <f>IF(Q10=Q4,LOOKUP(EOMONTH(Q4,0),'Input|Inflation'!$C$9:$C$84,'Input|Inflation'!$I$9:$I$84),"")</f>
        <v/>
      </c>
      <c r="R12" s="100" t="str">
        <f>IF(R10=R4,LOOKUP(EOMONTH(R4,0),'Input|Inflation'!$C$9:$C$84,'Input|Inflation'!$I$9:$I$84),"")</f>
        <v/>
      </c>
      <c r="S12" s="100" t="str">
        <f>IF(S10=S4,LOOKUP(EOMONTH(S4,0),'Input|Inflation'!$C$9:$C$84,'Input|Inflation'!$I$9:$I$84),"")</f>
        <v/>
      </c>
      <c r="T12" s="100" t="str">
        <f>IF(T10=T4,LOOKUP(EOMONTH(T4,0),'Input|Inflation'!$C$9:$C$84,'Input|Inflation'!$I$9:$I$84),"")</f>
        <v/>
      </c>
      <c r="U12" s="100"/>
      <c r="V12" s="102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98</v>
      </c>
      <c r="I14" s="8"/>
      <c r="J14" s="113">
        <f t="shared" ref="J14:T14" si="1">IF(YEAR(J$4)&lt;=PPLastYear,J$4,"")</f>
        <v>43617</v>
      </c>
      <c r="K14" s="113">
        <f t="shared" si="1"/>
        <v>43983</v>
      </c>
      <c r="L14" s="113">
        <f t="shared" si="1"/>
        <v>44348</v>
      </c>
      <c r="M14" s="113">
        <f t="shared" si="1"/>
        <v>44713</v>
      </c>
      <c r="N14" s="113">
        <f t="shared" si="1"/>
        <v>45078</v>
      </c>
      <c r="O14" s="113">
        <f t="shared" si="1"/>
        <v>45444</v>
      </c>
      <c r="P14" s="113" t="str">
        <f t="shared" si="1"/>
        <v/>
      </c>
      <c r="Q14" s="113" t="str">
        <f t="shared" si="1"/>
        <v/>
      </c>
      <c r="R14" s="113" t="str">
        <f t="shared" si="1"/>
        <v/>
      </c>
      <c r="S14" s="113" t="str">
        <f t="shared" si="1"/>
        <v/>
      </c>
      <c r="T14" s="113" t="str">
        <f t="shared" si="1"/>
        <v/>
      </c>
      <c r="U14" s="116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14">
        <f t="array" ref="C16:C22">TRANSPOSE(J10:P10)</f>
        <v>43617</v>
      </c>
      <c r="D16" s="101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0.99651567944250874</v>
      </c>
      <c r="L16" s="23">
        <f t="shared" si="3"/>
        <v>1.0348432055749128</v>
      </c>
      <c r="M16" s="23">
        <f t="shared" si="3"/>
        <v>1.0984320557491287</v>
      </c>
      <c r="N16" s="23">
        <f t="shared" si="3"/>
        <v>1.1646341463414631</v>
      </c>
      <c r="O16" s="23">
        <f t="shared" ref="O16:P16" si="4">IF(AND($C16&gt;O$14,ISNONTEXT($C16)),P16/(1+O$12),IF(AND($C16=O$14,O$14=O$4),1,IF(AND($C16&lt;O$14,O$14=O$4),N16*(1+O$12),0)))</f>
        <v>1.2030670731707314</v>
      </c>
      <c r="P16" s="23">
        <f t="shared" si="4"/>
        <v>0</v>
      </c>
      <c r="Q16" s="144"/>
      <c r="R16" s="144"/>
      <c r="S16" s="144"/>
      <c r="T16" s="144"/>
      <c r="U16" s="144"/>
    </row>
    <row r="17" spans="3:23" ht="11.25" customHeight="1" outlineLevel="1">
      <c r="C17" s="114">
        <v>43983</v>
      </c>
      <c r="D17" s="101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1.0034965034965035</v>
      </c>
      <c r="K17" s="23">
        <f t="shared" si="6"/>
        <v>1</v>
      </c>
      <c r="L17" s="23">
        <f t="shared" si="6"/>
        <v>1.0384615384615383</v>
      </c>
      <c r="M17" s="23">
        <f t="shared" si="6"/>
        <v>1.1022727272727271</v>
      </c>
      <c r="N17" s="23">
        <f t="shared" si="6"/>
        <v>1.1687062937062935</v>
      </c>
      <c r="O17" s="23">
        <f t="shared" ref="O17:P17" si="7">IF(AND($C17&gt;O$14,ISNONTEXT($C17)),P17/(1+O$12),IF(AND($C17=O$14,O$14=O$4),1,IF(AND($C17&lt;O$14,O$14=O$4),N17*(1+O$12),0)))</f>
        <v>1.2072736013986012</v>
      </c>
      <c r="P17" s="23">
        <f t="shared" si="7"/>
        <v>0</v>
      </c>
      <c r="Q17" s="144"/>
      <c r="R17" s="144"/>
      <c r="S17" s="144"/>
      <c r="T17" s="144"/>
      <c r="U17" s="144"/>
    </row>
    <row r="18" spans="3:23" ht="11.25" customHeight="1" outlineLevel="1">
      <c r="C18" s="114">
        <v>44348</v>
      </c>
      <c r="D18" s="101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0.96632996632996648</v>
      </c>
      <c r="K18" s="23">
        <f t="shared" si="8"/>
        <v>0.96296296296296313</v>
      </c>
      <c r="L18" s="23">
        <f t="shared" si="8"/>
        <v>1</v>
      </c>
      <c r="M18" s="23">
        <f t="shared" si="8"/>
        <v>1.0614478114478114</v>
      </c>
      <c r="N18" s="23">
        <f t="shared" si="8"/>
        <v>1.1254208754208754</v>
      </c>
      <c r="O18" s="23">
        <f t="shared" ref="O18:P18" si="9">IF(AND($C18&gt;O$14,ISNONTEXT($C18)),P18/(1+O$12),IF(AND($C18=O$14,O$14=O$4),1,IF(AND($C18&lt;O$14,O$14=O$4),N18*(1+O$12),0)))</f>
        <v>1.1625597643097643</v>
      </c>
      <c r="P18" s="23">
        <f t="shared" si="9"/>
        <v>0</v>
      </c>
      <c r="Q18" s="144"/>
      <c r="R18" s="144"/>
      <c r="S18" s="144"/>
      <c r="T18" s="144"/>
      <c r="U18" s="144"/>
    </row>
    <row r="19" spans="3:23" ht="11.25" customHeight="1" outlineLevel="1">
      <c r="C19" s="114">
        <v>44713</v>
      </c>
      <c r="D19" s="101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0.91038858049167337</v>
      </c>
      <c r="K19" s="23">
        <f t="shared" si="10"/>
        <v>0.90721649484536093</v>
      </c>
      <c r="L19" s="23">
        <f t="shared" si="10"/>
        <v>0.94210943695479776</v>
      </c>
      <c r="M19" s="23">
        <f t="shared" si="10"/>
        <v>1</v>
      </c>
      <c r="N19" s="23">
        <f t="shared" si="10"/>
        <v>1.0602696272799366</v>
      </c>
      <c r="O19" s="23">
        <f t="shared" ref="O19:P19" si="11">IF(AND($C19&gt;O$14,ISNONTEXT($C19)),P19/(1+O$12),IF(AND($C19=O$14,O$14=O$4),1,IF(AND($C19&lt;O$14,O$14=O$4),N19*(1+O$12),0)))</f>
        <v>1.0952585249801743</v>
      </c>
      <c r="P19" s="23">
        <f t="shared" si="11"/>
        <v>0</v>
      </c>
      <c r="Q19" s="144"/>
      <c r="R19" s="144"/>
      <c r="S19" s="144"/>
      <c r="T19" s="144"/>
      <c r="U19" s="144"/>
    </row>
    <row r="20" spans="3:23" ht="11.25" customHeight="1" outlineLevel="1">
      <c r="C20" s="114">
        <v>45078</v>
      </c>
      <c r="D20" s="101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0.85863874345549751</v>
      </c>
      <c r="K20" s="23">
        <f t="shared" ref="K20:N20" si="12">IF(AND($C20&gt;K$14,ISNONTEXT($C20)),L20/(1+L$12),IF(AND($C20=K$14,K$14=K$4),1,IF(AND($C20&lt;K$14,K$14=K$4),J20*(1+K$12),0)))</f>
        <v>0.85564697083021701</v>
      </c>
      <c r="L20" s="23">
        <f t="shared" si="12"/>
        <v>0.88855646970830215</v>
      </c>
      <c r="M20" s="23">
        <f t="shared" si="12"/>
        <v>0.94315632011967088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1.0329999999999999</v>
      </c>
      <c r="P20" s="23">
        <f t="shared" si="13"/>
        <v>0</v>
      </c>
      <c r="Q20" s="144"/>
      <c r="R20" s="144"/>
      <c r="S20" s="144"/>
      <c r="T20" s="144"/>
      <c r="U20" s="144"/>
    </row>
    <row r="21" spans="3:23" ht="11.25" customHeight="1" outlineLevel="1">
      <c r="C21" s="114">
        <v>45444</v>
      </c>
      <c r="D21" s="101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0.83120885136059786</v>
      </c>
      <c r="K21" s="23">
        <f t="shared" ref="K21:K22" si="14">IF(AND($C21&gt;K$14,ISNONTEXT($C21)),L21/(1+L$12),IF(AND($C21=K$14,K$14=K$4),1,IF(AND($C21&lt;K$14,K$14=K$4),J21*(1+K$12),0)))</f>
        <v>0.82831265327223347</v>
      </c>
      <c r="L21" s="23">
        <f t="shared" ref="L21:L22" si="15">IF(AND($C21&gt;L$14,ISNONTEXT($C21)),M21/(1+M$12),IF(AND($C21=L$14,L$14=L$4),1,IF(AND($C21&lt;L$14,L$14=L$4),K21*(1+L$12),0)))</f>
        <v>0.86017083224424229</v>
      </c>
      <c r="M21" s="23">
        <f t="shared" ref="M21:M22" si="16">IF(AND($C21&gt;M$14,ISNONTEXT($C21)),N21/(1+N$12),IF(AND($C21=M$14,M$14=M$4),1,IF(AND($C21&lt;M$14,M$14=M$4),L21*(1+M$12),0)))</f>
        <v>0.91302644735689353</v>
      </c>
      <c r="N21" s="23">
        <f t="shared" ref="N21:N22" si="17">IF(AND($C21&gt;N$14,ISNONTEXT($C21)),O21/(1+O$12),IF(AND($C21=N$14,N$14=N$4),1,IF(AND($C21&lt;N$14,N$14=N$4),M21*(1+N$12),0)))</f>
        <v>0.96805421103581812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44"/>
      <c r="R21" s="144"/>
      <c r="S21" s="144"/>
      <c r="T21" s="144"/>
      <c r="U21" s="144"/>
    </row>
    <row r="22" spans="3:23" ht="11.25" customHeight="1" outlineLevel="1">
      <c r="C22" s="114" t="str">
        <v/>
      </c>
      <c r="D22" s="101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44"/>
      <c r="R22" s="144"/>
      <c r="S22" s="144"/>
      <c r="T22" s="144"/>
      <c r="U22" s="14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46</v>
      </c>
      <c r="J24" s="113">
        <f t="shared" ref="J24:T24" si="20">IF(YEAR(J$4)&lt;=PPLastYear,J$4,"")</f>
        <v>43617</v>
      </c>
      <c r="K24" s="113">
        <f t="shared" si="20"/>
        <v>43983</v>
      </c>
      <c r="L24" s="113">
        <f t="shared" si="20"/>
        <v>44348</v>
      </c>
      <c r="M24" s="113">
        <f t="shared" si="20"/>
        <v>44713</v>
      </c>
      <c r="N24" s="113">
        <f t="shared" si="20"/>
        <v>45078</v>
      </c>
      <c r="O24" s="113">
        <f t="shared" si="20"/>
        <v>45444</v>
      </c>
      <c r="P24" s="113" t="str">
        <f t="shared" si="20"/>
        <v/>
      </c>
      <c r="Q24" s="113" t="str">
        <f t="shared" si="20"/>
        <v/>
      </c>
      <c r="R24" s="113" t="str">
        <f t="shared" si="20"/>
        <v/>
      </c>
      <c r="S24" s="113" t="str">
        <f t="shared" si="20"/>
        <v/>
      </c>
      <c r="T24" s="113" t="str">
        <f t="shared" si="20"/>
        <v/>
      </c>
      <c r="U24" s="116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14">
        <f t="array" ref="C26:C32">TRANSPOSE(J10:P10)</f>
        <v>43617</v>
      </c>
      <c r="D26" s="101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1.0079331344587412</v>
      </c>
      <c r="K26" s="23">
        <f t="shared" ref="K26:T26" si="22">IF(AND(K$24=K$4,ISNONTEXT($C26)),1/K16*(1+K$12)^0.5,0)</f>
        <v>1.0017467262220046</v>
      </c>
      <c r="L26" s="23">
        <f t="shared" si="22"/>
        <v>0.98473790545302708</v>
      </c>
      <c r="M26" s="23">
        <f t="shared" si="22"/>
        <v>0.93794230437362447</v>
      </c>
      <c r="N26" s="23">
        <f t="shared" si="22"/>
        <v>0.88413511795969557</v>
      </c>
      <c r="O26" s="23">
        <f t="shared" si="22"/>
        <v>0.84481247841242924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103"/>
      <c r="W26" s="103"/>
    </row>
    <row r="27" spans="3:23" ht="11.25" customHeight="1" outlineLevel="1">
      <c r="C27" s="114">
        <v>43983</v>
      </c>
      <c r="D27" s="101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1.0044211723177698</v>
      </c>
      <c r="K27" s="23">
        <f t="shared" si="24"/>
        <v>0.99825631951042948</v>
      </c>
      <c r="L27" s="23">
        <f t="shared" si="24"/>
        <v>0.98130676292531638</v>
      </c>
      <c r="M27" s="23">
        <f t="shared" si="24"/>
        <v>0.93467421272075479</v>
      </c>
      <c r="N27" s="23">
        <f t="shared" si="24"/>
        <v>0.88105450779258843</v>
      </c>
      <c r="O27" s="23">
        <f t="shared" si="24"/>
        <v>0.84186888092667156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103"/>
      <c r="W27" s="103"/>
    </row>
    <row r="28" spans="3:23" ht="11.25" customHeight="1" outlineLevel="1">
      <c r="C28" s="114">
        <v>44348</v>
      </c>
      <c r="D28" s="101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1.0430527558684535</v>
      </c>
      <c r="K28" s="23">
        <f t="shared" si="25"/>
        <v>1.0366507933377536</v>
      </c>
      <c r="L28" s="23">
        <f t="shared" si="25"/>
        <v>1.019049330730136</v>
      </c>
      <c r="M28" s="23">
        <f t="shared" si="25"/>
        <v>0.970623220902322</v>
      </c>
      <c r="N28" s="23">
        <f t="shared" si="25"/>
        <v>0.9149412196307648</v>
      </c>
      <c r="O28" s="23">
        <f t="shared" si="25"/>
        <v>0.874248453270005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103"/>
      <c r="W28" s="103"/>
    </row>
    <row r="29" spans="3:23" ht="11.25" customHeight="1" outlineLevel="1">
      <c r="C29" s="114">
        <v>44713</v>
      </c>
      <c r="D29" s="101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1.1071460649411782</v>
      </c>
      <c r="K29" s="23">
        <f t="shared" si="26"/>
        <v>1.100350715823996</v>
      </c>
      <c r="L29" s="23">
        <f t="shared" si="26"/>
        <v>1.0816676818608599</v>
      </c>
      <c r="M29" s="23">
        <f t="shared" si="26"/>
        <v>1.0302658935671953</v>
      </c>
      <c r="N29" s="23">
        <f t="shared" si="26"/>
        <v>0.97116235518046667</v>
      </c>
      <c r="O29" s="23">
        <f t="shared" si="26"/>
        <v>0.92796910738508109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103"/>
      <c r="W29" s="103"/>
    </row>
    <row r="30" spans="3:23" ht="11.25" customHeight="1" outlineLevel="1">
      <c r="C30" s="114">
        <v>45078</v>
      </c>
      <c r="D30" s="101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1.1738733456196315</v>
      </c>
      <c r="K30" s="23">
        <f t="shared" si="27"/>
        <v>1.1666684433439196</v>
      </c>
      <c r="L30" s="23">
        <f t="shared" si="27"/>
        <v>1.1468593898873669</v>
      </c>
      <c r="M30" s="23">
        <f t="shared" si="27"/>
        <v>1.0923596349717211</v>
      </c>
      <c r="N30" s="23">
        <f t="shared" si="27"/>
        <v>1.0296939483554988</v>
      </c>
      <c r="O30" s="23">
        <f t="shared" si="27"/>
        <v>0.98389745961447539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103"/>
      <c r="W30" s="103"/>
    </row>
    <row r="31" spans="3:23" ht="11.25" customHeight="1" outlineLevel="1">
      <c r="C31" s="114">
        <v>45444</v>
      </c>
      <c r="D31" s="101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1.2126111660250791</v>
      </c>
      <c r="K31" s="23">
        <f t="shared" si="28"/>
        <v>1.2051685019742686</v>
      </c>
      <c r="L31" s="23">
        <f t="shared" si="28"/>
        <v>1.18470574975365</v>
      </c>
      <c r="M31" s="23">
        <f t="shared" si="28"/>
        <v>1.1284075029257876</v>
      </c>
      <c r="N31" s="23">
        <f t="shared" si="28"/>
        <v>1.06367384865123</v>
      </c>
      <c r="O31" s="23">
        <f t="shared" si="28"/>
        <v>1.016366075781753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103"/>
      <c r="W31" s="103"/>
    </row>
    <row r="32" spans="3:23" ht="11.25" customHeight="1" outlineLevel="1">
      <c r="C32" s="114" t="str">
        <v/>
      </c>
      <c r="D32" s="101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103"/>
      <c r="W32" s="103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7"/>
      <c r="B34" s="43" t="s">
        <v>76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79</v>
      </c>
      <c r="D36" s="21" t="s">
        <v>7</v>
      </c>
      <c r="E36" s="21" t="s">
        <v>8</v>
      </c>
      <c r="J36" s="116" t="str">
        <f t="shared" ref="J36:U36" si="29">IF(YEAR(J$4)&gt;=FPFirstYear,IF(YEAR(J$4)&lt;=FPLastYear,J$4,""),"")</f>
        <v/>
      </c>
      <c r="K36" s="116" t="str">
        <f t="shared" si="29"/>
        <v/>
      </c>
      <c r="L36" s="116" t="str">
        <f t="shared" si="29"/>
        <v/>
      </c>
      <c r="M36" s="116" t="str">
        <f t="shared" si="29"/>
        <v/>
      </c>
      <c r="N36" s="116" t="str">
        <f t="shared" si="29"/>
        <v/>
      </c>
      <c r="O36" s="116" t="str">
        <f t="shared" si="29"/>
        <v/>
      </c>
      <c r="P36" s="116">
        <f t="shared" si="29"/>
        <v>45809</v>
      </c>
      <c r="Q36" s="116">
        <f t="shared" si="29"/>
        <v>46174</v>
      </c>
      <c r="R36" s="116">
        <f t="shared" si="29"/>
        <v>46539</v>
      </c>
      <c r="S36" s="116">
        <f t="shared" si="29"/>
        <v>46905</v>
      </c>
      <c r="T36" s="116">
        <f t="shared" si="29"/>
        <v>47270</v>
      </c>
      <c r="U36" s="116" t="str">
        <f t="shared" si="29"/>
        <v/>
      </c>
    </row>
    <row r="37" spans="1:34" ht="11.25" customHeight="1" outlineLevel="1"/>
    <row r="38" spans="1:34" ht="11.25" customHeight="1" outlineLevel="1">
      <c r="C38" s="53" t="s">
        <v>246</v>
      </c>
      <c r="D38" s="16" t="s">
        <v>100</v>
      </c>
      <c r="E38" s="16" t="str">
        <f t="shared" ref="E38:E45" si="30">percent</f>
        <v>Per cent</v>
      </c>
      <c r="J38" s="141"/>
      <c r="K38" s="107"/>
      <c r="L38" s="107"/>
      <c r="M38" s="107"/>
      <c r="N38" s="107"/>
      <c r="O38" s="107"/>
      <c r="P38" s="170">
        <v>5.7225467260437757E-3</v>
      </c>
      <c r="Q38" s="170">
        <v>7.805308835836966E-3</v>
      </c>
      <c r="R38" s="170">
        <v>8.8432071966486614E-3</v>
      </c>
      <c r="S38" s="170">
        <v>8.9486732277135328E-3</v>
      </c>
      <c r="T38" s="171">
        <v>8.4305285309593803E-3</v>
      </c>
    </row>
    <row r="39" spans="1:34" ht="11.25" customHeight="1" outlineLevel="1">
      <c r="C39" s="150" t="s">
        <v>212</v>
      </c>
      <c r="D39" s="16" t="s">
        <v>100</v>
      </c>
      <c r="E39" s="16" t="str">
        <f t="shared" si="30"/>
        <v>Per cent</v>
      </c>
      <c r="J39" s="141"/>
      <c r="K39" s="107"/>
      <c r="L39" s="107"/>
      <c r="M39" s="107"/>
      <c r="N39" s="107"/>
      <c r="O39" s="107"/>
      <c r="P39" s="171">
        <v>1.4160802879532355E-2</v>
      </c>
      <c r="Q39" s="171">
        <v>1.2030813473853793E-2</v>
      </c>
      <c r="R39" s="171">
        <v>9.3909382395090946E-3</v>
      </c>
      <c r="S39" s="171">
        <v>7.074451869577416E-3</v>
      </c>
      <c r="T39" s="171">
        <v>1.0056312732121028E-2</v>
      </c>
    </row>
    <row r="40" spans="1:34" ht="11.25" customHeight="1" outlineLevel="1">
      <c r="C40" s="53" t="s">
        <v>191</v>
      </c>
      <c r="D40" s="16" t="s">
        <v>100</v>
      </c>
      <c r="E40" s="16" t="str">
        <f t="shared" si="30"/>
        <v>Per cent</v>
      </c>
      <c r="J40" s="141"/>
      <c r="K40" s="107"/>
      <c r="L40" s="107"/>
      <c r="M40" s="107"/>
      <c r="N40" s="107"/>
      <c r="O40" s="107"/>
      <c r="P40" s="162">
        <f>AVERAGE(P38:P39)</f>
        <v>9.9416748027880662E-3</v>
      </c>
      <c r="Q40" s="162">
        <f t="shared" ref="Q40:T40" si="31">AVERAGE(Q38:Q39)</f>
        <v>9.9180611548453784E-3</v>
      </c>
      <c r="R40" s="162">
        <f t="shared" si="31"/>
        <v>9.117072718078878E-3</v>
      </c>
      <c r="S40" s="162">
        <f t="shared" si="31"/>
        <v>8.0115625486454744E-3</v>
      </c>
      <c r="T40" s="162">
        <f t="shared" si="31"/>
        <v>9.2434206315402043E-3</v>
      </c>
    </row>
    <row r="41" spans="1:34" ht="11.25" customHeight="1" outlineLevel="1">
      <c r="C41" s="53" t="s">
        <v>178</v>
      </c>
      <c r="D41" s="16" t="s">
        <v>100</v>
      </c>
      <c r="E41" s="16" t="str">
        <f t="shared" si="30"/>
        <v>Per cent</v>
      </c>
      <c r="J41" s="141"/>
      <c r="K41" s="107"/>
      <c r="L41" s="107"/>
      <c r="M41" s="107"/>
      <c r="N41" s="107"/>
      <c r="O41" s="107"/>
      <c r="P41" s="162">
        <v>5.0000000000000001E-3</v>
      </c>
      <c r="Q41" s="162">
        <v>5.0000000000000001E-3</v>
      </c>
      <c r="R41" s="162">
        <v>0</v>
      </c>
      <c r="S41" s="162">
        <v>0</v>
      </c>
      <c r="T41" s="162">
        <v>0</v>
      </c>
      <c r="U41" s="151"/>
      <c r="V41" s="104"/>
    </row>
    <row r="42" spans="1:34" ht="11.25" customHeight="1" outlineLevel="1">
      <c r="C42" s="53" t="s">
        <v>179</v>
      </c>
      <c r="D42" s="16" t="s">
        <v>100</v>
      </c>
      <c r="E42" s="16" t="str">
        <f t="shared" si="30"/>
        <v>Per cent</v>
      </c>
      <c r="J42" s="141"/>
      <c r="K42" s="107"/>
      <c r="L42" s="107"/>
      <c r="M42" s="107"/>
      <c r="N42" s="107"/>
      <c r="O42" s="107"/>
      <c r="P42" s="162">
        <f>P40+P41</f>
        <v>1.4941674802788067E-2</v>
      </c>
      <c r="Q42" s="162">
        <f t="shared" ref="Q42:T42" si="32">Q40+Q41</f>
        <v>1.4918061154845379E-2</v>
      </c>
      <c r="R42" s="162">
        <f t="shared" si="32"/>
        <v>9.117072718078878E-3</v>
      </c>
      <c r="S42" s="162">
        <f t="shared" si="32"/>
        <v>8.0115625486454744E-3</v>
      </c>
      <c r="T42" s="162">
        <f t="shared" si="32"/>
        <v>9.2434206315402043E-3</v>
      </c>
      <c r="U42" s="151"/>
    </row>
    <row r="43" spans="1:34" ht="11.25" customHeight="1" outlineLevel="1">
      <c r="C43" s="53"/>
      <c r="D43" s="16" t="s">
        <v>100</v>
      </c>
      <c r="E43" s="16" t="str">
        <f t="shared" si="30"/>
        <v>Per cent</v>
      </c>
      <c r="J43" s="141"/>
      <c r="K43" s="107"/>
      <c r="L43" s="107"/>
      <c r="M43" s="107"/>
      <c r="N43" s="107"/>
      <c r="O43" s="107"/>
      <c r="P43" s="152"/>
      <c r="Q43" s="152"/>
      <c r="R43" s="152"/>
      <c r="S43" s="152"/>
      <c r="T43" s="152"/>
      <c r="U43" s="151"/>
    </row>
    <row r="44" spans="1:34" ht="11.25" customHeight="1" outlineLevel="1">
      <c r="C44" s="53"/>
      <c r="D44" s="16" t="s">
        <v>100</v>
      </c>
      <c r="E44" s="16" t="str">
        <f t="shared" si="30"/>
        <v>Per cent</v>
      </c>
      <c r="J44" s="141"/>
      <c r="K44" s="107"/>
      <c r="L44" s="107"/>
      <c r="M44" s="107"/>
      <c r="N44" s="107"/>
      <c r="O44" s="107"/>
      <c r="P44" s="152"/>
      <c r="Q44" s="152"/>
      <c r="R44" s="152"/>
      <c r="S44" s="152"/>
      <c r="T44" s="152"/>
      <c r="U44" s="151"/>
    </row>
    <row r="45" spans="1:34" ht="11.25" customHeight="1" outlineLevel="1">
      <c r="C45" s="53" t="s">
        <v>80</v>
      </c>
      <c r="D45" s="16" t="s">
        <v>100</v>
      </c>
      <c r="E45" s="16" t="str">
        <f t="shared" si="30"/>
        <v>Per cent</v>
      </c>
      <c r="J45" s="141"/>
      <c r="K45" s="107"/>
      <c r="L45" s="107"/>
      <c r="M45" s="107"/>
      <c r="N45" s="107"/>
      <c r="O45" s="107"/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51"/>
    </row>
    <row r="46" spans="1:34" ht="11.25" customHeight="1" outlineLevel="1"/>
    <row r="47" spans="1:34" ht="11.25" customHeight="1" outlineLevel="1">
      <c r="C47" s="8" t="s">
        <v>40</v>
      </c>
      <c r="D47" s="16" t="s">
        <v>97</v>
      </c>
      <c r="E47" s="16" t="s">
        <v>28</v>
      </c>
      <c r="F47" s="16" t="s">
        <v>36</v>
      </c>
      <c r="J47" s="91" t="str">
        <f t="shared" ref="J47:S47" si="33">IF(J36=J4,IF(COUNTA($C38:$C45)=COUNT(J38:J45),"Ok","Check"),"")</f>
        <v/>
      </c>
      <c r="K47" s="91" t="str">
        <f t="shared" si="33"/>
        <v/>
      </c>
      <c r="L47" s="91" t="str">
        <f t="shared" si="33"/>
        <v/>
      </c>
      <c r="M47" s="91" t="str">
        <f t="shared" si="33"/>
        <v/>
      </c>
      <c r="N47" s="91" t="str">
        <f t="shared" si="33"/>
        <v/>
      </c>
      <c r="O47" s="91" t="str">
        <f t="shared" si="33"/>
        <v/>
      </c>
      <c r="P47" s="91" t="str">
        <f t="shared" si="33"/>
        <v>Ok</v>
      </c>
      <c r="Q47" s="91" t="str">
        <f t="shared" si="33"/>
        <v>Ok</v>
      </c>
      <c r="R47" s="91" t="str">
        <f t="shared" si="33"/>
        <v>Ok</v>
      </c>
      <c r="S47" s="91" t="str">
        <f t="shared" si="33"/>
        <v>Ok</v>
      </c>
      <c r="T47" s="91" t="str">
        <f>IF(T36=T4,IF(COUNTA($C38:$C45)=COUNT(T38:T45),"Ok","Check"),"")</f>
        <v>Ok</v>
      </c>
      <c r="U47" s="91" t="str">
        <f>IF(U36=U4,IF(COUNTA($C38:$C45)=COUNT(U38:U45),"Ok","Check"),"")</f>
        <v/>
      </c>
      <c r="V47" s="25"/>
      <c r="X47" s="90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43</v>
      </c>
      <c r="D49" s="21" t="s">
        <v>7</v>
      </c>
      <c r="E49" s="21" t="s">
        <v>8</v>
      </c>
      <c r="J49" s="116" t="str">
        <f t="shared" ref="J49:U49" si="34">IF(YEAR(J$4)&gt;=FPFirstYear,IF(YEAR(J$4)&lt;=FPLastYear,J$4,""),"")</f>
        <v/>
      </c>
      <c r="K49" s="116" t="str">
        <f t="shared" si="34"/>
        <v/>
      </c>
      <c r="L49" s="116" t="str">
        <f t="shared" si="34"/>
        <v/>
      </c>
      <c r="M49" s="116" t="str">
        <f t="shared" si="34"/>
        <v/>
      </c>
      <c r="N49" s="116" t="str">
        <f t="shared" si="34"/>
        <v/>
      </c>
      <c r="O49" s="116" t="str">
        <f t="shared" si="34"/>
        <v/>
      </c>
      <c r="P49" s="116">
        <f t="shared" si="34"/>
        <v>45809</v>
      </c>
      <c r="Q49" s="116">
        <f t="shared" si="34"/>
        <v>46174</v>
      </c>
      <c r="R49" s="116">
        <f t="shared" si="34"/>
        <v>46539</v>
      </c>
      <c r="S49" s="116">
        <f t="shared" si="34"/>
        <v>46905</v>
      </c>
      <c r="T49" s="116">
        <f t="shared" si="34"/>
        <v>47270</v>
      </c>
      <c r="U49" s="116" t="str">
        <f t="shared" si="34"/>
        <v/>
      </c>
    </row>
    <row r="50" spans="1:34" ht="11.25" customHeight="1" outlineLevel="1"/>
    <row r="51" spans="1:34" ht="11.25" customHeight="1" outlineLevel="1">
      <c r="C51" s="105" t="str">
        <f t="shared" ref="C51:C58" si="35">C38</f>
        <v>WPI - KPMG forecast</v>
      </c>
      <c r="D51" s="16" t="s">
        <v>100</v>
      </c>
      <c r="E51" s="16" t="str">
        <f t="shared" ref="E51:E58" si="36">percent</f>
        <v>Per cent</v>
      </c>
      <c r="J51" s="141"/>
      <c r="K51" s="107"/>
      <c r="L51" s="107"/>
      <c r="M51" s="107"/>
      <c r="N51" s="107"/>
      <c r="O51" s="107"/>
      <c r="P51" s="140"/>
      <c r="Q51" s="140"/>
      <c r="R51" s="140"/>
      <c r="S51" s="140"/>
      <c r="T51" s="140"/>
      <c r="U51" s="119"/>
    </row>
    <row r="52" spans="1:34" ht="11.25" customHeight="1" outlineLevel="1">
      <c r="C52" s="105" t="str">
        <f t="shared" si="35"/>
        <v>WPI - BIS Oxford forecast (placeholder)</v>
      </c>
      <c r="D52" s="16" t="s">
        <v>100</v>
      </c>
      <c r="E52" s="16" t="str">
        <f t="shared" si="36"/>
        <v>Per cent</v>
      </c>
      <c r="J52" s="141"/>
      <c r="K52" s="107"/>
      <c r="L52" s="107"/>
      <c r="M52" s="107"/>
      <c r="N52" s="107"/>
      <c r="O52" s="107"/>
      <c r="P52" s="140"/>
      <c r="Q52" s="140"/>
      <c r="R52" s="140"/>
      <c r="S52" s="140"/>
      <c r="T52" s="140"/>
      <c r="U52" s="119"/>
    </row>
    <row r="53" spans="1:34" ht="11.25" customHeight="1" outlineLevel="1">
      <c r="C53" s="105" t="str">
        <f t="shared" si="35"/>
        <v>WPI - average</v>
      </c>
      <c r="D53" s="16" t="s">
        <v>100</v>
      </c>
      <c r="E53" s="16" t="str">
        <f t="shared" si="36"/>
        <v>Per cent</v>
      </c>
      <c r="J53" s="141"/>
      <c r="K53" s="107"/>
      <c r="L53" s="107"/>
      <c r="M53" s="107"/>
      <c r="N53" s="107"/>
      <c r="O53" s="107"/>
      <c r="P53" s="140"/>
      <c r="Q53" s="140"/>
      <c r="R53" s="140"/>
      <c r="S53" s="140"/>
      <c r="T53" s="140"/>
      <c r="U53" s="119"/>
    </row>
    <row r="54" spans="1:34" ht="11.25" customHeight="1" outlineLevel="1">
      <c r="C54" s="105" t="str">
        <f t="shared" si="35"/>
        <v>Superannuation guarantee increases</v>
      </c>
      <c r="D54" s="16" t="s">
        <v>100</v>
      </c>
      <c r="E54" s="16" t="str">
        <f t="shared" si="36"/>
        <v>Per cent</v>
      </c>
      <c r="J54" s="141"/>
      <c r="K54" s="107"/>
      <c r="L54" s="107"/>
      <c r="M54" s="107"/>
      <c r="N54" s="107"/>
      <c r="O54" s="107"/>
      <c r="P54" s="140"/>
      <c r="Q54" s="140"/>
      <c r="R54" s="140"/>
      <c r="S54" s="140"/>
      <c r="T54" s="140"/>
      <c r="U54" s="119"/>
      <c r="V54" s="104"/>
    </row>
    <row r="55" spans="1:34" ht="11.25" customHeight="1" outlineLevel="1">
      <c r="C55" s="105" t="str">
        <f t="shared" si="35"/>
        <v>WPI - average + super guarantee increases</v>
      </c>
      <c r="D55" s="16" t="s">
        <v>100</v>
      </c>
      <c r="E55" s="16" t="str">
        <f t="shared" si="36"/>
        <v>Per cent</v>
      </c>
      <c r="J55" s="141"/>
      <c r="K55" s="107"/>
      <c r="L55" s="107"/>
      <c r="M55" s="107"/>
      <c r="N55" s="107"/>
      <c r="O55" s="107"/>
      <c r="P55" s="52">
        <v>0.59199999999999997</v>
      </c>
      <c r="Q55" s="52">
        <v>0.59199999999999997</v>
      </c>
      <c r="R55" s="52">
        <v>0.59199999999999997</v>
      </c>
      <c r="S55" s="52">
        <v>0.59199999999999997</v>
      </c>
      <c r="T55" s="52">
        <v>0.59199999999999997</v>
      </c>
      <c r="U55" s="119"/>
    </row>
    <row r="56" spans="1:34" ht="11.25" customHeight="1" outlineLevel="1">
      <c r="C56" s="105">
        <f t="shared" si="35"/>
        <v>0</v>
      </c>
      <c r="D56" s="16" t="s">
        <v>100</v>
      </c>
      <c r="E56" s="16" t="str">
        <f t="shared" si="36"/>
        <v>Per cent</v>
      </c>
      <c r="J56" s="141"/>
      <c r="K56" s="107"/>
      <c r="L56" s="107"/>
      <c r="M56" s="107"/>
      <c r="N56" s="107"/>
      <c r="O56" s="107"/>
      <c r="P56" s="140"/>
      <c r="Q56" s="140"/>
      <c r="R56" s="140"/>
      <c r="S56" s="140"/>
      <c r="T56" s="140"/>
      <c r="U56" s="119"/>
    </row>
    <row r="57" spans="1:34" ht="11.25" customHeight="1" outlineLevel="1">
      <c r="C57" s="105">
        <f t="shared" si="35"/>
        <v>0</v>
      </c>
      <c r="D57" s="16" t="s">
        <v>100</v>
      </c>
      <c r="E57" s="16" t="str">
        <f t="shared" si="36"/>
        <v>Per cent</v>
      </c>
      <c r="J57" s="141"/>
      <c r="K57" s="107"/>
      <c r="L57" s="107"/>
      <c r="M57" s="107"/>
      <c r="N57" s="107"/>
      <c r="O57" s="107"/>
      <c r="P57" s="140"/>
      <c r="Q57" s="140"/>
      <c r="R57" s="140"/>
      <c r="S57" s="140"/>
      <c r="T57" s="140"/>
      <c r="U57" s="119"/>
    </row>
    <row r="58" spans="1:34" ht="11.25" customHeight="1" outlineLevel="1">
      <c r="C58" s="105" t="str">
        <f t="shared" si="35"/>
        <v>CPI</v>
      </c>
      <c r="D58" s="16" t="s">
        <v>100</v>
      </c>
      <c r="E58" s="16" t="str">
        <f t="shared" si="36"/>
        <v>Per cent</v>
      </c>
      <c r="J58" s="141"/>
      <c r="K58" s="107"/>
      <c r="L58" s="107"/>
      <c r="M58" s="107"/>
      <c r="N58" s="107"/>
      <c r="O58" s="107"/>
      <c r="P58" s="140">
        <v>0.40800000000000003</v>
      </c>
      <c r="Q58" s="140">
        <v>0.40800000000000003</v>
      </c>
      <c r="R58" s="140">
        <v>0.40800000000000003</v>
      </c>
      <c r="S58" s="140">
        <v>0.40800000000000003</v>
      </c>
      <c r="T58" s="140">
        <v>0.40800000000000003</v>
      </c>
      <c r="U58" s="119"/>
    </row>
    <row r="59" spans="1:34" ht="11.25" customHeight="1" outlineLevel="1"/>
    <row r="60" spans="1:34" outlineLevel="1">
      <c r="C60" s="8" t="s">
        <v>40</v>
      </c>
      <c r="D60" s="16" t="s">
        <v>97</v>
      </c>
      <c r="E60" s="16" t="s">
        <v>28</v>
      </c>
      <c r="F60" s="16" t="s">
        <v>36</v>
      </c>
      <c r="J60" s="91" t="str">
        <f t="shared" ref="J60:S60" si="37">IF(J49=J$4,IF(SUM(J51:J58)=1,"Ok","Check"),"")</f>
        <v/>
      </c>
      <c r="K60" s="91" t="str">
        <f t="shared" si="37"/>
        <v/>
      </c>
      <c r="L60" s="91" t="str">
        <f t="shared" si="37"/>
        <v/>
      </c>
      <c r="M60" s="91" t="str">
        <f t="shared" si="37"/>
        <v/>
      </c>
      <c r="N60" s="91" t="str">
        <f t="shared" si="37"/>
        <v/>
      </c>
      <c r="O60" s="91" t="str">
        <f t="shared" si="37"/>
        <v/>
      </c>
      <c r="P60" s="91" t="str">
        <f t="shared" si="37"/>
        <v>Ok</v>
      </c>
      <c r="Q60" s="91" t="str">
        <f t="shared" si="37"/>
        <v>Ok</v>
      </c>
      <c r="R60" s="91" t="str">
        <f t="shared" si="37"/>
        <v>Ok</v>
      </c>
      <c r="S60" s="91" t="str">
        <f t="shared" si="37"/>
        <v>Ok</v>
      </c>
      <c r="T60" s="91" t="str">
        <f>IF(T49=T$4,IF(SUM(T51:T58)=1,"Ok","Check"),"")</f>
        <v>Ok</v>
      </c>
      <c r="U60" s="91" t="str">
        <f>IF(U49=U$4,IF(SUM(U51:U58)=1,"Ok","Check"),"")</f>
        <v/>
      </c>
      <c r="V60" s="25"/>
      <c r="X60" s="90" t="str">
        <f>IF(COUNTIF(J60:U60,"Check")=0,"Ok","Check")</f>
        <v>Ok</v>
      </c>
    </row>
    <row r="61" spans="1:34"/>
    <row r="62" spans="1:34" customFormat="1" ht="12.75">
      <c r="A62" s="37"/>
      <c r="B62" s="43" t="s">
        <v>83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outlineLevel="1">
      <c r="C64" s="9" t="s">
        <v>84</v>
      </c>
      <c r="D64" s="21" t="s">
        <v>7</v>
      </c>
      <c r="E64" s="21" t="s">
        <v>8</v>
      </c>
      <c r="F64" s="21" t="s">
        <v>22</v>
      </c>
      <c r="G64" s="21"/>
      <c r="H64" s="21"/>
      <c r="J64" s="116" t="str">
        <f t="shared" ref="J64:U64" si="38">IF(YEAR(J$4)&gt;=PPLastYear,IF(YEAR(J$4)&lt;=FPLastYear,J$4,""),"")</f>
        <v/>
      </c>
      <c r="K64" s="116" t="str">
        <f t="shared" si="38"/>
        <v/>
      </c>
      <c r="L64" s="116" t="str">
        <f t="shared" si="38"/>
        <v/>
      </c>
      <c r="M64" s="116" t="str">
        <f t="shared" si="38"/>
        <v/>
      </c>
      <c r="N64" s="116" t="str">
        <f t="shared" si="38"/>
        <v/>
      </c>
      <c r="O64" s="116">
        <f t="shared" si="38"/>
        <v>45444</v>
      </c>
      <c r="P64" s="116">
        <f t="shared" si="38"/>
        <v>45809</v>
      </c>
      <c r="Q64" s="116">
        <f t="shared" si="38"/>
        <v>46174</v>
      </c>
      <c r="R64" s="116">
        <f t="shared" si="38"/>
        <v>46539</v>
      </c>
      <c r="S64" s="116">
        <f t="shared" si="38"/>
        <v>46905</v>
      </c>
      <c r="T64" s="116">
        <f t="shared" si="38"/>
        <v>47270</v>
      </c>
      <c r="U64" s="116" t="str">
        <f t="shared" si="38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3" t="s">
        <v>192</v>
      </c>
      <c r="D66" s="16" t="s">
        <v>100</v>
      </c>
      <c r="E66" s="16" t="s">
        <v>18</v>
      </c>
      <c r="F66" s="16" t="s">
        <v>36</v>
      </c>
      <c r="G66" s="21"/>
      <c r="H66" s="21"/>
      <c r="J66" s="141"/>
      <c r="K66" s="137"/>
      <c r="L66" s="137"/>
      <c r="M66" s="137"/>
      <c r="N66" s="137"/>
      <c r="O66" s="172">
        <v>1808158</v>
      </c>
      <c r="P66" s="172">
        <v>1816687</v>
      </c>
      <c r="Q66" s="172">
        <v>1827942</v>
      </c>
      <c r="R66" s="172">
        <v>1841964</v>
      </c>
      <c r="S66" s="172">
        <v>1859163</v>
      </c>
      <c r="T66" s="172">
        <v>1878238</v>
      </c>
      <c r="U66" s="138"/>
    </row>
    <row r="67" spans="3:24" outlineLevel="1">
      <c r="C67" s="53" t="s">
        <v>193</v>
      </c>
      <c r="D67" s="16" t="s">
        <v>100</v>
      </c>
      <c r="E67" s="16" t="s">
        <v>18</v>
      </c>
      <c r="F67" s="16" t="s">
        <v>36</v>
      </c>
      <c r="G67" s="21"/>
      <c r="H67" s="21"/>
      <c r="J67" s="141"/>
      <c r="K67" s="137"/>
      <c r="L67" s="137"/>
      <c r="M67" s="137"/>
      <c r="N67" s="137"/>
      <c r="O67" s="172">
        <v>43071.520000000004</v>
      </c>
      <c r="P67" s="172">
        <v>43251.369999999995</v>
      </c>
      <c r="Q67" s="172">
        <v>43459.11</v>
      </c>
      <c r="R67" s="172">
        <v>43661.39</v>
      </c>
      <c r="S67" s="172">
        <v>43868.520000000004</v>
      </c>
      <c r="T67" s="172">
        <v>44028.09</v>
      </c>
      <c r="U67" s="138"/>
    </row>
    <row r="68" spans="3:24" outlineLevel="1">
      <c r="C68" s="53" t="s">
        <v>194</v>
      </c>
      <c r="D68" s="16" t="s">
        <v>100</v>
      </c>
      <c r="E68" s="16" t="s">
        <v>18</v>
      </c>
      <c r="F68" s="16" t="s">
        <v>36</v>
      </c>
      <c r="G68" s="21"/>
      <c r="H68" s="21"/>
      <c r="J68" s="141"/>
      <c r="K68" s="137"/>
      <c r="L68" s="137"/>
      <c r="M68" s="137"/>
      <c r="N68" s="137"/>
      <c r="O68" s="172">
        <v>6555</v>
      </c>
      <c r="P68" s="172">
        <v>6555</v>
      </c>
      <c r="Q68" s="172">
        <v>6555</v>
      </c>
      <c r="R68" s="172">
        <v>6555</v>
      </c>
      <c r="S68" s="172">
        <v>6611</v>
      </c>
      <c r="T68" s="172">
        <v>6654</v>
      </c>
      <c r="U68" s="138"/>
    </row>
    <row r="69" spans="3:24" outlineLevel="1">
      <c r="C69" s="53"/>
      <c r="D69" s="16" t="s">
        <v>100</v>
      </c>
      <c r="E69" s="16" t="s">
        <v>18</v>
      </c>
      <c r="F69" s="16" t="s">
        <v>36</v>
      </c>
      <c r="G69" s="21"/>
      <c r="H69" s="21"/>
      <c r="J69" s="141"/>
      <c r="K69" s="137"/>
      <c r="L69" s="137"/>
      <c r="M69" s="137"/>
      <c r="N69" s="137"/>
      <c r="O69" s="138"/>
      <c r="P69" s="138"/>
      <c r="Q69" s="138"/>
      <c r="R69" s="138"/>
      <c r="S69" s="138"/>
      <c r="T69" s="138"/>
      <c r="U69" s="138"/>
    </row>
    <row r="70" spans="3:24" outlineLevel="1">
      <c r="C70" s="53"/>
      <c r="D70" s="16" t="s">
        <v>100</v>
      </c>
      <c r="E70" s="16" t="s">
        <v>18</v>
      </c>
      <c r="F70" s="16" t="s">
        <v>36</v>
      </c>
      <c r="G70" s="21"/>
      <c r="H70" s="21"/>
      <c r="J70" s="141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</row>
    <row r="71" spans="3:24" outlineLevel="1">
      <c r="C71" s="53"/>
      <c r="D71" s="16" t="s">
        <v>100</v>
      </c>
      <c r="E71" s="16" t="s">
        <v>18</v>
      </c>
      <c r="F71" s="16" t="s">
        <v>36</v>
      </c>
      <c r="G71" s="21"/>
      <c r="H71" s="21"/>
      <c r="J71" s="141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40</v>
      </c>
      <c r="D73" s="16" t="s">
        <v>97</v>
      </c>
      <c r="E73" s="16" t="s">
        <v>28</v>
      </c>
      <c r="F73" s="16" t="s">
        <v>36</v>
      </c>
      <c r="J73" s="91" t="str">
        <f t="shared" ref="J73:S73" si="39">IF(J64=J$4,IF(COUNTA($C66:$C71)=COUNT(J66:J71),"Ok","Check"),"")</f>
        <v/>
      </c>
      <c r="K73" s="91" t="str">
        <f t="shared" si="39"/>
        <v/>
      </c>
      <c r="L73" s="91" t="str">
        <f t="shared" si="39"/>
        <v/>
      </c>
      <c r="M73" s="91" t="str">
        <f t="shared" si="39"/>
        <v/>
      </c>
      <c r="N73" s="91" t="str">
        <f t="shared" si="39"/>
        <v/>
      </c>
      <c r="O73" s="91" t="str">
        <f t="shared" si="39"/>
        <v>Ok</v>
      </c>
      <c r="P73" s="91" t="str">
        <f t="shared" si="39"/>
        <v>Ok</v>
      </c>
      <c r="Q73" s="91" t="str">
        <f t="shared" si="39"/>
        <v>Ok</v>
      </c>
      <c r="R73" s="91" t="str">
        <f t="shared" si="39"/>
        <v>Ok</v>
      </c>
      <c r="S73" s="91" t="str">
        <f t="shared" si="39"/>
        <v>Ok</v>
      </c>
      <c r="T73" s="91" t="str">
        <f>IF(T64=T$4,IF(COUNTA($C66:$C71)=COUNT(T66:T71),"Ok","Check"),"")</f>
        <v>Ok</v>
      </c>
      <c r="U73" s="91" t="str">
        <f>IF(U64=U$4,IF(COUNTA($C66:$C71)=COUNT(U66:U71),"Ok","Check"),"")</f>
        <v/>
      </c>
      <c r="V73" s="25"/>
      <c r="X73" s="90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87</v>
      </c>
      <c r="D75" s="21" t="s">
        <v>7</v>
      </c>
      <c r="E75" s="21" t="s">
        <v>8</v>
      </c>
      <c r="F75" s="21" t="s">
        <v>22</v>
      </c>
      <c r="G75" s="21"/>
      <c r="H75" s="21"/>
      <c r="J75" s="116" t="str">
        <f t="shared" ref="J75:U75" si="40">IF(YEAR(J$4)&gt;=FPFirstYear,IF(YEAR(J$4)&lt;=FPLastYear,J$4,""),"")</f>
        <v/>
      </c>
      <c r="K75" s="116" t="str">
        <f t="shared" si="40"/>
        <v/>
      </c>
      <c r="L75" s="116" t="str">
        <f t="shared" si="40"/>
        <v/>
      </c>
      <c r="M75" s="116" t="str">
        <f t="shared" si="40"/>
        <v/>
      </c>
      <c r="N75" s="116" t="str">
        <f t="shared" si="40"/>
        <v/>
      </c>
      <c r="O75" s="116" t="str">
        <f t="shared" si="40"/>
        <v/>
      </c>
      <c r="P75" s="116">
        <f t="shared" si="40"/>
        <v>45809</v>
      </c>
      <c r="Q75" s="116">
        <f t="shared" si="40"/>
        <v>46174</v>
      </c>
      <c r="R75" s="116">
        <f t="shared" si="40"/>
        <v>46539</v>
      </c>
      <c r="S75" s="116">
        <f t="shared" si="40"/>
        <v>46905</v>
      </c>
      <c r="T75" s="116">
        <f t="shared" si="40"/>
        <v>47270</v>
      </c>
      <c r="U75" s="116" t="str">
        <f t="shared" si="40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5" t="str">
        <f>C66</f>
        <v>Customer numbers (#)</v>
      </c>
      <c r="D77" s="16" t="s">
        <v>97</v>
      </c>
      <c r="E77" s="16" t="s">
        <v>18</v>
      </c>
      <c r="F77" s="16" t="s">
        <v>36</v>
      </c>
      <c r="G77" s="21"/>
      <c r="H77" s="21"/>
      <c r="J77" s="80" t="str">
        <f t="shared" ref="J77:M77" si="41">IF(ISBLANK(I66),"",IF(ISBLANK(J66),"",LN(J66)-LN(I66)))</f>
        <v/>
      </c>
      <c r="K77" s="80" t="str">
        <f t="shared" si="41"/>
        <v/>
      </c>
      <c r="L77" s="80" t="str">
        <f t="shared" si="41"/>
        <v/>
      </c>
      <c r="M77" s="80" t="str">
        <f t="shared" si="41"/>
        <v/>
      </c>
      <c r="N77" s="80" t="str">
        <f>IF(ISBLANK(M66),"",IF(ISBLANK(N66),"",LN(N66)-LN(M66)))</f>
        <v/>
      </c>
      <c r="O77" s="80" t="str">
        <f t="shared" ref="O77:U77" si="42">IF(ISBLANK(N66),"",IF(ISBLANK(O66),"",LN(O66)-LN(N66)))</f>
        <v/>
      </c>
      <c r="P77" s="80">
        <f t="shared" si="42"/>
        <v>4.7058650726707896E-3</v>
      </c>
      <c r="Q77" s="80">
        <f t="shared" si="42"/>
        <v>6.1762312584292545E-3</v>
      </c>
      <c r="R77" s="80">
        <f t="shared" si="42"/>
        <v>7.6416498048015313E-3</v>
      </c>
      <c r="S77" s="80">
        <f t="shared" si="42"/>
        <v>9.2939927765378627E-3</v>
      </c>
      <c r="T77" s="80">
        <f t="shared" si="42"/>
        <v>1.020771687613653E-2</v>
      </c>
      <c r="U77" s="80" t="str">
        <f t="shared" si="42"/>
        <v/>
      </c>
    </row>
    <row r="78" spans="3:24" outlineLevel="1">
      <c r="C78" s="105" t="str">
        <f t="shared" ref="C78:C82" si="43">C67</f>
        <v>Circuit Length (km)</v>
      </c>
      <c r="D78" s="16" t="s">
        <v>97</v>
      </c>
      <c r="E78" s="16" t="s">
        <v>18</v>
      </c>
      <c r="F78" s="16" t="s">
        <v>36</v>
      </c>
      <c r="G78" s="21"/>
      <c r="H78" s="21"/>
      <c r="J78" s="80" t="str">
        <f t="shared" ref="J78:U78" si="44">IF(ISBLANK(I67),"",IF(ISBLANK(J67),"",LN(J67)-LN(I67)))</f>
        <v/>
      </c>
      <c r="K78" s="80" t="str">
        <f t="shared" si="44"/>
        <v/>
      </c>
      <c r="L78" s="80" t="str">
        <f t="shared" si="44"/>
        <v/>
      </c>
      <c r="M78" s="80" t="str">
        <f t="shared" si="44"/>
        <v/>
      </c>
      <c r="N78" s="80" t="str">
        <f t="shared" si="44"/>
        <v/>
      </c>
      <c r="O78" s="80" t="str">
        <f t="shared" si="44"/>
        <v/>
      </c>
      <c r="P78" s="80">
        <f t="shared" si="44"/>
        <v>4.1669193473747868E-3</v>
      </c>
      <c r="Q78" s="80">
        <f t="shared" si="44"/>
        <v>4.7915868407990558E-3</v>
      </c>
      <c r="R78" s="80">
        <f t="shared" si="44"/>
        <v>4.643691519099491E-3</v>
      </c>
      <c r="S78" s="80">
        <f t="shared" si="44"/>
        <v>4.7327910340726476E-3</v>
      </c>
      <c r="T78" s="80">
        <f t="shared" si="44"/>
        <v>3.6308607420210137E-3</v>
      </c>
      <c r="U78" s="80" t="str">
        <f t="shared" si="44"/>
        <v/>
      </c>
    </row>
    <row r="79" spans="3:24" outlineLevel="1">
      <c r="C79" s="105" t="str">
        <f t="shared" si="43"/>
        <v xml:space="preserve">Ratcheted maximum demand </v>
      </c>
      <c r="D79" s="16" t="s">
        <v>97</v>
      </c>
      <c r="E79" s="16" t="s">
        <v>18</v>
      </c>
      <c r="F79" s="16" t="s">
        <v>36</v>
      </c>
      <c r="G79" s="21"/>
      <c r="H79" s="21"/>
      <c r="J79" s="80" t="str">
        <f t="shared" ref="J79:U79" si="45">IF(ISBLANK(I68),"",IF(ISBLANK(J68),"",LN(J68)-LN(I68)))</f>
        <v/>
      </c>
      <c r="K79" s="80" t="str">
        <f t="shared" si="45"/>
        <v/>
      </c>
      <c r="L79" s="80" t="str">
        <f t="shared" si="45"/>
        <v/>
      </c>
      <c r="M79" s="80" t="str">
        <f t="shared" si="45"/>
        <v/>
      </c>
      <c r="N79" s="80" t="str">
        <f t="shared" si="45"/>
        <v/>
      </c>
      <c r="O79" s="80" t="str">
        <f t="shared" si="45"/>
        <v/>
      </c>
      <c r="P79" s="80">
        <f t="shared" si="45"/>
        <v>0</v>
      </c>
      <c r="Q79" s="80">
        <f t="shared" si="45"/>
        <v>0</v>
      </c>
      <c r="R79" s="80">
        <f t="shared" si="45"/>
        <v>0</v>
      </c>
      <c r="S79" s="80">
        <f t="shared" si="45"/>
        <v>8.5068111357777809E-3</v>
      </c>
      <c r="T79" s="80">
        <f t="shared" si="45"/>
        <v>6.4832492448445578E-3</v>
      </c>
      <c r="U79" s="80" t="str">
        <f t="shared" si="45"/>
        <v/>
      </c>
    </row>
    <row r="80" spans="3:24" outlineLevel="1">
      <c r="C80" s="105">
        <f t="shared" si="43"/>
        <v>0</v>
      </c>
      <c r="D80" s="16" t="s">
        <v>97</v>
      </c>
      <c r="E80" s="16" t="s">
        <v>18</v>
      </c>
      <c r="F80" s="16" t="s">
        <v>36</v>
      </c>
      <c r="G80" s="21"/>
      <c r="H80" s="21"/>
      <c r="J80" s="80" t="str">
        <f t="shared" ref="J80:U80" si="46">IF(ISBLANK(I69),"",IF(ISBLANK(J69),"",LN(J69)-LN(I69)))</f>
        <v/>
      </c>
      <c r="K80" s="80" t="str">
        <f t="shared" si="46"/>
        <v/>
      </c>
      <c r="L80" s="80" t="str">
        <f t="shared" si="46"/>
        <v/>
      </c>
      <c r="M80" s="80" t="str">
        <f t="shared" si="46"/>
        <v/>
      </c>
      <c r="N80" s="80" t="str">
        <f t="shared" si="46"/>
        <v/>
      </c>
      <c r="O80" s="80" t="str">
        <f t="shared" si="46"/>
        <v/>
      </c>
      <c r="P80" s="80" t="str">
        <f t="shared" si="46"/>
        <v/>
      </c>
      <c r="Q80" s="80" t="str">
        <f t="shared" si="46"/>
        <v/>
      </c>
      <c r="R80" s="80" t="str">
        <f t="shared" si="46"/>
        <v/>
      </c>
      <c r="S80" s="80" t="str">
        <f t="shared" si="46"/>
        <v/>
      </c>
      <c r="T80" s="80" t="str">
        <f t="shared" si="46"/>
        <v/>
      </c>
      <c r="U80" s="80" t="str">
        <f t="shared" si="46"/>
        <v/>
      </c>
    </row>
    <row r="81" spans="3:21" outlineLevel="1">
      <c r="C81" s="105">
        <f t="shared" si="43"/>
        <v>0</v>
      </c>
      <c r="D81" s="16" t="s">
        <v>97</v>
      </c>
      <c r="E81" s="16" t="s">
        <v>18</v>
      </c>
      <c r="F81" s="16" t="s">
        <v>36</v>
      </c>
      <c r="G81" s="21"/>
      <c r="H81" s="21"/>
      <c r="J81" s="80" t="str">
        <f t="shared" ref="J81:T81" si="47">IF(ISBLANK(I70),"",IF(ISBLANK(J70),"",LN(J70)-LN(I70)))</f>
        <v/>
      </c>
      <c r="K81" s="80" t="str">
        <f t="shared" si="47"/>
        <v/>
      </c>
      <c r="L81" s="80" t="str">
        <f t="shared" si="47"/>
        <v/>
      </c>
      <c r="M81" s="80" t="str">
        <f t="shared" si="47"/>
        <v/>
      </c>
      <c r="N81" s="80" t="str">
        <f t="shared" si="47"/>
        <v/>
      </c>
      <c r="O81" s="80" t="str">
        <f t="shared" si="47"/>
        <v/>
      </c>
      <c r="P81" s="80" t="str">
        <f t="shared" si="47"/>
        <v/>
      </c>
      <c r="Q81" s="80" t="str">
        <f t="shared" si="47"/>
        <v/>
      </c>
      <c r="R81" s="80" t="str">
        <f t="shared" si="47"/>
        <v/>
      </c>
      <c r="S81" s="80" t="str">
        <f t="shared" si="47"/>
        <v/>
      </c>
      <c r="T81" s="80" t="str">
        <f t="shared" si="47"/>
        <v/>
      </c>
      <c r="U81" s="80"/>
    </row>
    <row r="82" spans="3:21" outlineLevel="1">
      <c r="C82" s="105">
        <f t="shared" si="43"/>
        <v>0</v>
      </c>
      <c r="D82" s="16" t="s">
        <v>97</v>
      </c>
      <c r="E82" s="16" t="s">
        <v>18</v>
      </c>
      <c r="F82" s="16" t="s">
        <v>36</v>
      </c>
      <c r="G82" s="21"/>
      <c r="H82" s="21"/>
      <c r="J82" s="80" t="str">
        <f t="shared" ref="J82:T82" si="48">IF(ISBLANK(I71),"",IF(ISBLANK(J71),"",LN(J71)-LN(I71)))</f>
        <v/>
      </c>
      <c r="K82" s="80" t="str">
        <f t="shared" si="48"/>
        <v/>
      </c>
      <c r="L82" s="80" t="str">
        <f t="shared" si="48"/>
        <v/>
      </c>
      <c r="M82" s="80" t="str">
        <f t="shared" si="48"/>
        <v/>
      </c>
      <c r="N82" s="80" t="str">
        <f t="shared" si="48"/>
        <v/>
      </c>
      <c r="O82" s="80" t="str">
        <f t="shared" si="48"/>
        <v/>
      </c>
      <c r="P82" s="80" t="str">
        <f t="shared" si="48"/>
        <v/>
      </c>
      <c r="Q82" s="80" t="str">
        <f t="shared" si="48"/>
        <v/>
      </c>
      <c r="R82" s="80" t="str">
        <f t="shared" si="48"/>
        <v/>
      </c>
      <c r="S82" s="80" t="str">
        <f t="shared" si="48"/>
        <v/>
      </c>
      <c r="T82" s="80" t="str">
        <f t="shared" si="48"/>
        <v/>
      </c>
      <c r="U82" s="80"/>
    </row>
    <row r="83" spans="3:21" outlineLevel="1">
      <c r="C83" s="15"/>
      <c r="G83" s="21"/>
      <c r="H83" s="21"/>
      <c r="K83" s="24"/>
      <c r="L83" s="24"/>
      <c r="M83" s="24"/>
      <c r="N83" s="24"/>
      <c r="O83" s="24"/>
    </row>
    <row r="84" spans="3:21" outlineLevel="1">
      <c r="C84" s="9" t="s">
        <v>209</v>
      </c>
      <c r="D84" s="21" t="s">
        <v>7</v>
      </c>
      <c r="E84" s="21" t="s">
        <v>8</v>
      </c>
      <c r="F84" s="21" t="s">
        <v>22</v>
      </c>
      <c r="G84" s="21"/>
      <c r="H84" s="21"/>
      <c r="J84" s="163" t="s">
        <v>202</v>
      </c>
      <c r="K84" s="163" t="s">
        <v>203</v>
      </c>
      <c r="L84" s="163" t="s">
        <v>204</v>
      </c>
      <c r="M84" s="163" t="s">
        <v>205</v>
      </c>
      <c r="N84" s="24"/>
      <c r="O84" s="24"/>
    </row>
    <row r="85" spans="3:21" outlineLevel="1">
      <c r="C85" s="15"/>
      <c r="G85" s="21"/>
      <c r="H85" s="21"/>
      <c r="K85" s="24"/>
      <c r="L85" s="24"/>
      <c r="M85" s="24"/>
      <c r="N85" s="24"/>
      <c r="O85" s="24"/>
    </row>
    <row r="86" spans="3:21" outlineLevel="1">
      <c r="C86" s="105" t="str">
        <f>C66</f>
        <v>Customer numbers (#)</v>
      </c>
      <c r="D86" s="16" t="s">
        <v>100</v>
      </c>
      <c r="E86" s="16" t="s">
        <v>18</v>
      </c>
      <c r="F86" s="16" t="s">
        <v>36</v>
      </c>
      <c r="G86" s="21"/>
      <c r="H86" s="21"/>
      <c r="J86" s="164">
        <v>0.376</v>
      </c>
      <c r="K86" s="164">
        <v>0.56100000000000005</v>
      </c>
      <c r="L86" s="164">
        <v>0.40300000000000002</v>
      </c>
      <c r="M86" s="164">
        <v>0.39500000000000002</v>
      </c>
      <c r="N86" s="24"/>
      <c r="O86" s="24"/>
    </row>
    <row r="87" spans="3:21" outlineLevel="1">
      <c r="C87" s="105" t="str">
        <f t="shared" ref="C87:C91" si="49">C67</f>
        <v>Circuit Length (km)</v>
      </c>
      <c r="D87" s="16" t="s">
        <v>100</v>
      </c>
      <c r="E87" s="16" t="s">
        <v>18</v>
      </c>
      <c r="F87" s="16" t="s">
        <v>36</v>
      </c>
      <c r="G87" s="21"/>
      <c r="H87" s="21"/>
      <c r="J87" s="164">
        <v>0.123</v>
      </c>
      <c r="K87" s="164">
        <v>0.17199999999999999</v>
      </c>
      <c r="L87" s="164">
        <v>0.183</v>
      </c>
      <c r="M87" s="164">
        <v>9.0999999999999998E-2</v>
      </c>
      <c r="N87" s="24"/>
      <c r="O87" s="24"/>
    </row>
    <row r="88" spans="3:21" outlineLevel="1">
      <c r="C88" s="105" t="str">
        <f t="shared" si="49"/>
        <v xml:space="preserve">Ratcheted maximum demand </v>
      </c>
      <c r="D88" s="16" t="s">
        <v>100</v>
      </c>
      <c r="E88" s="16" t="s">
        <v>18</v>
      </c>
      <c r="F88" s="16" t="s">
        <v>36</v>
      </c>
      <c r="G88" s="21"/>
      <c r="H88" s="21"/>
      <c r="J88" s="164">
        <v>0.46700000000000003</v>
      </c>
      <c r="K88" s="164">
        <v>0.24</v>
      </c>
      <c r="L88" s="164">
        <v>0.37</v>
      </c>
      <c r="M88" s="164">
        <v>0.42899999999999999</v>
      </c>
      <c r="N88" s="24"/>
      <c r="O88" s="24"/>
    </row>
    <row r="89" spans="3:21" outlineLevel="1">
      <c r="C89" s="105">
        <f t="shared" si="49"/>
        <v>0</v>
      </c>
      <c r="D89" s="16" t="s">
        <v>100</v>
      </c>
      <c r="E89" s="16" t="s">
        <v>18</v>
      </c>
      <c r="F89" s="16" t="s">
        <v>36</v>
      </c>
      <c r="G89" s="21"/>
      <c r="H89" s="21"/>
      <c r="J89" s="164"/>
      <c r="K89" s="165"/>
      <c r="L89" s="165"/>
      <c r="M89" s="164"/>
      <c r="N89" s="24"/>
      <c r="O89" s="24"/>
    </row>
    <row r="90" spans="3:21" outlineLevel="1">
      <c r="C90" s="105">
        <f t="shared" si="49"/>
        <v>0</v>
      </c>
      <c r="D90" s="16" t="s">
        <v>100</v>
      </c>
      <c r="E90" s="16" t="s">
        <v>18</v>
      </c>
      <c r="F90" s="16" t="s">
        <v>36</v>
      </c>
      <c r="G90" s="21"/>
      <c r="H90" s="21"/>
      <c r="J90" s="165"/>
      <c r="K90" s="165"/>
      <c r="L90" s="165"/>
      <c r="M90" s="165"/>
      <c r="N90" s="24"/>
      <c r="O90" s="24"/>
    </row>
    <row r="91" spans="3:21" outlineLevel="1">
      <c r="C91" s="105">
        <f t="shared" si="49"/>
        <v>0</v>
      </c>
      <c r="D91" s="16" t="s">
        <v>100</v>
      </c>
      <c r="E91" s="16" t="s">
        <v>18</v>
      </c>
      <c r="F91" s="16" t="s">
        <v>36</v>
      </c>
      <c r="G91" s="21"/>
      <c r="H91" s="21"/>
      <c r="J91" s="165"/>
      <c r="K91" s="165"/>
      <c r="L91" s="165"/>
      <c r="M91" s="165"/>
      <c r="N91" s="24"/>
      <c r="O91" s="24"/>
    </row>
    <row r="92" spans="3:21" outlineLevel="1">
      <c r="C92" s="15"/>
      <c r="G92" s="21"/>
      <c r="H92" s="21"/>
      <c r="K92" s="24"/>
      <c r="L92" s="24"/>
      <c r="M92" s="24"/>
      <c r="N92" s="24"/>
      <c r="O92" s="24"/>
    </row>
    <row r="93" spans="3:21" outlineLevel="1">
      <c r="C93" s="9" t="s">
        <v>164</v>
      </c>
      <c r="D93" s="21" t="s">
        <v>7</v>
      </c>
      <c r="E93" s="21" t="s">
        <v>8</v>
      </c>
      <c r="F93" s="21" t="s">
        <v>22</v>
      </c>
      <c r="G93" s="21"/>
      <c r="H93" s="21"/>
      <c r="J93" s="200" t="str">
        <f>J84</f>
        <v>SFA CD</v>
      </c>
      <c r="K93" s="200" t="str">
        <f>K84</f>
        <v>LSE CD</v>
      </c>
      <c r="L93" s="200" t="str">
        <f>L84</f>
        <v>LSE TLG</v>
      </c>
      <c r="M93" s="200" t="str">
        <f>M84</f>
        <v>SFA TLG</v>
      </c>
      <c r="N93" s="116"/>
      <c r="O93" s="116"/>
      <c r="P93" s="116"/>
      <c r="Q93" s="116"/>
      <c r="R93" s="116"/>
      <c r="S93" s="116"/>
      <c r="T93" s="116"/>
      <c r="U93" s="116"/>
    </row>
    <row r="94" spans="3:21" outlineLevel="1">
      <c r="C94" s="15"/>
      <c r="G94" s="21"/>
      <c r="H94" s="21"/>
      <c r="K94" s="24"/>
      <c r="L94" s="24"/>
      <c r="M94" s="24"/>
      <c r="N94" s="24"/>
      <c r="O94" s="72"/>
      <c r="P94" s="72"/>
      <c r="Q94" s="72"/>
      <c r="R94" s="72"/>
      <c r="S94" s="72"/>
      <c r="T94" s="72"/>
      <c r="U94" s="72"/>
    </row>
    <row r="95" spans="3:21" outlineLevel="1">
      <c r="C95" s="105" t="str">
        <f t="shared" ref="C95:C100" si="50">C66</f>
        <v>Customer numbers (#)</v>
      </c>
      <c r="D95" s="16" t="s">
        <v>97</v>
      </c>
      <c r="E95" s="16" t="str">
        <f t="shared" ref="E95:E100" si="51">percent</f>
        <v>Per cent</v>
      </c>
      <c r="F95" s="16" t="s">
        <v>36</v>
      </c>
      <c r="G95" s="21"/>
      <c r="H95" s="21"/>
      <c r="J95" s="199">
        <f t="shared" ref="J95:M100" si="52">J86/SUM(J$86:J$91)</f>
        <v>0.38923395445134579</v>
      </c>
      <c r="K95" s="199">
        <f t="shared" si="52"/>
        <v>0.57656731757451185</v>
      </c>
      <c r="L95" s="199">
        <f t="shared" si="52"/>
        <v>0.42154811715481172</v>
      </c>
      <c r="M95" s="199">
        <f t="shared" si="52"/>
        <v>0.43169398907103823</v>
      </c>
      <c r="N95" s="135"/>
      <c r="O95" s="135"/>
      <c r="P95" s="135"/>
      <c r="Q95" s="135"/>
      <c r="R95" s="135"/>
      <c r="S95" s="135"/>
      <c r="T95" s="135"/>
      <c r="U95" s="135"/>
    </row>
    <row r="96" spans="3:21" outlineLevel="1">
      <c r="C96" s="105" t="str">
        <f t="shared" si="50"/>
        <v>Circuit Length (km)</v>
      </c>
      <c r="D96" s="16" t="s">
        <v>97</v>
      </c>
      <c r="E96" s="16" t="str">
        <f t="shared" si="51"/>
        <v>Per cent</v>
      </c>
      <c r="F96" s="16" t="s">
        <v>36</v>
      </c>
      <c r="G96" s="21"/>
      <c r="H96" s="21"/>
      <c r="J96" s="199">
        <f t="shared" si="52"/>
        <v>0.12732919254658384</v>
      </c>
      <c r="K96" s="199">
        <f t="shared" si="52"/>
        <v>0.17677286742034939</v>
      </c>
      <c r="L96" s="199">
        <f t="shared" si="52"/>
        <v>0.1914225941422594</v>
      </c>
      <c r="M96" s="199">
        <f t="shared" si="52"/>
        <v>9.94535519125683E-2</v>
      </c>
      <c r="N96" s="135"/>
      <c r="O96" s="135"/>
      <c r="P96" s="135"/>
      <c r="Q96" s="135"/>
      <c r="R96" s="135"/>
      <c r="S96" s="135"/>
      <c r="T96" s="135"/>
      <c r="U96" s="135"/>
    </row>
    <row r="97" spans="1:34" outlineLevel="1">
      <c r="C97" s="105" t="str">
        <f t="shared" si="50"/>
        <v xml:space="preserve">Ratcheted maximum demand </v>
      </c>
      <c r="D97" s="16" t="s">
        <v>97</v>
      </c>
      <c r="E97" s="16" t="str">
        <f t="shared" si="51"/>
        <v>Per cent</v>
      </c>
      <c r="F97" s="16" t="s">
        <v>36</v>
      </c>
      <c r="G97" s="21"/>
      <c r="H97" s="21"/>
      <c r="J97" s="199">
        <f t="shared" si="52"/>
        <v>0.48343685300207045</v>
      </c>
      <c r="K97" s="199">
        <f t="shared" si="52"/>
        <v>0.24665981500513873</v>
      </c>
      <c r="L97" s="199">
        <f t="shared" si="52"/>
        <v>0.38702928870292885</v>
      </c>
      <c r="M97" s="199">
        <f t="shared" si="52"/>
        <v>0.46885245901639344</v>
      </c>
      <c r="N97" s="135"/>
      <c r="O97" s="135"/>
      <c r="P97" s="135"/>
      <c r="Q97" s="135"/>
      <c r="R97" s="135"/>
      <c r="S97" s="135"/>
      <c r="T97" s="135"/>
      <c r="U97" s="135"/>
    </row>
    <row r="98" spans="1:34" outlineLevel="1">
      <c r="C98" s="105">
        <f t="shared" si="50"/>
        <v>0</v>
      </c>
      <c r="D98" s="16" t="s">
        <v>97</v>
      </c>
      <c r="E98" s="16" t="str">
        <f t="shared" si="51"/>
        <v>Per cent</v>
      </c>
      <c r="F98" s="16" t="s">
        <v>36</v>
      </c>
      <c r="G98" s="21"/>
      <c r="H98" s="21"/>
      <c r="J98" s="199">
        <f t="shared" si="52"/>
        <v>0</v>
      </c>
      <c r="K98" s="199">
        <f t="shared" si="52"/>
        <v>0</v>
      </c>
      <c r="L98" s="199">
        <f t="shared" si="52"/>
        <v>0</v>
      </c>
      <c r="M98" s="199">
        <f t="shared" si="52"/>
        <v>0</v>
      </c>
      <c r="N98" s="135"/>
      <c r="O98" s="135"/>
      <c r="P98" s="135"/>
      <c r="Q98" s="135"/>
      <c r="R98" s="135"/>
      <c r="S98" s="135"/>
      <c r="T98" s="135"/>
      <c r="U98" s="135"/>
    </row>
    <row r="99" spans="1:34" outlineLevel="1">
      <c r="C99" s="105">
        <f t="shared" si="50"/>
        <v>0</v>
      </c>
      <c r="D99" s="16" t="s">
        <v>97</v>
      </c>
      <c r="E99" s="16" t="str">
        <f t="shared" si="51"/>
        <v>Per cent</v>
      </c>
      <c r="F99" s="16" t="s">
        <v>36</v>
      </c>
      <c r="G99" s="21"/>
      <c r="H99" s="21"/>
      <c r="J99" s="199">
        <f t="shared" si="52"/>
        <v>0</v>
      </c>
      <c r="K99" s="199">
        <f t="shared" si="52"/>
        <v>0</v>
      </c>
      <c r="L99" s="199">
        <f t="shared" si="52"/>
        <v>0</v>
      </c>
      <c r="M99" s="199">
        <f t="shared" si="52"/>
        <v>0</v>
      </c>
      <c r="N99" s="135"/>
      <c r="O99" s="135"/>
      <c r="P99" s="135"/>
      <c r="Q99" s="135"/>
      <c r="R99" s="135"/>
      <c r="S99" s="135"/>
      <c r="T99" s="135"/>
      <c r="U99" s="135"/>
    </row>
    <row r="100" spans="1:34" outlineLevel="1">
      <c r="C100" s="105">
        <f t="shared" si="50"/>
        <v>0</v>
      </c>
      <c r="D100" s="16" t="s">
        <v>97</v>
      </c>
      <c r="E100" s="16" t="str">
        <f t="shared" si="51"/>
        <v>Per cent</v>
      </c>
      <c r="F100" s="16" t="s">
        <v>36</v>
      </c>
      <c r="G100" s="21"/>
      <c r="H100" s="21"/>
      <c r="J100" s="199">
        <f t="shared" si="52"/>
        <v>0</v>
      </c>
      <c r="K100" s="199">
        <f t="shared" si="52"/>
        <v>0</v>
      </c>
      <c r="L100" s="199">
        <f t="shared" si="52"/>
        <v>0</v>
      </c>
      <c r="M100" s="199">
        <f t="shared" si="52"/>
        <v>0</v>
      </c>
      <c r="N100" s="135"/>
      <c r="O100" s="135"/>
      <c r="P100" s="135"/>
      <c r="Q100" s="135"/>
      <c r="R100" s="135"/>
      <c r="S100" s="135"/>
      <c r="T100" s="135"/>
      <c r="U100" s="135"/>
    </row>
    <row r="101" spans="1:34" outlineLevel="1">
      <c r="G101" s="21"/>
      <c r="H101" s="21"/>
      <c r="J101" s="166"/>
    </row>
    <row r="102" spans="1:34" outlineLevel="1">
      <c r="C102" s="8" t="s">
        <v>40</v>
      </c>
      <c r="D102" s="16" t="s">
        <v>97</v>
      </c>
      <c r="E102" s="16" t="s">
        <v>28</v>
      </c>
      <c r="F102" s="16" t="s">
        <v>36</v>
      </c>
      <c r="J102" s="91" t="str">
        <f t="array" ref="J102">IF(ISBLANK(J93),IF(ISBLANK(J95:J100),"Ok","Check"),IF(SUM(J95:J100)=1,"Ok","Check"))</f>
        <v>Ok</v>
      </c>
      <c r="K102" s="91" t="str">
        <f t="array" ref="K102">IF(ISBLANK(K93),IF(ISBLANK(K95:K100),"Ok","Check"),IF(SUM(K95:K100)=1,"Ok","Check"))</f>
        <v>Ok</v>
      </c>
      <c r="L102" s="91" t="str">
        <f t="array" ref="L102">IF(ISBLANK(L93),IF(ISBLANK(L95:L100),"Ok","Check"),IF(SUM(L95:L100)=1,"Ok","Check"))</f>
        <v>Ok</v>
      </c>
      <c r="M102" s="91" t="str">
        <f t="array" ref="M102">IF(ISBLANK(M93),IF(ISBLANK(M95:M100),"Ok","Check"),IF(SUM(M95:M100)=1,"Ok","Check"))</f>
        <v>Ok</v>
      </c>
      <c r="N102" s="91" t="str">
        <f t="array" ref="N102">IF(ISBLANK(N95:N100),"",IF(SUM(N95:N100)=1,"Ok","Check"))</f>
        <v/>
      </c>
      <c r="O102" s="91" t="str">
        <f t="array" ref="O102">IF(ISBLANK(O95:O100),"",IF(SUM(O95:O100)=1,"Ok","Check"))</f>
        <v/>
      </c>
      <c r="P102" s="91" t="str">
        <f t="array" ref="P102">IF(ISBLANK(P95:P100),"",IF(SUM(P95:P100)=1,"Ok","Check"))</f>
        <v/>
      </c>
      <c r="Q102" s="91" t="str">
        <f t="array" ref="Q102">IF(ISBLANK(Q95:Q100),"",IF(SUM(Q95:Q100)=1,"Ok","Check"))</f>
        <v/>
      </c>
      <c r="R102" s="91" t="str">
        <f t="array" ref="R102">IF(ISBLANK(R95:R100),"",IF(SUM(R95:R100)=1,"Ok","Check"))</f>
        <v/>
      </c>
      <c r="S102" s="91" t="str">
        <f t="array" ref="S102">IF(ISBLANK(S95:S100),"",IF(SUM(S95:S100)=1,"Ok","Check"))</f>
        <v/>
      </c>
      <c r="T102" s="91" t="str">
        <f t="array" ref="T102">IF(ISBLANK(T95:T100),"",IF(SUM(T95:T100)=1,"Ok","Check"))</f>
        <v/>
      </c>
      <c r="U102" s="91"/>
      <c r="V102" s="25"/>
      <c r="X102" s="90" t="str">
        <f>IF(COUNTIF(K102:T102,"Check")=0,"Ok","Check")</f>
        <v>Ok</v>
      </c>
    </row>
    <row r="103" spans="1:34" outlineLevel="1"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25"/>
      <c r="X103" s="91"/>
    </row>
    <row r="104" spans="1:34" outlineLevel="1">
      <c r="C104" s="9" t="s">
        <v>165</v>
      </c>
      <c r="D104" s="21" t="s">
        <v>7</v>
      </c>
      <c r="E104" s="21" t="s">
        <v>8</v>
      </c>
      <c r="F104" s="21" t="s">
        <v>22</v>
      </c>
      <c r="J104" s="116" t="str">
        <f t="shared" ref="J104:U104" si="53">IF(YEAR(J$4)&gt;=FPFirstYear,IF(YEAR(J$4)&lt;=FPLastYear,J$4,""),"")</f>
        <v/>
      </c>
      <c r="K104" s="116" t="str">
        <f t="shared" si="53"/>
        <v/>
      </c>
      <c r="L104" s="116" t="str">
        <f t="shared" si="53"/>
        <v/>
      </c>
      <c r="M104" s="116" t="str">
        <f t="shared" si="53"/>
        <v/>
      </c>
      <c r="N104" s="116" t="str">
        <f t="shared" si="53"/>
        <v/>
      </c>
      <c r="O104" s="116" t="str">
        <f t="shared" si="53"/>
        <v/>
      </c>
      <c r="P104" s="116">
        <f t="shared" si="53"/>
        <v>45809</v>
      </c>
      <c r="Q104" s="116">
        <f t="shared" si="53"/>
        <v>46174</v>
      </c>
      <c r="R104" s="116">
        <f t="shared" si="53"/>
        <v>46539</v>
      </c>
      <c r="S104" s="116">
        <f t="shared" si="53"/>
        <v>46905</v>
      </c>
      <c r="T104" s="116">
        <f t="shared" si="53"/>
        <v>47270</v>
      </c>
      <c r="U104" s="116" t="str">
        <f t="shared" si="53"/>
        <v/>
      </c>
      <c r="V104" s="25"/>
      <c r="X104" s="91"/>
    </row>
    <row r="105" spans="1:34" outlineLevel="1"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25"/>
      <c r="X105" s="91"/>
    </row>
    <row r="106" spans="1:34" outlineLevel="1">
      <c r="C106" s="105" t="str">
        <f t="array" ref="C106:C109">TRANSPOSE(J93:M93)</f>
        <v>SFA CD</v>
      </c>
      <c r="D106" s="16" t="s">
        <v>97</v>
      </c>
      <c r="E106" s="16" t="s">
        <v>18</v>
      </c>
      <c r="F106" s="16" t="s">
        <v>36</v>
      </c>
      <c r="J106" s="80" t="str">
        <f t="shared" ref="J106:U106" si="54">IF(J$104=J$4,SUMPRODUCT(J$77:J$82,$J$95:$J$100),"")</f>
        <v/>
      </c>
      <c r="K106" s="80" t="str">
        <f t="shared" si="54"/>
        <v/>
      </c>
      <c r="L106" s="80" t="str">
        <f t="shared" si="54"/>
        <v/>
      </c>
      <c r="M106" s="80" t="str">
        <f t="shared" si="54"/>
        <v/>
      </c>
      <c r="N106" s="80" t="str">
        <f t="shared" si="54"/>
        <v/>
      </c>
      <c r="O106" s="80" t="str">
        <f t="shared" si="54"/>
        <v/>
      </c>
      <c r="P106" s="80">
        <f t="shared" si="54"/>
        <v>2.362252947258091E-3</v>
      </c>
      <c r="Q106" s="80">
        <f t="shared" si="54"/>
        <v>3.0141077997802111E-3</v>
      </c>
      <c r="R106" s="80">
        <f t="shared" si="54"/>
        <v>3.5656670636176123E-3</v>
      </c>
      <c r="S106" s="80">
        <f t="shared" si="54"/>
        <v>8.3326660264776368E-3</v>
      </c>
      <c r="T106" s="80">
        <f t="shared" si="54"/>
        <v>7.5697461843046883E-3</v>
      </c>
      <c r="U106" s="80" t="str">
        <f t="shared" si="54"/>
        <v/>
      </c>
      <c r="V106" s="25"/>
      <c r="X106" s="91"/>
    </row>
    <row r="107" spans="1:34" outlineLevel="1">
      <c r="C107" s="105" t="str">
        <v>LSE CD</v>
      </c>
      <c r="D107" s="16" t="s">
        <v>97</v>
      </c>
      <c r="E107" s="16" t="s">
        <v>18</v>
      </c>
      <c r="F107" s="16" t="s">
        <v>36</v>
      </c>
      <c r="J107" s="80" t="str">
        <f t="shared" ref="J107:U107" si="55">IF(J$104=J$4,SUMPRODUCT(J$77:J$82,$K$95:$K$100),"")</f>
        <v/>
      </c>
      <c r="K107" s="80" t="str">
        <f t="shared" si="55"/>
        <v/>
      </c>
      <c r="L107" s="80" t="str">
        <f t="shared" si="55"/>
        <v/>
      </c>
      <c r="M107" s="80" t="str">
        <f t="shared" si="55"/>
        <v/>
      </c>
      <c r="N107" s="80" t="str">
        <f t="shared" si="55"/>
        <v/>
      </c>
      <c r="O107" s="80" t="str">
        <f t="shared" si="55"/>
        <v/>
      </c>
      <c r="P107" s="80">
        <f t="shared" si="55"/>
        <v>3.4498462831621542E-3</v>
      </c>
      <c r="Q107" s="80">
        <f t="shared" si="55"/>
        <v>4.4080356347340694E-3</v>
      </c>
      <c r="R107" s="80">
        <f t="shared" si="55"/>
        <v>5.2268041950449861E-3</v>
      </c>
      <c r="S107" s="80">
        <f t="shared" si="55"/>
        <v>8.2935299877542681E-3</v>
      </c>
      <c r="T107" s="80">
        <f t="shared" si="55"/>
        <v>8.1264306617707116E-3</v>
      </c>
      <c r="U107" s="80" t="str">
        <f t="shared" si="55"/>
        <v/>
      </c>
      <c r="V107" s="25"/>
      <c r="X107" s="91"/>
    </row>
    <row r="108" spans="1:34" outlineLevel="1">
      <c r="C108" s="105" t="str">
        <v>LSE TLG</v>
      </c>
      <c r="D108" s="16" t="s">
        <v>97</v>
      </c>
      <c r="E108" s="16" t="s">
        <v>18</v>
      </c>
      <c r="F108" s="16" t="s">
        <v>36</v>
      </c>
      <c r="J108" s="80" t="str">
        <f t="shared" ref="J108:U108" si="56">IF(J$104=J$4,SUMPRODUCT(J$77:J$82,$L$95:$L$100),"")</f>
        <v/>
      </c>
      <c r="K108" s="80" t="str">
        <f t="shared" si="56"/>
        <v/>
      </c>
      <c r="L108" s="80" t="str">
        <f t="shared" si="56"/>
        <v/>
      </c>
      <c r="M108" s="80" t="str">
        <f t="shared" si="56"/>
        <v/>
      </c>
      <c r="N108" s="80" t="str">
        <f t="shared" si="56"/>
        <v/>
      </c>
      <c r="O108" s="80" t="str">
        <f t="shared" si="56"/>
        <v/>
      </c>
      <c r="P108" s="80">
        <f t="shared" si="56"/>
        <v>2.7813910720250147E-3</v>
      </c>
      <c r="Q108" s="80">
        <f t="shared" si="56"/>
        <v>3.5207966412272142E-3</v>
      </c>
      <c r="R108" s="80">
        <f t="shared" si="56"/>
        <v>4.1102305641529538E-3</v>
      </c>
      <c r="S108" s="80">
        <f t="shared" si="56"/>
        <v>8.1162133560855991E-3</v>
      </c>
      <c r="T108" s="80">
        <f t="shared" si="56"/>
        <v>7.5072799555076924E-3</v>
      </c>
      <c r="U108" s="80" t="str">
        <f t="shared" si="56"/>
        <v/>
      </c>
      <c r="V108" s="25"/>
      <c r="X108" s="91"/>
    </row>
    <row r="109" spans="1:34" outlineLevel="1">
      <c r="C109" s="105" t="str">
        <v>SFA TLG</v>
      </c>
      <c r="D109" s="16" t="s">
        <v>97</v>
      </c>
      <c r="E109" s="16" t="s">
        <v>18</v>
      </c>
      <c r="F109" s="16" t="s">
        <v>36</v>
      </c>
      <c r="J109" s="80" t="str">
        <f t="shared" ref="J109:U109" si="57">IF(J$104=J$4,SUMPRODUCT(J$77:J$82,$M$95:$M$100),"")</f>
        <v/>
      </c>
      <c r="K109" s="80" t="str">
        <f t="shared" si="57"/>
        <v/>
      </c>
      <c r="L109" s="80" t="str">
        <f t="shared" si="57"/>
        <v/>
      </c>
      <c r="M109" s="80" t="str">
        <f t="shared" si="57"/>
        <v/>
      </c>
      <c r="N109" s="80" t="str">
        <f t="shared" si="57"/>
        <v/>
      </c>
      <c r="O109" s="80" t="str">
        <f t="shared" si="57"/>
        <v/>
      </c>
      <c r="P109" s="80">
        <f t="shared" si="57"/>
        <v>2.4459085948809476E-3</v>
      </c>
      <c r="Q109" s="80">
        <f t="shared" si="57"/>
        <v>3.1427822399915516E-3</v>
      </c>
      <c r="R109" s="80">
        <f t="shared" si="57"/>
        <v>3.7606859028794081E-3</v>
      </c>
      <c r="S109" s="80">
        <f t="shared" si="57"/>
        <v>8.4712930142969781E-3</v>
      </c>
      <c r="T109" s="80">
        <f t="shared" si="57"/>
        <v>7.8073993657225751E-3</v>
      </c>
      <c r="U109" s="80" t="str">
        <f t="shared" si="57"/>
        <v/>
      </c>
      <c r="V109" s="25"/>
      <c r="X109" s="91"/>
    </row>
    <row r="110" spans="1:34" outlineLevel="1">
      <c r="C110" s="15"/>
      <c r="G110" s="21"/>
      <c r="H110" s="21"/>
      <c r="K110" s="24"/>
      <c r="L110" s="24"/>
      <c r="M110" s="24"/>
      <c r="N110" s="24"/>
      <c r="O110" s="24"/>
    </row>
    <row r="111" spans="1:34" customFormat="1" ht="12.75">
      <c r="A111" s="37"/>
      <c r="B111" s="43" t="s">
        <v>77</v>
      </c>
      <c r="C111" s="37"/>
      <c r="D111" s="37"/>
      <c r="E111" s="37"/>
      <c r="F111" s="38"/>
      <c r="G111" s="38"/>
      <c r="H111" s="38"/>
      <c r="I111" s="38"/>
      <c r="J111" s="38"/>
      <c r="K111" s="39"/>
      <c r="L111" s="40"/>
      <c r="M111" s="39"/>
      <c r="N111" s="40"/>
      <c r="O111" s="39"/>
      <c r="P111" s="39"/>
      <c r="Q111" s="39"/>
      <c r="R111" s="39"/>
      <c r="S111" s="39"/>
      <c r="T111" s="39"/>
      <c r="U111" s="39"/>
      <c r="V111" s="39"/>
      <c r="W111" s="39"/>
      <c r="X111" s="40"/>
      <c r="Y111" s="41"/>
      <c r="Z111" s="41"/>
      <c r="AA111" s="41"/>
      <c r="AB111" s="41"/>
      <c r="AC111" s="41"/>
      <c r="AD111" s="41"/>
      <c r="AE111" s="41"/>
      <c r="AF111" s="41"/>
      <c r="AG111" s="42"/>
      <c r="AH111" s="42"/>
    </row>
    <row r="112" spans="1:34" outlineLevel="1">
      <c r="G112" s="21"/>
      <c r="H112" s="21"/>
    </row>
    <row r="113" spans="1:34" outlineLevel="1">
      <c r="C113" s="9" t="s">
        <v>47</v>
      </c>
      <c r="D113" s="21" t="s">
        <v>7</v>
      </c>
      <c r="E113" s="21" t="s">
        <v>8</v>
      </c>
      <c r="F113" s="21" t="s">
        <v>22</v>
      </c>
      <c r="G113" s="21"/>
      <c r="H113" s="21"/>
      <c r="J113" s="116" t="str">
        <f t="shared" ref="J113:U113" si="58">IF(YEAR(J$4)&gt;=FPFirstYear,IF(YEAR(J$4)&lt;=FPLastYear,J$4,""),"")</f>
        <v/>
      </c>
      <c r="K113" s="116" t="str">
        <f t="shared" si="58"/>
        <v/>
      </c>
      <c r="L113" s="116" t="str">
        <f t="shared" si="58"/>
        <v/>
      </c>
      <c r="M113" s="116" t="str">
        <f t="shared" si="58"/>
        <v/>
      </c>
      <c r="N113" s="116" t="str">
        <f t="shared" si="58"/>
        <v/>
      </c>
      <c r="O113" s="116" t="str">
        <f t="shared" si="58"/>
        <v/>
      </c>
      <c r="P113" s="116">
        <f t="shared" si="58"/>
        <v>45809</v>
      </c>
      <c r="Q113" s="116">
        <f t="shared" si="58"/>
        <v>46174</v>
      </c>
      <c r="R113" s="116">
        <f t="shared" si="58"/>
        <v>46539</v>
      </c>
      <c r="S113" s="116">
        <f t="shared" si="58"/>
        <v>46905</v>
      </c>
      <c r="T113" s="116">
        <f t="shared" si="58"/>
        <v>47270</v>
      </c>
      <c r="U113" s="116" t="str">
        <f t="shared" si="58"/>
        <v/>
      </c>
    </row>
    <row r="114" spans="1:34" outlineLevel="1">
      <c r="C114" s="15"/>
      <c r="G114" s="21"/>
      <c r="H114" s="21"/>
      <c r="K114" s="24"/>
      <c r="L114" s="24"/>
      <c r="M114" s="24"/>
      <c r="N114" s="24"/>
      <c r="O114" s="24"/>
    </row>
    <row r="115" spans="1:34" outlineLevel="1">
      <c r="C115" s="15" t="s">
        <v>47</v>
      </c>
      <c r="D115" s="16" t="s">
        <v>100</v>
      </c>
      <c r="E115" s="16" t="str">
        <f>percent</f>
        <v>Per cent</v>
      </c>
      <c r="F115" s="16" t="s">
        <v>36</v>
      </c>
      <c r="G115" s="21"/>
      <c r="H115" s="21"/>
      <c r="J115" s="141"/>
      <c r="K115" s="136"/>
      <c r="L115" s="136"/>
      <c r="M115" s="136"/>
      <c r="N115" s="136"/>
      <c r="O115" s="119"/>
      <c r="P115" s="119">
        <v>5.0000000000000001E-3</v>
      </c>
      <c r="Q115" s="119">
        <f>$P$115</f>
        <v>5.0000000000000001E-3</v>
      </c>
      <c r="R115" s="119">
        <f t="shared" ref="R115:T115" si="59">$P$115</f>
        <v>5.0000000000000001E-3</v>
      </c>
      <c r="S115" s="119">
        <f t="shared" si="59"/>
        <v>5.0000000000000001E-3</v>
      </c>
      <c r="T115" s="119">
        <f t="shared" si="59"/>
        <v>5.0000000000000001E-3</v>
      </c>
      <c r="U115" s="119"/>
    </row>
    <row r="116" spans="1:34" outlineLevel="1">
      <c r="C116" s="15"/>
      <c r="G116" s="21"/>
      <c r="H116" s="21"/>
      <c r="K116" s="24"/>
      <c r="L116" s="24"/>
      <c r="M116" s="24"/>
      <c r="N116" s="24"/>
      <c r="O116" s="24"/>
      <c r="P116" s="134"/>
      <c r="Q116" s="134"/>
      <c r="R116" s="134"/>
      <c r="S116" s="134"/>
      <c r="T116" s="134"/>
      <c r="U116" s="134"/>
    </row>
    <row r="117" spans="1:34" outlineLevel="1">
      <c r="C117" s="8" t="s">
        <v>40</v>
      </c>
      <c r="D117" s="16" t="s">
        <v>97</v>
      </c>
      <c r="E117" s="16" t="s">
        <v>28</v>
      </c>
      <c r="F117" s="16" t="s">
        <v>36</v>
      </c>
      <c r="J117" s="91" t="str">
        <f t="shared" ref="J117:S117" si="60">IF(J113=J$4,IF(ISBLANK(J115),"Check","Ok"),"")</f>
        <v/>
      </c>
      <c r="K117" s="91" t="str">
        <f t="shared" si="60"/>
        <v/>
      </c>
      <c r="L117" s="91" t="str">
        <f t="shared" si="60"/>
        <v/>
      </c>
      <c r="M117" s="91" t="str">
        <f t="shared" si="60"/>
        <v/>
      </c>
      <c r="N117" s="91" t="str">
        <f t="shared" si="60"/>
        <v/>
      </c>
      <c r="O117" s="91" t="str">
        <f t="shared" si="60"/>
        <v/>
      </c>
      <c r="P117" s="91" t="str">
        <f t="shared" si="60"/>
        <v>Ok</v>
      </c>
      <c r="Q117" s="91" t="str">
        <f t="shared" si="60"/>
        <v>Ok</v>
      </c>
      <c r="R117" s="91" t="str">
        <f t="shared" si="60"/>
        <v>Ok</v>
      </c>
      <c r="S117" s="91" t="str">
        <f t="shared" si="60"/>
        <v>Ok</v>
      </c>
      <c r="T117" s="91" t="str">
        <f>IF(T113=T$4,IF(ISBLANK(T115),"Check","Ok"),"")</f>
        <v>Ok</v>
      </c>
      <c r="U117" s="91" t="str">
        <f>IF(U113=U$4,IF(ISBLANK(U115),"Check","Ok"),"")</f>
        <v/>
      </c>
      <c r="V117" s="25"/>
      <c r="X117" s="90" t="str">
        <f>IF(COUNTIF(J117:T117,"Check")=0,"Ok","Check")</f>
        <v>Ok</v>
      </c>
    </row>
    <row r="118" spans="1:34" outlineLevel="1">
      <c r="C118" s="15"/>
      <c r="G118" s="21"/>
      <c r="H118" s="21"/>
      <c r="K118" s="24"/>
      <c r="L118" s="24"/>
      <c r="M118" s="24"/>
      <c r="N118" s="24"/>
      <c r="O118" s="24"/>
    </row>
    <row r="119" spans="1:34" customFormat="1" ht="12.75">
      <c r="A119" s="37"/>
      <c r="B119" s="43" t="s">
        <v>21</v>
      </c>
      <c r="C119" s="37"/>
      <c r="D119" s="37"/>
      <c r="E119" s="37"/>
      <c r="F119" s="38"/>
      <c r="G119" s="38"/>
      <c r="H119" s="38"/>
      <c r="I119" s="38"/>
      <c r="J119" s="38"/>
      <c r="K119" s="39"/>
      <c r="L119" s="40"/>
      <c r="M119" s="39"/>
      <c r="N119" s="40"/>
      <c r="O119" s="39"/>
      <c r="P119" s="39"/>
      <c r="Q119" s="39"/>
      <c r="R119" s="39"/>
      <c r="S119" s="39"/>
      <c r="T119" s="39"/>
      <c r="U119" s="39"/>
      <c r="V119" s="39"/>
      <c r="W119" s="39"/>
      <c r="X119" s="40"/>
      <c r="Y119" s="41"/>
      <c r="Z119" s="41"/>
      <c r="AA119" s="41"/>
      <c r="AB119" s="41"/>
      <c r="AC119" s="41"/>
      <c r="AD119" s="41"/>
      <c r="AE119" s="41"/>
      <c r="AF119" s="41"/>
      <c r="AG119" s="42"/>
      <c r="AH119" s="42"/>
    </row>
  </sheetData>
  <mergeCells count="2">
    <mergeCell ref="K3:M3"/>
    <mergeCell ref="O3:T3"/>
  </mergeCells>
  <conditionalFormatting sqref="X1">
    <cfRule type="cellIs" dxfId="175" priority="117" operator="equal">
      <formula>"Check"</formula>
    </cfRule>
    <cfRule type="cellIs" dxfId="174" priority="118" operator="equal">
      <formula>"Ok"</formula>
    </cfRule>
  </conditionalFormatting>
  <conditionalFormatting sqref="T1:U1">
    <cfRule type="cellIs" dxfId="173" priority="81" operator="equal">
      <formula>"Check"</formula>
    </cfRule>
    <cfRule type="cellIs" dxfId="172" priority="82" operator="equal">
      <formula>"Ok"</formula>
    </cfRule>
  </conditionalFormatting>
  <conditionalFormatting sqref="X60">
    <cfRule type="cellIs" dxfId="171" priority="69" operator="equal">
      <formula>"Check"</formula>
    </cfRule>
    <cfRule type="cellIs" dxfId="170" priority="70" operator="equal">
      <formula>"Ok"</formula>
    </cfRule>
  </conditionalFormatting>
  <conditionalFormatting sqref="J60:U60">
    <cfRule type="cellIs" dxfId="169" priority="61" operator="equal">
      <formula>"Check"</formula>
    </cfRule>
    <cfRule type="cellIs" dxfId="168" priority="62" operator="equal">
      <formula>"Ok"</formula>
    </cfRule>
  </conditionalFormatting>
  <conditionalFormatting sqref="J36:U36">
    <cfRule type="expression" dxfId="167" priority="52">
      <formula>J$36=J$4</formula>
    </cfRule>
  </conditionalFormatting>
  <conditionalFormatting sqref="J39:T40 J41:U45 J38:O38 T38 P39:T45">
    <cfRule type="expression" dxfId="166" priority="50">
      <formula>J$36=J$4</formula>
    </cfRule>
  </conditionalFormatting>
  <conditionalFormatting sqref="J51:T54 J55:O55 J56:T58">
    <cfRule type="expression" dxfId="165" priority="49">
      <formula>J$49=J$4</formula>
    </cfRule>
  </conditionalFormatting>
  <conditionalFormatting sqref="X117">
    <cfRule type="cellIs" dxfId="164" priority="43" operator="equal">
      <formula>"Check"</formula>
    </cfRule>
    <cfRule type="cellIs" dxfId="163" priority="44" operator="equal">
      <formula>"Ok"</formula>
    </cfRule>
  </conditionalFormatting>
  <conditionalFormatting sqref="J117:U117">
    <cfRule type="cellIs" dxfId="162" priority="41" operator="equal">
      <formula>"Check"</formula>
    </cfRule>
    <cfRule type="cellIs" dxfId="161" priority="42" operator="equal">
      <formula>"Ok"</formula>
    </cfRule>
  </conditionalFormatting>
  <conditionalFormatting sqref="X47">
    <cfRule type="cellIs" dxfId="160" priority="39" operator="equal">
      <formula>"Check"</formula>
    </cfRule>
    <cfRule type="cellIs" dxfId="159" priority="40" operator="equal">
      <formula>"Ok"</formula>
    </cfRule>
  </conditionalFormatting>
  <conditionalFormatting sqref="J47:U47">
    <cfRule type="cellIs" dxfId="158" priority="37" operator="equal">
      <formula>"Check"</formula>
    </cfRule>
    <cfRule type="cellIs" dxfId="157" priority="38" operator="equal">
      <formula>"Ok"</formula>
    </cfRule>
  </conditionalFormatting>
  <conditionalFormatting sqref="X73">
    <cfRule type="cellIs" dxfId="156" priority="35" operator="equal">
      <formula>"Check"</formula>
    </cfRule>
    <cfRule type="cellIs" dxfId="155" priority="36" operator="equal">
      <formula>"Ok"</formula>
    </cfRule>
  </conditionalFormatting>
  <conditionalFormatting sqref="J73:U73">
    <cfRule type="cellIs" dxfId="154" priority="33" operator="equal">
      <formula>"Check"</formula>
    </cfRule>
    <cfRule type="cellIs" dxfId="153" priority="34" operator="equal">
      <formula>"Ok"</formula>
    </cfRule>
  </conditionalFormatting>
  <conditionalFormatting sqref="J64:U64">
    <cfRule type="expression" dxfId="152" priority="27">
      <formula>J$64=J$4</formula>
    </cfRule>
  </conditionalFormatting>
  <conditionalFormatting sqref="J66:U71">
    <cfRule type="expression" dxfId="151" priority="25">
      <formula>J$64=J$4</formula>
    </cfRule>
  </conditionalFormatting>
  <conditionalFormatting sqref="J49:U49">
    <cfRule type="expression" dxfId="150" priority="22">
      <formula>J$36=J$4</formula>
    </cfRule>
  </conditionalFormatting>
  <conditionalFormatting sqref="J75:U75">
    <cfRule type="expression" dxfId="149" priority="21">
      <formula>J$36=J$4</formula>
    </cfRule>
  </conditionalFormatting>
  <conditionalFormatting sqref="J113:U113">
    <cfRule type="expression" dxfId="148" priority="20">
      <formula>J$36=J$4</formula>
    </cfRule>
  </conditionalFormatting>
  <conditionalFormatting sqref="J26:U32">
    <cfRule type="cellIs" dxfId="147" priority="18" operator="equal">
      <formula>0</formula>
    </cfRule>
  </conditionalFormatting>
  <conditionalFormatting sqref="J16:U22">
    <cfRule type="cellIs" dxfId="146" priority="17" operator="equal">
      <formula>0</formula>
    </cfRule>
  </conditionalFormatting>
  <conditionalFormatting sqref="X102:X109">
    <cfRule type="cellIs" dxfId="145" priority="13" operator="equal">
      <formula>"Check"</formula>
    </cfRule>
    <cfRule type="cellIs" dxfId="144" priority="14" operator="equal">
      <formula>"Ok"</formula>
    </cfRule>
  </conditionalFormatting>
  <conditionalFormatting sqref="J105:U105 J102:U103">
    <cfRule type="cellIs" dxfId="143" priority="10" operator="equal">
      <formula>"Check"</formula>
    </cfRule>
    <cfRule type="cellIs" dxfId="142" priority="11" operator="equal">
      <formula>"Ok"</formula>
    </cfRule>
  </conditionalFormatting>
  <conditionalFormatting sqref="U51:U58">
    <cfRule type="expression" dxfId="141" priority="6">
      <formula>U$49=U$4</formula>
    </cfRule>
  </conditionalFormatting>
  <conditionalFormatting sqref="P38:S38">
    <cfRule type="expression" dxfId="140" priority="5">
      <formula>P$36=P$4</formula>
    </cfRule>
  </conditionalFormatting>
  <conditionalFormatting sqref="P55:T55">
    <cfRule type="expression" dxfId="139" priority="4">
      <formula>P$49=P$4</formula>
    </cfRule>
  </conditionalFormatting>
  <conditionalFormatting sqref="T55">
    <cfRule type="expression" dxfId="138" priority="3">
      <formula>T$49=T$4</formula>
    </cfRule>
  </conditionalFormatting>
  <conditionalFormatting sqref="J104:U104">
    <cfRule type="expression" dxfId="137" priority="167">
      <formula>J$104=J$4</formula>
    </cfRule>
  </conditionalFormatting>
  <conditionalFormatting sqref="J115:U115">
    <cfRule type="expression" dxfId="136" priority="168">
      <formula>J$113=J$4</formula>
    </cfRule>
  </conditionalFormatting>
  <conditionalFormatting sqref="L86:M88 K89:M91">
    <cfRule type="expression" dxfId="135" priority="169">
      <formula>K$93=K$4</formula>
    </cfRule>
  </conditionalFormatting>
  <dataValidations count="2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4 F83 F85 F92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5"/>
  <sheetViews>
    <sheetView showGridLines="0" zoomScaleNormal="100"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IF(COUNTA($W$8:$W$238)=COUNTIF($W$8:$W$238,"OK"),"OK","Check")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60"/>
      <c r="G2" s="60"/>
      <c r="H2" s="60"/>
      <c r="I2" s="60"/>
    </row>
    <row r="3" spans="1:30" s="61" customFormat="1">
      <c r="D3" s="127"/>
      <c r="E3" s="127"/>
      <c r="F3" s="127"/>
      <c r="G3" s="127"/>
      <c r="H3" s="127"/>
      <c r="I3" s="127"/>
      <c r="J3" s="112" t="s">
        <v>114</v>
      </c>
      <c r="K3" s="121"/>
      <c r="L3" s="121"/>
      <c r="M3" s="127"/>
      <c r="N3" s="201"/>
      <c r="O3" s="201"/>
      <c r="P3" s="201"/>
      <c r="Q3" s="201"/>
      <c r="R3" s="201"/>
      <c r="S3" s="201"/>
      <c r="T3" s="62"/>
      <c r="U3" s="62"/>
      <c r="V3" s="62"/>
      <c r="W3" s="62"/>
      <c r="X3" s="62"/>
      <c r="Y3" s="62"/>
      <c r="Z3" s="62"/>
    </row>
    <row r="4" spans="1:30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8"/>
      <c r="W4" s="68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7"/>
      <c r="B8" s="43" t="s">
        <v>49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78</v>
      </c>
      <c r="D10" s="21" t="s">
        <v>7</v>
      </c>
      <c r="E10" s="21" t="s">
        <v>8</v>
      </c>
      <c r="F10" s="21" t="s">
        <v>22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45809</v>
      </c>
      <c r="P10" s="116">
        <f t="shared" si="0"/>
        <v>46174</v>
      </c>
      <c r="Q10" s="116">
        <f t="shared" si="0"/>
        <v>46539</v>
      </c>
      <c r="R10" s="116">
        <f t="shared" si="0"/>
        <v>46905</v>
      </c>
      <c r="S10" s="116">
        <f t="shared" si="0"/>
        <v>47270</v>
      </c>
      <c r="T10" s="116" t="str">
        <f t="shared" si="0"/>
        <v/>
      </c>
    </row>
    <row r="11" spans="1:30" outlineLevel="1">
      <c r="G11" s="21"/>
      <c r="H11" s="21"/>
    </row>
    <row r="12" spans="1:30" outlineLevel="1">
      <c r="C12" s="173" t="s">
        <v>235</v>
      </c>
      <c r="D12" s="16" t="s">
        <v>68</v>
      </c>
      <c r="E12" s="16" t="str">
        <f t="shared" ref="E12:E20" si="1">units</f>
        <v>$millions</v>
      </c>
      <c r="F12" s="153">
        <f t="shared" ref="F12:F20" si="2">DATE(PPLastYear,MONTH(month),1)</f>
        <v>45444</v>
      </c>
      <c r="G12" s="21"/>
      <c r="H12" s="21"/>
      <c r="J12" s="107"/>
      <c r="K12" s="107"/>
      <c r="L12" s="107"/>
      <c r="M12" s="107"/>
      <c r="N12" s="107"/>
      <c r="O12" s="174">
        <v>2.0057154791690022</v>
      </c>
      <c r="P12" s="174">
        <v>3.0473871477793062</v>
      </c>
      <c r="Q12" s="174">
        <v>3.9633210081693928</v>
      </c>
      <c r="R12" s="174">
        <v>4.3303026039513668</v>
      </c>
      <c r="S12" s="174">
        <v>4.716724178153104</v>
      </c>
    </row>
    <row r="13" spans="1:30" outlineLevel="1">
      <c r="C13" s="173" t="s">
        <v>236</v>
      </c>
      <c r="D13" s="16" t="s">
        <v>68</v>
      </c>
      <c r="E13" s="16" t="str">
        <f t="shared" si="1"/>
        <v>$millions</v>
      </c>
      <c r="F13" s="153">
        <f t="shared" si="2"/>
        <v>45444</v>
      </c>
      <c r="G13" s="21"/>
      <c r="H13" s="21"/>
      <c r="J13" s="107"/>
      <c r="K13" s="107"/>
      <c r="L13" s="107"/>
      <c r="M13" s="107"/>
      <c r="N13" s="107"/>
      <c r="O13" s="174">
        <v>0</v>
      </c>
      <c r="P13" s="174">
        <v>0</v>
      </c>
      <c r="Q13" s="174">
        <v>0</v>
      </c>
      <c r="R13" s="174">
        <v>0</v>
      </c>
      <c r="S13" s="174">
        <v>0</v>
      </c>
    </row>
    <row r="14" spans="1:30" outlineLevel="1">
      <c r="C14" s="173" t="s">
        <v>249</v>
      </c>
      <c r="D14" s="16" t="s">
        <v>68</v>
      </c>
      <c r="E14" s="16" t="str">
        <f t="shared" si="1"/>
        <v>$millions</v>
      </c>
      <c r="F14" s="153">
        <f t="shared" si="2"/>
        <v>45444</v>
      </c>
      <c r="G14" s="21"/>
      <c r="H14" s="21"/>
      <c r="J14" s="107"/>
      <c r="K14" s="107"/>
      <c r="L14" s="107"/>
      <c r="M14" s="107"/>
      <c r="N14" s="107"/>
      <c r="O14" s="196">
        <v>0.63</v>
      </c>
      <c r="P14" s="196">
        <v>0.63</v>
      </c>
      <c r="Q14" s="196">
        <v>0.63</v>
      </c>
      <c r="R14" s="196">
        <v>0.63</v>
      </c>
      <c r="S14" s="196">
        <v>0.63</v>
      </c>
    </row>
    <row r="15" spans="1:30" outlineLevel="1">
      <c r="C15" s="173" t="s">
        <v>237</v>
      </c>
      <c r="D15" s="16" t="s">
        <v>68</v>
      </c>
      <c r="E15" s="16" t="str">
        <f t="shared" si="1"/>
        <v>$millions</v>
      </c>
      <c r="F15" s="153">
        <f t="shared" si="2"/>
        <v>45444</v>
      </c>
      <c r="G15" s="21"/>
      <c r="H15" s="21"/>
      <c r="J15" s="107"/>
      <c r="K15" s="107"/>
      <c r="L15" s="107"/>
      <c r="M15" s="107"/>
      <c r="N15" s="107"/>
      <c r="O15" s="174">
        <v>2.8177808423999999</v>
      </c>
      <c r="P15" s="174">
        <v>3.268714818307429</v>
      </c>
      <c r="Q15" s="174">
        <v>1.1267742797218101</v>
      </c>
      <c r="R15" s="174">
        <v>1.3714193119403175</v>
      </c>
      <c r="S15" s="174">
        <v>1.6185154059301499</v>
      </c>
    </row>
    <row r="16" spans="1:30" outlineLevel="1">
      <c r="C16" s="173" t="s">
        <v>239</v>
      </c>
      <c r="D16" s="16" t="s">
        <v>68</v>
      </c>
      <c r="E16" s="16" t="str">
        <f t="shared" si="1"/>
        <v>$millions</v>
      </c>
      <c r="F16" s="153">
        <f t="shared" si="2"/>
        <v>45444</v>
      </c>
      <c r="G16" s="21"/>
      <c r="H16" s="21"/>
      <c r="J16" s="107"/>
      <c r="K16" s="107"/>
      <c r="L16" s="107"/>
      <c r="M16" s="107"/>
      <c r="N16" s="107"/>
      <c r="O16" s="174">
        <v>0.38884752418715307</v>
      </c>
      <c r="P16" s="174">
        <v>1.0670239689135608</v>
      </c>
      <c r="Q16" s="174">
        <v>1.6206373931800162</v>
      </c>
      <c r="R16" s="174">
        <v>1.6250311505154642</v>
      </c>
      <c r="S16" s="174">
        <v>1.6843468745440131</v>
      </c>
      <c r="T16" s="120"/>
    </row>
    <row r="17" spans="1:30" outlineLevel="1">
      <c r="C17" s="173" t="s">
        <v>240</v>
      </c>
      <c r="D17" s="16" t="s">
        <v>68</v>
      </c>
      <c r="E17" s="16" t="str">
        <f t="shared" si="1"/>
        <v>$millions</v>
      </c>
      <c r="F17" s="153">
        <f t="shared" si="2"/>
        <v>45444</v>
      </c>
      <c r="G17" s="21"/>
      <c r="H17" s="21"/>
      <c r="J17" s="107"/>
      <c r="K17" s="107"/>
      <c r="L17" s="107"/>
      <c r="M17" s="107"/>
      <c r="N17" s="107"/>
      <c r="O17" s="174">
        <v>-3.0699666183083574</v>
      </c>
      <c r="P17" s="174">
        <v>-3.0699666183083574</v>
      </c>
      <c r="Q17" s="174">
        <v>-3.0699666183083574</v>
      </c>
      <c r="R17" s="174">
        <v>-3.0699666183083574</v>
      </c>
      <c r="S17" s="174">
        <v>-3.0699666183083574</v>
      </c>
      <c r="T17" s="120"/>
    </row>
    <row r="18" spans="1:30" outlineLevel="1">
      <c r="C18" s="173" t="s">
        <v>251</v>
      </c>
      <c r="D18" s="16" t="s">
        <v>68</v>
      </c>
      <c r="E18" s="16" t="str">
        <f t="shared" si="1"/>
        <v>$millions</v>
      </c>
      <c r="F18" s="153">
        <f t="shared" si="2"/>
        <v>45444</v>
      </c>
      <c r="G18" s="21"/>
      <c r="H18" s="21"/>
      <c r="J18" s="107"/>
      <c r="K18" s="107"/>
      <c r="L18" s="107"/>
      <c r="M18" s="107"/>
      <c r="N18" s="107"/>
      <c r="O18" s="120">
        <v>23.205350976899176</v>
      </c>
      <c r="P18" s="120">
        <v>22.010660787327737</v>
      </c>
      <c r="Q18" s="120">
        <v>32.600382230954558</v>
      </c>
      <c r="R18" s="120">
        <v>27.975837772997888</v>
      </c>
      <c r="S18" s="120">
        <v>25.41381712334622</v>
      </c>
      <c r="T18" s="120"/>
    </row>
    <row r="19" spans="1:30" outlineLevel="1">
      <c r="C19" s="53"/>
      <c r="D19" s="16" t="s">
        <v>68</v>
      </c>
      <c r="E19" s="16" t="str">
        <f t="shared" si="1"/>
        <v>$millions</v>
      </c>
      <c r="F19" s="153">
        <f t="shared" si="2"/>
        <v>45444</v>
      </c>
      <c r="G19" s="21"/>
      <c r="H19" s="21"/>
      <c r="J19" s="107"/>
      <c r="K19" s="107"/>
      <c r="L19" s="107"/>
      <c r="M19" s="107"/>
      <c r="N19" s="107"/>
      <c r="O19" s="120"/>
      <c r="P19" s="120"/>
      <c r="Q19" s="120"/>
      <c r="R19" s="120"/>
      <c r="S19" s="120"/>
      <c r="T19" s="120"/>
    </row>
    <row r="20" spans="1:30" outlineLevel="1">
      <c r="C20" s="53"/>
      <c r="D20" s="16" t="s">
        <v>68</v>
      </c>
      <c r="E20" s="16" t="str">
        <f t="shared" si="1"/>
        <v>$millions</v>
      </c>
      <c r="F20" s="153">
        <f t="shared" si="2"/>
        <v>45444</v>
      </c>
      <c r="G20" s="21"/>
      <c r="H20" s="21"/>
      <c r="J20" s="107"/>
      <c r="K20" s="107"/>
      <c r="L20" s="107"/>
      <c r="M20" s="107"/>
      <c r="N20" s="107"/>
      <c r="O20" s="120"/>
      <c r="P20" s="120"/>
      <c r="Q20" s="120"/>
      <c r="R20" s="120"/>
      <c r="S20" s="120"/>
      <c r="T20" s="120"/>
    </row>
    <row r="21" spans="1:30" outlineLevel="1">
      <c r="G21" s="21"/>
      <c r="H21" s="21"/>
    </row>
    <row r="22" spans="1:30" outlineLevel="1">
      <c r="C22" s="8" t="s">
        <v>40</v>
      </c>
      <c r="D22" s="16" t="s">
        <v>97</v>
      </c>
      <c r="E22" s="16" t="s">
        <v>28</v>
      </c>
      <c r="F22" s="16" t="s">
        <v>36</v>
      </c>
      <c r="J22" s="91" t="str">
        <f t="shared" ref="J22:S22" si="3">IF(J10=J4,IF(COUNTA($C12:$C20)=COUNT(J12:J20),"Ok","Check"),"")</f>
        <v/>
      </c>
      <c r="K22" s="91" t="str">
        <f t="shared" si="3"/>
        <v/>
      </c>
      <c r="L22" s="91" t="str">
        <f t="shared" si="3"/>
        <v/>
      </c>
      <c r="M22" s="91" t="str">
        <f t="shared" si="3"/>
        <v/>
      </c>
      <c r="N22" s="91" t="str">
        <f t="shared" si="3"/>
        <v/>
      </c>
      <c r="O22" s="91" t="str">
        <f t="shared" si="3"/>
        <v>Ok</v>
      </c>
      <c r="P22" s="91" t="str">
        <f t="shared" si="3"/>
        <v>Ok</v>
      </c>
      <c r="Q22" s="91" t="str">
        <f t="shared" si="3"/>
        <v>Ok</v>
      </c>
      <c r="R22" s="91" t="str">
        <f t="shared" si="3"/>
        <v>Ok</v>
      </c>
      <c r="S22" s="91" t="str">
        <f t="shared" si="3"/>
        <v>Ok</v>
      </c>
      <c r="T22" s="91" t="str">
        <f t="shared" ref="T22" si="4">IF(T10=T4,IF(COUNTA($C12:$C20)=COUNT(T12:T20),"Ok","Check"),"")</f>
        <v/>
      </c>
      <c r="U22" s="25"/>
      <c r="W22" s="90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7"/>
      <c r="B24" s="43" t="s">
        <v>111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</row>
    <row r="26" spans="1:30" outlineLevel="1">
      <c r="C26" s="9" t="s">
        <v>106</v>
      </c>
      <c r="D26" s="21" t="s">
        <v>7</v>
      </c>
      <c r="E26" s="21" t="s">
        <v>8</v>
      </c>
      <c r="F26" s="21" t="s">
        <v>22</v>
      </c>
      <c r="G26" s="21"/>
      <c r="H26" s="21"/>
      <c r="J26" s="116" t="str">
        <f t="shared" ref="J26:T26" si="5">IF(YEAR(J$4)&gt;=FPFirstYear,IF(YEAR(J$4)&lt;=FPLastYear,J$4,""),"")</f>
        <v/>
      </c>
      <c r="K26" s="116" t="str">
        <f t="shared" si="5"/>
        <v/>
      </c>
      <c r="L26" s="116" t="str">
        <f t="shared" si="5"/>
        <v/>
      </c>
      <c r="M26" s="116" t="str">
        <f t="shared" si="5"/>
        <v/>
      </c>
      <c r="N26" s="116" t="str">
        <f t="shared" si="5"/>
        <v/>
      </c>
      <c r="O26" s="116">
        <f t="shared" si="5"/>
        <v>45809</v>
      </c>
      <c r="P26" s="116">
        <f t="shared" si="5"/>
        <v>46174</v>
      </c>
      <c r="Q26" s="116">
        <f t="shared" si="5"/>
        <v>46539</v>
      </c>
      <c r="R26" s="116">
        <f t="shared" si="5"/>
        <v>46905</v>
      </c>
      <c r="S26" s="116">
        <f t="shared" si="5"/>
        <v>47270</v>
      </c>
      <c r="T26" s="116" t="str">
        <f t="shared" si="5"/>
        <v/>
      </c>
    </row>
    <row r="27" spans="1:30" outlineLevel="1">
      <c r="G27" s="21"/>
      <c r="H27" s="21"/>
    </row>
    <row r="28" spans="1:30" outlineLevel="1">
      <c r="C28" s="148" t="s">
        <v>238</v>
      </c>
      <c r="D28" s="16" t="s">
        <v>68</v>
      </c>
      <c r="E28" s="16" t="str">
        <f>units</f>
        <v>$millions</v>
      </c>
      <c r="F28" s="153">
        <f>DATE(PPLastYear,MONTH(month),1)</f>
        <v>45444</v>
      </c>
      <c r="G28" s="21"/>
      <c r="H28" s="21"/>
      <c r="J28" s="107"/>
      <c r="K28" s="107"/>
      <c r="L28" s="107"/>
      <c r="M28" s="107"/>
      <c r="N28" s="120"/>
      <c r="O28" s="120">
        <v>0.31079282950946341</v>
      </c>
      <c r="P28" s="120">
        <v>0.31079282950946341</v>
      </c>
      <c r="Q28" s="120">
        <v>0.31079282950946341</v>
      </c>
      <c r="R28" s="120">
        <v>0.31079282950946341</v>
      </c>
      <c r="S28" s="120">
        <v>0.31079282950946341</v>
      </c>
      <c r="T28" s="120"/>
    </row>
    <row r="29" spans="1:30" outlineLevel="1">
      <c r="C29" s="148"/>
      <c r="D29" s="16" t="s">
        <v>68</v>
      </c>
      <c r="E29" s="16" t="str">
        <f>units</f>
        <v>$millions</v>
      </c>
      <c r="F29" s="153">
        <f>DATE(PPLastYear,MONTH(month),1)</f>
        <v>45444</v>
      </c>
      <c r="G29" s="21"/>
      <c r="H29" s="21"/>
      <c r="J29" s="107"/>
      <c r="K29" s="107"/>
      <c r="L29" s="107"/>
      <c r="M29" s="107"/>
      <c r="N29" s="120"/>
      <c r="O29" s="120"/>
      <c r="P29" s="120"/>
      <c r="Q29" s="120"/>
      <c r="R29" s="120"/>
      <c r="S29" s="120"/>
      <c r="T29" s="120"/>
    </row>
    <row r="30" spans="1:30" outlineLevel="1">
      <c r="C30" s="148"/>
      <c r="D30" s="16" t="s">
        <v>68</v>
      </c>
      <c r="E30" s="16" t="str">
        <f>units</f>
        <v>$millions</v>
      </c>
      <c r="F30" s="153">
        <f>DATE(PPLastYear,MONTH(month),1)</f>
        <v>45444</v>
      </c>
      <c r="G30" s="21"/>
      <c r="H30" s="21"/>
      <c r="J30" s="107"/>
      <c r="K30" s="107"/>
      <c r="L30" s="107"/>
      <c r="M30" s="107"/>
      <c r="N30" s="120"/>
      <c r="O30" s="120"/>
      <c r="P30" s="120"/>
      <c r="Q30" s="120"/>
      <c r="R30" s="120"/>
      <c r="S30" s="120"/>
      <c r="T30" s="120"/>
    </row>
    <row r="31" spans="1:30" outlineLevel="1">
      <c r="C31" s="149"/>
      <c r="D31" s="16" t="s">
        <v>68</v>
      </c>
      <c r="E31" s="16" t="str">
        <f>units</f>
        <v>$millions</v>
      </c>
      <c r="F31" s="153">
        <f>DATE(PPLastYear,MONTH(month),1)</f>
        <v>45444</v>
      </c>
      <c r="G31" s="21"/>
      <c r="H31" s="21"/>
      <c r="J31" s="107"/>
      <c r="K31" s="107"/>
      <c r="L31" s="107"/>
      <c r="M31" s="107"/>
      <c r="N31" s="120"/>
      <c r="O31" s="120"/>
      <c r="P31" s="120"/>
      <c r="Q31" s="120"/>
      <c r="R31" s="120"/>
      <c r="S31" s="120"/>
      <c r="T31" s="120"/>
    </row>
    <row r="32" spans="1:30" outlineLevel="1">
      <c r="C32" s="53"/>
      <c r="D32" s="16" t="s">
        <v>68</v>
      </c>
      <c r="E32" s="16" t="str">
        <f>units</f>
        <v>$millions</v>
      </c>
      <c r="F32" s="153">
        <f>DATE(PPLastYear,MONTH(month),1)</f>
        <v>45444</v>
      </c>
      <c r="G32" s="21"/>
      <c r="H32" s="21"/>
      <c r="J32" s="107"/>
      <c r="K32" s="107"/>
      <c r="L32" s="107"/>
      <c r="M32" s="107"/>
      <c r="N32" s="120"/>
      <c r="O32" s="120"/>
      <c r="P32" s="120"/>
      <c r="Q32" s="120"/>
      <c r="R32" s="120"/>
      <c r="S32" s="120"/>
      <c r="T32" s="120"/>
    </row>
    <row r="33" spans="1:30" outlineLevel="1">
      <c r="G33" s="21"/>
      <c r="H33" s="21"/>
    </row>
    <row r="34" spans="1:30" outlineLevel="1">
      <c r="C34" s="8" t="s">
        <v>40</v>
      </c>
      <c r="D34" s="16" t="s">
        <v>97</v>
      </c>
      <c r="E34" s="16" t="s">
        <v>28</v>
      </c>
      <c r="F34" s="16" t="s">
        <v>36</v>
      </c>
      <c r="J34" s="91" t="str">
        <f t="shared" ref="J34:R34" si="6">IF(J26=J4,IF(COUNTA($C28:$C32)=COUNT(J28:J32),"Ok","Check"),"")</f>
        <v/>
      </c>
      <c r="K34" s="91" t="str">
        <f t="shared" si="6"/>
        <v/>
      </c>
      <c r="L34" s="91" t="str">
        <f t="shared" si="6"/>
        <v/>
      </c>
      <c r="M34" s="91" t="str">
        <f t="shared" si="6"/>
        <v/>
      </c>
      <c r="N34" s="91" t="str">
        <f t="shared" si="6"/>
        <v/>
      </c>
      <c r="O34" s="91" t="str">
        <f t="shared" si="6"/>
        <v>Ok</v>
      </c>
      <c r="P34" s="91" t="str">
        <f t="shared" si="6"/>
        <v>Ok</v>
      </c>
      <c r="Q34" s="91" t="str">
        <f t="shared" si="6"/>
        <v>Ok</v>
      </c>
      <c r="R34" s="91" t="str">
        <f t="shared" si="6"/>
        <v>Ok</v>
      </c>
      <c r="S34" s="91" t="str">
        <f>IF(S26=S4,IF(COUNTA($C28:$C32)=COUNT(S28:S32),"Ok","Check"),"")</f>
        <v>Ok</v>
      </c>
      <c r="T34" s="91" t="str">
        <f>IF(T26=T4,IF(COUNTA($C28:$C32)=COUNT(T28:T32),"Ok","Check"),"")</f>
        <v/>
      </c>
      <c r="U34" s="25"/>
      <c r="W34" s="90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7"/>
      <c r="B36" s="43" t="s">
        <v>44</v>
      </c>
      <c r="C36" s="37"/>
      <c r="D36" s="37"/>
      <c r="E36" s="37"/>
      <c r="F36" s="38"/>
      <c r="G36" s="38"/>
      <c r="H36" s="38"/>
      <c r="I36" s="38"/>
      <c r="J36" s="39"/>
      <c r="K36" s="40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1"/>
      <c r="Y36" s="41"/>
      <c r="Z36" s="41"/>
      <c r="AA36" s="41"/>
      <c r="AB36" s="41"/>
      <c r="AC36" s="42"/>
      <c r="AD36" s="42"/>
    </row>
    <row r="37" spans="1:30" outlineLevel="1">
      <c r="G37" s="21"/>
      <c r="H37" s="21"/>
    </row>
    <row r="38" spans="1:30" outlineLevel="1">
      <c r="C38" s="9" t="s">
        <v>32</v>
      </c>
      <c r="D38" s="21" t="s">
        <v>7</v>
      </c>
      <c r="E38" s="21" t="s">
        <v>8</v>
      </c>
      <c r="F38" s="21" t="s">
        <v>22</v>
      </c>
      <c r="G38" s="21"/>
      <c r="H38" s="21"/>
      <c r="J38" s="116" t="str">
        <f t="shared" ref="J38:T38" si="7">IF(YEAR(J$4)&gt;=FPFirstYear,IF(YEAR(J$4)&lt;=FPLastYear,J$4,""),"")</f>
        <v/>
      </c>
      <c r="K38" s="116" t="str">
        <f t="shared" si="7"/>
        <v/>
      </c>
      <c r="L38" s="116" t="str">
        <f t="shared" si="7"/>
        <v/>
      </c>
      <c r="M38" s="116" t="str">
        <f t="shared" si="7"/>
        <v/>
      </c>
      <c r="N38" s="116" t="str">
        <f t="shared" si="7"/>
        <v/>
      </c>
      <c r="O38" s="116">
        <f t="shared" si="7"/>
        <v>45809</v>
      </c>
      <c r="P38" s="116">
        <f t="shared" si="7"/>
        <v>46174</v>
      </c>
      <c r="Q38" s="116">
        <f t="shared" si="7"/>
        <v>46539</v>
      </c>
      <c r="R38" s="116">
        <f t="shared" si="7"/>
        <v>46905</v>
      </c>
      <c r="S38" s="116">
        <f t="shared" si="7"/>
        <v>47270</v>
      </c>
      <c r="T38" s="116" t="str">
        <f t="shared" si="7"/>
        <v/>
      </c>
    </row>
    <row r="39" spans="1:30" outlineLevel="1">
      <c r="G39" s="21"/>
      <c r="H39" s="21"/>
    </row>
    <row r="40" spans="1:30" outlineLevel="1">
      <c r="C40" s="15" t="s">
        <v>213</v>
      </c>
      <c r="D40" s="16" t="s">
        <v>71</v>
      </c>
      <c r="E40" s="16" t="s">
        <v>15</v>
      </c>
      <c r="F40" s="153">
        <f>DATE(PPLastYear,MONTH(month),1)</f>
        <v>45444</v>
      </c>
      <c r="G40" s="21"/>
      <c r="H40" s="21"/>
      <c r="I40" s="21"/>
      <c r="J40" s="120"/>
      <c r="K40" s="120"/>
      <c r="L40" s="120"/>
      <c r="M40" s="120"/>
      <c r="N40" s="120"/>
      <c r="O40" s="174">
        <v>7.9948564729324039</v>
      </c>
      <c r="P40" s="174">
        <v>8.0379785161478772</v>
      </c>
      <c r="Q40" s="174">
        <v>8.0440199096112259</v>
      </c>
      <c r="R40" s="174">
        <v>8.0439206208949727</v>
      </c>
      <c r="S40" s="174">
        <v>8.0154552157680445</v>
      </c>
      <c r="T40" s="120"/>
    </row>
    <row r="41" spans="1:30" outlineLevel="1">
      <c r="C41" s="15" t="s">
        <v>214</v>
      </c>
      <c r="F41" s="153"/>
      <c r="G41" s="21"/>
      <c r="H41" s="21"/>
      <c r="I41" s="21"/>
      <c r="J41" s="120"/>
      <c r="K41" s="120"/>
      <c r="L41" s="120"/>
      <c r="M41" s="120"/>
      <c r="N41" s="120"/>
      <c r="O41" s="174">
        <v>1.2446066473305362</v>
      </c>
      <c r="P41" s="174">
        <v>1.2355824843671899</v>
      </c>
      <c r="Q41" s="174">
        <v>1.2172259821245899</v>
      </c>
      <c r="R41" s="174">
        <v>1.1975888807696029</v>
      </c>
      <c r="S41" s="174">
        <v>1.1825571927996996</v>
      </c>
      <c r="T41" s="120"/>
    </row>
    <row r="42" spans="1:30" outlineLevel="1">
      <c r="G42" s="21"/>
      <c r="H42" s="21"/>
    </row>
    <row r="43" spans="1:30" outlineLevel="1">
      <c r="C43" s="8" t="s">
        <v>40</v>
      </c>
      <c r="D43" s="16" t="s">
        <v>97</v>
      </c>
      <c r="E43" s="16" t="s">
        <v>28</v>
      </c>
      <c r="F43" s="16" t="s">
        <v>36</v>
      </c>
      <c r="J43" s="91" t="str">
        <f t="shared" ref="J43:R43" si="8">IF(J38=J4,IF(ISBLANK(J40),"Check","Ok"),"")</f>
        <v/>
      </c>
      <c r="K43" s="91" t="str">
        <f t="shared" si="8"/>
        <v/>
      </c>
      <c r="L43" s="91" t="str">
        <f t="shared" si="8"/>
        <v/>
      </c>
      <c r="M43" s="91" t="str">
        <f t="shared" si="8"/>
        <v/>
      </c>
      <c r="N43" s="91" t="str">
        <f t="shared" si="8"/>
        <v/>
      </c>
      <c r="O43" s="91" t="str">
        <f t="shared" si="8"/>
        <v>Ok</v>
      </c>
      <c r="P43" s="91" t="str">
        <f t="shared" si="8"/>
        <v>Ok</v>
      </c>
      <c r="Q43" s="91" t="str">
        <f t="shared" si="8"/>
        <v>Ok</v>
      </c>
      <c r="R43" s="91" t="str">
        <f t="shared" si="8"/>
        <v>Ok</v>
      </c>
      <c r="S43" s="91" t="str">
        <f>IF(S38=S4,IF(ISBLANK(S40),"Check","Ok"),"")</f>
        <v>Ok</v>
      </c>
      <c r="T43" s="91" t="str">
        <f>IF(T38=T4,IF(ISBLANK(T40),"Check","Ok"),"")</f>
        <v/>
      </c>
      <c r="U43" s="25"/>
      <c r="W43" s="90" t="str">
        <f>IF(COUNTIF(J43:T43,"Check")=0,"Ok","Check")</f>
        <v>Ok</v>
      </c>
    </row>
    <row r="44" spans="1:30">
      <c r="G44" s="21"/>
      <c r="H44" s="21"/>
    </row>
    <row r="45" spans="1:30" customFormat="1" ht="12.75">
      <c r="A45" s="37"/>
      <c r="B45" s="43" t="s">
        <v>21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  <row r="55" spans="7:8" hidden="1">
      <c r="G55" s="21"/>
      <c r="H55" s="21"/>
    </row>
  </sheetData>
  <mergeCells count="1">
    <mergeCell ref="N3:S3"/>
  </mergeCells>
  <conditionalFormatting sqref="S1">
    <cfRule type="cellIs" dxfId="134" priority="27" operator="equal">
      <formula>"Check"</formula>
    </cfRule>
    <cfRule type="cellIs" dxfId="133" priority="28" operator="equal">
      <formula>"Ok"</formula>
    </cfRule>
  </conditionalFormatting>
  <conditionalFormatting sqref="V1">
    <cfRule type="cellIs" dxfId="132" priority="29" operator="equal">
      <formula>"Check"</formula>
    </cfRule>
    <cfRule type="cellIs" dxfId="131" priority="30" operator="equal">
      <formula>"Ok"</formula>
    </cfRule>
  </conditionalFormatting>
  <conditionalFormatting sqref="J10:T10">
    <cfRule type="expression" dxfId="130" priority="25">
      <formula>J$10=J$4</formula>
    </cfRule>
  </conditionalFormatting>
  <conditionalFormatting sqref="J12:S13 J14:N14 J16:T20 J15:S15">
    <cfRule type="expression" dxfId="129" priority="24">
      <formula>J$10=J$4</formula>
    </cfRule>
  </conditionalFormatting>
  <conditionalFormatting sqref="W22">
    <cfRule type="cellIs" dxfId="128" priority="20" operator="equal">
      <formula>"Check"</formula>
    </cfRule>
    <cfRule type="cellIs" dxfId="127" priority="21" operator="equal">
      <formula>"Ok"</formula>
    </cfRule>
  </conditionalFormatting>
  <conditionalFormatting sqref="J22:T22">
    <cfRule type="cellIs" dxfId="126" priority="18" operator="equal">
      <formula>"Check"</formula>
    </cfRule>
    <cfRule type="cellIs" dxfId="125" priority="19" operator="equal">
      <formula>"Ok"</formula>
    </cfRule>
  </conditionalFormatting>
  <conditionalFormatting sqref="W34">
    <cfRule type="cellIs" dxfId="124" priority="16" operator="equal">
      <formula>"Check"</formula>
    </cfRule>
    <cfRule type="cellIs" dxfId="123" priority="17" operator="equal">
      <formula>"Ok"</formula>
    </cfRule>
  </conditionalFormatting>
  <conditionalFormatting sqref="J34:T34">
    <cfRule type="cellIs" dxfId="122" priority="14" operator="equal">
      <formula>"Check"</formula>
    </cfRule>
    <cfRule type="cellIs" dxfId="121" priority="15" operator="equal">
      <formula>"Ok"</formula>
    </cfRule>
  </conditionalFormatting>
  <conditionalFormatting sqref="J28:M32 O31:O32">
    <cfRule type="expression" dxfId="120" priority="13">
      <formula>J$26=J$4</formula>
    </cfRule>
  </conditionalFormatting>
  <conditionalFormatting sqref="W43">
    <cfRule type="cellIs" dxfId="119" priority="11" operator="equal">
      <formula>"Check"</formula>
    </cfRule>
    <cfRule type="cellIs" dxfId="118" priority="12" operator="equal">
      <formula>"Ok"</formula>
    </cfRule>
  </conditionalFormatting>
  <conditionalFormatting sqref="J43:T43">
    <cfRule type="cellIs" dxfId="117" priority="9" operator="equal">
      <formula>"Check"</formula>
    </cfRule>
    <cfRule type="cellIs" dxfId="116" priority="10" operator="equal">
      <formula>"Ok"</formula>
    </cfRule>
  </conditionalFormatting>
  <conditionalFormatting sqref="P31:T32 O28:T30 O28:S32">
    <cfRule type="expression" dxfId="115" priority="8">
      <formula>O$10=O$4</formula>
    </cfRule>
  </conditionalFormatting>
  <conditionalFormatting sqref="N28:N32">
    <cfRule type="expression" dxfId="114" priority="7">
      <formula>N$10=N$4</formula>
    </cfRule>
  </conditionalFormatting>
  <conditionalFormatting sqref="J40:T41">
    <cfRule type="expression" dxfId="113" priority="4">
      <formula>J$38=J$4</formula>
    </cfRule>
  </conditionalFormatting>
  <conditionalFormatting sqref="J26:T26">
    <cfRule type="expression" dxfId="112" priority="3">
      <formula>J$10=J$4</formula>
    </cfRule>
  </conditionalFormatting>
  <conditionalFormatting sqref="J38:T38">
    <cfRule type="expression" dxfId="111" priority="2">
      <formula>J$10=J$4</formula>
    </cfRule>
  </conditionalFormatting>
  <conditionalFormatting sqref="O14:S14">
    <cfRule type="expression" dxfId="110" priority="1">
      <formula>O$10=O$4</formula>
    </cfRule>
  </conditionalFormatting>
  <dataValidations count="2">
    <dataValidation type="list" allowBlank="1" showInputMessage="1" showErrorMessage="1" sqref="F23 F33 F35 F44" xr:uid="{00000000-0002-0000-0600-000000000000}">
      <formula1>"Real 2010,Real 2011,Real 2012,Real 2013,Real 2014,Real 2015,Nominal"</formula1>
    </dataValidation>
    <dataValidation type="list" allowBlank="1" showInputMessage="1" showErrorMessage="1" sqref="U28:U33 I44 U23 I23 U12:U21 I28:I33 U35 I35 U44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E40:E41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42F4-B6FD-4CF8-A2A8-7167D37E5E52}">
  <sheetPr codeName="Sheet8">
    <tabColor rgb="FFFFFF99"/>
  </sheetPr>
  <dimension ref="A1:AU27"/>
  <sheetViews>
    <sheetView showGridLines="0" zoomScale="115" zoomScaleNormal="115" workbookViewId="0">
      <selection activeCell="J1" sqref="J1"/>
    </sheetView>
  </sheetViews>
  <sheetFormatPr defaultColWidth="0" defaultRowHeight="11.25" customHeight="1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IF(COUNTA($W$8:$W$210)=COUNTIF($W$8:$W$210,"OK"),"OK","Check")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Index!$C$12</f>
        <v>Input | Dx/Tx split</v>
      </c>
      <c r="C2" s="35"/>
      <c r="D2" s="35"/>
      <c r="E2" s="35"/>
      <c r="F2" s="60"/>
      <c r="G2" s="60"/>
      <c r="H2" s="60"/>
      <c r="I2" s="60"/>
    </row>
    <row r="3" spans="1:30" s="61" customFormat="1">
      <c r="D3" s="127"/>
      <c r="E3" s="127"/>
      <c r="F3" s="127"/>
      <c r="G3" s="127"/>
      <c r="H3" s="127"/>
      <c r="I3" s="127"/>
      <c r="J3" s="112" t="s">
        <v>114</v>
      </c>
      <c r="K3" s="121"/>
      <c r="L3" s="121"/>
      <c r="M3" s="127"/>
      <c r="N3" s="201"/>
      <c r="O3" s="201"/>
      <c r="P3" s="201"/>
      <c r="Q3" s="201"/>
      <c r="R3" s="201"/>
      <c r="S3" s="201"/>
      <c r="T3" s="62"/>
      <c r="U3" s="62"/>
      <c r="V3" s="62"/>
      <c r="W3" s="62"/>
      <c r="X3" s="62"/>
      <c r="Y3" s="62"/>
      <c r="Z3" s="62"/>
    </row>
    <row r="4" spans="1:30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8"/>
      <c r="W4" s="68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7"/>
      <c r="B8" s="43" t="s">
        <v>215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78</v>
      </c>
      <c r="D10" s="21" t="s">
        <v>7</v>
      </c>
      <c r="E10" s="21" t="s">
        <v>8</v>
      </c>
      <c r="F10" s="21" t="s">
        <v>22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45809</v>
      </c>
      <c r="P10" s="116">
        <f t="shared" si="0"/>
        <v>46174</v>
      </c>
      <c r="Q10" s="116">
        <f t="shared" si="0"/>
        <v>46539</v>
      </c>
      <c r="R10" s="116">
        <f t="shared" si="0"/>
        <v>46905</v>
      </c>
      <c r="S10" s="116">
        <f t="shared" si="0"/>
        <v>47270</v>
      </c>
      <c r="T10" s="116" t="str">
        <f t="shared" si="0"/>
        <v/>
      </c>
    </row>
    <row r="11" spans="1:30" outlineLevel="1">
      <c r="G11" s="21"/>
      <c r="H11" s="21"/>
    </row>
    <row r="12" spans="1:30" outlineLevel="1">
      <c r="C12" s="176" t="s">
        <v>213</v>
      </c>
      <c r="D12" s="16" t="s">
        <v>68</v>
      </c>
      <c r="E12" s="16" t="s">
        <v>31</v>
      </c>
      <c r="F12" s="153"/>
      <c r="G12" s="21"/>
      <c r="H12" s="21"/>
      <c r="J12" s="107"/>
      <c r="K12" s="107"/>
      <c r="L12" s="107"/>
      <c r="M12" s="107"/>
      <c r="N12" s="107"/>
      <c r="O12" s="175">
        <v>0.95199999999999996</v>
      </c>
      <c r="P12" s="175">
        <v>0.95199999999999996</v>
      </c>
      <c r="Q12" s="175">
        <v>0.95199999999999996</v>
      </c>
      <c r="R12" s="175">
        <v>0.95199999999999996</v>
      </c>
      <c r="S12" s="175">
        <v>0.95199999999999996</v>
      </c>
      <c r="T12" s="120"/>
    </row>
    <row r="13" spans="1:30" outlineLevel="1">
      <c r="C13" s="176" t="s">
        <v>214</v>
      </c>
      <c r="D13" s="16" t="s">
        <v>68</v>
      </c>
      <c r="E13" s="16" t="s">
        <v>31</v>
      </c>
      <c r="F13" s="153"/>
      <c r="G13" s="21"/>
      <c r="H13" s="21"/>
      <c r="J13" s="107"/>
      <c r="K13" s="107"/>
      <c r="L13" s="107"/>
      <c r="M13" s="107"/>
      <c r="N13" s="107"/>
      <c r="O13" s="175">
        <v>4.8000000000000001E-2</v>
      </c>
      <c r="P13" s="175">
        <v>4.8000000000000001E-2</v>
      </c>
      <c r="Q13" s="175">
        <v>4.8000000000000001E-2</v>
      </c>
      <c r="R13" s="175">
        <v>4.8000000000000001E-2</v>
      </c>
      <c r="S13" s="175">
        <v>4.8000000000000001E-2</v>
      </c>
      <c r="T13" s="120"/>
    </row>
    <row r="14" spans="1:30" outlineLevel="1">
      <c r="G14" s="21"/>
      <c r="H14" s="21"/>
    </row>
    <row r="15" spans="1:30" outlineLevel="1">
      <c r="C15" s="8" t="s">
        <v>40</v>
      </c>
      <c r="D15" s="16" t="s">
        <v>97</v>
      </c>
      <c r="E15" s="16" t="s">
        <v>28</v>
      </c>
      <c r="F15" s="16" t="s">
        <v>36</v>
      </c>
      <c r="J15" s="91" t="str">
        <f>IF(J10=J4,IF(COUNTA($C12:$C13)=COUNT(J12:J13),"Ok","Check"),"")</f>
        <v/>
      </c>
      <c r="K15" s="91" t="str">
        <f>IF(K10=K4,IF(COUNTA($C12:$C13)=COUNT(K12:K13),"Ok","Check"),"")</f>
        <v/>
      </c>
      <c r="L15" s="91" t="str">
        <f>IF(L10=L4,IF(COUNTA($C12:$C13)=COUNT(L12:L13),"Ok","Check"),"")</f>
        <v/>
      </c>
      <c r="M15" s="91" t="str">
        <f>IF(M10=M4,IF(COUNTA($C12:$C13)=COUNT(M12:M13),"Ok","Check"),"")</f>
        <v/>
      </c>
      <c r="N15" s="91" t="str">
        <f>IF(N10=N4,IF(COUNTA($C12:$C13)=COUNT(N12:N13),"Ok","Check"),"")</f>
        <v/>
      </c>
      <c r="O15" s="91" t="str">
        <f>IF(O10=O4,IF(SUM(O12:O13)=1,"Ok","Check"),"")</f>
        <v>Ok</v>
      </c>
      <c r="P15" s="91" t="str">
        <f t="shared" ref="P15:S15" si="1">IF(P10=P4,IF(SUM(P12:P13)=1,"Ok","Check"),"")</f>
        <v>Ok</v>
      </c>
      <c r="Q15" s="91" t="str">
        <f t="shared" si="1"/>
        <v>Ok</v>
      </c>
      <c r="R15" s="91" t="str">
        <f t="shared" si="1"/>
        <v>Ok</v>
      </c>
      <c r="S15" s="91" t="str">
        <f t="shared" si="1"/>
        <v>Ok</v>
      </c>
      <c r="T15" s="91" t="str">
        <f>IF(T10=T4,IF(COUNTA($C12:$C13)=COUNT(T12:T13),"Ok","Check"),"")</f>
        <v/>
      </c>
      <c r="U15" s="25"/>
      <c r="W15" s="90" t="str">
        <f>IF(COUNTIF(J15:T15,"Check")=0,"Ok","Check")</f>
        <v>Ok</v>
      </c>
    </row>
    <row r="16" spans="1:30">
      <c r="G16" s="21"/>
      <c r="H16" s="21"/>
    </row>
    <row r="17" spans="1:47" customFormat="1" ht="12.75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47" hidden="1">
      <c r="G18" s="21"/>
      <c r="H18" s="21"/>
    </row>
    <row r="19" spans="1:47" hidden="1">
      <c r="G19" s="21"/>
      <c r="H19" s="21"/>
    </row>
    <row r="20" spans="1:47" hidden="1">
      <c r="G20" s="21"/>
      <c r="H20" s="21"/>
    </row>
    <row r="21" spans="1:47" s="16" customFormat="1" hidden="1">
      <c r="A21" s="8"/>
      <c r="B21" s="8"/>
      <c r="C21" s="8"/>
      <c r="G21" s="21"/>
      <c r="H21" s="2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16" customFormat="1" hidden="1">
      <c r="A22" s="8"/>
      <c r="B22" s="8"/>
      <c r="C22" s="8"/>
      <c r="G22" s="21"/>
      <c r="H22" s="2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s="16" customFormat="1" hidden="1">
      <c r="A23" s="8"/>
      <c r="B23" s="8"/>
      <c r="C23" s="8"/>
      <c r="G23" s="21"/>
      <c r="H23" s="2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s="16" customFormat="1" hidden="1">
      <c r="A24" s="8"/>
      <c r="B24" s="8"/>
      <c r="C24" s="8"/>
      <c r="G24" s="21"/>
      <c r="H24" s="2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s="16" customFormat="1" hidden="1">
      <c r="A25" s="8"/>
      <c r="B25" s="8"/>
      <c r="C25" s="8"/>
      <c r="G25" s="21"/>
      <c r="H25" s="2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s="16" customFormat="1" hidden="1">
      <c r="A26" s="8"/>
      <c r="B26" s="8"/>
      <c r="C26" s="8"/>
      <c r="G26" s="21"/>
      <c r="H26" s="2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s="16" customFormat="1" hidden="1">
      <c r="A27" s="8"/>
      <c r="B27" s="8"/>
      <c r="C27" s="8"/>
      <c r="G27" s="21"/>
      <c r="H27" s="2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</sheetData>
  <mergeCells count="1">
    <mergeCell ref="N3:S3"/>
  </mergeCells>
  <conditionalFormatting sqref="S1">
    <cfRule type="cellIs" dxfId="109" priority="21" operator="equal">
      <formula>"Check"</formula>
    </cfRule>
    <cfRule type="cellIs" dxfId="108" priority="22" operator="equal">
      <formula>"Ok"</formula>
    </cfRule>
  </conditionalFormatting>
  <conditionalFormatting sqref="V1">
    <cfRule type="cellIs" dxfId="107" priority="23" operator="equal">
      <formula>"Check"</formula>
    </cfRule>
    <cfRule type="cellIs" dxfId="106" priority="24" operator="equal">
      <formula>"Ok"</formula>
    </cfRule>
  </conditionalFormatting>
  <conditionalFormatting sqref="J10:T10">
    <cfRule type="expression" dxfId="105" priority="20">
      <formula>J$10=J$4</formula>
    </cfRule>
  </conditionalFormatting>
  <conditionalFormatting sqref="J12:T13">
    <cfRule type="expression" dxfId="104" priority="19">
      <formula>J$10=J$4</formula>
    </cfRule>
  </conditionalFormatting>
  <conditionalFormatting sqref="W15">
    <cfRule type="cellIs" dxfId="103" priority="17" operator="equal">
      <formula>"Check"</formula>
    </cfRule>
    <cfRule type="cellIs" dxfId="102" priority="18" operator="equal">
      <formula>"Ok"</formula>
    </cfRule>
  </conditionalFormatting>
  <conditionalFormatting sqref="J15:T15">
    <cfRule type="cellIs" dxfId="101" priority="15" operator="equal">
      <formula>"Check"</formula>
    </cfRule>
    <cfRule type="cellIs" dxfId="100" priority="16" operator="equal">
      <formula>"Ok"</formula>
    </cfRule>
  </conditionalFormatting>
  <dataValidations count="2">
    <dataValidation type="list" allowBlank="1" showInputMessage="1" showErrorMessage="1" sqref="U16 I16 U12:U14" xr:uid="{CF0A540F-0BCB-4F54-98ED-AAC9D78EDB52}">
      <formula1>#REF!</formula1>
    </dataValidation>
    <dataValidation type="list" allowBlank="1" showInputMessage="1" showErrorMessage="1" sqref="F16" xr:uid="{01EA0024-EADE-442C-942F-FB5C457D974B}">
      <formula1>"Real 2010,Real 2011,Real 2012,Real 2013,Real 2014,Real 2015,Nominal"</formula1>
    </dataValidation>
  </dataValidations>
  <hyperlinks>
    <hyperlink ref="J1" location="Index!A1" display="Back to Index" xr:uid="{05B0723C-4E48-4622-AFDB-A66AE7CB7A6C}"/>
    <hyperlink ref="U1" location="'Check|List'!A1" display="Overall Check:" xr:uid="{5C8FB978-87CE-4E36-B11E-11F4B84B4D79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9137ED-767F-40CD-B006-065ADBCD187E}">
          <x14:formula1>
            <xm:f>'Lookup|Tables'!$C$74:$C$83</xm:f>
          </x14:formula1>
          <xm:sqref>F14</xm:sqref>
        </x14:dataValidation>
        <x14:dataValidation type="list" allowBlank="1" showInputMessage="1" showErrorMessage="1" xr:uid="{918D281F-CD04-40D6-887B-3DA169D7ACD5}">
          <x14:formula1>
            <xm:f>'Lookup|Tables'!$G$17:$G$19</xm:f>
          </x14:formula1>
          <xm:sqref>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200"/>
  <sheetViews>
    <sheetView showGridLines="0" zoomScaleNormal="100"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">
        <v>36</v>
      </c>
      <c r="T1" s="34"/>
      <c r="V1" s="131" t="s">
        <v>24</v>
      </c>
      <c r="W1" s="34" t="str">
        <f>'Check|List'!$S$1</f>
        <v>Ok</v>
      </c>
    </row>
    <row r="2" spans="1:31" s="36" customFormat="1" ht="13.5" thickBot="1">
      <c r="B2" s="35" t="str">
        <f>Index!$C$13</f>
        <v>Calc | Opex Forecast</v>
      </c>
      <c r="C2" s="35"/>
      <c r="D2" s="35"/>
      <c r="E2" s="35"/>
      <c r="F2" s="60"/>
      <c r="G2" s="60"/>
      <c r="H2" s="60"/>
      <c r="I2" s="60"/>
    </row>
    <row r="3" spans="1:31" s="61" customFormat="1">
      <c r="D3" s="127"/>
      <c r="E3" s="127"/>
      <c r="F3" s="127"/>
      <c r="G3" s="127"/>
      <c r="H3" s="127"/>
      <c r="I3" s="127"/>
      <c r="J3" s="121" t="s">
        <v>114</v>
      </c>
      <c r="K3" s="121"/>
      <c r="L3" s="121"/>
      <c r="M3" s="127"/>
      <c r="N3" s="201"/>
      <c r="O3" s="201"/>
      <c r="P3" s="201"/>
      <c r="Q3" s="201"/>
      <c r="R3" s="201"/>
      <c r="S3" s="201"/>
      <c r="T3" s="127"/>
      <c r="U3" s="62"/>
      <c r="V3" s="62"/>
      <c r="W3" s="62"/>
      <c r="X3" s="62"/>
      <c r="Y3" s="62"/>
      <c r="Z3" s="62"/>
      <c r="AA3" s="62"/>
    </row>
    <row r="4" spans="1:31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7"/>
      <c r="W4" s="68"/>
      <c r="X4" s="68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7"/>
      <c r="B8" s="43" t="s">
        <v>85</v>
      </c>
      <c r="C8" s="37"/>
      <c r="D8" s="37"/>
      <c r="E8" s="59" t="s">
        <v>15</v>
      </c>
      <c r="F8" s="142">
        <f>DATE(PPLastYear,MONTH('Input|General'!$G$9),1)</f>
        <v>45444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16">
        <f t="shared" ref="J10:S10" si="0">IF(YEAR(J$4)&lt;=PPLastYear,J$4,"")</f>
        <v>43983</v>
      </c>
      <c r="K10" s="116">
        <f t="shared" si="0"/>
        <v>44348</v>
      </c>
      <c r="L10" s="116">
        <f t="shared" si="0"/>
        <v>44713</v>
      </c>
      <c r="M10" s="116">
        <f t="shared" si="0"/>
        <v>45078</v>
      </c>
      <c r="N10" s="116">
        <f t="shared" si="0"/>
        <v>45444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/>
    </row>
    <row r="11" spans="1:31" outlineLevel="1">
      <c r="C11" s="15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31" outlineLevel="1">
      <c r="C12" s="15" t="s">
        <v>155</v>
      </c>
      <c r="D12" s="73" t="s">
        <v>91</v>
      </c>
      <c r="E12" s="16" t="str">
        <f>'Input|Reported opex'!E57</f>
        <v>$millions</v>
      </c>
      <c r="F12" s="115" t="str">
        <f>'Input|Reported opex'!F57</f>
        <v>nominal</v>
      </c>
      <c r="J12" s="74">
        <f>IF(YEAR(J$4)=BaseYear,'Input|Reported opex'!J47,0)</f>
        <v>0</v>
      </c>
      <c r="K12" s="74">
        <f>IF(YEAR(K$4)=BaseYear,'Input|Reported opex'!K47,0)</f>
        <v>0</v>
      </c>
      <c r="L12" s="74">
        <f>IF(YEAR(L$4)=BaseYear,'Input|Reported opex'!L47,0)</f>
        <v>0</v>
      </c>
      <c r="M12" s="74">
        <f>IF(YEAR(M$4)=BaseYear,'Input|Reported opex'!M47,0)</f>
        <v>391.38221711826998</v>
      </c>
      <c r="N12" s="74">
        <f>IF(YEAR(N$4)=BaseYear,'Input|Reported opex'!N47,0)</f>
        <v>0</v>
      </c>
      <c r="O12" s="74">
        <f>IF(YEAR(O$4)=BaseYear,'Input|Reported opex'!O47,0)</f>
        <v>0</v>
      </c>
      <c r="P12" s="74">
        <f>IF(YEAR(P$4)=BaseYear,'Input|Reported opex'!P47,0)</f>
        <v>0</v>
      </c>
      <c r="Q12" s="74">
        <f>IF(YEAR(Q$4)=BaseYear,'Input|Reported opex'!Q47,0)</f>
        <v>0</v>
      </c>
      <c r="R12" s="74">
        <f>IF(YEAR(R$4)=BaseYear,'Input|Reported opex'!R47,0)</f>
        <v>0</v>
      </c>
      <c r="S12" s="74">
        <f>IF(YEAR(S$4)=BaseYear,'Input|Reported opex'!S47,0)</f>
        <v>0</v>
      </c>
      <c r="T12" s="74">
        <f>IF(YEAR(T$4)=BaseYear,'Input|Reported opex'!T47,0)</f>
        <v>0</v>
      </c>
    </row>
    <row r="13" spans="1:31" outlineLevel="1">
      <c r="C13" s="15" t="s">
        <v>155</v>
      </c>
      <c r="D13" s="16" t="s">
        <v>30</v>
      </c>
      <c r="E13" s="16" t="str">
        <f>$E$8</f>
        <v>$millions</v>
      </c>
      <c r="F13" s="115">
        <f>$F$8</f>
        <v>45444</v>
      </c>
      <c r="J13" s="74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4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4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4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416.30302917584157</v>
      </c>
      <c r="N13" s="74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4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4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4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4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4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4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156</v>
      </c>
      <c r="D14" s="73" t="s">
        <v>91</v>
      </c>
      <c r="E14" s="16" t="str">
        <f>'Input|Reported opex'!E15</f>
        <v>$millions</v>
      </c>
      <c r="F14" s="115">
        <f>'Input|Reported opex'!F15</f>
        <v>43617</v>
      </c>
      <c r="J14" s="74">
        <f>IF(YEAR(J$4)=BaseYear,'Input|Reported opex'!J15,0)</f>
        <v>0</v>
      </c>
      <c r="K14" s="74">
        <f>IF(YEAR(K$4)=BaseYear,'Input|Reported opex'!K15,0)</f>
        <v>0</v>
      </c>
      <c r="L14" s="74">
        <f>IF(YEAR(L$4)=BaseYear,'Input|Reported opex'!L15,0)</f>
        <v>0</v>
      </c>
      <c r="M14" s="74">
        <f>IF(YEAR(M$4)=BaseYear,'Input|Reported opex'!M15,0)</f>
        <v>466.27285497632533</v>
      </c>
      <c r="N14" s="74">
        <f>IF(YEAR(N$4)=BaseYear,'Input|Reported opex'!N15,0)</f>
        <v>0</v>
      </c>
      <c r="O14" s="74">
        <f>IF(YEAR(O$4)=BaseYear,'Input|Reported opex'!O15,0)</f>
        <v>0</v>
      </c>
      <c r="P14" s="74">
        <f>IF(YEAR(P$4)=BaseYear,'Input|Reported opex'!P15,0)</f>
        <v>0</v>
      </c>
      <c r="Q14" s="74">
        <f>IF(YEAR(Q$4)=BaseYear,'Input|Reported opex'!Q15,0)</f>
        <v>0</v>
      </c>
      <c r="R14" s="74">
        <f>IF(YEAR(R$4)=BaseYear,'Input|Reported opex'!R15,0)</f>
        <v>0</v>
      </c>
      <c r="S14" s="74">
        <f>IF(YEAR(S$4)=BaseYear,'Input|Reported opex'!S15,0)</f>
        <v>0</v>
      </c>
      <c r="T14" s="74"/>
    </row>
    <row r="15" spans="1:31" outlineLevel="1">
      <c r="C15" s="15" t="s">
        <v>156</v>
      </c>
      <c r="D15" s="16" t="s">
        <v>30</v>
      </c>
      <c r="E15" s="16" t="str">
        <f>$E$8</f>
        <v>$millions</v>
      </c>
      <c r="F15" s="115">
        <f>$F$8</f>
        <v>45444</v>
      </c>
      <c r="J15" s="74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4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4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4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560.95751893532861</v>
      </c>
      <c r="N15" s="74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4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4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4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4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4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4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157</v>
      </c>
      <c r="D16" s="73" t="s">
        <v>91</v>
      </c>
      <c r="E16" s="16" t="str">
        <f>'Input|Reported opex'!E15</f>
        <v>$millions</v>
      </c>
      <c r="F16" s="115">
        <f>'Input|Reported opex'!F15</f>
        <v>43617</v>
      </c>
      <c r="J16" s="74">
        <f>IF(YEAR(J$4)=PPLastYear,'Input|Reported opex'!J15,0)</f>
        <v>0</v>
      </c>
      <c r="K16" s="74">
        <f>IF(YEAR(K$4)=PPLastYear,'Input|Reported opex'!K15,0)</f>
        <v>0</v>
      </c>
      <c r="L16" s="74">
        <f>IF(YEAR(L$4)=PPLastYear,'Input|Reported opex'!L15,0)</f>
        <v>0</v>
      </c>
      <c r="M16" s="74">
        <f>IF(YEAR(M$4)=PPLastYear,'Input|Reported opex'!M15,0)</f>
        <v>0</v>
      </c>
      <c r="N16" s="74">
        <f>IF(YEAR(N$4)=PPLastYear,'Input|Reported opex'!N15,0)</f>
        <v>467.93531391512965</v>
      </c>
      <c r="O16" s="74">
        <f>IF(YEAR(O$4)=PPLastYear,'Input|Reported opex'!O15,0)</f>
        <v>0</v>
      </c>
      <c r="P16" s="74">
        <f>IF(YEAR(P$4)=PPLastYear,'Input|Reported opex'!P15,0)</f>
        <v>0</v>
      </c>
      <c r="Q16" s="74">
        <f>IF(YEAR(Q$4)=PPLastYear,'Input|Reported opex'!Q15,0)</f>
        <v>0</v>
      </c>
      <c r="R16" s="74">
        <f>IF(YEAR(R$4)=PPLastYear,'Input|Reported opex'!R15,0)</f>
        <v>0</v>
      </c>
      <c r="S16" s="74">
        <f>IF(YEAR(S$4)=PPLastYear,'Input|Reported opex'!S15,0)</f>
        <v>0</v>
      </c>
      <c r="T16" s="74"/>
    </row>
    <row r="17" spans="3:20" outlineLevel="1">
      <c r="C17" s="15" t="s">
        <v>157</v>
      </c>
      <c r="D17" s="16" t="s">
        <v>30</v>
      </c>
      <c r="E17" s="16" t="str">
        <f>$E$8</f>
        <v>$millions</v>
      </c>
      <c r="F17" s="115">
        <f>$F$8</f>
        <v>45444</v>
      </c>
      <c r="J17" s="74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4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4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4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4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562.95756854510239</v>
      </c>
      <c r="O17" s="74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4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4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4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4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4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5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3:20" outlineLevel="1">
      <c r="C19" s="15" t="s">
        <v>158</v>
      </c>
      <c r="D19" s="73" t="s">
        <v>91</v>
      </c>
      <c r="E19" s="16" t="str">
        <f>'Input|Reported opex'!E64</f>
        <v>$millions</v>
      </c>
      <c r="F19" s="115" t="str">
        <f>'Input|Reported opex'!F57</f>
        <v>nominal</v>
      </c>
      <c r="J19" s="74">
        <f>IF(YEAR(J$4)=BaseYear,'Input|Reported opex'!J57,0)</f>
        <v>0</v>
      </c>
      <c r="K19" s="74">
        <f>IF(YEAR(K$4)=BaseYear,'Input|Reported opex'!K57,0)</f>
        <v>0</v>
      </c>
      <c r="L19" s="74">
        <f>IF(YEAR(L$4)=BaseYear,'Input|Reported opex'!L57,0)</f>
        <v>0</v>
      </c>
      <c r="M19" s="74">
        <f>IF(YEAR(M$4)=BaseYear,'Input|Reported opex'!M57,0)</f>
        <v>0</v>
      </c>
      <c r="N19" s="74">
        <f>IF(YEAR(N$4)=BaseYear,'Input|Reported opex'!N57,0)</f>
        <v>0</v>
      </c>
      <c r="O19" s="74">
        <f>IF(YEAR(O$4)=BaseYear,'Input|Reported opex'!O57,0)</f>
        <v>0</v>
      </c>
      <c r="P19" s="74">
        <f>IF(YEAR(P$4)=BaseYear,'Input|Reported opex'!P57,0)</f>
        <v>0</v>
      </c>
      <c r="Q19" s="74">
        <f>IF(YEAR(Q$4)=BaseYear,'Input|Reported opex'!Q57,0)</f>
        <v>0</v>
      </c>
      <c r="R19" s="74">
        <f>IF(YEAR(R$4)=BaseYear,'Input|Reported opex'!R57,0)</f>
        <v>0</v>
      </c>
      <c r="S19" s="74">
        <f>IF(YEAR(S$4)=BaseYear,'Input|Reported opex'!S57,0)</f>
        <v>0</v>
      </c>
      <c r="T19" s="74"/>
    </row>
    <row r="20" spans="3:20" outlineLevel="1">
      <c r="C20" s="15" t="s">
        <v>158</v>
      </c>
      <c r="D20" s="16" t="s">
        <v>30</v>
      </c>
      <c r="E20" s="16" t="str">
        <f>$E$8</f>
        <v>$millions</v>
      </c>
      <c r="F20" s="115">
        <f>$F$8</f>
        <v>45444</v>
      </c>
      <c r="J20" s="74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4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4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4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4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4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4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4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4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4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4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159</v>
      </c>
      <c r="D21" s="73" t="s">
        <v>91</v>
      </c>
      <c r="E21" s="16" t="str">
        <f>'Input|Reported opex'!E22</f>
        <v>$millions</v>
      </c>
      <c r="F21" s="115">
        <f>'Input|Reported opex'!F29</f>
        <v>43617</v>
      </c>
      <c r="J21" s="74">
        <f>IF(YEAR(J$4)=BaseYear,'Input|Reported opex'!J29,0)</f>
        <v>0</v>
      </c>
      <c r="K21" s="74">
        <f>IF(YEAR(K$4)=BaseYear,'Input|Reported opex'!K29,0)</f>
        <v>0</v>
      </c>
      <c r="L21" s="74">
        <f>IF(YEAR(L$4)=BaseYear,'Input|Reported opex'!L29,0)</f>
        <v>0</v>
      </c>
      <c r="M21" s="74">
        <f>IF(YEAR(M$4)=BaseYear,'Input|Reported opex'!M29,0)</f>
        <v>7.8561671028793141</v>
      </c>
      <c r="N21" s="74">
        <f>IF(YEAR(N$4)=BaseYear,'Input|Reported opex'!N29,0)</f>
        <v>0</v>
      </c>
      <c r="O21" s="74">
        <f>IF(YEAR(O$4)=BaseYear,'Input|Reported opex'!O29,0)</f>
        <v>0</v>
      </c>
      <c r="P21" s="74">
        <f>IF(YEAR(P$4)=BaseYear,'Input|Reported opex'!P29,0)</f>
        <v>0</v>
      </c>
      <c r="Q21" s="74">
        <f>IF(YEAR(Q$4)=BaseYear,'Input|Reported opex'!Q29,0)</f>
        <v>0</v>
      </c>
      <c r="R21" s="74">
        <f>IF(YEAR(R$4)=BaseYear,'Input|Reported opex'!R29,0)</f>
        <v>0</v>
      </c>
      <c r="S21" s="74">
        <f>IF(YEAR(S$4)=BaseYear,'Input|Reported opex'!S29,0)</f>
        <v>0</v>
      </c>
      <c r="T21" s="74"/>
    </row>
    <row r="22" spans="3:20" outlineLevel="1">
      <c r="C22" s="15" t="s">
        <v>159</v>
      </c>
      <c r="D22" s="16" t="s">
        <v>30</v>
      </c>
      <c r="E22" s="16" t="str">
        <f>$E$8</f>
        <v>$millions</v>
      </c>
      <c r="F22" s="115">
        <f>$F$8</f>
        <v>45444</v>
      </c>
      <c r="J22" s="74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4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4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4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9.4514959628012001</v>
      </c>
      <c r="N22" s="74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4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4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4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4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4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4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160</v>
      </c>
      <c r="D23" s="73" t="s">
        <v>91</v>
      </c>
      <c r="E23" s="16" t="str">
        <f>'Input|Reported opex'!E22</f>
        <v>$millions</v>
      </c>
      <c r="F23" s="115">
        <f>'Input|Reported opex'!F29</f>
        <v>43617</v>
      </c>
      <c r="J23" s="74">
        <f>IF(YEAR(J$4)=PPLastYear,'Input|Reported opex'!J29,0)</f>
        <v>0</v>
      </c>
      <c r="K23" s="74">
        <f>IF(YEAR(K$4)=PPLastYear,'Input|Reported opex'!K29,0)</f>
        <v>0</v>
      </c>
      <c r="L23" s="74">
        <f>IF(YEAR(L$4)=PPLastYear,'Input|Reported opex'!L29,0)</f>
        <v>0</v>
      </c>
      <c r="M23" s="74">
        <f>IF(YEAR(M$4)=PPLastYear,'Input|Reported opex'!M29,0)</f>
        <v>0</v>
      </c>
      <c r="N23" s="74">
        <f>IF(YEAR(N$4)=PPLastYear,'Input|Reported opex'!N29,0)</f>
        <v>7.8298568449690222</v>
      </c>
      <c r="O23" s="74">
        <f>IF(YEAR(O$4)=PPLastYear,'Input|Reported opex'!O29,0)</f>
        <v>0</v>
      </c>
      <c r="P23" s="74">
        <f>IF(YEAR(P$4)=PPLastYear,'Input|Reported opex'!P29,0)</f>
        <v>0</v>
      </c>
      <c r="Q23" s="74">
        <f>IF(YEAR(Q$4)=PPLastYear,'Input|Reported opex'!Q29,0)</f>
        <v>0</v>
      </c>
      <c r="R23" s="74">
        <f>IF(YEAR(R$4)=PPLastYear,'Input|Reported opex'!R29,0)</f>
        <v>0</v>
      </c>
      <c r="S23" s="74">
        <f>IF(YEAR(S$4)=PPLastYear,'Input|Reported opex'!S29,0)</f>
        <v>0</v>
      </c>
      <c r="T23" s="74"/>
    </row>
    <row r="24" spans="3:20" outlineLevel="1">
      <c r="C24" s="15" t="s">
        <v>160</v>
      </c>
      <c r="D24" s="16" t="s">
        <v>30</v>
      </c>
      <c r="E24" s="16" t="str">
        <f>$E$8</f>
        <v>$millions</v>
      </c>
      <c r="F24" s="115">
        <f>$F$8</f>
        <v>45444</v>
      </c>
      <c r="J24" s="74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4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4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4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4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9.4198429578226985</v>
      </c>
      <c r="O24" s="74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4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4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4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4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4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5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3:20" outlineLevel="1">
      <c r="C26" s="76" t="s">
        <v>131</v>
      </c>
      <c r="D26" s="77" t="s">
        <v>30</v>
      </c>
      <c r="E26" s="77" t="str">
        <f>$E$8</f>
        <v>$millions</v>
      </c>
      <c r="F26" s="115">
        <f>$F$8</f>
        <v>45444</v>
      </c>
      <c r="J26" s="78">
        <f ca="1">J13</f>
        <v>0</v>
      </c>
      <c r="K26" s="78">
        <f t="shared" ref="K26:S26" ca="1" si="1">K13</f>
        <v>0</v>
      </c>
      <c r="L26" s="78">
        <f t="shared" ca="1" si="1"/>
        <v>0</v>
      </c>
      <c r="M26" s="78">
        <f t="shared" ca="1" si="1"/>
        <v>416.30302917584157</v>
      </c>
      <c r="N26" s="78">
        <f t="shared" ca="1" si="1"/>
        <v>0</v>
      </c>
      <c r="O26" s="78">
        <f t="shared" ca="1" si="1"/>
        <v>0</v>
      </c>
      <c r="P26" s="78">
        <f t="shared" ca="1" si="1"/>
        <v>0</v>
      </c>
      <c r="Q26" s="78">
        <f t="shared" ca="1" si="1"/>
        <v>0</v>
      </c>
      <c r="R26" s="78">
        <f t="shared" ca="1" si="1"/>
        <v>0</v>
      </c>
      <c r="S26" s="78">
        <f t="shared" ca="1" si="1"/>
        <v>0</v>
      </c>
      <c r="T26" s="78"/>
    </row>
    <row r="27" spans="3:20" outlineLevel="1">
      <c r="C27" s="85"/>
      <c r="F27" s="115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3:20" outlineLevel="1">
      <c r="C28" s="85" t="s">
        <v>153</v>
      </c>
      <c r="D28" s="73" t="s">
        <v>91</v>
      </c>
      <c r="E28" s="16" t="str">
        <f>'Input|Reported opex'!E69</f>
        <v>$millions</v>
      </c>
      <c r="F28" s="115">
        <f>'Input|Reported opex'!F69</f>
        <v>45444</v>
      </c>
      <c r="J28" s="78">
        <f>IF('Input|Reported opex'!J$61='Input|Reported opex'!J$10,'Input|Reported opex'!J69,0)</f>
        <v>0</v>
      </c>
      <c r="K28" s="78">
        <f>IF('Input|Reported opex'!K$61='Input|Reported opex'!K$10,'Input|Reported opex'!K69,0)</f>
        <v>0</v>
      </c>
      <c r="L28" s="78">
        <f>IF('Input|Reported opex'!L$61='Input|Reported opex'!L$10,'Input|Reported opex'!L69,0)</f>
        <v>0</v>
      </c>
      <c r="M28" s="78">
        <f>IF('Input|Reported opex'!M$61='Input|Reported opex'!M$10,'Input|Reported opex'!M69,0)</f>
        <v>0</v>
      </c>
      <c r="N28" s="78">
        <f>IF('Input|Reported opex'!N$61='Input|Reported opex'!N$10,'Input|Reported opex'!N69,0)</f>
        <v>-5.2382060061262132</v>
      </c>
      <c r="O28" s="78">
        <f>IF('Input|Reported opex'!O$61='Input|Reported opex'!O$10,'Input|Reported opex'!O69,0)</f>
        <v>0</v>
      </c>
      <c r="P28" s="78">
        <f>IF('Input|Reported opex'!P$61='Input|Reported opex'!P$10,'Input|Reported opex'!P69,0)</f>
        <v>0</v>
      </c>
      <c r="Q28" s="78">
        <f>IF('Input|Reported opex'!Q$61='Input|Reported opex'!Q$10,'Input|Reported opex'!Q69,0)</f>
        <v>0</v>
      </c>
      <c r="R28" s="78">
        <f>IF('Input|Reported opex'!R$61='Input|Reported opex'!R$10,'Input|Reported opex'!R69,0)</f>
        <v>0</v>
      </c>
      <c r="S28" s="78">
        <f>IF('Input|Reported opex'!S$61='Input|Reported opex'!S$10,'Input|Reported opex'!S69,0)</f>
        <v>0</v>
      </c>
      <c r="T28" s="78"/>
    </row>
    <row r="29" spans="3:20" outlineLevel="1">
      <c r="C29" s="85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15">
        <f>$F$8</f>
        <v>45444</v>
      </c>
      <c r="J29" s="78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8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8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8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8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-5.2382060061262132</v>
      </c>
      <c r="O29" s="78"/>
      <c r="P29" s="78"/>
      <c r="Q29" s="78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8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8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8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5"/>
      <c r="F30" s="115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3:20" outlineLevel="1">
      <c r="C31" s="85" t="s">
        <v>151</v>
      </c>
      <c r="D31" s="16" t="s">
        <v>30</v>
      </c>
      <c r="E31" s="16" t="str">
        <f>$E$8</f>
        <v>$millions</v>
      </c>
      <c r="F31" s="115">
        <f>$F$8</f>
        <v>45444</v>
      </c>
      <c r="J31" s="78">
        <f t="shared" ref="J31:S31" si="2">IF(YEAR(J$4)=PPLastYear,-SUM($J15:$S15)+SUM($J17:$S17),0)</f>
        <v>0</v>
      </c>
      <c r="K31" s="78">
        <f t="shared" si="2"/>
        <v>0</v>
      </c>
      <c r="L31" s="78">
        <f t="shared" si="2"/>
        <v>0</v>
      </c>
      <c r="M31" s="78">
        <f t="shared" si="2"/>
        <v>0</v>
      </c>
      <c r="N31" s="78">
        <f t="shared" si="2"/>
        <v>2.0000496097737823</v>
      </c>
      <c r="O31" s="78"/>
      <c r="P31" s="78">
        <f t="shared" si="2"/>
        <v>0</v>
      </c>
      <c r="Q31" s="78">
        <f t="shared" si="2"/>
        <v>0</v>
      </c>
      <c r="R31" s="78">
        <f t="shared" si="2"/>
        <v>0</v>
      </c>
      <c r="S31" s="78">
        <f t="shared" si="2"/>
        <v>0</v>
      </c>
      <c r="T31" s="78"/>
    </row>
    <row r="32" spans="3:20" outlineLevel="1">
      <c r="C32" s="85"/>
      <c r="F32" s="115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</row>
    <row r="33" spans="3:20" outlineLevel="1">
      <c r="C33" s="85" t="s">
        <v>103</v>
      </c>
      <c r="D33" s="16" t="s">
        <v>30</v>
      </c>
      <c r="E33" s="16" t="str">
        <f>$E$8</f>
        <v>$millions</v>
      </c>
      <c r="F33" s="115">
        <f>$F$8</f>
        <v>45444</v>
      </c>
      <c r="J33" s="78">
        <f t="shared" ref="J33:S33" si="3">IF(YEAR(J$4)=PPLastYear,SUM($J26:$S26,$J29:$S29,$J31:$S31),0)</f>
        <v>0</v>
      </c>
      <c r="K33" s="78">
        <f t="shared" si="3"/>
        <v>0</v>
      </c>
      <c r="L33" s="78">
        <f t="shared" si="3"/>
        <v>0</v>
      </c>
      <c r="M33" s="78">
        <f t="shared" si="3"/>
        <v>0</v>
      </c>
      <c r="N33" s="78">
        <f t="shared" ca="1" si="3"/>
        <v>413.06487277948912</v>
      </c>
      <c r="O33" s="78"/>
      <c r="P33" s="78">
        <f t="shared" si="3"/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/>
    </row>
    <row r="34" spans="3:20" outlineLevel="1">
      <c r="C34" s="85"/>
      <c r="F34" s="115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3:20" outlineLevel="1">
      <c r="C35" s="85" t="s">
        <v>161</v>
      </c>
      <c r="D35" s="16" t="s">
        <v>30</v>
      </c>
      <c r="E35" s="16" t="str">
        <f>$E$8</f>
        <v>$millions</v>
      </c>
      <c r="F35" s="115">
        <f>$F$8</f>
        <v>45444</v>
      </c>
      <c r="J35" s="78">
        <f t="shared" ref="J35:S35" si="4">IF(YEAR(J$4)=PPLastYear,-(SUM($J20:$S20)-SUM($J22:$S22)+SUM($J24:$S24)),0)</f>
        <v>0</v>
      </c>
      <c r="K35" s="78">
        <f t="shared" si="4"/>
        <v>0</v>
      </c>
      <c r="L35" s="78">
        <f t="shared" si="4"/>
        <v>0</v>
      </c>
      <c r="M35" s="78">
        <f t="shared" si="4"/>
        <v>0</v>
      </c>
      <c r="N35" s="78">
        <f t="shared" si="4"/>
        <v>3.1653004978501542E-2</v>
      </c>
      <c r="O35" s="78"/>
      <c r="P35" s="78">
        <f t="shared" si="4"/>
        <v>0</v>
      </c>
      <c r="Q35" s="78">
        <f t="shared" si="4"/>
        <v>0</v>
      </c>
      <c r="R35" s="78">
        <f t="shared" si="4"/>
        <v>0</v>
      </c>
      <c r="S35" s="78">
        <f t="shared" si="4"/>
        <v>0</v>
      </c>
      <c r="T35" s="78"/>
    </row>
    <row r="36" spans="3:20" outlineLevel="1">
      <c r="C36" s="85"/>
      <c r="F36" s="115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3:20" outlineLevel="1">
      <c r="C37" s="85" t="str">
        <f>'Input|Reported opex'!$C$63</f>
        <v>Add SaaS (from capex)</v>
      </c>
      <c r="D37" s="73" t="s">
        <v>91</v>
      </c>
      <c r="E37" s="16" t="str">
        <f>'Input|Reported opex'!E63</f>
        <v>$millions</v>
      </c>
      <c r="F37" s="115">
        <f>'Input|Reported opex'!F63</f>
        <v>45444</v>
      </c>
      <c r="J37" s="74">
        <f>IF(YEAR(J$4)=PPLastYear,'Input|Reported opex'!J63,0)</f>
        <v>0</v>
      </c>
      <c r="K37" s="74">
        <f>IF(YEAR(K$4)=PPLastYear,'Input|Reported opex'!K63,0)</f>
        <v>0</v>
      </c>
      <c r="L37" s="74">
        <f>IF(YEAR(L$4)=PPLastYear,'Input|Reported opex'!L63,0)</f>
        <v>0</v>
      </c>
      <c r="M37" s="74">
        <f>IF(YEAR(M$4)=PPLastYear,'Input|Reported opex'!M63,0)</f>
        <v>0</v>
      </c>
      <c r="N37" s="74">
        <f>IF(YEAR(N$4)=PPLastYear,'Input|Reported opex'!N63,0)</f>
        <v>0</v>
      </c>
      <c r="O37" s="74"/>
      <c r="P37" s="74">
        <f>IF(YEAR(P$4)=PPLastYear,'Input|Reported opex'!P63,0)</f>
        <v>0</v>
      </c>
      <c r="Q37" s="74">
        <f>IF(YEAR(Q$4)=PPLastYear,'Input|Reported opex'!Q63,0)</f>
        <v>0</v>
      </c>
      <c r="R37" s="74">
        <f>IF(YEAR(R$4)=PPLastYear,'Input|Reported opex'!R63,0)</f>
        <v>0</v>
      </c>
      <c r="S37" s="74">
        <f>IF(YEAR(S$4)=PPLastYear,'Input|Reported opex'!S63,0)</f>
        <v>0</v>
      </c>
      <c r="T37" s="74"/>
    </row>
    <row r="38" spans="3:20" outlineLevel="1">
      <c r="C38" s="85" t="str">
        <f>C37</f>
        <v>Add SaaS (from capex)</v>
      </c>
      <c r="D38" s="16" t="s">
        <v>30</v>
      </c>
      <c r="E38" s="16" t="str">
        <f>$E$8</f>
        <v>$millions</v>
      </c>
      <c r="F38" s="115">
        <f>$F$8</f>
        <v>45444</v>
      </c>
      <c r="J38" s="78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8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8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8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8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8"/>
      <c r="P38" s="78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8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8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8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8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5"/>
      <c r="F39" s="115"/>
      <c r="J39" s="78"/>
      <c r="K39" s="78"/>
      <c r="L39" s="78"/>
      <c r="M39" s="78"/>
      <c r="N39" s="78"/>
      <c r="O39" s="78"/>
      <c r="P39" s="78"/>
      <c r="Q39" s="78"/>
      <c r="R39" s="74"/>
      <c r="S39" s="74"/>
      <c r="T39" s="74"/>
    </row>
    <row r="40" spans="3:20" outlineLevel="1">
      <c r="C40" s="85" t="str">
        <f>'Input|Reported opex'!$C$64</f>
        <v>CAM adjustment</v>
      </c>
      <c r="D40" s="73" t="s">
        <v>91</v>
      </c>
      <c r="E40" s="16" t="str">
        <f>'Input|Reported opex'!$E$64</f>
        <v>$millions</v>
      </c>
      <c r="F40" s="115">
        <f>'Input|Reported opex'!$F$64</f>
        <v>45444</v>
      </c>
      <c r="J40" s="74">
        <f>IF(YEAR(J$4)=PPLastYear,'Input|Reported opex'!J64,0)</f>
        <v>0</v>
      </c>
      <c r="K40" s="74">
        <f>IF(YEAR(K$4)=PPLastYear,'Input|Reported opex'!K64,0)</f>
        <v>0</v>
      </c>
      <c r="L40" s="74">
        <f>IF(YEAR(L$4)=PPLastYear,'Input|Reported opex'!L64,0)</f>
        <v>0</v>
      </c>
      <c r="M40" s="74">
        <f>IF(YEAR(M$4)=PPLastYear,'Input|Reported opex'!M64,0)</f>
        <v>0</v>
      </c>
      <c r="N40" s="74">
        <f>IF(YEAR(N$4)=PPLastYear,'Input|Reported opex'!N64,0)</f>
        <v>7.002400749668368</v>
      </c>
      <c r="O40" s="74"/>
      <c r="P40" s="74">
        <f>IF(YEAR(P$4)=PPLastYear,'Input|Reported opex'!P64,0)</f>
        <v>0</v>
      </c>
      <c r="Q40" s="74">
        <f>IF(YEAR(Q$4)=PPLastYear,'Input|Reported opex'!Q64,0)</f>
        <v>0</v>
      </c>
      <c r="R40" s="74">
        <f>IF(YEAR(R$4)=PPLastYear,'Input|Reported opex'!R64,0)</f>
        <v>0</v>
      </c>
      <c r="S40" s="74">
        <f>IF(YEAR(S$4)=PPLastYear,'Input|Reported opex'!S64,0)</f>
        <v>0</v>
      </c>
      <c r="T40" s="74"/>
    </row>
    <row r="41" spans="3:20" outlineLevel="1">
      <c r="C41" s="85" t="str">
        <f>C40</f>
        <v>CAM adjustment</v>
      </c>
      <c r="D41" s="16" t="s">
        <v>30</v>
      </c>
      <c r="E41" s="16" t="str">
        <f>$E$8</f>
        <v>$millions</v>
      </c>
      <c r="F41" s="115">
        <f>$F$8</f>
        <v>45444</v>
      </c>
      <c r="J41" s="78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8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8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8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8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7.002400749668368</v>
      </c>
      <c r="O41" s="78"/>
      <c r="P41" s="78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8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8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8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8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5"/>
      <c r="F42" s="115"/>
      <c r="J42" s="78"/>
      <c r="K42" s="78"/>
      <c r="L42" s="78"/>
      <c r="M42" s="78"/>
      <c r="N42" s="78"/>
      <c r="O42" s="78"/>
      <c r="P42" s="78"/>
      <c r="Q42" s="78"/>
      <c r="R42" s="74"/>
      <c r="S42" s="74"/>
      <c r="T42" s="74"/>
    </row>
    <row r="43" spans="3:20" outlineLevel="1">
      <c r="C43" s="85" t="str">
        <f>'Input|Reported opex'!$C$65</f>
        <v>Nature induced costs</v>
      </c>
      <c r="D43" s="73" t="s">
        <v>91</v>
      </c>
      <c r="E43" s="16" t="str">
        <f>'Input|Reported opex'!$E$65</f>
        <v>$millions</v>
      </c>
      <c r="F43" s="115">
        <f>'Input|Reported opex'!$F$65</f>
        <v>45444</v>
      </c>
      <c r="J43" s="74">
        <f>IF(YEAR(J$4)=PPLastYear,'Input|Reported opex'!J65,0)</f>
        <v>0</v>
      </c>
      <c r="K43" s="74">
        <f>IF(YEAR(K$4)=PPLastYear,'Input|Reported opex'!K65,0)</f>
        <v>0</v>
      </c>
      <c r="L43" s="74">
        <f>IF(YEAR(L$4)=PPLastYear,'Input|Reported opex'!L65,0)</f>
        <v>0</v>
      </c>
      <c r="M43" s="74">
        <f>IF(YEAR(M$4)=PPLastYear,'Input|Reported opex'!M65,0)</f>
        <v>0</v>
      </c>
      <c r="N43" s="74">
        <f>IF(YEAR(N$4)=PPLastYear,'Input|Reported opex'!N65,0)</f>
        <v>0</v>
      </c>
      <c r="O43" s="74"/>
      <c r="P43" s="74">
        <f>IF(YEAR(P$4)=PPLastYear,'Input|Reported opex'!P65,0)</f>
        <v>0</v>
      </c>
      <c r="Q43" s="74">
        <f>IF(YEAR(Q$4)=PPLastYear,'Input|Reported opex'!Q65,0)</f>
        <v>0</v>
      </c>
      <c r="R43" s="74">
        <f>IF(YEAR(R$4)=PPLastYear,'Input|Reported opex'!R65,0)</f>
        <v>0</v>
      </c>
      <c r="S43" s="74">
        <f>IF(YEAR(S$4)=PPLastYear,'Input|Reported opex'!S65,0)</f>
        <v>0</v>
      </c>
      <c r="T43" s="74"/>
    </row>
    <row r="44" spans="3:20" outlineLevel="1">
      <c r="C44" s="85" t="str">
        <f>C43</f>
        <v>Nature induced costs</v>
      </c>
      <c r="D44" s="16" t="s">
        <v>30</v>
      </c>
      <c r="E44" s="16" t="str">
        <f>$E$8</f>
        <v>$millions</v>
      </c>
      <c r="F44" s="115">
        <f>$F$8</f>
        <v>45444</v>
      </c>
      <c r="J44" s="78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8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8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8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8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8"/>
      <c r="P44" s="78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8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8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8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8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5"/>
      <c r="F45" s="115"/>
      <c r="J45" s="78"/>
      <c r="K45" s="78"/>
      <c r="L45" s="78"/>
      <c r="M45" s="78"/>
      <c r="N45" s="78"/>
      <c r="O45" s="78"/>
      <c r="P45" s="78"/>
      <c r="Q45" s="78"/>
      <c r="R45" s="74"/>
      <c r="S45" s="74"/>
      <c r="T45" s="74"/>
    </row>
    <row r="46" spans="3:20" outlineLevel="1">
      <c r="C46" s="85" t="str">
        <f>'Input|Reported opex'!$C$66</f>
        <v>remove other leases</v>
      </c>
      <c r="D46" s="73" t="s">
        <v>91</v>
      </c>
      <c r="E46" s="16" t="str">
        <f>'Input|Reported opex'!$E$66</f>
        <v>$millions</v>
      </c>
      <c r="F46" s="115">
        <f>'Input|Reported opex'!$F$66</f>
        <v>45444</v>
      </c>
      <c r="J46" s="74">
        <f>IF(YEAR(J$4)=PPLastYear,'Input|Reported opex'!J66,0)</f>
        <v>0</v>
      </c>
      <c r="K46" s="74">
        <f>IF(YEAR(K$4)=PPLastYear,'Input|Reported opex'!K66,0)</f>
        <v>0</v>
      </c>
      <c r="L46" s="74">
        <f>IF(YEAR(L$4)=PPLastYear,'Input|Reported opex'!L66,0)</f>
        <v>0</v>
      </c>
      <c r="M46" s="74">
        <f>IF(YEAR(M$4)=PPLastYear,'Input|Reported opex'!M66,0)</f>
        <v>0</v>
      </c>
      <c r="N46" s="74">
        <f>IF(YEAR(N$4)=PPLastYear,'Input|Reported opex'!N66,0)</f>
        <v>-5.5283671801738161E-2</v>
      </c>
      <c r="O46" s="74"/>
      <c r="P46" s="74">
        <f>IF(YEAR(P$4)=PPLastYear,'Input|Reported opex'!P66,0)</f>
        <v>0</v>
      </c>
      <c r="Q46" s="74">
        <f>IF(YEAR(Q$4)=PPLastYear,'Input|Reported opex'!Q66,0)</f>
        <v>0</v>
      </c>
      <c r="R46" s="74">
        <f>IF(YEAR(R$4)=PPLastYear,'Input|Reported opex'!R66,0)</f>
        <v>0</v>
      </c>
      <c r="S46" s="74">
        <f>IF(YEAR(S$4)=PPLastYear,'Input|Reported opex'!S66,0)</f>
        <v>0</v>
      </c>
      <c r="T46" s="74"/>
    </row>
    <row r="47" spans="3:20" outlineLevel="1">
      <c r="C47" s="85" t="str">
        <f>C46</f>
        <v>remove other leases</v>
      </c>
      <c r="D47" s="16" t="s">
        <v>30</v>
      </c>
      <c r="E47" s="16" t="str">
        <f>$E$8</f>
        <v>$millions</v>
      </c>
      <c r="F47" s="115">
        <f>$F$8</f>
        <v>45444</v>
      </c>
      <c r="J47" s="78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8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8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8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8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-5.5283671801738161E-2</v>
      </c>
      <c r="O47" s="78"/>
      <c r="P47" s="78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8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8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8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8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5"/>
      <c r="F48" s="115"/>
      <c r="J48" s="78"/>
      <c r="K48" s="78"/>
      <c r="L48" s="78"/>
      <c r="M48" s="78"/>
      <c r="N48" s="78"/>
      <c r="O48" s="78"/>
      <c r="P48" s="78"/>
      <c r="Q48" s="78"/>
      <c r="R48" s="74"/>
      <c r="S48" s="74"/>
      <c r="T48" s="74"/>
    </row>
    <row r="49" spans="1:31" outlineLevel="1">
      <c r="C49" s="85" t="str">
        <f>'Input|Reported opex'!$C$67</f>
        <v>Adjustment 5</v>
      </c>
      <c r="D49" s="73" t="s">
        <v>91</v>
      </c>
      <c r="E49" s="16" t="str">
        <f>'Input|Reported opex'!$E$67</f>
        <v>$millions</v>
      </c>
      <c r="F49" s="115">
        <f>'Input|Reported opex'!$F$67</f>
        <v>45444</v>
      </c>
      <c r="J49" s="74">
        <f>IF(YEAR(J$4)=PPLastYear,'Input|Reported opex'!J67,0)</f>
        <v>0</v>
      </c>
      <c r="K49" s="74">
        <f>IF(YEAR(K$4)=PPLastYear,'Input|Reported opex'!K67,0)</f>
        <v>0</v>
      </c>
      <c r="L49" s="74">
        <f>IF(YEAR(L$4)=PPLastYear,'Input|Reported opex'!L67,0)</f>
        <v>0</v>
      </c>
      <c r="M49" s="74">
        <f>IF(YEAR(M$4)=PPLastYear,'Input|Reported opex'!M67,0)</f>
        <v>0</v>
      </c>
      <c r="N49" s="74">
        <f>IF(YEAR(N$4)=PPLastYear,'Input|Reported opex'!N67,0)</f>
        <v>0</v>
      </c>
      <c r="O49" s="74">
        <f>IF(YEAR(O$4)=PPLastYear,'Input|Reported opex'!O67,0)</f>
        <v>0</v>
      </c>
      <c r="P49" s="74">
        <f>IF(YEAR(P$4)=PPLastYear,'Input|Reported opex'!P67,0)</f>
        <v>0</v>
      </c>
      <c r="Q49" s="74">
        <f>IF(YEAR(Q$4)=PPLastYear,'Input|Reported opex'!Q67,0)</f>
        <v>0</v>
      </c>
      <c r="R49" s="74">
        <f>IF(YEAR(R$4)=PPLastYear,'Input|Reported opex'!R67,0)</f>
        <v>0</v>
      </c>
      <c r="S49" s="74">
        <f>IF(YEAR(S$4)=PPLastYear,'Input|Reported opex'!S67,0)</f>
        <v>0</v>
      </c>
      <c r="T49" s="74"/>
    </row>
    <row r="50" spans="1:31" outlineLevel="1">
      <c r="C50" s="85" t="str">
        <f>C49</f>
        <v>Adjustment 5</v>
      </c>
      <c r="D50" s="16" t="s">
        <v>30</v>
      </c>
      <c r="E50" s="16" t="str">
        <f>$E$8</f>
        <v>$millions</v>
      </c>
      <c r="F50" s="115">
        <f>$F$8</f>
        <v>45444</v>
      </c>
      <c r="J50" s="78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8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8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8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8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8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8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8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8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8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8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5"/>
      <c r="F51" s="115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31" outlineLevel="1">
      <c r="C52" s="85" t="s">
        <v>88</v>
      </c>
      <c r="D52" s="16" t="s">
        <v>97</v>
      </c>
      <c r="E52" s="16" t="str">
        <f>$E$8</f>
        <v>$millions</v>
      </c>
      <c r="F52" s="115">
        <f>$F$8</f>
        <v>45444</v>
      </c>
      <c r="J52" s="78">
        <f>SUM(J33,J38,J41,J44,J47,J50)*'Input|Reported opex'!J71</f>
        <v>0</v>
      </c>
      <c r="K52" s="78">
        <f>SUM(K33,K38,K41,K44,K47,K50)*'Input|Reported opex'!K71</f>
        <v>0</v>
      </c>
      <c r="L52" s="78">
        <f>SUM(L33,L38,L41,L44,L47,L50)*'Input|Reported opex'!L71</f>
        <v>0</v>
      </c>
      <c r="M52" s="78">
        <f>SUM(M33,M38,M41,M44,M47,M50)*'Input|Reported opex'!M71</f>
        <v>0</v>
      </c>
      <c r="N52" s="78">
        <f ca="1">SUM(N33,N38,N41,N44,N47,N50)*'Input|Reported opex'!N71</f>
        <v>0</v>
      </c>
      <c r="O52" s="78">
        <f>SUM(O33,O38,O41,O44,O47,O50)*'Input|Reported opex'!O71</f>
        <v>0</v>
      </c>
      <c r="P52" s="78">
        <f>SUM(P33,P38,P41,P44,P47,P50)*'Input|Reported opex'!P71</f>
        <v>0</v>
      </c>
      <c r="Q52" s="78">
        <f>SUM(Q33,Q38,Q41,Q44,Q47,Q50)*'Input|Reported opex'!Q71</f>
        <v>0</v>
      </c>
      <c r="R52" s="78">
        <f>SUM(R33,R38,R41,R44,R47,R50)*'Input|Reported opex'!R71</f>
        <v>0</v>
      </c>
      <c r="S52" s="78">
        <f>SUM(S33,S38,S41,S44,S47,S50)*'Input|Reported opex'!S71</f>
        <v>0</v>
      </c>
      <c r="T52" s="78"/>
    </row>
    <row r="53" spans="1:31" outlineLevel="1">
      <c r="C53" s="85"/>
      <c r="F53" s="115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spans="1:31" outlineLevel="1">
      <c r="C54" s="123" t="s">
        <v>162</v>
      </c>
      <c r="D54" s="75" t="s">
        <v>97</v>
      </c>
      <c r="E54" s="75" t="str">
        <f>$E$8</f>
        <v>$millions</v>
      </c>
      <c r="F54" s="124">
        <f>$F$8</f>
        <v>45444</v>
      </c>
      <c r="J54" s="78">
        <f>SUM(J33,J35,J38,J41,J44,J47,J50,J52)</f>
        <v>0</v>
      </c>
      <c r="K54" s="78">
        <f t="shared" ref="K54:S54" si="5">SUM(K33,K35,K38,K41,K44,K47,K50,K52)</f>
        <v>0</v>
      </c>
      <c r="L54" s="78">
        <f t="shared" si="5"/>
        <v>0</v>
      </c>
      <c r="M54" s="78">
        <f t="shared" si="5"/>
        <v>0</v>
      </c>
      <c r="N54" s="78">
        <f t="shared" ca="1" si="5"/>
        <v>420.04364286233425</v>
      </c>
      <c r="O54" s="78">
        <f t="shared" si="5"/>
        <v>0</v>
      </c>
      <c r="P54" s="78">
        <f t="shared" si="5"/>
        <v>0</v>
      </c>
      <c r="Q54" s="78">
        <f t="shared" si="5"/>
        <v>0</v>
      </c>
      <c r="R54" s="78">
        <f t="shared" si="5"/>
        <v>0</v>
      </c>
      <c r="S54" s="78">
        <f t="shared" si="5"/>
        <v>0</v>
      </c>
      <c r="T54" s="78"/>
    </row>
    <row r="55" spans="1:31">
      <c r="J55" s="72"/>
      <c r="K55" s="72"/>
      <c r="L55" s="72"/>
    </row>
    <row r="56" spans="1:31" customFormat="1" ht="12.75">
      <c r="A56" s="37"/>
      <c r="B56" s="43" t="s">
        <v>86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16" t="str">
        <f>IF(YEAR(J$4)&gt;='Input|General'!$G$13,IF(YEAR(J$4)&lt;='Input|General'!$G$14,J$4,""),"")</f>
        <v/>
      </c>
      <c r="K58" s="116" t="str">
        <f>IF(YEAR(K$4)&gt;='Input|General'!$G$13,IF(YEAR(K$4)&lt;='Input|General'!$G$14,K$4,""),"")</f>
        <v/>
      </c>
      <c r="L58" s="116" t="str">
        <f>IF(YEAR(L$4)&gt;='Input|General'!$G$13,IF(YEAR(L$4)&lt;='Input|General'!$G$14,L$4,""),"")</f>
        <v/>
      </c>
      <c r="M58" s="116" t="str">
        <f>IF(YEAR(M$4)&gt;='Input|General'!$G$13,IF(YEAR(M$4)&lt;='Input|General'!$G$14,M$4,""),"")</f>
        <v/>
      </c>
      <c r="N58" s="116" t="str">
        <f>IF(YEAR(N$4)&gt;='Input|General'!$G$13,IF(YEAR(N$4)&lt;='Input|General'!$G$14,N$4,""),"")</f>
        <v/>
      </c>
      <c r="O58" s="116">
        <f>IF(YEAR(O$4)&gt;='Input|General'!$G$13,IF(YEAR(O$4)&lt;='Input|General'!$G$14,O$4,""),"")</f>
        <v>45809</v>
      </c>
      <c r="P58" s="116">
        <f>IF(YEAR(P$4)&gt;='Input|General'!$G$13,IF(YEAR(P$4)&lt;='Input|General'!$G$14,P$4,""),"")</f>
        <v>46174</v>
      </c>
      <c r="Q58" s="116">
        <f>IF(YEAR(Q$4)&gt;='Input|General'!$G$13,IF(YEAR(Q$4)&lt;='Input|General'!$G$14,Q$4,""),"")</f>
        <v>46539</v>
      </c>
      <c r="R58" s="116">
        <f>IF(YEAR(R$4)&gt;='Input|General'!$G$13,IF(YEAR(R$4)&lt;='Input|General'!$G$14,R$4,""),"")</f>
        <v>46905</v>
      </c>
      <c r="S58" s="116">
        <f>IF(YEAR(S$4)&gt;='Input|General'!$G$13,IF(YEAR(S$4)&lt;='Input|General'!$G$14,S$4,""),"")</f>
        <v>47270</v>
      </c>
      <c r="T58" s="116" t="str">
        <f>IF(YEAR(T$4)&gt;='Input|General'!$G$13,IF(YEAR(T$4)&lt;='Input|General'!$G$14,T$4,""),"")</f>
        <v/>
      </c>
    </row>
    <row r="59" spans="1:31" outlineLevel="1">
      <c r="C59" s="9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31" outlineLevel="1">
      <c r="B60" s="9"/>
      <c r="C60" s="79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31" outlineLevel="1">
      <c r="C61" s="15" t="s">
        <v>180</v>
      </c>
      <c r="D61" s="16" t="s">
        <v>30</v>
      </c>
      <c r="E61" s="16" t="s">
        <v>31</v>
      </c>
      <c r="F61" s="16" t="s">
        <v>36</v>
      </c>
      <c r="J61" s="80">
        <f ca="1">IF(J58=J4,AVERAGE(OFFSET('Input|Rate of change'!K106,0,0,COUNTA('Input|Rate of change'!$J$93:$M$93),1)),0)</f>
        <v>0</v>
      </c>
      <c r="K61" s="80">
        <f ca="1">IF(K58=K4,AVERAGE(OFFSET('Input|Rate of change'!L106,0,0,COUNTA('Input|Rate of change'!$J$93:$M$93),1)),0)</f>
        <v>0</v>
      </c>
      <c r="L61" s="80">
        <f ca="1">IF(L58=L4,AVERAGE(OFFSET('Input|Rate of change'!M106,0,0,COUNTA('Input|Rate of change'!$J$93:$M$93),1)),0)</f>
        <v>0</v>
      </c>
      <c r="M61" s="80">
        <f ca="1">IF(M58=M4,AVERAGE(OFFSET('Input|Rate of change'!N106,0,0,COUNTA('Input|Rate of change'!$J$93:$M$93),1)),0)</f>
        <v>0</v>
      </c>
      <c r="N61" s="80">
        <f ca="1">IF(N58=N4,AVERAGE(OFFSET('Input|Rate of change'!O106,0,0,COUNTA('Input|Rate of change'!$J$93:$M$93),1)),0)</f>
        <v>0</v>
      </c>
      <c r="O61" s="80">
        <f ca="1">IF(O58=O4,AVERAGE(OFFSET('Input|Rate of change'!P106,0,0,COUNTA('Input|Rate of change'!$J$93:$M$93),1)),0)</f>
        <v>2.7598497243315513E-3</v>
      </c>
      <c r="P61" s="80">
        <f ca="1">IF(P58=P4,AVERAGE(OFFSET('Input|Rate of change'!Q106,0,0,COUNTA('Input|Rate of change'!$J$93:$M$93),1)),0)</f>
        <v>3.5214305789332614E-3</v>
      </c>
      <c r="Q61" s="80">
        <f ca="1">IF(Q58=Q4,AVERAGE(OFFSET('Input|Rate of change'!R106,0,0,COUNTA('Input|Rate of change'!$J$93:$M$93),1)),0)</f>
        <v>4.1658469314237393E-3</v>
      </c>
      <c r="R61" s="80">
        <f ca="1">IF(R58=R4,AVERAGE(OFFSET('Input|Rate of change'!S106,0,0,COUNTA('Input|Rate of change'!$J$93:$M$93),1)),0)</f>
        <v>8.3034255961536192E-3</v>
      </c>
      <c r="S61" s="80">
        <f ca="1">IF(S58=S4,AVERAGE(OFFSET('Input|Rate of change'!T106,0,0,COUNTA('Input|Rate of change'!$J$93:$M$93),1)),0)</f>
        <v>7.7527140418264164E-3</v>
      </c>
      <c r="T61" s="80">
        <f ca="1">IF(T58=T4,AVERAGE(OFFSET('Input|Rate of change'!U106,0,0,COUNTA('Input|Rate of change'!$J$93:$M$93),1)),0)</f>
        <v>0</v>
      </c>
    </row>
    <row r="62" spans="1:31" outlineLevel="1">
      <c r="C62" s="15" t="s">
        <v>183</v>
      </c>
      <c r="D62" s="16" t="s">
        <v>30</v>
      </c>
      <c r="E62" s="16" t="s">
        <v>31</v>
      </c>
      <c r="F62" s="16" t="s">
        <v>36</v>
      </c>
      <c r="J62" s="80">
        <f t="array" ref="J62">IF(J$58=J$4,PRODUCT(1+$J61:J61)-1,0)</f>
        <v>0</v>
      </c>
      <c r="K62" s="80">
        <f t="array" ref="K62">IF(K$58=K$4,PRODUCT(1+$J61:K61)-1,0)</f>
        <v>0</v>
      </c>
      <c r="L62" s="80">
        <f t="array" ref="L62">IF(L$58=L$4,PRODUCT(1+$J61:L61)-1,0)</f>
        <v>0</v>
      </c>
      <c r="M62" s="80">
        <f t="array" ref="M62">IF(M$58=M$4,PRODUCT(1+$J61:M61)-1,0)</f>
        <v>0</v>
      </c>
      <c r="N62" s="80">
        <f t="array" ref="N62">IF(N$58=N$4,PRODUCT(1+$J61:N61)-1,0)</f>
        <v>0</v>
      </c>
      <c r="O62" s="80">
        <f t="array" aca="1" ref="O62" ca="1">IF(O$58=O$4,PRODUCT(1+$J61:O61)-1,0)</f>
        <v>2.7598497243315201E-3</v>
      </c>
      <c r="P62" s="80">
        <f t="array" aca="1" ref="P62" ca="1">IF(P$58=P$4,PRODUCT(1+$J61:P61)-1,0)</f>
        <v>6.2909989224773089E-3</v>
      </c>
      <c r="Q62" s="80">
        <f t="array" aca="1" ref="Q62" ca="1">IF(Q$58=Q$4,PRODUCT(1+$J61:Q61)-1,0)</f>
        <v>1.0483053192457792E-2</v>
      </c>
      <c r="R62" s="80">
        <f t="array" aca="1" ref="R62" ca="1">IF(R$58=R$4,PRODUCT(1+$J61:R61)-1,0)</f>
        <v>1.8873524040815548E-2</v>
      </c>
      <c r="S62" s="80">
        <f t="array" aca="1" ref="S62" ca="1">IF(S$58=S$4,PRODUCT(1+$J61:S61)-1,0)</f>
        <v>2.6772559117491879E-2</v>
      </c>
      <c r="T62" s="80">
        <f t="array" ref="T62">IF(T$58=T$4,PRODUCT(1+$J61:T61)-1,0)</f>
        <v>0</v>
      </c>
    </row>
    <row r="63" spans="1:31" outlineLevel="1"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31" outlineLevel="1">
      <c r="C64" s="15" t="s">
        <v>181</v>
      </c>
      <c r="D64" s="16" t="s">
        <v>30</v>
      </c>
      <c r="E64" s="16" t="s">
        <v>31</v>
      </c>
      <c r="F64" s="16" t="s">
        <v>36</v>
      </c>
      <c r="J64" s="80">
        <f>SUMPRODUCT('Input|Rate of change'!K38:K45,'Input|Rate of change'!K51:K58)</f>
        <v>0</v>
      </c>
      <c r="K64" s="80">
        <f>SUMPRODUCT('Input|Rate of change'!L38:L45,'Input|Rate of change'!L51:L58)</f>
        <v>0</v>
      </c>
      <c r="L64" s="80">
        <f>SUMPRODUCT('Input|Rate of change'!M38:M45,'Input|Rate of change'!M51:M58)</f>
        <v>0</v>
      </c>
      <c r="M64" s="80">
        <f>SUMPRODUCT('Input|Rate of change'!N38:N45,'Input|Rate of change'!N51:N58)</f>
        <v>0</v>
      </c>
      <c r="N64" s="80">
        <f>SUMPRODUCT('Input|Rate of change'!O38:O45,'Input|Rate of change'!O51:O58)</f>
        <v>0</v>
      </c>
      <c r="O64" s="80">
        <f>SUMPRODUCT('Input|Rate of change'!P38:P45,'Input|Rate of change'!P51:P58)</f>
        <v>8.8454714832505357E-3</v>
      </c>
      <c r="P64" s="80">
        <f>SUMPRODUCT('Input|Rate of change'!Q38:Q45,'Input|Rate of change'!Q51:Q58)</f>
        <v>8.8314922036684639E-3</v>
      </c>
      <c r="Q64" s="80">
        <f>SUMPRODUCT('Input|Rate of change'!R38:R45,'Input|Rate of change'!R51:R58)</f>
        <v>5.3973070491026955E-3</v>
      </c>
      <c r="R64" s="80">
        <f>SUMPRODUCT('Input|Rate of change'!S38:S45,'Input|Rate of change'!S51:S58)</f>
        <v>4.7428450287981209E-3</v>
      </c>
      <c r="S64" s="80">
        <f>SUMPRODUCT('Input|Rate of change'!T38:T45,'Input|Rate of change'!T51:T58)</f>
        <v>5.472105013871801E-3</v>
      </c>
      <c r="T64" s="80">
        <f>SUMPRODUCT('Input|Rate of change'!U38:U45,'Input|Rate of change'!U51:U58)</f>
        <v>0</v>
      </c>
    </row>
    <row r="65" spans="1:31" outlineLevel="1">
      <c r="C65" s="15" t="s">
        <v>184</v>
      </c>
      <c r="D65" s="16" t="s">
        <v>30</v>
      </c>
      <c r="E65" s="16" t="s">
        <v>31</v>
      </c>
      <c r="F65" s="16" t="s">
        <v>36</v>
      </c>
      <c r="J65" s="80">
        <f t="array" ref="J65">IF(J$58=J$4,PRODUCT(1+$J64:J64)-1,0)</f>
        <v>0</v>
      </c>
      <c r="K65" s="80">
        <f t="array" ref="K65">IF(K$58=K$4,PRODUCT(1+$J64:K64)-1,0)</f>
        <v>0</v>
      </c>
      <c r="L65" s="80">
        <f t="array" ref="L65">IF(L$58=L$4,PRODUCT(1+$J64:L64)-1,0)</f>
        <v>0</v>
      </c>
      <c r="M65" s="80">
        <f t="array" ref="M65">IF(M$58=M$4,PRODUCT(1+$J64:M64)-1,0)</f>
        <v>0</v>
      </c>
      <c r="N65" s="80">
        <f t="array" ref="N65">IF(N$58=N$4,PRODUCT(1+$J64:N64)-1,0)</f>
        <v>0</v>
      </c>
      <c r="O65" s="80">
        <f t="array" ref="O65">IF(O$58=O$4,PRODUCT(1+$J64:O64)-1,0)</f>
        <v>8.8454714832504333E-3</v>
      </c>
      <c r="P65" s="80">
        <f t="array" ref="P65">IF(P$58=P$4,PRODUCT(1+$J64:P64)-1,0)</f>
        <v>1.7755082399361077E-2</v>
      </c>
      <c r="Q65" s="80">
        <f t="array" ref="Q65">IF(Q$58=Q$4,PRODUCT(1+$J64:Q64)-1,0)</f>
        <v>2.3248219079855303E-2</v>
      </c>
      <c r="R65" s="80">
        <f t="array" ref="R65">IF(R$58=R$4,PRODUCT(1+$J64:R64)-1,0)</f>
        <v>2.8101326808944727E-2</v>
      </c>
      <c r="S65" s="80">
        <f t="array" ref="S65">IF(S$58=S$4,PRODUCT(1+$J64:S64)-1,0)</f>
        <v>3.3727205234144186E-2</v>
      </c>
      <c r="T65" s="80">
        <f t="array" ref="T65">IF(T$58=T$4,PRODUCT(1+$J64:T64)-1,0)</f>
        <v>0</v>
      </c>
    </row>
    <row r="66" spans="1:31" outlineLevel="1">
      <c r="C66" s="15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31" outlineLevel="1">
      <c r="C67" s="15" t="s">
        <v>182</v>
      </c>
      <c r="D67" s="16" t="s">
        <v>30</v>
      </c>
      <c r="E67" s="16" t="s">
        <v>31</v>
      </c>
      <c r="F67" s="16" t="s">
        <v>36</v>
      </c>
      <c r="J67" s="80">
        <f>'Input|Rate of change'!K115</f>
        <v>0</v>
      </c>
      <c r="K67" s="80">
        <f>'Input|Rate of change'!L115</f>
        <v>0</v>
      </c>
      <c r="L67" s="80">
        <f>'Input|Rate of change'!M115</f>
        <v>0</v>
      </c>
      <c r="M67" s="80">
        <f>'Input|Rate of change'!N115</f>
        <v>0</v>
      </c>
      <c r="N67" s="80">
        <f>'Input|Rate of change'!O115</f>
        <v>0</v>
      </c>
      <c r="O67" s="80">
        <f>'Input|Rate of change'!P115</f>
        <v>5.0000000000000001E-3</v>
      </c>
      <c r="P67" s="80">
        <f>'Input|Rate of change'!Q115</f>
        <v>5.0000000000000001E-3</v>
      </c>
      <c r="Q67" s="80">
        <f>'Input|Rate of change'!R115</f>
        <v>5.0000000000000001E-3</v>
      </c>
      <c r="R67" s="80">
        <f>'Input|Rate of change'!S115</f>
        <v>5.0000000000000001E-3</v>
      </c>
      <c r="S67" s="80">
        <f>'Input|Rate of change'!T115</f>
        <v>5.0000000000000001E-3</v>
      </c>
      <c r="T67" s="80">
        <f>'Input|Rate of change'!U115</f>
        <v>0</v>
      </c>
    </row>
    <row r="68" spans="1:31" outlineLevel="1">
      <c r="C68" s="15" t="s">
        <v>185</v>
      </c>
      <c r="D68" s="16" t="s">
        <v>30</v>
      </c>
      <c r="E68" s="16" t="s">
        <v>31</v>
      </c>
      <c r="F68" s="16" t="s">
        <v>36</v>
      </c>
      <c r="J68" s="80">
        <f t="array" ref="J68">IF(J$58=J$4,PRODUCT(1+$J67:J67)-1,0)</f>
        <v>0</v>
      </c>
      <c r="K68" s="80">
        <f t="array" ref="K68">IF(K$58=K$4,PRODUCT(1+$J67:K67)-1,0)</f>
        <v>0</v>
      </c>
      <c r="L68" s="80">
        <f t="array" ref="L68">IF(L$58=L$4,PRODUCT(1+$J67:L67)-1,0)</f>
        <v>0</v>
      </c>
      <c r="M68" s="80">
        <f t="array" ref="M68">IF(M$58=M$4,PRODUCT(1+$J67:M67)-1,0)</f>
        <v>0</v>
      </c>
      <c r="N68" s="80">
        <f t="array" ref="N68">IF(N$58=N$4,PRODUCT(1+$J67:N67)-1,0)</f>
        <v>0</v>
      </c>
      <c r="O68" s="80">
        <f t="array" ref="O68">IF(O$58=O$4,PRODUCT(1+$J67:O67)-1,0)</f>
        <v>4.9999999999998934E-3</v>
      </c>
      <c r="P68" s="80">
        <f t="array" ref="P68">IF(P$58=P$4,PRODUCT(1+$J67:P67)-1,0)</f>
        <v>1.0024999999999729E-2</v>
      </c>
      <c r="Q68" s="80">
        <f t="array" ref="Q68">IF(Q$58=Q$4,PRODUCT(1+$J67:Q67)-1,0)</f>
        <v>1.5075124999999634E-2</v>
      </c>
      <c r="R68" s="80">
        <f t="array" ref="R68">IF(R$58=R$4,PRODUCT(1+$J67:R67)-1,0)</f>
        <v>2.0150500624999568E-2</v>
      </c>
      <c r="S68" s="80">
        <f t="array" ref="S68">IF(S$58=S$4,PRODUCT(1+$J67:S67)-1,0)</f>
        <v>2.5251253128124374E-2</v>
      </c>
      <c r="T68" s="80">
        <f t="array" ref="T68">IF(T$58=T$4,PRODUCT(1+$J67:T67)-1,0)</f>
        <v>0</v>
      </c>
    </row>
    <row r="69" spans="1:31" outlineLevel="1">
      <c r="C69" s="15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31" outlineLevel="1">
      <c r="C70" s="81" t="s">
        <v>132</v>
      </c>
      <c r="D70" s="77" t="s">
        <v>30</v>
      </c>
      <c r="E70" s="77" t="s">
        <v>31</v>
      </c>
      <c r="F70" s="77" t="s">
        <v>36</v>
      </c>
      <c r="J70" s="100">
        <f ca="1">(1+J61)*(1+J64)*(1-J67)-1</f>
        <v>0</v>
      </c>
      <c r="K70" s="100">
        <f t="shared" ref="K70:S70" ca="1" si="6">(1+K61)*(1+K64)*(1-K67)-1</f>
        <v>0</v>
      </c>
      <c r="L70" s="100">
        <f t="shared" ca="1" si="6"/>
        <v>0</v>
      </c>
      <c r="M70" s="100">
        <f t="shared" ca="1" si="6"/>
        <v>0</v>
      </c>
      <c r="N70" s="100">
        <f t="shared" ca="1" si="6"/>
        <v>0</v>
      </c>
      <c r="O70" s="198">
        <f t="shared" ca="1" si="6"/>
        <v>6.571584712718348E-3</v>
      </c>
      <c r="P70" s="198">
        <f t="shared" ca="1" si="6"/>
        <v>7.3221021579590317E-3</v>
      </c>
      <c r="Q70" s="198">
        <f t="shared" ca="1" si="6"/>
        <v>4.5377101438570655E-3</v>
      </c>
      <c r="R70" s="198">
        <f t="shared" ca="1" si="6"/>
        <v>8.0202242233335941E-3</v>
      </c>
      <c r="S70" s="198">
        <f t="shared" ca="1" si="6"/>
        <v>8.2009065074719611E-3</v>
      </c>
      <c r="T70" s="100">
        <f t="shared" ref="T70" ca="1" si="7">(1+T61)*(1+T64)*(1-T67)-1</f>
        <v>0</v>
      </c>
    </row>
    <row r="71" spans="1:31" outlineLevel="1">
      <c r="C71" s="9" t="s">
        <v>133</v>
      </c>
      <c r="D71" s="16" t="s">
        <v>30</v>
      </c>
      <c r="E71" s="16" t="s">
        <v>31</v>
      </c>
      <c r="F71" s="16" t="s">
        <v>36</v>
      </c>
      <c r="J71" s="80" t="str">
        <f t="array" ref="J71">IF(J$58=J$4,PRODUCT(1+$J70:J70)-1,"")</f>
        <v/>
      </c>
      <c r="K71" s="80" t="str">
        <f t="array" ref="K71">IF(K$58=K$4,PRODUCT(1+$J70:K70)-1,"")</f>
        <v/>
      </c>
      <c r="L71" s="80" t="str">
        <f t="array" ref="L71">IF(L$58=L$4,PRODUCT(1+$J70:L70)-1,"")</f>
        <v/>
      </c>
      <c r="M71" s="80" t="str">
        <f t="array" ref="M71">IF(M$58=M$4,PRODUCT(1+$J70:M70)-1,"")</f>
        <v/>
      </c>
      <c r="N71" s="80" t="str">
        <f t="array" ref="N71">IF(N$58=N$4,PRODUCT(1+$J70:N70)-1,"")</f>
        <v/>
      </c>
      <c r="O71" s="80">
        <f t="array" aca="1" ref="O71" ca="1">IF(O$58=O$4,PRODUCT(1+$J70:O70)-1,"")</f>
        <v>6.571584712718348E-3</v>
      </c>
      <c r="P71" s="80">
        <f t="array" aca="1" ref="P71" ca="1">IF(P$58=P$4,PRODUCT(1+$J70:P70)-1,"")</f>
        <v>1.3941804685283499E-2</v>
      </c>
      <c r="Q71" s="80">
        <f t="array" aca="1" ref="Q71" ca="1">IF(Q$58=Q$4,PRODUCT(1+$J70:Q70)-1,"")</f>
        <v>1.8542778697684614E-2</v>
      </c>
      <c r="R71" s="80">
        <f t="array" aca="1" ref="R71" ca="1">IF(R$58=R$4,PRODUCT(1+$J70:R70)-1,"")</f>
        <v>2.6711720163897335E-2</v>
      </c>
      <c r="S71" s="80">
        <f t="array" aca="1" ref="S71" ca="1">IF(S$58=S$4,PRODUCT(1+$J70:S70)-1,"")</f>
        <v>3.5131686991087152E-2</v>
      </c>
      <c r="T71" s="80" t="str">
        <f t="array" ref="T71">IF(T$58=T$4,PRODUCT(1+$J70:T70)-1,"")</f>
        <v/>
      </c>
    </row>
    <row r="72" spans="1:31">
      <c r="J72" s="72"/>
      <c r="K72" s="72"/>
      <c r="L72" s="72"/>
      <c r="M72" s="72"/>
      <c r="N72" s="72"/>
      <c r="O72" s="82"/>
      <c r="P72" s="82"/>
      <c r="Q72" s="82"/>
      <c r="R72" s="82"/>
      <c r="S72" s="82"/>
      <c r="T72" s="82"/>
    </row>
    <row r="73" spans="1:31" customFormat="1" ht="12.75">
      <c r="A73" s="37"/>
      <c r="B73" s="43" t="s">
        <v>89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1"/>
      <c r="Z73" s="41"/>
      <c r="AA73" s="41"/>
      <c r="AB73" s="41"/>
      <c r="AC73" s="41"/>
      <c r="AD73" s="42"/>
      <c r="AE73" s="42"/>
    </row>
    <row r="74" spans="1:31" outlineLevel="1">
      <c r="C74" s="15"/>
      <c r="J74" s="72"/>
      <c r="K74" s="72"/>
      <c r="L74" s="72"/>
    </row>
    <row r="75" spans="1:31" outlineLevel="1">
      <c r="C75" s="9" t="s">
        <v>101</v>
      </c>
      <c r="D75" s="21" t="s">
        <v>7</v>
      </c>
      <c r="E75" s="21" t="s">
        <v>8</v>
      </c>
      <c r="F75" s="21" t="s">
        <v>22</v>
      </c>
      <c r="J75" s="116" t="str">
        <f>IF(YEAR(J$4)&gt;='Input|General'!$G$13,IF(YEAR(J$4)&lt;='Input|General'!$G$14,J$4,""),"")</f>
        <v/>
      </c>
      <c r="K75" s="116" t="str">
        <f>IF(YEAR(K$4)&gt;='Input|General'!$G$13,IF(YEAR(K$4)&lt;='Input|General'!$G$14,K$4,""),"")</f>
        <v/>
      </c>
      <c r="L75" s="116" t="str">
        <f>IF(YEAR(L$4)&gt;='Input|General'!$G$13,IF(YEAR(L$4)&lt;='Input|General'!$G$14,L$4,""),"")</f>
        <v/>
      </c>
      <c r="M75" s="116" t="str">
        <f>IF(YEAR(M$4)&gt;='Input|General'!$G$13,IF(YEAR(M$4)&lt;='Input|General'!$G$14,M$4,""),"")</f>
        <v/>
      </c>
      <c r="N75" s="116" t="str">
        <f>IF(YEAR(N$4)&gt;='Input|General'!$G$13,IF(YEAR(N$4)&lt;='Input|General'!$G$14,N$4,""),"")</f>
        <v/>
      </c>
      <c r="O75" s="116">
        <f>IF(YEAR(O$4)&gt;='Input|General'!$G$13,IF(YEAR(O$4)&lt;='Input|General'!$G$14,O$4,""),"")</f>
        <v>45809</v>
      </c>
      <c r="P75" s="116">
        <f>IF(YEAR(P$4)&gt;='Input|General'!$G$13,IF(YEAR(P$4)&lt;='Input|General'!$G$14,P$4,""),"")</f>
        <v>46174</v>
      </c>
      <c r="Q75" s="116">
        <f>IF(YEAR(Q$4)&gt;='Input|General'!$G$13,IF(YEAR(Q$4)&lt;='Input|General'!$G$14,Q$4,""),"")</f>
        <v>46539</v>
      </c>
      <c r="R75" s="116">
        <f>IF(YEAR(R$4)&gt;='Input|General'!$G$13,IF(YEAR(R$4)&lt;='Input|General'!$G$14,R$4,""),"")</f>
        <v>46905</v>
      </c>
      <c r="S75" s="116">
        <f>IF(YEAR(S$4)&gt;='Input|General'!$G$13,IF(YEAR(S$4)&lt;='Input|General'!$G$14,S$4,""),"")</f>
        <v>47270</v>
      </c>
      <c r="T75" s="116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3" t="str">
        <f>'Input|Step changes'!C12</f>
        <v>Cyber security</v>
      </c>
      <c r="D77" s="16" t="s">
        <v>30</v>
      </c>
      <c r="E77" s="16" t="str">
        <f t="shared" ref="E77:E97" si="8">$E$8</f>
        <v>$millions</v>
      </c>
      <c r="F77" s="115">
        <f t="shared" ref="F77:F87" si="9">$F$8</f>
        <v>45444</v>
      </c>
      <c r="J77" s="8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2.0057154791690022</v>
      </c>
      <c r="P77" s="8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3.0473871477793062</v>
      </c>
      <c r="Q77" s="8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3.9633210081693924</v>
      </c>
      <c r="R77" s="8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4.3303026039513668</v>
      </c>
      <c r="S77" s="8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4.716724178153104</v>
      </c>
      <c r="T77" s="87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3" t="str">
        <f>'Input|Step changes'!C13</f>
        <v>Insurance premiums</v>
      </c>
      <c r="D78" s="16" t="s">
        <v>30</v>
      </c>
      <c r="E78" s="16" t="str">
        <f t="shared" si="8"/>
        <v>$millions</v>
      </c>
      <c r="F78" s="115">
        <f t="shared" si="9"/>
        <v>45444</v>
      </c>
      <c r="J78" s="8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7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3" t="str">
        <f>'Input|Step changes'!C14</f>
        <v>Climate resilience</v>
      </c>
      <c r="D79" s="16" t="s">
        <v>30</v>
      </c>
      <c r="E79" s="16" t="str">
        <f t="shared" si="8"/>
        <v>$millions</v>
      </c>
      <c r="F79" s="115">
        <f t="shared" si="9"/>
        <v>45444</v>
      </c>
      <c r="J79" s="8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0.63</v>
      </c>
      <c r="P79" s="8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0.63</v>
      </c>
      <c r="Q79" s="8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0.63</v>
      </c>
      <c r="R79" s="8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0.63</v>
      </c>
      <c r="S79" s="8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0.63</v>
      </c>
      <c r="T79" s="87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3" t="str">
        <f>'Input|Step changes'!C15</f>
        <v>Smart meter data</v>
      </c>
      <c r="D80" s="16" t="s">
        <v>30</v>
      </c>
      <c r="E80" s="16" t="str">
        <f t="shared" si="8"/>
        <v>$millions</v>
      </c>
      <c r="F80" s="115">
        <f t="shared" si="9"/>
        <v>45444</v>
      </c>
      <c r="J80" s="8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2.8177808423999999</v>
      </c>
      <c r="P80" s="8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3.268714818307429</v>
      </c>
      <c r="Q80" s="8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1.1267742797218101</v>
      </c>
      <c r="R80" s="8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1.3714193119403175</v>
      </c>
      <c r="S80" s="8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1.6185154059301499</v>
      </c>
      <c r="T80" s="87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3" t="str">
        <f>'Input|Step changes'!C16</f>
        <v>ICT enablement for CER integration</v>
      </c>
      <c r="D81" s="16" t="s">
        <v>30</v>
      </c>
      <c r="E81" s="16" t="str">
        <f t="shared" si="8"/>
        <v>$millions</v>
      </c>
      <c r="F81" s="115">
        <f t="shared" si="9"/>
        <v>45444</v>
      </c>
      <c r="J81" s="8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0.38884752418715307</v>
      </c>
      <c r="P81" s="8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1.0670239689135608</v>
      </c>
      <c r="Q81" s="8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1.6206373931800162</v>
      </c>
      <c r="R81" s="8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1.6250311505154642</v>
      </c>
      <c r="S81" s="8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1.6843468745440131</v>
      </c>
      <c r="T81" s="87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3" t="str">
        <f>'Input|Step changes'!C17</f>
        <v>Property</v>
      </c>
      <c r="D82" s="16" t="s">
        <v>30</v>
      </c>
      <c r="E82" s="16" t="str">
        <f t="shared" si="8"/>
        <v>$millions</v>
      </c>
      <c r="F82" s="115">
        <f t="shared" si="9"/>
        <v>45444</v>
      </c>
      <c r="J82" s="8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-3.0699666183083574</v>
      </c>
      <c r="P82" s="8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-3.0699666183083574</v>
      </c>
      <c r="Q82" s="8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-3.0699666183083574</v>
      </c>
      <c r="R82" s="8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-3.0699666183083574</v>
      </c>
      <c r="S82" s="8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-3.0699666183083574</v>
      </c>
      <c r="T82" s="8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3" t="str">
        <f>'Input|Step changes'!C18</f>
        <v>SaaS costs</v>
      </c>
      <c r="D83" s="16" t="s">
        <v>30</v>
      </c>
      <c r="E83" s="16" t="str">
        <f t="shared" si="8"/>
        <v>$millions</v>
      </c>
      <c r="F83" s="115">
        <f t="shared" si="9"/>
        <v>45444</v>
      </c>
      <c r="J83" s="8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23.205350976899176</v>
      </c>
      <c r="P83" s="8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22.010660787327737</v>
      </c>
      <c r="Q83" s="8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32.600382230954558</v>
      </c>
      <c r="R83" s="8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27.975837772997888</v>
      </c>
      <c r="S83" s="8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25.41381712334622</v>
      </c>
      <c r="T83" s="87"/>
    </row>
    <row r="84" spans="1:31" outlineLevel="1">
      <c r="C84" s="83">
        <f>'Input|Step changes'!C19</f>
        <v>0</v>
      </c>
      <c r="D84" s="16" t="s">
        <v>30</v>
      </c>
      <c r="E84" s="16" t="str">
        <f t="shared" si="8"/>
        <v>$millions</v>
      </c>
      <c r="F84" s="115">
        <f t="shared" si="9"/>
        <v>45444</v>
      </c>
      <c r="J84" s="8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3">
        <f>'Input|Step changes'!C20</f>
        <v>0</v>
      </c>
      <c r="D85" s="16" t="s">
        <v>30</v>
      </c>
      <c r="E85" s="16" t="str">
        <f t="shared" si="8"/>
        <v>$millions</v>
      </c>
      <c r="F85" s="115">
        <f t="shared" si="9"/>
        <v>45444</v>
      </c>
      <c r="J85" s="8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3"/>
      <c r="F86" s="75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1:31" outlineLevel="1">
      <c r="C87" s="76" t="s">
        <v>48</v>
      </c>
      <c r="D87" s="84" t="s">
        <v>30</v>
      </c>
      <c r="E87" s="84" t="str">
        <f>$E$8</f>
        <v>$millions</v>
      </c>
      <c r="F87" s="122">
        <f t="shared" si="9"/>
        <v>45444</v>
      </c>
      <c r="G87" s="21"/>
      <c r="H87" s="21"/>
      <c r="I87" s="21"/>
      <c r="J87" s="88">
        <f>SUM(J76:J86)</f>
        <v>0</v>
      </c>
      <c r="K87" s="88">
        <f t="shared" ref="K87:S87" si="10">SUM(K76:K86)</f>
        <v>0</v>
      </c>
      <c r="L87" s="88">
        <f t="shared" si="10"/>
        <v>0</v>
      </c>
      <c r="M87" s="88">
        <f t="shared" si="10"/>
        <v>0</v>
      </c>
      <c r="N87" s="88">
        <f t="shared" si="10"/>
        <v>0</v>
      </c>
      <c r="O87" s="88">
        <f t="shared" si="10"/>
        <v>25.977728204346974</v>
      </c>
      <c r="P87" s="88">
        <f t="shared" si="10"/>
        <v>26.953820104019677</v>
      </c>
      <c r="Q87" s="88">
        <f t="shared" si="10"/>
        <v>36.871148293717418</v>
      </c>
      <c r="R87" s="88">
        <f t="shared" si="10"/>
        <v>32.862624221096681</v>
      </c>
      <c r="S87" s="88">
        <f t="shared" si="10"/>
        <v>30.993436963665129</v>
      </c>
      <c r="T87" s="88">
        <f t="shared" ref="T87" si="11">SUM(T76:T86)</f>
        <v>0</v>
      </c>
    </row>
    <row r="88" spans="1:31">
      <c r="C88" s="85"/>
      <c r="J88" s="72"/>
      <c r="K88" s="72"/>
      <c r="L88" s="72"/>
      <c r="M88" s="72"/>
      <c r="N88" s="24"/>
      <c r="O88" s="24"/>
      <c r="P88" s="24"/>
      <c r="Q88" s="24"/>
      <c r="R88" s="24"/>
      <c r="S88" s="24"/>
      <c r="T88" s="24"/>
    </row>
    <row r="89" spans="1:31" customFormat="1" ht="12.75">
      <c r="A89" s="37"/>
      <c r="B89" s="43" t="s">
        <v>112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  <c r="Y89" s="41"/>
      <c r="Z89" s="41"/>
      <c r="AA89" s="41"/>
      <c r="AB89" s="41"/>
      <c r="AC89" s="41"/>
      <c r="AD89" s="42"/>
      <c r="AE89" s="42"/>
    </row>
    <row r="90" spans="1:31" outlineLevel="1">
      <c r="C90" s="15"/>
      <c r="J90" s="72"/>
      <c r="K90" s="72"/>
      <c r="L90" s="72"/>
    </row>
    <row r="91" spans="1:31" outlineLevel="1">
      <c r="C91" s="9" t="s">
        <v>106</v>
      </c>
      <c r="D91" s="21" t="s">
        <v>7</v>
      </c>
      <c r="E91" s="21" t="s">
        <v>8</v>
      </c>
      <c r="F91" s="21" t="s">
        <v>22</v>
      </c>
      <c r="J91" s="116" t="str">
        <f>IF(YEAR(J$4)&gt;='Input|General'!$G$13,IF(YEAR(J$4)&lt;='Input|General'!$G$14,J$4,""),"")</f>
        <v/>
      </c>
      <c r="K91" s="116" t="str">
        <f>IF(YEAR(K$4)&gt;='Input|General'!$G$13,IF(YEAR(K$4)&lt;='Input|General'!$G$14,K$4,""),"")</f>
        <v/>
      </c>
      <c r="L91" s="116" t="str">
        <f>IF(YEAR(L$4)&gt;='Input|General'!$G$13,IF(YEAR(L$4)&lt;='Input|General'!$G$14,L$4,""),"")</f>
        <v/>
      </c>
      <c r="M91" s="116" t="str">
        <f>IF(YEAR(M$4)&gt;='Input|General'!$G$13,IF(YEAR(M$4)&lt;='Input|General'!$G$14,M$4,""),"")</f>
        <v/>
      </c>
      <c r="N91" s="116" t="str">
        <f>IF(YEAR(N$4)&gt;='Input|General'!$G$13,IF(YEAR(N$4)&lt;='Input|General'!$G$14,N$4,""),"")</f>
        <v/>
      </c>
      <c r="O91" s="116">
        <f>IF(YEAR(O$4)&gt;='Input|General'!$G$13,IF(YEAR(O$4)&lt;='Input|General'!$G$14,O$4,""),"")</f>
        <v>45809</v>
      </c>
      <c r="P91" s="116">
        <f>IF(YEAR(P$4)&gt;='Input|General'!$G$13,IF(YEAR(P$4)&lt;='Input|General'!$G$14,P$4,""),"")</f>
        <v>46174</v>
      </c>
      <c r="Q91" s="116">
        <f>IF(YEAR(Q$4)&gt;='Input|General'!$G$13,IF(YEAR(Q$4)&lt;='Input|General'!$G$14,Q$4,""),"")</f>
        <v>46539</v>
      </c>
      <c r="R91" s="116">
        <f>IF(YEAR(R$4)&gt;='Input|General'!$G$13,IF(YEAR(R$4)&lt;='Input|General'!$G$14,R$4,""),"")</f>
        <v>46905</v>
      </c>
      <c r="S91" s="116">
        <f>IF(YEAR(S$4)&gt;='Input|General'!$G$13,IF(YEAR(S$4)&lt;='Input|General'!$G$14,S$4,""),"")</f>
        <v>47270</v>
      </c>
      <c r="T91" s="116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3" t="str">
        <f>'Input|Step changes'!C28</f>
        <v>Network innovation program</v>
      </c>
      <c r="D93" s="16" t="s">
        <v>30</v>
      </c>
      <c r="E93" s="16" t="str">
        <f t="shared" si="8"/>
        <v>$millions</v>
      </c>
      <c r="F93" s="115">
        <f t="shared" ref="F93:F97" si="12">$F$8</f>
        <v>45444</v>
      </c>
      <c r="J93" s="8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0.31079282950946341</v>
      </c>
      <c r="P93" s="8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0.31079282950946341</v>
      </c>
      <c r="Q93" s="8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0.31079282950946341</v>
      </c>
      <c r="R93" s="8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0.31079282950946341</v>
      </c>
      <c r="S93" s="8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0.31079282950946341</v>
      </c>
      <c r="T93" s="8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3">
        <f>'Input|Step changes'!C29</f>
        <v>0</v>
      </c>
      <c r="D94" s="16" t="s">
        <v>30</v>
      </c>
      <c r="E94" s="16" t="str">
        <f t="shared" si="8"/>
        <v>$millions</v>
      </c>
      <c r="F94" s="115">
        <f t="shared" si="12"/>
        <v>45444</v>
      </c>
      <c r="J94" s="8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3">
        <f>'Input|Step changes'!C30</f>
        <v>0</v>
      </c>
      <c r="D95" s="16" t="s">
        <v>30</v>
      </c>
      <c r="E95" s="16" t="str">
        <f t="shared" si="8"/>
        <v>$millions</v>
      </c>
      <c r="F95" s="115">
        <f t="shared" si="12"/>
        <v>45444</v>
      </c>
      <c r="J95" s="8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3">
        <f>'Input|Step changes'!C31</f>
        <v>0</v>
      </c>
      <c r="D96" s="16" t="s">
        <v>30</v>
      </c>
      <c r="E96" s="16" t="str">
        <f t="shared" si="8"/>
        <v>$millions</v>
      </c>
      <c r="F96" s="115">
        <f t="shared" si="12"/>
        <v>45444</v>
      </c>
      <c r="J96" s="8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3">
        <f>'Input|Step changes'!C32</f>
        <v>0</v>
      </c>
      <c r="D97" s="16" t="s">
        <v>30</v>
      </c>
      <c r="E97" s="16" t="str">
        <f t="shared" si="8"/>
        <v>$millions</v>
      </c>
      <c r="F97" s="115">
        <f t="shared" si="12"/>
        <v>45444</v>
      </c>
      <c r="J97" s="8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outlineLevel="1">
      <c r="C98" s="83"/>
      <c r="F98" s="75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outlineLevel="1">
      <c r="C99" s="76" t="s">
        <v>113</v>
      </c>
      <c r="D99" s="84" t="s">
        <v>30</v>
      </c>
      <c r="E99" s="84" t="str">
        <f>$E$8</f>
        <v>$millions</v>
      </c>
      <c r="F99" s="122">
        <f t="shared" ref="F99" si="13">$F$8</f>
        <v>45444</v>
      </c>
      <c r="G99" s="21"/>
      <c r="H99" s="21"/>
      <c r="I99" s="21"/>
      <c r="J99" s="88">
        <f t="shared" ref="J99:T99" si="14">SUM(J92:J97)</f>
        <v>0</v>
      </c>
      <c r="K99" s="88">
        <f t="shared" si="14"/>
        <v>0</v>
      </c>
      <c r="L99" s="88">
        <f t="shared" si="14"/>
        <v>0</v>
      </c>
      <c r="M99" s="88">
        <f t="shared" si="14"/>
        <v>0</v>
      </c>
      <c r="N99" s="88">
        <f t="shared" si="14"/>
        <v>0</v>
      </c>
      <c r="O99" s="88">
        <f t="shared" si="14"/>
        <v>0.31079282950946341</v>
      </c>
      <c r="P99" s="88">
        <f t="shared" si="14"/>
        <v>0.31079282950946341</v>
      </c>
      <c r="Q99" s="88">
        <f t="shared" si="14"/>
        <v>0.31079282950946341</v>
      </c>
      <c r="R99" s="88">
        <f t="shared" si="14"/>
        <v>0.31079282950946341</v>
      </c>
      <c r="S99" s="88">
        <f t="shared" si="14"/>
        <v>0.31079282950946341</v>
      </c>
      <c r="T99" s="88">
        <f t="shared" si="14"/>
        <v>0</v>
      </c>
    </row>
    <row r="100" spans="1:39">
      <c r="C100" s="85"/>
      <c r="J100" s="72"/>
      <c r="K100" s="72"/>
      <c r="L100" s="72"/>
      <c r="M100" s="72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7"/>
      <c r="B101" s="43" t="s">
        <v>90</v>
      </c>
      <c r="C101" s="37"/>
      <c r="D101" s="37"/>
      <c r="E101" s="37"/>
      <c r="F101" s="38"/>
      <c r="G101" s="38"/>
      <c r="H101" s="38"/>
      <c r="I101" s="38"/>
      <c r="J101" s="39"/>
      <c r="K101" s="40"/>
      <c r="L101" s="39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1"/>
      <c r="Z101" s="41"/>
      <c r="AA101" s="41"/>
      <c r="AB101" s="41"/>
      <c r="AC101" s="41"/>
      <c r="AD101" s="42"/>
      <c r="AE101" s="42"/>
    </row>
    <row r="102" spans="1:39" outlineLevel="1">
      <c r="C102" s="15"/>
      <c r="J102" s="72"/>
      <c r="K102" s="72"/>
      <c r="L102" s="72"/>
    </row>
    <row r="103" spans="1:39" outlineLevel="1">
      <c r="C103" s="9"/>
      <c r="J103" s="116" t="str">
        <f>IF(YEAR(J$4)&gt;='Input|General'!$G$13,IF(YEAR(J$4)&lt;='Input|General'!$G$14,J$4,""),"")</f>
        <v/>
      </c>
      <c r="K103" s="116" t="str">
        <f>IF(YEAR(K$4)&gt;='Input|General'!$G$13,IF(YEAR(K$4)&lt;='Input|General'!$G$14,K$4,""),"")</f>
        <v/>
      </c>
      <c r="L103" s="116" t="str">
        <f>IF(YEAR(L$4)&gt;='Input|General'!$G$13,IF(YEAR(L$4)&lt;='Input|General'!$G$14,L$4,""),"")</f>
        <v/>
      </c>
      <c r="M103" s="116" t="str">
        <f>IF(YEAR(M$4)&gt;='Input|General'!$G$13,IF(YEAR(M$4)&lt;='Input|General'!$G$14,M$4,""),"")</f>
        <v/>
      </c>
      <c r="N103" s="116" t="str">
        <f>IF(YEAR(N$4)&gt;='Input|General'!$G$13,IF(YEAR(N$4)&lt;='Input|General'!$G$14,N$4,""),"")</f>
        <v/>
      </c>
      <c r="O103" s="116">
        <f>IF(YEAR(O$4)&gt;='Input|General'!$G$13,IF(YEAR(O$4)&lt;='Input|General'!$G$14,O$4,""),"")</f>
        <v>45809</v>
      </c>
      <c r="P103" s="116">
        <f>IF(YEAR(P$4)&gt;='Input|General'!$G$13,IF(YEAR(P$4)&lt;='Input|General'!$G$14,P$4,""),"")</f>
        <v>46174</v>
      </c>
      <c r="Q103" s="116">
        <f>IF(YEAR(Q$4)&gt;='Input|General'!$G$13,IF(YEAR(Q$4)&lt;='Input|General'!$G$14,Q$4,""),"")</f>
        <v>46539</v>
      </c>
      <c r="R103" s="116">
        <f>IF(YEAR(R$4)&gt;='Input|General'!$G$13,IF(YEAR(R$4)&lt;='Input|General'!$G$14,R$4,""),"")</f>
        <v>46905</v>
      </c>
      <c r="S103" s="116">
        <f>IF(YEAR(S$4)&gt;='Input|General'!$G$13,IF(YEAR(S$4)&lt;='Input|General'!$G$14,S$4,""),"")</f>
        <v>47270</v>
      </c>
      <c r="T103" s="116" t="str">
        <f>IF(YEAR(T$4)&gt;='Input|General'!$G$13,IF(YEAR(T$4)&lt;='Input|General'!$G$14,T$4,""),"")</f>
        <v/>
      </c>
    </row>
    <row r="104" spans="1:39" outlineLevel="1">
      <c r="C104" s="9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</row>
    <row r="105" spans="1:39" outlineLevel="1">
      <c r="C105" s="85" t="s">
        <v>129</v>
      </c>
      <c r="D105" s="21" t="s">
        <v>30</v>
      </c>
      <c r="E105" s="21" t="str">
        <f>$E$8</f>
        <v>$millions</v>
      </c>
      <c r="F105" s="122">
        <f t="shared" ref="F105:F111" si="15">$F$8</f>
        <v>45444</v>
      </c>
      <c r="J105" s="106" t="str">
        <f t="shared" ref="J105:O105" si="16">IF(YEAR(J$4)&gt;=FPFirstYear,IF(YEAR(J$4)&lt;=FPLastYear,IF(ISBLANK(J103),"",(1+J71)*SUM($J54:$S54)+J87),""),"")</f>
        <v/>
      </c>
      <c r="K105" s="106" t="str">
        <f t="shared" si="16"/>
        <v/>
      </c>
      <c r="L105" s="106" t="str">
        <f t="shared" si="16"/>
        <v/>
      </c>
      <c r="M105" s="106" t="str">
        <f t="shared" si="16"/>
        <v/>
      </c>
      <c r="N105" s="106" t="str">
        <f t="shared" si="16"/>
        <v/>
      </c>
      <c r="O105" s="106">
        <f t="shared" ca="1" si="16"/>
        <v>448.78172344878988</v>
      </c>
      <c r="P105" s="106">
        <f t="shared" ref="P105:T105" ca="1" si="17">IF(YEAR(P$4)&gt;=FPFirstYear,IF(YEAR(P$4)&lt;=FPLastYear,IF(ISBLANK(P103),"",(1+P71)*SUM($J54:$S54)+P87),""),"")</f>
        <v>452.85362939443553</v>
      </c>
      <c r="Q105" s="106">
        <f t="shared" ca="1" si="17"/>
        <v>464.70356746901717</v>
      </c>
      <c r="R105" s="106">
        <f t="shared" ca="1" si="17"/>
        <v>464.1263553281936</v>
      </c>
      <c r="S105" s="106">
        <f t="shared" ca="1" si="17"/>
        <v>465.79392160963494</v>
      </c>
      <c r="T105" s="106" t="str">
        <f t="shared" si="17"/>
        <v/>
      </c>
    </row>
    <row r="106" spans="1:39" outlineLevel="1">
      <c r="C106" s="85"/>
      <c r="D106" s="21"/>
      <c r="E106" s="21"/>
      <c r="F106" s="122"/>
      <c r="J106" s="177" t="str">
        <f>IF(YEAR(J$4)&gt;=FPFirstYear,IF(YEAR(J$4)&lt;=FPLastYear,IF(ISBLANK(J103),"",J$105*'Input|Dx Tx split'!J12),""),"")</f>
        <v/>
      </c>
      <c r="K106" s="177" t="str">
        <f>IF(YEAR(K$4)&gt;=FPFirstYear,IF(YEAR(K$4)&lt;=FPLastYear,IF(ISBLANK(K103),"",K$105*'Input|Dx Tx split'!K12),""),"")</f>
        <v/>
      </c>
      <c r="L106" s="177" t="str">
        <f>IF(YEAR(L$4)&gt;=FPFirstYear,IF(YEAR(L$4)&lt;=FPLastYear,IF(ISBLANK(L103),"",L$105*'Input|Dx Tx split'!L12),""),"")</f>
        <v/>
      </c>
      <c r="M106" s="177" t="str">
        <f>IF(YEAR(M$4)&gt;=FPFirstYear,IF(YEAR(M$4)&lt;=FPLastYear,IF(ISBLANK(M103),"",M$105*'Input|Dx Tx split'!M12),""),"")</f>
        <v/>
      </c>
      <c r="N106" s="177" t="str">
        <f>IF(YEAR(N$4)&gt;=FPFirstYear,IF(YEAR(N$4)&lt;=FPLastYear,IF(ISBLANK(N103),"",N$105*'Input|Dx Tx split'!N12),""),"")</f>
        <v/>
      </c>
      <c r="O106" s="177">
        <f ca="1">IF(YEAR(O$4)&gt;=FPFirstYear,IF(YEAR(O$4)&lt;=FPLastYear,IF(ISBLANK(O103),"",O$105*'Input|Dx Tx split'!O12),""),"")</f>
        <v>427.24020072324794</v>
      </c>
      <c r="P106" s="177">
        <f ca="1">IF(YEAR(P$4)&gt;=FPFirstYear,IF(YEAR(P$4)&lt;=FPLastYear,IF(ISBLANK(P103),"",P$105*'Input|Dx Tx split'!P12),""),"")</f>
        <v>431.11665518350259</v>
      </c>
      <c r="Q106" s="177">
        <f ca="1">IF(YEAR(Q$4)&gt;=FPFirstYear,IF(YEAR(Q$4)&lt;=FPLastYear,IF(ISBLANK(Q103),"",Q$105*'Input|Dx Tx split'!Q12),""),"")</f>
        <v>442.39779623050435</v>
      </c>
      <c r="R106" s="177">
        <f ca="1">IF(YEAR(R$4)&gt;=FPFirstYear,IF(YEAR(R$4)&lt;=FPLastYear,IF(ISBLANK(R103),"",R$105*'Input|Dx Tx split'!R12),""),"")</f>
        <v>441.84829027244029</v>
      </c>
      <c r="S106" s="177">
        <f ca="1">IF(YEAR(S$4)&gt;=FPFirstYear,IF(YEAR(S$4)&lt;=FPLastYear,IF(ISBLANK(S103),"",S$105*'Input|Dx Tx split'!S12),""),"")</f>
        <v>443.43581337237242</v>
      </c>
      <c r="T106" s="106"/>
    </row>
    <row r="107" spans="1:39" outlineLevel="1">
      <c r="C107" s="85"/>
      <c r="D107" s="21"/>
      <c r="E107" s="21"/>
      <c r="F107" s="122"/>
      <c r="J107" s="177" t="str">
        <f>IF(YEAR(J$4)&gt;=FPFirstYear,IF(YEAR(J$4)&lt;=FPLastYear,IF(ISBLANK(J103),"",J$105*'Input|Dx Tx split'!J13),""),"")</f>
        <v/>
      </c>
      <c r="K107" s="177" t="str">
        <f>IF(YEAR(K$4)&gt;=FPFirstYear,IF(YEAR(K$4)&lt;=FPLastYear,IF(ISBLANK(K103),"",K$105*'Input|Dx Tx split'!K13),""),"")</f>
        <v/>
      </c>
      <c r="L107" s="177" t="str">
        <f>IF(YEAR(L$4)&gt;=FPFirstYear,IF(YEAR(L$4)&lt;=FPLastYear,IF(ISBLANK(L103),"",L$105*'Input|Dx Tx split'!L13),""),"")</f>
        <v/>
      </c>
      <c r="M107" s="177" t="str">
        <f>IF(YEAR(M$4)&gt;=FPFirstYear,IF(YEAR(M$4)&lt;=FPLastYear,IF(ISBLANK(M103),"",M$105*'Input|Dx Tx split'!M13),""),"")</f>
        <v/>
      </c>
      <c r="N107" s="177" t="str">
        <f>IF(YEAR(N$4)&gt;=FPFirstYear,IF(YEAR(N$4)&lt;=FPLastYear,IF(ISBLANK(N103),"",N$105*'Input|Dx Tx split'!N13),""),"")</f>
        <v/>
      </c>
      <c r="O107" s="177">
        <f ca="1">IF(YEAR(O$4)&gt;=FPFirstYear,IF(YEAR(O$4)&lt;=FPLastYear,IF(ISBLANK(O103),"",O$105*'Input|Dx Tx split'!O13),""),"")</f>
        <v>21.541522725541913</v>
      </c>
      <c r="P107" s="177">
        <f ca="1">IF(YEAR(P$4)&gt;=FPFirstYear,IF(YEAR(P$4)&lt;=FPLastYear,IF(ISBLANK(P103),"",P$105*'Input|Dx Tx split'!P13),""),"")</f>
        <v>21.736974210932907</v>
      </c>
      <c r="Q107" s="177">
        <f ca="1">IF(YEAR(Q$4)&gt;=FPFirstYear,IF(YEAR(Q$4)&lt;=FPLastYear,IF(ISBLANK(Q103),"",Q$105*'Input|Dx Tx split'!Q13),""),"")</f>
        <v>22.305771238512826</v>
      </c>
      <c r="R107" s="177">
        <f ca="1">IF(YEAR(R$4)&gt;=FPFirstYear,IF(YEAR(R$4)&lt;=FPLastYear,IF(ISBLANK(R103),"",R$105*'Input|Dx Tx split'!R13),""),"")</f>
        <v>22.278065055753292</v>
      </c>
      <c r="S107" s="177">
        <f ca="1">IF(YEAR(S$4)&gt;=FPFirstYear,IF(YEAR(S$4)&lt;=FPLastYear,IF(ISBLANK(S103),"",S$105*'Input|Dx Tx split'!S13),""),"")</f>
        <v>22.358108237262478</v>
      </c>
      <c r="T107" s="106"/>
    </row>
    <row r="108" spans="1:39" outlineLevel="1">
      <c r="C108" s="85" t="s">
        <v>104</v>
      </c>
      <c r="D108" s="21" t="s">
        <v>30</v>
      </c>
      <c r="E108" s="21" t="str">
        <f>$E$8</f>
        <v>$millions</v>
      </c>
      <c r="F108" s="122">
        <f t="shared" si="15"/>
        <v>45444</v>
      </c>
      <c r="J108" s="106" t="str">
        <f t="shared" ref="J108:N108" si="18">IF(YEAR(J$4)&gt;=FPFirstYear,IF(YEAR(J$4)&lt;=FPLastYear,IF(ISBLANK(J103),"",(1+J71)*SUM($J54:$S54)+J87+J99),""),"")</f>
        <v/>
      </c>
      <c r="K108" s="106" t="str">
        <f t="shared" si="18"/>
        <v/>
      </c>
      <c r="L108" s="106" t="str">
        <f t="shared" si="18"/>
        <v/>
      </c>
      <c r="M108" s="106" t="str">
        <f t="shared" si="18"/>
        <v/>
      </c>
      <c r="N108" s="106" t="str">
        <f t="shared" si="18"/>
        <v/>
      </c>
      <c r="O108" s="106">
        <f t="shared" ref="O108:T108" ca="1" si="19">IF(YEAR(O$4)&gt;=FPFirstYear,IF(YEAR(O$4)&lt;=FPLastYear,IF(ISBLANK(O103),"",(1+O71)*SUM($J54:$S54)+O87+O99),""),"")</f>
        <v>449.09251627829934</v>
      </c>
      <c r="P108" s="106">
        <f t="shared" ca="1" si="19"/>
        <v>453.164422223945</v>
      </c>
      <c r="Q108" s="106">
        <f t="shared" ca="1" si="19"/>
        <v>465.01436029852664</v>
      </c>
      <c r="R108" s="106">
        <f t="shared" ca="1" si="19"/>
        <v>464.43714815770306</v>
      </c>
      <c r="S108" s="106">
        <f t="shared" ca="1" si="19"/>
        <v>466.1047144391444</v>
      </c>
      <c r="T108" s="106" t="str">
        <f t="shared" si="19"/>
        <v/>
      </c>
    </row>
    <row r="109" spans="1:39" outlineLevel="1">
      <c r="C109" s="85"/>
      <c r="D109" s="21"/>
      <c r="E109" s="21"/>
      <c r="F109" s="122"/>
      <c r="J109" s="177" t="str">
        <f>IF(YEAR(J$4)&gt;=FPFirstYear,IF(YEAR(J$4)&lt;=FPLastYear,IF(ISBLANK(J103),"",J$108*'Input|Dx Tx split'!J12),""),"")</f>
        <v/>
      </c>
      <c r="K109" s="177" t="str">
        <f>IF(YEAR(K$4)&gt;=FPFirstYear,IF(YEAR(K$4)&lt;=FPLastYear,IF(ISBLANK(K103),"",K$108*'Input|Dx Tx split'!K12),""),"")</f>
        <v/>
      </c>
      <c r="L109" s="177" t="str">
        <f>IF(YEAR(L$4)&gt;=FPFirstYear,IF(YEAR(L$4)&lt;=FPLastYear,IF(ISBLANK(L103),"",L$108*'Input|Dx Tx split'!L12),""),"")</f>
        <v/>
      </c>
      <c r="M109" s="177" t="str">
        <f>IF(YEAR(M$4)&gt;=FPFirstYear,IF(YEAR(M$4)&lt;=FPLastYear,IF(ISBLANK(M103),"",M$108*'Input|Dx Tx split'!M12),""),"")</f>
        <v/>
      </c>
      <c r="N109" s="177" t="str">
        <f>IF(YEAR(N$4)&gt;=FPFirstYear,IF(YEAR(N$4)&lt;=FPLastYear,IF(ISBLANK(N103),"",N$108*'Input|Dx Tx split'!N12),""),"")</f>
        <v/>
      </c>
      <c r="O109" s="177">
        <f ca="1">IF(YEAR(O$4)&gt;=FPFirstYear,IF(YEAR(O$4)&lt;=FPLastYear,IF(ISBLANK(O103),"",O$108*'Input|Dx Tx split'!O12),""),"")</f>
        <v>427.53607549694095</v>
      </c>
      <c r="P109" s="177">
        <f ca="1">IF(YEAR(P$4)&gt;=FPFirstYear,IF(YEAR(P$4)&lt;=FPLastYear,IF(ISBLANK(P103),"",P$108*'Input|Dx Tx split'!P12),""),"")</f>
        <v>431.4125299571956</v>
      </c>
      <c r="Q109" s="177">
        <f ca="1">IF(YEAR(Q$4)&gt;=FPFirstYear,IF(YEAR(Q$4)&lt;=FPLastYear,IF(ISBLANK(Q103),"",Q$108*'Input|Dx Tx split'!Q12),""),"")</f>
        <v>442.69367100419731</v>
      </c>
      <c r="R109" s="177">
        <f ca="1">IF(YEAR(R$4)&gt;=FPFirstYear,IF(YEAR(R$4)&lt;=FPLastYear,IF(ISBLANK(R103),"",R$108*'Input|Dx Tx split'!R12),""),"")</f>
        <v>442.14416504613331</v>
      </c>
      <c r="S109" s="177">
        <f ca="1">IF(YEAR(S$4)&gt;=FPFirstYear,IF(YEAR(S$4)&lt;=FPLastYear,IF(ISBLANK(S103),"",S$108*'Input|Dx Tx split'!S12),""),"")</f>
        <v>443.73168814606544</v>
      </c>
      <c r="T109" s="106"/>
    </row>
    <row r="110" spans="1:39" outlineLevel="1">
      <c r="C110" s="85"/>
      <c r="D110" s="21"/>
      <c r="E110" s="21"/>
      <c r="F110" s="122"/>
      <c r="J110" s="177" t="str">
        <f>IF(YEAR(J$4)&gt;=FPFirstYear,IF(YEAR(J$4)&lt;=FPLastYear,IF(ISBLANK(J103),"",J$108*'Input|Dx Tx split'!J13),""),"")</f>
        <v/>
      </c>
      <c r="K110" s="177" t="str">
        <f>IF(YEAR(K$4)&gt;=FPFirstYear,IF(YEAR(K$4)&lt;=FPLastYear,IF(ISBLANK(K103),"",K$108*'Input|Dx Tx split'!K13),""),"")</f>
        <v/>
      </c>
      <c r="L110" s="177" t="str">
        <f>IF(YEAR(L$4)&gt;=FPFirstYear,IF(YEAR(L$4)&lt;=FPLastYear,IF(ISBLANK(L103),"",L$108*'Input|Dx Tx split'!L13),""),"")</f>
        <v/>
      </c>
      <c r="M110" s="177" t="str">
        <f>IF(YEAR(M$4)&gt;=FPFirstYear,IF(YEAR(M$4)&lt;=FPLastYear,IF(ISBLANK(M103),"",M$108*'Input|Dx Tx split'!M13),""),"")</f>
        <v/>
      </c>
      <c r="N110" s="177" t="str">
        <f>IF(YEAR(N$4)&gt;=FPFirstYear,IF(YEAR(N$4)&lt;=FPLastYear,IF(ISBLANK(N103),"",N$108*'Input|Dx Tx split'!N13),""),"")</f>
        <v/>
      </c>
      <c r="O110" s="177">
        <f ca="1">IF(YEAR(O$4)&gt;=FPFirstYear,IF(YEAR(O$4)&lt;=FPLastYear,IF(ISBLANK(O103),"",O$108*'Input|Dx Tx split'!O13),""),"")</f>
        <v>21.556440781358368</v>
      </c>
      <c r="P110" s="177">
        <f ca="1">IF(YEAR(P$4)&gt;=FPFirstYear,IF(YEAR(P$4)&lt;=FPLastYear,IF(ISBLANK(P103),"",P$108*'Input|Dx Tx split'!P13),""),"")</f>
        <v>21.751892266749362</v>
      </c>
      <c r="Q110" s="177">
        <f ca="1">IF(YEAR(Q$4)&gt;=FPFirstYear,IF(YEAR(Q$4)&lt;=FPLastYear,IF(ISBLANK(Q103),"",Q$108*'Input|Dx Tx split'!Q13),""),"")</f>
        <v>22.320689294329281</v>
      </c>
      <c r="R110" s="177">
        <f ca="1">IF(YEAR(R$4)&gt;=FPFirstYear,IF(YEAR(R$4)&lt;=FPLastYear,IF(ISBLANK(R103),"",R$108*'Input|Dx Tx split'!R13),""),"")</f>
        <v>22.292983111569747</v>
      </c>
      <c r="S110" s="177">
        <f ca="1">IF(YEAR(S$4)&gt;=FPFirstYear,IF(YEAR(S$4)&lt;=FPLastYear,IF(ISBLANK(S103),"",S$108*'Input|Dx Tx split'!S13),""),"")</f>
        <v>22.373026293078933</v>
      </c>
      <c r="T110" s="106"/>
    </row>
    <row r="111" spans="1:39" outlineLevel="1">
      <c r="C111" s="85" t="s">
        <v>105</v>
      </c>
      <c r="D111" s="21" t="s">
        <v>30</v>
      </c>
      <c r="E111" s="21" t="str">
        <f>$E$8</f>
        <v>$millions</v>
      </c>
      <c r="F111" s="122">
        <f t="shared" si="15"/>
        <v>45444</v>
      </c>
      <c r="J111" s="106" t="str">
        <f>IF(YEAR(J$4)&gt;=FPFirstYear,IF(YEAR(J$4)&lt;=FPLastYear,J108+'Input|Step changes'!J40+'Input|Step changes'!J41,""),"")</f>
        <v/>
      </c>
      <c r="K111" s="106" t="str">
        <f>IF(YEAR(K$4)&gt;=FPFirstYear,IF(YEAR(K$4)&lt;=FPLastYear,K108+'Input|Step changes'!K40+'Input|Step changes'!K41,""),"")</f>
        <v/>
      </c>
      <c r="L111" s="106" t="str">
        <f>IF(YEAR(L$4)&gt;=FPFirstYear,IF(YEAR(L$4)&lt;=FPLastYear,L108+'Input|Step changes'!L40+'Input|Step changes'!L41,""),"")</f>
        <v/>
      </c>
      <c r="M111" s="106" t="str">
        <f>IF(YEAR(M$4)&gt;=FPFirstYear,IF(YEAR(M$4)&lt;=FPLastYear,M108+'Input|Step changes'!M40+'Input|Step changes'!M41,""),"")</f>
        <v/>
      </c>
      <c r="N111" s="106" t="str">
        <f>IF(YEAR(N$4)&gt;=FPFirstYear,IF(YEAR(N$4)&lt;=FPLastYear,N108+'Input|Step changes'!N40+'Input|Step changes'!N41,""),"")</f>
        <v/>
      </c>
      <c r="O111" s="106">
        <f ca="1">IF(YEAR(O$4)&gt;=FPFirstYear,IF(YEAR(O$4)&lt;=FPLastYear,O108+'Input|Step changes'!O40+'Input|Step changes'!O41,""),"")</f>
        <v>458.33197939856228</v>
      </c>
      <c r="P111" s="106">
        <f ca="1">IF(YEAR(P$4)&gt;=FPFirstYear,IF(YEAR(P$4)&lt;=FPLastYear,P108+'Input|Step changes'!P40+'Input|Step changes'!P41,""),"")</f>
        <v>462.43798322446003</v>
      </c>
      <c r="Q111" s="106">
        <f ca="1">IF(YEAR(Q$4)&gt;=FPFirstYear,IF(YEAR(Q$4)&lt;=FPLastYear,Q108+'Input|Step changes'!Q40+'Input|Step changes'!Q41,""),"")</f>
        <v>474.27560619026247</v>
      </c>
      <c r="R111" s="106">
        <f ca="1">IF(YEAR(R$4)&gt;=FPFirstYear,IF(YEAR(R$4)&lt;=FPLastYear,R108+'Input|Step changes'!R40+'Input|Step changes'!R41,""),"")</f>
        <v>473.67865765936767</v>
      </c>
      <c r="S111" s="106">
        <f ca="1">IF(YEAR(S$4)&gt;=FPFirstYear,IF(YEAR(S$4)&lt;=FPLastYear,S108+'Input|Step changes'!S40+'Input|Step changes'!S41,""),"")</f>
        <v>475.30272684771217</v>
      </c>
      <c r="T111" s="106" t="str">
        <f>IF(YEAR(T$4)&gt;=FPFirstYear,IF(YEAR(T$4)&lt;=FPLastYear,T108+'Input|Step changes'!T40,""),"")</f>
        <v/>
      </c>
    </row>
    <row r="112" spans="1:39" outlineLevel="1">
      <c r="C112" s="85"/>
      <c r="D112" s="21"/>
      <c r="E112" s="21"/>
      <c r="F112" s="122"/>
      <c r="J112" s="177" t="str">
        <f>IF(YEAR(J$4)&gt;=FPFirstYear,IF(YEAR(J$4)&lt;=FPLastYear,J109+'Input|Step changes'!J40,""),"")</f>
        <v/>
      </c>
      <c r="K112" s="177" t="str">
        <f>IF(YEAR(K$4)&gt;=FPFirstYear,IF(YEAR(K$4)&lt;=FPLastYear,K109+'Input|Step changes'!K40,""),"")</f>
        <v/>
      </c>
      <c r="L112" s="177" t="str">
        <f>IF(YEAR(L$4)&gt;=FPFirstYear,IF(YEAR(L$4)&lt;=FPLastYear,L109+'Input|Step changes'!L40,""),"")</f>
        <v/>
      </c>
      <c r="M112" s="177" t="str">
        <f>IF(YEAR(M$4)&gt;=FPFirstYear,IF(YEAR(M$4)&lt;=FPLastYear,M109+'Input|Step changes'!M40,""),"")</f>
        <v/>
      </c>
      <c r="N112" s="177" t="str">
        <f>IF(YEAR(N$4)&gt;=FPFirstYear,IF(YEAR(N$4)&lt;=FPLastYear,N109+'Input|Step changes'!N40,""),"")</f>
        <v/>
      </c>
      <c r="O112" s="177">
        <f ca="1">IF(YEAR(O$4)&gt;=FPFirstYear,IF(YEAR(O$4)&lt;=FPLastYear,O109+'Input|Step changes'!O40,""),"")</f>
        <v>435.53093196987334</v>
      </c>
      <c r="P112" s="177">
        <f ca="1">IF(YEAR(P$4)&gt;=FPFirstYear,IF(YEAR(P$4)&lt;=FPLastYear,P109+'Input|Step changes'!P40,""),"")</f>
        <v>439.45050847334346</v>
      </c>
      <c r="Q112" s="177">
        <f ca="1">IF(YEAR(Q$4)&gt;=FPFirstYear,IF(YEAR(Q$4)&lt;=FPLastYear,Q109+'Input|Step changes'!Q40,""),"")</f>
        <v>450.73769091380854</v>
      </c>
      <c r="R112" s="177">
        <f ca="1">IF(YEAR(R$4)&gt;=FPFirstYear,IF(YEAR(R$4)&lt;=FPLastYear,R109+'Input|Step changes'!R40,""),"")</f>
        <v>450.1880856670283</v>
      </c>
      <c r="S112" s="177">
        <f ca="1">IF(YEAR(S$4)&gt;=FPFirstYear,IF(YEAR(S$4)&lt;=FPLastYear,S109+'Input|Step changes'!S40,""),"")</f>
        <v>451.74714336183348</v>
      </c>
      <c r="T112" s="106"/>
    </row>
    <row r="113" spans="1:31" outlineLevel="1">
      <c r="C113" s="85"/>
      <c r="D113" s="21"/>
      <c r="E113" s="21"/>
      <c r="F113" s="122"/>
      <c r="J113" s="177" t="str">
        <f>IF(YEAR(J$4)&gt;=FPFirstYear,IF(YEAR(J$4)&lt;=FPLastYear,J110+'Input|Step changes'!J41,""),"")</f>
        <v/>
      </c>
      <c r="K113" s="177" t="str">
        <f>IF(YEAR(K$4)&gt;=FPFirstYear,IF(YEAR(K$4)&lt;=FPLastYear,K110+'Input|Step changes'!K41,""),"")</f>
        <v/>
      </c>
      <c r="L113" s="177" t="str">
        <f>IF(YEAR(L$4)&gt;=FPFirstYear,IF(YEAR(L$4)&lt;=FPLastYear,L110+'Input|Step changes'!L41,""),"")</f>
        <v/>
      </c>
      <c r="M113" s="177" t="str">
        <f>IF(YEAR(M$4)&gt;=FPFirstYear,IF(YEAR(M$4)&lt;=FPLastYear,M110+'Input|Step changes'!M41,""),"")</f>
        <v/>
      </c>
      <c r="N113" s="177" t="str">
        <f>IF(YEAR(N$4)&gt;=FPFirstYear,IF(YEAR(N$4)&lt;=FPLastYear,N110+'Input|Step changes'!N41,""),"")</f>
        <v/>
      </c>
      <c r="O113" s="177">
        <f ca="1">IF(YEAR(O$4)&gt;=FPFirstYear,IF(YEAR(O$4)&lt;=FPLastYear,O110+'Input|Step changes'!O41,""),"")</f>
        <v>22.801047428688904</v>
      </c>
      <c r="P113" s="177">
        <f ca="1">IF(YEAR(P$4)&gt;=FPFirstYear,IF(YEAR(P$4)&lt;=FPLastYear,P110+'Input|Step changes'!P41,""),"")</f>
        <v>22.987474751116551</v>
      </c>
      <c r="Q113" s="177">
        <f ca="1">IF(YEAR(Q$4)&gt;=FPFirstYear,IF(YEAR(Q$4)&lt;=FPLastYear,Q110+'Input|Step changes'!Q41,""),"")</f>
        <v>23.537915276453869</v>
      </c>
      <c r="R113" s="177">
        <f ca="1">IF(YEAR(R$4)&gt;=FPFirstYear,IF(YEAR(R$4)&lt;=FPLastYear,R110+'Input|Step changes'!R41,""),"")</f>
        <v>23.490571992339351</v>
      </c>
      <c r="S113" s="177">
        <f ca="1">IF(YEAR(S$4)&gt;=FPFirstYear,IF(YEAR(S$4)&lt;=FPLastYear,S110+'Input|Step changes'!S41,""),"")</f>
        <v>23.555583485878632</v>
      </c>
      <c r="T113" s="106"/>
    </row>
    <row r="114" spans="1:31">
      <c r="C114" s="85"/>
      <c r="J114" s="72"/>
      <c r="K114" s="72"/>
      <c r="L114" s="72"/>
      <c r="M114" s="72"/>
      <c r="N114" s="24"/>
      <c r="O114" s="24"/>
      <c r="P114" s="24"/>
      <c r="Q114" s="24"/>
      <c r="R114" s="24"/>
      <c r="S114" s="24"/>
      <c r="T114" s="24"/>
    </row>
    <row r="115" spans="1:31" customFormat="1" ht="12.75">
      <c r="A115" s="37"/>
      <c r="B115" s="43" t="s">
        <v>21</v>
      </c>
      <c r="C115" s="37"/>
      <c r="D115" s="37"/>
      <c r="E115" s="37"/>
      <c r="F115" s="38"/>
      <c r="G115" s="38"/>
      <c r="H115" s="38"/>
      <c r="I115" s="38"/>
      <c r="J115" s="39"/>
      <c r="K115" s="40"/>
      <c r="L115" s="39"/>
      <c r="M115" s="40"/>
      <c r="N115" s="39"/>
      <c r="O115" s="39"/>
      <c r="P115" s="39"/>
      <c r="Q115" s="39"/>
      <c r="R115" s="39"/>
      <c r="S115" s="39"/>
      <c r="T115" s="39"/>
      <c r="U115" s="39"/>
      <c r="V115" s="39"/>
      <c r="W115" s="40"/>
      <c r="X115" s="40"/>
      <c r="Y115" s="41"/>
      <c r="Z115" s="41"/>
      <c r="AA115" s="41"/>
      <c r="AB115" s="41"/>
      <c r="AC115" s="41"/>
      <c r="AD115" s="42"/>
      <c r="AE115" s="42"/>
    </row>
    <row r="124" spans="1:31" hidden="1">
      <c r="D124" s="8"/>
      <c r="E124" s="8"/>
      <c r="F124" s="8"/>
      <c r="G124" s="8"/>
      <c r="H124" s="8"/>
      <c r="I124" s="8"/>
    </row>
    <row r="125" spans="1:31" hidden="1">
      <c r="D125" s="8"/>
      <c r="E125" s="8"/>
      <c r="F125" s="8"/>
      <c r="G125" s="8"/>
      <c r="H125" s="8"/>
      <c r="I125" s="8"/>
    </row>
    <row r="126" spans="1:31" hidden="1">
      <c r="D126" s="8"/>
      <c r="E126" s="8"/>
      <c r="F126" s="8"/>
      <c r="G126" s="8"/>
      <c r="H126" s="8"/>
      <c r="I126" s="8"/>
    </row>
    <row r="127" spans="1:31" hidden="1">
      <c r="D127" s="8"/>
      <c r="E127" s="8"/>
      <c r="F127" s="8"/>
      <c r="G127" s="8"/>
      <c r="H127" s="8"/>
      <c r="I127" s="8"/>
    </row>
    <row r="128" spans="1:31" hidden="1">
      <c r="D128" s="8"/>
      <c r="E128" s="8"/>
      <c r="F128" s="8"/>
      <c r="G128" s="8"/>
      <c r="H128" s="8"/>
      <c r="I128" s="8"/>
    </row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  <row r="197" s="8" customFormat="1" hidden="1"/>
    <row r="198" s="8" customFormat="1" hidden="1"/>
    <row r="199" s="8" customFormat="1" hidden="1"/>
    <row r="200" s="8" customFormat="1" hidden="1"/>
  </sheetData>
  <mergeCells count="1">
    <mergeCell ref="N3:S3"/>
  </mergeCells>
  <conditionalFormatting sqref="S1:T1">
    <cfRule type="cellIs" dxfId="99" priority="107" operator="equal">
      <formula>"Check"</formula>
    </cfRule>
    <cfRule type="cellIs" dxfId="98" priority="108" operator="equal">
      <formula>"Ok"</formula>
    </cfRule>
  </conditionalFormatting>
  <conditionalFormatting sqref="W1">
    <cfRule type="cellIs" dxfId="97" priority="109" operator="equal">
      <formula>"Check"</formula>
    </cfRule>
    <cfRule type="cellIs" dxfId="96" priority="110" operator="equal">
      <formula>"Ok"</formula>
    </cfRule>
  </conditionalFormatting>
  <conditionalFormatting sqref="R39:T39 R42:T42 R45:T45 R48:T48 J12:T18">
    <cfRule type="cellIs" dxfId="95" priority="106" operator="equal">
      <formula>0</formula>
    </cfRule>
  </conditionalFormatting>
  <conditionalFormatting sqref="J13:T13">
    <cfRule type="cellIs" dxfId="94" priority="105" operator="equal">
      <formula>0</formula>
    </cfRule>
  </conditionalFormatting>
  <conditionalFormatting sqref="J14:T14">
    <cfRule type="cellIs" dxfId="93" priority="104" operator="equal">
      <formula>0</formula>
    </cfRule>
  </conditionalFormatting>
  <conditionalFormatting sqref="J15:T15">
    <cfRule type="cellIs" dxfId="92" priority="103" operator="equal">
      <formula>0</formula>
    </cfRule>
  </conditionalFormatting>
  <conditionalFormatting sqref="J16:T16">
    <cfRule type="cellIs" dxfId="91" priority="102" operator="equal">
      <formula>0</formula>
    </cfRule>
  </conditionalFormatting>
  <conditionalFormatting sqref="J17:T18">
    <cfRule type="cellIs" dxfId="90" priority="101" operator="equal">
      <formula>0</formula>
    </cfRule>
  </conditionalFormatting>
  <conditionalFormatting sqref="J61:T68">
    <cfRule type="cellIs" dxfId="89" priority="100" operator="equal">
      <formula>0</formula>
    </cfRule>
  </conditionalFormatting>
  <conditionalFormatting sqref="J77:T85 J93:T98">
    <cfRule type="cellIs" dxfId="88" priority="98" operator="equal">
      <formula>0</formula>
    </cfRule>
  </conditionalFormatting>
  <conditionalFormatting sqref="J36:T36 J33:T34 J51:T54">
    <cfRule type="cellIs" dxfId="87" priority="95" operator="equal">
      <formula>0</formula>
    </cfRule>
  </conditionalFormatting>
  <conditionalFormatting sqref="J108:T113">
    <cfRule type="cellIs" dxfId="86" priority="94" operator="equal">
      <formula>0</formula>
    </cfRule>
  </conditionalFormatting>
  <conditionalFormatting sqref="J108:T113">
    <cfRule type="cellIs" dxfId="85" priority="93" operator="equal">
      <formula>0</formula>
    </cfRule>
  </conditionalFormatting>
  <conditionalFormatting sqref="J46:T46">
    <cfRule type="cellIs" dxfId="84" priority="56" operator="equal">
      <formula>0</formula>
    </cfRule>
  </conditionalFormatting>
  <conditionalFormatting sqref="J39:Q39 J42:Q42 J45:Q45">
    <cfRule type="cellIs" dxfId="83" priority="74" operator="equal">
      <formula>0</formula>
    </cfRule>
  </conditionalFormatting>
  <conditionalFormatting sqref="J39:Q39 J42:Q42 J45:Q45">
    <cfRule type="cellIs" dxfId="82" priority="73" operator="equal">
      <formula>0</formula>
    </cfRule>
  </conditionalFormatting>
  <conditionalFormatting sqref="J37:T37">
    <cfRule type="cellIs" dxfId="81" priority="69" operator="equal">
      <formula>0</formula>
    </cfRule>
  </conditionalFormatting>
  <conditionalFormatting sqref="J37:T37">
    <cfRule type="cellIs" dxfId="80" priority="68" operator="equal">
      <formula>0</formula>
    </cfRule>
  </conditionalFormatting>
  <conditionalFormatting sqref="J48:Q48">
    <cfRule type="cellIs" dxfId="79" priority="59" operator="equal">
      <formula>0</formula>
    </cfRule>
  </conditionalFormatting>
  <conditionalFormatting sqref="J48:Q48">
    <cfRule type="cellIs" dxfId="78" priority="58" operator="equal">
      <formula>0</formula>
    </cfRule>
  </conditionalFormatting>
  <conditionalFormatting sqref="J40:T40">
    <cfRule type="cellIs" dxfId="77" priority="65" operator="equal">
      <formula>0</formula>
    </cfRule>
  </conditionalFormatting>
  <conditionalFormatting sqref="J40:T40">
    <cfRule type="cellIs" dxfId="76" priority="64" operator="equal">
      <formula>0</formula>
    </cfRule>
  </conditionalFormatting>
  <conditionalFormatting sqref="J46:T46">
    <cfRule type="cellIs" dxfId="75" priority="57" operator="equal">
      <formula>0</formula>
    </cfRule>
  </conditionalFormatting>
  <conditionalFormatting sqref="J43:T43">
    <cfRule type="cellIs" dxfId="74" priority="61" operator="equal">
      <formula>0</formula>
    </cfRule>
  </conditionalFormatting>
  <conditionalFormatting sqref="J43:T43">
    <cfRule type="cellIs" dxfId="73" priority="60" operator="equal">
      <formula>0</formula>
    </cfRule>
  </conditionalFormatting>
  <conditionalFormatting sqref="J49:T49">
    <cfRule type="cellIs" dxfId="72" priority="51" operator="equal">
      <formula>0</formula>
    </cfRule>
  </conditionalFormatting>
  <conditionalFormatting sqref="J49:T49">
    <cfRule type="cellIs" dxfId="71" priority="52" operator="equal">
      <formula>0</formula>
    </cfRule>
  </conditionalFormatting>
  <conditionalFormatting sqref="J38:T38">
    <cfRule type="cellIs" dxfId="70" priority="50" operator="equal">
      <formula>0</formula>
    </cfRule>
  </conditionalFormatting>
  <conditionalFormatting sqref="J38:T38">
    <cfRule type="cellIs" dxfId="69" priority="49" operator="equal">
      <formula>0</formula>
    </cfRule>
  </conditionalFormatting>
  <conditionalFormatting sqref="J105:T107">
    <cfRule type="cellIs" dxfId="68" priority="30" operator="equal">
      <formula>0</formula>
    </cfRule>
  </conditionalFormatting>
  <conditionalFormatting sqref="J105:T107">
    <cfRule type="cellIs" dxfId="67" priority="29" operator="equal">
      <formula>0</formula>
    </cfRule>
  </conditionalFormatting>
  <conditionalFormatting sqref="J10:T10">
    <cfRule type="expression" dxfId="66" priority="28">
      <formula>J$10=J$4</formula>
    </cfRule>
  </conditionalFormatting>
  <conditionalFormatting sqref="J25:T25">
    <cfRule type="expression" dxfId="65" priority="27">
      <formula>J$10=J$4</formula>
    </cfRule>
  </conditionalFormatting>
  <conditionalFormatting sqref="J54:T54">
    <cfRule type="expression" dxfId="64" priority="26">
      <formula>J$10=J$4</formula>
    </cfRule>
  </conditionalFormatting>
  <conditionalFormatting sqref="J26:T28 J30:T30">
    <cfRule type="cellIs" dxfId="63" priority="23" operator="equal">
      <formula>0</formula>
    </cfRule>
  </conditionalFormatting>
  <conditionalFormatting sqref="J31:T32">
    <cfRule type="cellIs" dxfId="62" priority="22" operator="equal">
      <formula>0</formula>
    </cfRule>
  </conditionalFormatting>
  <conditionalFormatting sqref="J71:T71">
    <cfRule type="cellIs" dxfId="61" priority="19" operator="equal">
      <formula>0</formula>
    </cfRule>
  </conditionalFormatting>
  <conditionalFormatting sqref="J35:T35">
    <cfRule type="cellIs" dxfId="60" priority="18" operator="equal">
      <formula>0</formula>
    </cfRule>
  </conditionalFormatting>
  <conditionalFormatting sqref="J35:T35">
    <cfRule type="cellIs" dxfId="59" priority="17" operator="equal">
      <formula>0</formula>
    </cfRule>
  </conditionalFormatting>
  <conditionalFormatting sqref="J29:T29">
    <cfRule type="cellIs" dxfId="58" priority="16" operator="equal">
      <formula>0</formula>
    </cfRule>
  </conditionalFormatting>
  <conditionalFormatting sqref="J29:T29">
    <cfRule type="cellIs" dxfId="57" priority="15" operator="equal">
      <formula>0</formula>
    </cfRule>
  </conditionalFormatting>
  <conditionalFormatting sqref="J19:T24">
    <cfRule type="cellIs" dxfId="56" priority="14" operator="equal">
      <formula>0</formula>
    </cfRule>
  </conditionalFormatting>
  <conditionalFormatting sqref="J20:T20">
    <cfRule type="cellIs" dxfId="55" priority="13" operator="equal">
      <formula>0</formula>
    </cfRule>
  </conditionalFormatting>
  <conditionalFormatting sqref="J21:T21">
    <cfRule type="cellIs" dxfId="54" priority="12" operator="equal">
      <formula>0</formula>
    </cfRule>
  </conditionalFormatting>
  <conditionalFormatting sqref="J22:T22">
    <cfRule type="cellIs" dxfId="53" priority="11" operator="equal">
      <formula>0</formula>
    </cfRule>
  </conditionalFormatting>
  <conditionalFormatting sqref="J23:T23">
    <cfRule type="cellIs" dxfId="52" priority="10" operator="equal">
      <formula>0</formula>
    </cfRule>
  </conditionalFormatting>
  <conditionalFormatting sqref="J24:T24">
    <cfRule type="cellIs" dxfId="51" priority="9" operator="equal">
      <formula>0</formula>
    </cfRule>
  </conditionalFormatting>
  <conditionalFormatting sqref="J70:T70">
    <cfRule type="expression" dxfId="50" priority="112">
      <formula>J$58=J$4</formula>
    </cfRule>
    <cfRule type="cellIs" dxfId="49" priority="113" operator="equal">
      <formula>0</formula>
    </cfRule>
  </conditionalFormatting>
  <conditionalFormatting sqref="J99:T99">
    <cfRule type="expression" dxfId="48" priority="114">
      <formula>J$91=J$4</formula>
    </cfRule>
    <cfRule type="cellIs" dxfId="47" priority="115" operator="equal">
      <formula>0</formula>
    </cfRule>
  </conditionalFormatting>
  <conditionalFormatting sqref="J87:T87">
    <cfRule type="expression" dxfId="46" priority="116">
      <formula>J$75=J$4</formula>
    </cfRule>
    <cfRule type="cellIs" dxfId="45" priority="117" operator="equal">
      <formula>0</formula>
    </cfRule>
  </conditionalFormatting>
  <conditionalFormatting sqref="J58:T58 J75:T75 J91:T91">
    <cfRule type="expression" dxfId="44" priority="118">
      <formula>J$58=J$4</formula>
    </cfRule>
  </conditionalFormatting>
  <conditionalFormatting sqref="J103:T103">
    <cfRule type="expression" dxfId="43" priority="121">
      <formula>J$103=J$4</formula>
    </cfRule>
  </conditionalFormatting>
  <conditionalFormatting sqref="J41:T41">
    <cfRule type="cellIs" dxfId="42" priority="8" operator="equal">
      <formula>0</formula>
    </cfRule>
  </conditionalFormatting>
  <conditionalFormatting sqref="J41:T41">
    <cfRule type="cellIs" dxfId="41" priority="7" operator="equal">
      <formula>0</formula>
    </cfRule>
  </conditionalFormatting>
  <conditionalFormatting sqref="J44:T44">
    <cfRule type="cellIs" dxfId="40" priority="6" operator="equal">
      <formula>0</formula>
    </cfRule>
  </conditionalFormatting>
  <conditionalFormatting sqref="J44:T44">
    <cfRule type="cellIs" dxfId="39" priority="5" operator="equal">
      <formula>0</formula>
    </cfRule>
  </conditionalFormatting>
  <conditionalFormatting sqref="J47:T47">
    <cfRule type="cellIs" dxfId="38" priority="4" operator="equal">
      <formula>0</formula>
    </cfRule>
  </conditionalFormatting>
  <conditionalFormatting sqref="J47:T47">
    <cfRule type="cellIs" dxfId="37" priority="3" operator="equal">
      <formula>0</formula>
    </cfRule>
  </conditionalFormatting>
  <conditionalFormatting sqref="J50:T50">
    <cfRule type="cellIs" dxfId="36" priority="2" operator="equal">
      <formula>0</formula>
    </cfRule>
  </conditionalFormatting>
  <conditionalFormatting sqref="J50:T50">
    <cfRule type="cellIs" dxfId="35" priority="1" operator="equal">
      <formula>0</formula>
    </cfRule>
  </conditionalFormatting>
  <dataValidations disablePrompts="1" count="2">
    <dataValidation type="list" allowBlank="1" showInputMessage="1" showErrorMessage="1" sqref="F100 F88 F114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8150-0532-47D9-BC7A-F76BD0FC787F}">
  <sheetPr codeName="Sheet15">
    <tabColor theme="3" tint="0.59999389629810485"/>
  </sheetPr>
  <dimension ref="A1:BG31"/>
  <sheetViews>
    <sheetView zoomScaleNormal="100" workbookViewId="0">
      <selection activeCell="O27" sqref="O27"/>
    </sheetView>
  </sheetViews>
  <sheetFormatPr defaultColWidth="0" defaultRowHeight="11.25" customHeight="1" zeroHeight="1"/>
  <cols>
    <col min="1" max="1" width="1.5" customWidth="1"/>
    <col min="2" max="2" width="45" bestFit="1" customWidth="1"/>
    <col min="3" max="3" width="22.5" bestFit="1" customWidth="1"/>
    <col min="4" max="4" width="10" bestFit="1" customWidth="1"/>
    <col min="5" max="5" width="9" bestFit="1" customWidth="1"/>
    <col min="6" max="8" width="3.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.5" thickBot="1">
      <c r="A1" s="32"/>
      <c r="B1" s="29" t="str">
        <f>Index!$B$1</f>
        <v>AER opex model v2.1</v>
      </c>
      <c r="C1" s="29"/>
      <c r="D1" s="29"/>
      <c r="E1" s="29"/>
      <c r="F1" s="30"/>
      <c r="G1" s="30"/>
      <c r="H1" s="30"/>
      <c r="I1" s="31" t="s">
        <v>2</v>
      </c>
      <c r="J1" s="32"/>
      <c r="K1" s="33" t="s">
        <v>3</v>
      </c>
      <c r="L1" s="51" t="s">
        <v>4</v>
      </c>
      <c r="M1" s="11" t="s">
        <v>5</v>
      </c>
      <c r="N1" s="12" t="s">
        <v>6</v>
      </c>
      <c r="O1" s="32"/>
      <c r="P1" s="32"/>
      <c r="Q1" s="32"/>
      <c r="R1" s="32"/>
      <c r="S1" s="32"/>
      <c r="T1" s="32"/>
      <c r="U1" s="33" t="s">
        <v>81</v>
      </c>
      <c r="V1" s="34" t="str">
        <f ca="1">IF(COUNTIF($V$8:$V$237,"Check"),"Check","OK")</f>
        <v>OK</v>
      </c>
      <c r="W1" s="32"/>
      <c r="X1" s="126" t="s">
        <v>24</v>
      </c>
      <c r="Y1" s="34" t="str">
        <f>'Check|List'!$S$1</f>
        <v>Ok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2.75">
      <c r="A2" s="32"/>
      <c r="B2" s="46" t="str">
        <f>Index!$C$15</f>
        <v>Lookup | Tables</v>
      </c>
      <c r="C2" s="46"/>
      <c r="D2" s="46"/>
      <c r="E2" s="46"/>
      <c r="F2" s="180"/>
      <c r="G2" s="180"/>
      <c r="H2" s="180"/>
      <c r="I2" s="121" t="s">
        <v>114</v>
      </c>
      <c r="J2" s="121"/>
      <c r="K2" s="121"/>
      <c r="L2" s="180"/>
      <c r="M2" s="201"/>
      <c r="N2" s="201"/>
      <c r="O2" s="201"/>
      <c r="P2" s="201"/>
      <c r="Q2" s="201"/>
      <c r="R2" s="201"/>
      <c r="S2" s="180"/>
      <c r="T2" s="62"/>
      <c r="U2" s="62"/>
      <c r="V2" s="62"/>
      <c r="W2" s="6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2.75">
      <c r="A3" s="37"/>
      <c r="B3" s="43"/>
      <c r="C3" s="64" t="s">
        <v>7</v>
      </c>
      <c r="D3" s="64" t="s">
        <v>8</v>
      </c>
      <c r="E3" s="65" t="s">
        <v>22</v>
      </c>
      <c r="F3" s="66"/>
      <c r="G3" s="66"/>
      <c r="H3" s="66"/>
      <c r="I3" s="110">
        <f>DATE(PPFirstYear,MONTH('Input|General'!$G$9),1)</f>
        <v>43983</v>
      </c>
      <c r="J3" s="110">
        <f>DATE(PPFirstYear+1,MONTH('Input|General'!$G$9),1)</f>
        <v>44348</v>
      </c>
      <c r="K3" s="110">
        <f>DATE(PPFirstYear+2,MONTH('Input|General'!$G$9),1)</f>
        <v>44713</v>
      </c>
      <c r="L3" s="110">
        <f>DATE(PPFirstYear+3,MONTH('Input|General'!$G$9),1)</f>
        <v>45078</v>
      </c>
      <c r="M3" s="110">
        <f>DATE(PPFirstYear+4,MONTH('Input|General'!$G$9),1)</f>
        <v>45444</v>
      </c>
      <c r="N3" s="110">
        <f>DATE(PPFirstYear+5,MONTH('Input|General'!$G$9),1)</f>
        <v>45809</v>
      </c>
      <c r="O3" s="110">
        <f>DATE(PPFirstYear+6,MONTH('Input|General'!$G$9),1)</f>
        <v>46174</v>
      </c>
      <c r="P3" s="110">
        <f>DATE(PPFirstYear+7,MONTH('Input|General'!$G$9),1)</f>
        <v>46539</v>
      </c>
      <c r="Q3" s="110">
        <f>DATE(PPFirstYear+8,MONTH('Input|General'!$G$9),1)</f>
        <v>46905</v>
      </c>
      <c r="R3" s="110">
        <f>DATE(PPFirstYear+9,MONTH('Input|General'!$G$9),1)</f>
        <v>47270</v>
      </c>
      <c r="S3" s="110">
        <f>DATE(PPFirstYear+10,MONTH('Input|General'!$G$9),1)</f>
        <v>47635</v>
      </c>
      <c r="T3" s="67"/>
      <c r="U3" s="67"/>
      <c r="V3" s="68"/>
      <c r="W3" s="68"/>
      <c r="X3" s="39"/>
      <c r="Y3" s="40"/>
      <c r="Z3" s="39"/>
      <c r="AA3" s="39"/>
      <c r="AB3" s="39"/>
      <c r="AC3" s="39"/>
      <c r="AD3" s="39"/>
      <c r="AE3" s="39"/>
      <c r="AF3" s="39"/>
      <c r="AG3" s="39"/>
      <c r="AH3" s="40"/>
      <c r="AI3" s="40"/>
      <c r="AJ3" s="40"/>
      <c r="AK3" s="40"/>
      <c r="AL3" s="40"/>
      <c r="AM3" s="40"/>
    </row>
    <row r="4" spans="1:39" ht="3" customHeight="1">
      <c r="A4" s="6"/>
      <c r="B4" s="6"/>
      <c r="C4" s="6"/>
      <c r="D4" s="6"/>
      <c r="E4" s="6"/>
      <c r="F4" s="22"/>
      <c r="G4" s="22"/>
      <c r="H4" s="22"/>
      <c r="I4" s="6"/>
      <c r="J4" s="6"/>
      <c r="K4" s="6"/>
      <c r="L4" s="6"/>
      <c r="M4" s="6"/>
      <c r="N4" s="6"/>
      <c r="O4" s="22"/>
      <c r="P4" s="22"/>
      <c r="Q4" s="22"/>
      <c r="R4" s="22"/>
      <c r="S4" s="22"/>
      <c r="T4" s="22"/>
      <c r="U4" s="2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2"/>
      <c r="G5" s="22"/>
      <c r="H5" s="22"/>
      <c r="I5" s="6"/>
      <c r="J5" s="6"/>
      <c r="K5" s="6"/>
      <c r="L5" s="6"/>
      <c r="M5" s="6"/>
      <c r="N5" s="6"/>
      <c r="O5" s="22"/>
      <c r="P5" s="22"/>
      <c r="Q5" s="22"/>
      <c r="R5" s="22"/>
      <c r="S5" s="22"/>
      <c r="T5" s="22"/>
      <c r="U5" s="22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2"/>
      <c r="G6" s="22"/>
      <c r="H6" s="22"/>
      <c r="I6" s="6"/>
      <c r="J6" s="6"/>
      <c r="K6" s="6"/>
      <c r="L6" s="6"/>
      <c r="M6" s="6"/>
      <c r="N6" s="6"/>
      <c r="O6" s="22"/>
      <c r="P6" s="22"/>
      <c r="Q6" s="22"/>
      <c r="R6" s="22"/>
      <c r="S6" s="22"/>
      <c r="T6" s="22"/>
      <c r="U6" s="22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>
      <c r="A7" s="37"/>
      <c r="B7" s="43" t="s">
        <v>221</v>
      </c>
      <c r="C7" s="43"/>
      <c r="D7" s="43"/>
      <c r="E7" s="43"/>
      <c r="F7" s="38"/>
      <c r="G7" s="38"/>
      <c r="H7" s="38"/>
      <c r="I7" s="43"/>
      <c r="J7" s="43"/>
      <c r="K7" s="43"/>
      <c r="L7" s="43"/>
      <c r="M7" s="43"/>
      <c r="N7" s="37"/>
      <c r="O7" s="37"/>
      <c r="P7" s="37"/>
      <c r="Q7" s="38"/>
      <c r="R7" s="38"/>
      <c r="S7" s="38"/>
      <c r="T7" s="38"/>
      <c r="U7" s="38"/>
      <c r="V7" s="39"/>
      <c r="W7" s="40"/>
      <c r="X7" s="39"/>
      <c r="Y7" s="40"/>
      <c r="Z7" s="39"/>
      <c r="AA7" s="39"/>
      <c r="AB7" s="39"/>
      <c r="AC7" s="39"/>
      <c r="AD7" s="39"/>
      <c r="AE7" s="39"/>
      <c r="AF7" s="39"/>
      <c r="AG7" s="39"/>
      <c r="AH7" s="40"/>
      <c r="AI7" s="40"/>
      <c r="AJ7" s="40"/>
      <c r="AK7" s="40"/>
      <c r="AL7" s="40"/>
      <c r="AM7" s="40"/>
    </row>
    <row r="8" spans="1:39" ht="15">
      <c r="A8" s="181"/>
      <c r="B8" s="181"/>
      <c r="C8" s="181"/>
      <c r="D8" s="181"/>
      <c r="E8" s="181"/>
      <c r="F8" s="16"/>
      <c r="G8" s="16"/>
      <c r="H8" s="16"/>
      <c r="I8" s="182"/>
      <c r="J8" s="181"/>
      <c r="K8" s="181"/>
      <c r="L8" s="181"/>
      <c r="M8" s="181"/>
      <c r="N8" s="182"/>
      <c r="O8" s="181"/>
      <c r="P8" s="181"/>
      <c r="Q8" s="181"/>
      <c r="R8" s="181"/>
      <c r="S8" s="181"/>
      <c r="T8" s="181"/>
      <c r="U8" s="181"/>
      <c r="V8" s="181"/>
      <c r="W8" s="181"/>
      <c r="X8" s="182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</row>
    <row r="9" spans="1:39" ht="15">
      <c r="A9" s="181"/>
      <c r="B9" s="181"/>
      <c r="C9" s="21" t="s">
        <v>7</v>
      </c>
      <c r="D9" s="21" t="s">
        <v>8</v>
      </c>
      <c r="E9" s="21" t="s">
        <v>22</v>
      </c>
      <c r="F9" s="16"/>
      <c r="G9" s="16"/>
      <c r="H9" s="16"/>
      <c r="I9" s="116" t="str">
        <f>'Calc|Opex forecast'!J103</f>
        <v/>
      </c>
      <c r="J9" s="116" t="str">
        <f>'Calc|Opex forecast'!K103</f>
        <v/>
      </c>
      <c r="K9" s="116" t="str">
        <f>'Calc|Opex forecast'!L103</f>
        <v/>
      </c>
      <c r="L9" s="116" t="str">
        <f>'Calc|Opex forecast'!M103</f>
        <v/>
      </c>
      <c r="M9" s="116" t="str">
        <f>'Calc|Opex forecast'!N103</f>
        <v/>
      </c>
      <c r="N9" s="116">
        <f>'Calc|Opex forecast'!O103</f>
        <v>45809</v>
      </c>
      <c r="O9" s="116">
        <f>'Calc|Opex forecast'!P103</f>
        <v>46174</v>
      </c>
      <c r="P9" s="116">
        <f>'Calc|Opex forecast'!Q103</f>
        <v>46539</v>
      </c>
      <c r="Q9" s="116">
        <f>'Calc|Opex forecast'!R103</f>
        <v>46905</v>
      </c>
      <c r="R9" s="116">
        <f>'Calc|Opex forecast'!S103</f>
        <v>47270</v>
      </c>
      <c r="S9" s="116" t="str">
        <f>'Calc|Opex forecast'!T103</f>
        <v/>
      </c>
      <c r="T9" s="183"/>
      <c r="U9" s="116" t="s">
        <v>222</v>
      </c>
      <c r="V9" s="181"/>
      <c r="W9" s="181"/>
      <c r="X9" s="184" t="s">
        <v>223</v>
      </c>
      <c r="Y9" s="184" t="s">
        <v>224</v>
      </c>
      <c r="Z9" s="184" t="s">
        <v>225</v>
      </c>
      <c r="AA9" s="184" t="s">
        <v>226</v>
      </c>
      <c r="AB9" s="183"/>
      <c r="AC9" s="183"/>
      <c r="AD9" s="183"/>
      <c r="AE9" s="181"/>
      <c r="AF9" s="181"/>
      <c r="AG9" s="181"/>
      <c r="AH9" s="181"/>
      <c r="AI9" s="181"/>
      <c r="AJ9" s="181"/>
      <c r="AK9" s="181"/>
      <c r="AL9" s="181"/>
      <c r="AM9" s="181"/>
    </row>
    <row r="10" spans="1:39" ht="15">
      <c r="A10" s="181"/>
      <c r="B10" s="181"/>
      <c r="C10" s="16"/>
      <c r="D10" s="16"/>
      <c r="E10" s="16"/>
      <c r="F10" s="16"/>
      <c r="G10" s="16"/>
      <c r="H10" s="16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</row>
    <row r="11" spans="1:39" ht="15">
      <c r="A11" s="181"/>
      <c r="B11" s="15" t="str">
        <f>"Based on reported opex in "&amp;IF(MONTH('Input|General'!$G$9)=12,BaseYear,BaseYear-1&amp;"–"&amp;RIGHT(BaseYear,2))</f>
        <v>Based on reported opex in 2022–23</v>
      </c>
      <c r="C11" s="73" t="s">
        <v>227</v>
      </c>
      <c r="D11" s="16" t="str">
        <f>'Calc|Opex forecast'!$E$8</f>
        <v>$millions</v>
      </c>
      <c r="E11" s="115">
        <f>'Calc|Opex forecast'!$F$8</f>
        <v>45444</v>
      </c>
      <c r="F11" s="16"/>
      <c r="G11" s="16"/>
      <c r="H11" s="16"/>
      <c r="I11" s="74" t="str">
        <f>IF('Calc|Opex forecast'!J103='Calc|Opex forecast'!J4,SUM('Calc|Opex forecast'!$J$26:$S$26),"")</f>
        <v/>
      </c>
      <c r="J11" s="74" t="str">
        <f>IF('Calc|Opex forecast'!K103='Calc|Opex forecast'!K4,SUM('Calc|Opex forecast'!$J$26:$S$26),"")</f>
        <v/>
      </c>
      <c r="K11" s="74" t="str">
        <f>IF('Calc|Opex forecast'!L103='Calc|Opex forecast'!L4,SUM('Calc|Opex forecast'!$J$26:$S$26),"")</f>
        <v/>
      </c>
      <c r="L11" s="74" t="str">
        <f>IF('Calc|Opex forecast'!M103='Calc|Opex forecast'!M4,SUM('Calc|Opex forecast'!$J$26:$S$26),"")</f>
        <v/>
      </c>
      <c r="M11" s="74" t="str">
        <f>IF('Calc|Opex forecast'!N103='Calc|Opex forecast'!N4,SUM('Calc|Opex forecast'!$J$26:$S$26),"")</f>
        <v/>
      </c>
      <c r="N11" s="74">
        <f ca="1">IF('Calc|Opex forecast'!O103='Calc|Opex forecast'!O4,SUM('Calc|Opex forecast'!$J$26:$S$26),"")</f>
        <v>416.30302917584157</v>
      </c>
      <c r="O11" s="74">
        <f ca="1">IF('Calc|Opex forecast'!P103='Calc|Opex forecast'!P4,SUM('Calc|Opex forecast'!$J$26:$S$26),"")</f>
        <v>416.30302917584157</v>
      </c>
      <c r="P11" s="74">
        <f ca="1">IF('Calc|Opex forecast'!Q103='Calc|Opex forecast'!Q4,SUM('Calc|Opex forecast'!$J$26:$S$26),"")</f>
        <v>416.30302917584157</v>
      </c>
      <c r="Q11" s="74">
        <f ca="1">IF('Calc|Opex forecast'!R103='Calc|Opex forecast'!R4,SUM('Calc|Opex forecast'!$J$26:$S$26),"")</f>
        <v>416.30302917584157</v>
      </c>
      <c r="R11" s="74">
        <f ca="1">IF('Calc|Opex forecast'!S103='Calc|Opex forecast'!S4,SUM('Calc|Opex forecast'!$J$26:$S$26),"")</f>
        <v>416.30302917584157</v>
      </c>
      <c r="S11" s="74" t="str">
        <f>IF('Calc|Opex forecast'!T103='Calc|Opex forecast'!T4,SUM('Calc|Opex forecast'!$J$26:$S$26),"")</f>
        <v/>
      </c>
      <c r="T11" s="74"/>
      <c r="U11" s="78">
        <f ca="1">SUM(I11:S11)</f>
        <v>2081.5151458792079</v>
      </c>
      <c r="V11" s="185"/>
      <c r="W11" s="181"/>
      <c r="X11" s="74"/>
      <c r="Y11" s="74">
        <f ca="1">U11</f>
        <v>2081.5151458792079</v>
      </c>
      <c r="Z11" s="74"/>
      <c r="AA11" s="74"/>
      <c r="AB11" s="183"/>
      <c r="AC11" s="183"/>
      <c r="AD11" s="183"/>
      <c r="AE11" s="183"/>
      <c r="AF11" s="183"/>
      <c r="AG11" s="181"/>
      <c r="AH11" s="181"/>
      <c r="AI11" s="181"/>
      <c r="AJ11" s="181"/>
      <c r="AK11" s="181"/>
      <c r="AL11" s="181"/>
      <c r="AM11" s="181"/>
    </row>
    <row r="12" spans="1:39" ht="15">
      <c r="A12" s="181"/>
      <c r="B12" s="15" t="s">
        <v>88</v>
      </c>
      <c r="C12" s="73" t="s">
        <v>227</v>
      </c>
      <c r="D12" s="16" t="str">
        <f>'Calc|Opex forecast'!$E$8</f>
        <v>$millions</v>
      </c>
      <c r="E12" s="115">
        <f>'Calc|Opex forecast'!$F$8</f>
        <v>45444</v>
      </c>
      <c r="F12" s="16"/>
      <c r="G12" s="16"/>
      <c r="H12" s="16"/>
      <c r="I12" s="74" t="str">
        <f>IF('Calc|Opex forecast'!J103='Calc|Opex forecast'!J4,SUM('Calc|Opex forecast'!$J$52:$S$52),"")</f>
        <v/>
      </c>
      <c r="J12" s="74" t="str">
        <f>IF('Calc|Opex forecast'!K103='Calc|Opex forecast'!K4,SUM('Calc|Opex forecast'!$J$52:$S$52),"")</f>
        <v/>
      </c>
      <c r="K12" s="74" t="str">
        <f>IF('Calc|Opex forecast'!L103='Calc|Opex forecast'!L4,SUM('Calc|Opex forecast'!$J$52:$S$52),"")</f>
        <v/>
      </c>
      <c r="L12" s="74" t="str">
        <f>IF('Calc|Opex forecast'!M103='Calc|Opex forecast'!M4,SUM('Calc|Opex forecast'!$J$52:$S$52),"")</f>
        <v/>
      </c>
      <c r="M12" s="74" t="str">
        <f>IF('Calc|Opex forecast'!N103='Calc|Opex forecast'!N4,SUM('Calc|Opex forecast'!$J$52:$S$52),"")</f>
        <v/>
      </c>
      <c r="N12" s="74">
        <f ca="1">IF('Calc|Opex forecast'!O103='Calc|Opex forecast'!O4,SUM('Calc|Opex forecast'!$J$52:$S$52),"")</f>
        <v>0</v>
      </c>
      <c r="O12" s="74">
        <f ca="1">IF('Calc|Opex forecast'!P103='Calc|Opex forecast'!P4,SUM('Calc|Opex forecast'!$J$52:$S$52),"")</f>
        <v>0</v>
      </c>
      <c r="P12" s="74">
        <f ca="1">IF('Calc|Opex forecast'!Q103='Calc|Opex forecast'!Q4,SUM('Calc|Opex forecast'!$J$52:$S$52),"")</f>
        <v>0</v>
      </c>
      <c r="Q12" s="74">
        <f ca="1">IF('Calc|Opex forecast'!R103='Calc|Opex forecast'!R4,SUM('Calc|Opex forecast'!$J$52:$S$52),"")</f>
        <v>0</v>
      </c>
      <c r="R12" s="74">
        <f ca="1">IF('Calc|Opex forecast'!S103='Calc|Opex forecast'!S4,SUM('Calc|Opex forecast'!$J$52:$S$52),"")</f>
        <v>0</v>
      </c>
      <c r="S12" s="74" t="str">
        <f>IF('Calc|Opex forecast'!T103='Calc|Opex forecast'!T4,SUM('Calc|Opex forecast'!$J$52:$S$52),"")</f>
        <v/>
      </c>
      <c r="T12" s="74"/>
      <c r="U12" s="78">
        <f ca="1">SUM(I12:S12)</f>
        <v>0</v>
      </c>
      <c r="V12" s="185">
        <f t="shared" ref="V12:V22" ca="1" si="0">U12/($U$23-U12)</f>
        <v>0</v>
      </c>
      <c r="W12" s="181"/>
      <c r="X12" s="74">
        <f ca="1">SUM($U$11:$U11)-AA12</f>
        <v>2081.5151458792079</v>
      </c>
      <c r="Y12" s="74"/>
      <c r="Z12" s="74">
        <f ca="1">IF(U12&gt;0,U12,0)</f>
        <v>0</v>
      </c>
      <c r="AA12" s="74">
        <f ca="1">IF(U12&lt;0,-U12,0)</f>
        <v>0</v>
      </c>
      <c r="AB12" s="183"/>
      <c r="AC12" s="183"/>
      <c r="AD12" s="183"/>
      <c r="AE12" s="183"/>
      <c r="AF12" s="183"/>
      <c r="AG12" s="181"/>
      <c r="AH12" s="181"/>
      <c r="AI12" s="181"/>
      <c r="AJ12" s="181"/>
      <c r="AK12" s="181"/>
      <c r="AL12" s="181"/>
      <c r="AM12" s="181"/>
    </row>
    <row r="13" spans="1:39" ht="15">
      <c r="A13" s="181"/>
      <c r="B13" s="15" t="s">
        <v>228</v>
      </c>
      <c r="C13" s="73" t="s">
        <v>227</v>
      </c>
      <c r="D13" s="16" t="str">
        <f>'Calc|Opex forecast'!$E$8</f>
        <v>$millions</v>
      </c>
      <c r="E13" s="115">
        <f>'Calc|Opex forecast'!$F$8</f>
        <v>45444</v>
      </c>
      <c r="F13" s="16"/>
      <c r="G13" s="16"/>
      <c r="H13" s="16"/>
      <c r="I13" s="74" t="str">
        <f>IF('Calc|Opex forecast'!J103='Calc|Opex forecast'!J4,SUM('Calc|Opex forecast'!$J$29:$S$29),"")</f>
        <v/>
      </c>
      <c r="J13" s="74" t="str">
        <f>IF('Calc|Opex forecast'!K103='Calc|Opex forecast'!K4,SUM('Calc|Opex forecast'!$J$29:$S$29),"")</f>
        <v/>
      </c>
      <c r="K13" s="74" t="str">
        <f>IF('Calc|Opex forecast'!L103='Calc|Opex forecast'!L4,SUM('Calc|Opex forecast'!$J$29:$S$29),"")</f>
        <v/>
      </c>
      <c r="L13" s="74" t="str">
        <f>IF('Calc|Opex forecast'!M103='Calc|Opex forecast'!M4,SUM('Calc|Opex forecast'!$J$29:$S$29),"")</f>
        <v/>
      </c>
      <c r="M13" s="74" t="str">
        <f>IF('Calc|Opex forecast'!N103='Calc|Opex forecast'!N4,SUM('Calc|Opex forecast'!$J$29:$S$29),"")</f>
        <v/>
      </c>
      <c r="N13" s="74">
        <f>IF('Calc|Opex forecast'!O103='Calc|Opex forecast'!O4,SUM('Calc|Opex forecast'!$J$29:$S$29),"")</f>
        <v>-5.2382060061262132</v>
      </c>
      <c r="O13" s="74">
        <f>IF('Calc|Opex forecast'!P103='Calc|Opex forecast'!P4,SUM('Calc|Opex forecast'!$J$29:$S$29),"")</f>
        <v>-5.2382060061262132</v>
      </c>
      <c r="P13" s="74">
        <f>IF('Calc|Opex forecast'!Q103='Calc|Opex forecast'!Q4,SUM('Calc|Opex forecast'!$J$29:$S$29),"")</f>
        <v>-5.2382060061262132</v>
      </c>
      <c r="Q13" s="74">
        <f>IF('Calc|Opex forecast'!R103='Calc|Opex forecast'!R4,SUM('Calc|Opex forecast'!$J$29:$S$29),"")</f>
        <v>-5.2382060061262132</v>
      </c>
      <c r="R13" s="74">
        <f>IF('Calc|Opex forecast'!S103='Calc|Opex forecast'!S4,SUM('Calc|Opex forecast'!$J$29:$S$29),"")</f>
        <v>-5.2382060061262132</v>
      </c>
      <c r="S13" s="74" t="str">
        <f>IF('Calc|Opex forecast'!T103='Calc|Opex forecast'!T4,SUM('Calc|Opex forecast'!$J$29:$S$29),"")</f>
        <v/>
      </c>
      <c r="T13" s="74"/>
      <c r="U13" s="78">
        <f>SUM(I13:S13)</f>
        <v>-26.191030030631065</v>
      </c>
      <c r="V13" s="185">
        <f t="shared" ca="1" si="0"/>
        <v>-1.1050051182888414E-2</v>
      </c>
      <c r="W13" s="181"/>
      <c r="X13" s="74">
        <f ca="1">SUM($U$11:$U12)-AA13</f>
        <v>2055.3241158485766</v>
      </c>
      <c r="Y13" s="74"/>
      <c r="Z13" s="74">
        <f t="shared" ref="Z13:Z22" si="1">IF(U13&gt;0,U13,0)</f>
        <v>0</v>
      </c>
      <c r="AA13" s="74">
        <f t="shared" ref="AA13:AA22" si="2">IF(U13&lt;0,-U13,0)</f>
        <v>26.191030030631065</v>
      </c>
      <c r="AB13" s="183"/>
      <c r="AC13" s="183"/>
      <c r="AD13" s="183"/>
      <c r="AE13" s="183"/>
      <c r="AF13" s="183"/>
      <c r="AG13" s="181"/>
      <c r="AH13" s="181"/>
      <c r="AI13" s="181"/>
      <c r="AJ13" s="181"/>
      <c r="AK13" s="181"/>
      <c r="AL13" s="181"/>
      <c r="AM13" s="181"/>
    </row>
    <row r="14" spans="1:39" ht="15">
      <c r="A14" s="181"/>
      <c r="B14" s="15" t="s">
        <v>229</v>
      </c>
      <c r="C14" s="73" t="s">
        <v>227</v>
      </c>
      <c r="D14" s="16" t="str">
        <f>'Calc|Opex forecast'!$E$8</f>
        <v>$millions</v>
      </c>
      <c r="E14" s="115">
        <f>'Calc|Opex forecast'!$F$8</f>
        <v>45444</v>
      </c>
      <c r="F14" s="16"/>
      <c r="G14" s="16"/>
      <c r="H14" s="16"/>
      <c r="I14" s="74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74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74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74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74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74">
        <f>IF('Calc|Opex forecast'!O103='Calc|Opex forecast'!O4,SUM('Calc|Opex forecast'!$J$38:$S$38,'Calc|Opex forecast'!$J$41:$S$41,'Calc|Opex forecast'!$J$44:$S$44,'Calc|Opex forecast'!$J$47:$S$47,'Calc|Opex forecast'!$J$50:$S$50),"")</f>
        <v>6.94711707786663</v>
      </c>
      <c r="O14" s="74">
        <f>IF('Calc|Opex forecast'!P103='Calc|Opex forecast'!P4,SUM('Calc|Opex forecast'!$J$38:$S$38,'Calc|Opex forecast'!$J$41:$S$41,'Calc|Opex forecast'!$J$44:$S$44,'Calc|Opex forecast'!$J$47:$S$47,'Calc|Opex forecast'!$J$50:$S$50),"")</f>
        <v>6.94711707786663</v>
      </c>
      <c r="P14" s="74">
        <f>IF('Calc|Opex forecast'!Q103='Calc|Opex forecast'!Q4,SUM('Calc|Opex forecast'!$J$38:$S$38,'Calc|Opex forecast'!$J$41:$S$41,'Calc|Opex forecast'!$J$44:$S$44,'Calc|Opex forecast'!$J$47:$S$47,'Calc|Opex forecast'!$J$50:$S$50),"")</f>
        <v>6.94711707786663</v>
      </c>
      <c r="Q14" s="74">
        <f>IF('Calc|Opex forecast'!R103='Calc|Opex forecast'!R4,SUM('Calc|Opex forecast'!$J$38:$S$38,'Calc|Opex forecast'!$J$41:$S$41,'Calc|Opex forecast'!$J$44:$S$44,'Calc|Opex forecast'!$J$47:$S$47,'Calc|Opex forecast'!$J$50:$S$50),"")</f>
        <v>6.94711707786663</v>
      </c>
      <c r="R14" s="74">
        <f>IF('Calc|Opex forecast'!S103='Calc|Opex forecast'!S4,SUM('Calc|Opex forecast'!$J$38:$S$38,'Calc|Opex forecast'!$J$41:$S$41,'Calc|Opex forecast'!$J$44:$S$44,'Calc|Opex forecast'!$J$47:$S$47,'Calc|Opex forecast'!$J$50:$S$50),"")</f>
        <v>6.94711707786663</v>
      </c>
      <c r="S14" s="74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74"/>
      <c r="U14" s="78">
        <f>SUM(I14:S14)</f>
        <v>34.735585389333153</v>
      </c>
      <c r="V14" s="185">
        <f t="shared" ca="1" si="0"/>
        <v>1.5041664240253012E-2</v>
      </c>
      <c r="W14" s="181"/>
      <c r="X14" s="74">
        <f ca="1">SUM($U$11:$U13)-AA14</f>
        <v>2055.3241158485766</v>
      </c>
      <c r="Y14" s="74"/>
      <c r="Z14" s="74">
        <f t="shared" si="1"/>
        <v>34.735585389333153</v>
      </c>
      <c r="AA14" s="74">
        <f t="shared" si="2"/>
        <v>0</v>
      </c>
      <c r="AB14" s="183"/>
      <c r="AC14" s="183"/>
      <c r="AD14" s="183"/>
      <c r="AE14" s="183"/>
      <c r="AF14" s="183"/>
      <c r="AG14" s="181"/>
      <c r="AH14" s="181"/>
      <c r="AI14" s="181"/>
      <c r="AJ14" s="181"/>
      <c r="AK14" s="181"/>
      <c r="AL14" s="181"/>
      <c r="AM14" s="181"/>
    </row>
    <row r="15" spans="1:39" ht="15">
      <c r="A15" s="181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2022–23 to 2023–24 increment</v>
      </c>
      <c r="C15" s="73" t="s">
        <v>227</v>
      </c>
      <c r="D15" s="16" t="str">
        <f>'Calc|Opex forecast'!$E$8</f>
        <v>$millions</v>
      </c>
      <c r="E15" s="115">
        <f>'Calc|Opex forecast'!$F$8</f>
        <v>45444</v>
      </c>
      <c r="F15" s="16"/>
      <c r="G15" s="16"/>
      <c r="H15" s="16"/>
      <c r="I15" s="74" t="str">
        <f>IF('Calc|Opex forecast'!J103='Calc|Opex forecast'!J4,SUM('Calc|Opex forecast'!$J$31:$S$31),"")</f>
        <v/>
      </c>
      <c r="J15" s="74" t="str">
        <f>IF('Calc|Opex forecast'!K103='Calc|Opex forecast'!K4,SUM('Calc|Opex forecast'!$J$31:$S$31),"")</f>
        <v/>
      </c>
      <c r="K15" s="74" t="str">
        <f>IF('Calc|Opex forecast'!L103='Calc|Opex forecast'!L4,SUM('Calc|Opex forecast'!$J$31:$S$31),"")</f>
        <v/>
      </c>
      <c r="L15" s="74" t="str">
        <f>IF('Calc|Opex forecast'!M103='Calc|Opex forecast'!M4,SUM('Calc|Opex forecast'!$J$31:$S$31),"")</f>
        <v/>
      </c>
      <c r="M15" s="74" t="str">
        <f>IF('Calc|Opex forecast'!N103='Calc|Opex forecast'!N4,SUM('Calc|Opex forecast'!$J$31:$S$31),"")</f>
        <v/>
      </c>
      <c r="N15" s="74">
        <f>IF('Calc|Opex forecast'!O103='Calc|Opex forecast'!O4,SUM('Calc|Opex forecast'!$J$31:$S$31),"")</f>
        <v>2.0000496097737823</v>
      </c>
      <c r="O15" s="74">
        <f>IF('Calc|Opex forecast'!P103='Calc|Opex forecast'!P4,SUM('Calc|Opex forecast'!$J$31:$S$31),"")</f>
        <v>2.0000496097737823</v>
      </c>
      <c r="P15" s="74">
        <f>IF('Calc|Opex forecast'!Q103='Calc|Opex forecast'!Q4,SUM('Calc|Opex forecast'!$J$31:$S$31),"")</f>
        <v>2.0000496097737823</v>
      </c>
      <c r="Q15" s="74">
        <f>IF('Calc|Opex forecast'!R103='Calc|Opex forecast'!R4,SUM('Calc|Opex forecast'!$J$31:$S$31),"")</f>
        <v>2.0000496097737823</v>
      </c>
      <c r="R15" s="74">
        <f>IF('Calc|Opex forecast'!S103='Calc|Opex forecast'!S4,SUM('Calc|Opex forecast'!$J$31:$S$31),"")</f>
        <v>2.0000496097737823</v>
      </c>
      <c r="S15" s="74" t="str">
        <f>IF('Calc|Opex forecast'!T103='Calc|Opex forecast'!T4,SUM('Calc|Opex forecast'!$J$31:$S$31),"")</f>
        <v/>
      </c>
      <c r="T15" s="74"/>
      <c r="U15" s="78">
        <f>SUM(I15:S15)</f>
        <v>10.000248048868912</v>
      </c>
      <c r="V15" s="185">
        <f t="shared" ca="1" si="0"/>
        <v>4.2845473988292158E-3</v>
      </c>
      <c r="W15" s="181"/>
      <c r="X15" s="74">
        <f ca="1">SUM($U$11:$U14)-AA15</f>
        <v>2090.0597012379098</v>
      </c>
      <c r="Y15" s="74"/>
      <c r="Z15" s="74">
        <f t="shared" si="1"/>
        <v>10.000248048868912</v>
      </c>
      <c r="AA15" s="74">
        <f t="shared" si="2"/>
        <v>0</v>
      </c>
      <c r="AB15" s="183"/>
      <c r="AC15" s="183"/>
      <c r="AD15" s="183"/>
      <c r="AE15" s="183"/>
      <c r="AF15" s="183"/>
      <c r="AG15" s="181"/>
      <c r="AH15" s="181"/>
      <c r="AI15" s="181"/>
      <c r="AJ15" s="181"/>
      <c r="AK15" s="181"/>
      <c r="AL15" s="181"/>
      <c r="AM15" s="181"/>
    </row>
    <row r="16" spans="1:39" ht="15">
      <c r="A16" s="181"/>
      <c r="B16" s="15" t="s">
        <v>230</v>
      </c>
      <c r="C16" s="73" t="s">
        <v>227</v>
      </c>
      <c r="D16" s="16" t="str">
        <f>'Calc|Opex forecast'!$E$8</f>
        <v>$millions</v>
      </c>
      <c r="E16" s="115">
        <f>'Calc|Opex forecast'!$F$8</f>
        <v>45444</v>
      </c>
      <c r="F16" s="16"/>
      <c r="G16" s="16"/>
      <c r="H16" s="16"/>
      <c r="I16" s="74" t="str">
        <f>IF('Calc|Opex forecast'!J103='Calc|Opex forecast'!J4,SUM('Calc|Opex forecast'!$J$35:$T$35),"")</f>
        <v/>
      </c>
      <c r="J16" s="74" t="str">
        <f>IF('Calc|Opex forecast'!K103='Calc|Opex forecast'!K4,SUM('Calc|Opex forecast'!$J$35:$T$35),"")</f>
        <v/>
      </c>
      <c r="K16" s="74" t="str">
        <f>IF('Calc|Opex forecast'!L103='Calc|Opex forecast'!L4,SUM('Calc|Opex forecast'!$J$35:$T$35),"")</f>
        <v/>
      </c>
      <c r="L16" s="74" t="str">
        <f>IF('Calc|Opex forecast'!M103='Calc|Opex forecast'!M4,SUM('Calc|Opex forecast'!$J$35:$T$35),"")</f>
        <v/>
      </c>
      <c r="M16" s="74" t="str">
        <f>IF('Calc|Opex forecast'!N103='Calc|Opex forecast'!N4,SUM('Calc|Opex forecast'!$J$35:$T$35),"")</f>
        <v/>
      </c>
      <c r="N16" s="74">
        <f>IF('Calc|Opex forecast'!O103='Calc|Opex forecast'!O4,SUM('Calc|Opex forecast'!$J$35:$T$35),"")</f>
        <v>3.1653004978501542E-2</v>
      </c>
      <c r="O16" s="74">
        <f>IF('Calc|Opex forecast'!P103='Calc|Opex forecast'!P4,SUM('Calc|Opex forecast'!$J$35:$T$35),"")</f>
        <v>3.1653004978501542E-2</v>
      </c>
      <c r="P16" s="74">
        <f>IF('Calc|Opex forecast'!Q103='Calc|Opex forecast'!Q4,SUM('Calc|Opex forecast'!$J$35:$T$35),"")</f>
        <v>3.1653004978501542E-2</v>
      </c>
      <c r="Q16" s="74">
        <f>IF('Calc|Opex forecast'!R103='Calc|Opex forecast'!R4,SUM('Calc|Opex forecast'!$J$35:$T$35),"")</f>
        <v>3.1653004978501542E-2</v>
      </c>
      <c r="R16" s="74">
        <f>IF('Calc|Opex forecast'!S103='Calc|Opex forecast'!S4,SUM('Calc|Opex forecast'!$J$35:$T$35),"")</f>
        <v>3.1653004978501542E-2</v>
      </c>
      <c r="S16" s="74" t="str">
        <f>IF('Calc|Opex forecast'!T103='Calc|Opex forecast'!T4,SUM('Calc|Opex forecast'!$J$35:$T$35),"")</f>
        <v/>
      </c>
      <c r="T16" s="74"/>
      <c r="U16" s="78">
        <f t="shared" ref="U16:U22" si="3">SUM(I16:S16)</f>
        <v>0.15826502489250771</v>
      </c>
      <c r="V16" s="185">
        <f t="shared" ca="1" si="0"/>
        <v>6.7522991233609823E-5</v>
      </c>
      <c r="W16" s="181"/>
      <c r="X16" s="74">
        <f ca="1">SUM($U$11:$U15)-AA16</f>
        <v>2100.0599492867786</v>
      </c>
      <c r="Y16" s="74"/>
      <c r="Z16" s="74">
        <f t="shared" si="1"/>
        <v>0.15826502489250771</v>
      </c>
      <c r="AA16" s="74">
        <f t="shared" si="2"/>
        <v>0</v>
      </c>
      <c r="AB16" s="183"/>
      <c r="AC16" s="183"/>
      <c r="AD16" s="183"/>
      <c r="AE16" s="183"/>
      <c r="AF16" s="183"/>
      <c r="AG16" s="181"/>
      <c r="AH16" s="181"/>
      <c r="AI16" s="181"/>
      <c r="AJ16" s="181"/>
      <c r="AK16" s="181"/>
      <c r="AL16" s="181"/>
      <c r="AM16" s="181"/>
    </row>
    <row r="17" spans="1:39" ht="15">
      <c r="A17" s="181"/>
      <c r="B17" s="15" t="s">
        <v>231</v>
      </c>
      <c r="C17" s="16" t="s">
        <v>30</v>
      </c>
      <c r="D17" s="16" t="str">
        <f>'Calc|Opex forecast'!$E$8</f>
        <v>$millions</v>
      </c>
      <c r="E17" s="115">
        <f>'Calc|Opex forecast'!$F$8</f>
        <v>45444</v>
      </c>
      <c r="F17" s="16"/>
      <c r="G17" s="16"/>
      <c r="H17" s="16"/>
      <c r="I17" s="74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74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74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74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74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74">
        <f ca="1">IF('Calc|Opex forecast'!O103='Calc|Opex forecast'!O4,'Calc|Opex forecast'!O62/('Calc|Opex forecast'!O$62+'Calc|Opex forecast'!O$65-'Calc|Opex forecast'!O$68)*'Calc|Opex forecast'!O$71*SUM('Calc|Opex forecast'!$J$54:$T$54),"")</f>
        <v>1.1533364572907858</v>
      </c>
      <c r="O17" s="74">
        <f ca="1">IF('Calc|Opex forecast'!P103='Calc|Opex forecast'!P4,'Calc|Opex forecast'!P62/('Calc|Opex forecast'!P$62+'Calc|Opex forecast'!P$65-'Calc|Opex forecast'!P$68)*'Calc|Opex forecast'!P$71*SUM('Calc|Opex forecast'!$J$54:$T$54),"")</f>
        <v>2.6275531710615754</v>
      </c>
      <c r="P17" s="74">
        <f ca="1">IF('Calc|Opex forecast'!Q103='Calc|Opex forecast'!Q4,'Calc|Opex forecast'!Q62/('Calc|Opex forecast'!Q$62+'Calc|Opex forecast'!Q$65-'Calc|Opex forecast'!Q$68)*'Calc|Opex forecast'!Q$71*SUM('Calc|Opex forecast'!$J$54:$T$54),"")</f>
        <v>4.3765818955634739</v>
      </c>
      <c r="Q17" s="74">
        <f ca="1">IF('Calc|Opex forecast'!R103='Calc|Opex forecast'!R4,'Calc|Opex forecast'!R62/('Calc|Opex forecast'!R$62+'Calc|Opex forecast'!R$65-'Calc|Opex forecast'!R$68)*'Calc|Opex forecast'!R$71*SUM('Calc|Opex forecast'!$J$54:$T$54),"")</f>
        <v>7.8944169552382855</v>
      </c>
      <c r="R17" s="74">
        <f ca="1">IF('Calc|Opex forecast'!S103='Calc|Opex forecast'!S4,'Calc|Opex forecast'!S62/('Calc|Opex forecast'!S$62+'Calc|Opex forecast'!S$65-'Calc|Opex forecast'!S$68)*'Calc|Opex forecast'!S$71*SUM('Calc|Opex forecast'!$J$54:$T$54),"")</f>
        <v>11.208371795752004</v>
      </c>
      <c r="S17" s="74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74"/>
      <c r="U17" s="186">
        <f t="shared" ca="1" si="3"/>
        <v>27.260260274906123</v>
      </c>
      <c r="V17" s="185">
        <f t="shared" ca="1" si="0"/>
        <v>1.1766510782780506E-2</v>
      </c>
      <c r="W17" s="181"/>
      <c r="X17" s="74">
        <f ca="1">SUM($U$11:$U16)-AA17</f>
        <v>2100.2182143116711</v>
      </c>
      <c r="Y17" s="74"/>
      <c r="Z17" s="74">
        <f t="shared" ca="1" si="1"/>
        <v>27.260260274906123</v>
      </c>
      <c r="AA17" s="74">
        <f t="shared" ca="1" si="2"/>
        <v>0</v>
      </c>
      <c r="AB17" s="183"/>
      <c r="AC17" s="183"/>
      <c r="AD17" s="183"/>
      <c r="AE17" s="183"/>
      <c r="AF17" s="187"/>
      <c r="AG17" s="181"/>
      <c r="AH17" s="181"/>
      <c r="AI17" s="181"/>
      <c r="AJ17" s="181"/>
      <c r="AK17" s="181"/>
      <c r="AL17" s="181"/>
      <c r="AM17" s="181"/>
    </row>
    <row r="18" spans="1:39" ht="15">
      <c r="A18" s="181"/>
      <c r="B18" s="15" t="s">
        <v>232</v>
      </c>
      <c r="C18" s="16" t="s">
        <v>30</v>
      </c>
      <c r="D18" s="16" t="str">
        <f>'Calc|Opex forecast'!$E$8</f>
        <v>$millions</v>
      </c>
      <c r="E18" s="115">
        <f>'Calc|Opex forecast'!$F$8</f>
        <v>45444</v>
      </c>
      <c r="F18" s="16"/>
      <c r="G18" s="16"/>
      <c r="H18" s="16"/>
      <c r="I18" s="74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74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74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74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74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74">
        <f ca="1">IF('Calc|Opex forecast'!O103='Calc|Opex forecast'!O4,'Calc|Opex forecast'!O65/('Calc|Opex forecast'!O$62+'Calc|Opex forecast'!O$65-'Calc|Opex forecast'!O$68)*'Calc|Opex forecast'!O$71*SUM('Calc|Opex forecast'!$J$54:$T$54),"")</f>
        <v>3.6965073328511635</v>
      </c>
      <c r="O18" s="74">
        <f ca="1">IF('Calc|Opex forecast'!P103='Calc|Opex forecast'!P4,'Calc|Opex forecast'!P65/('Calc|Opex forecast'!P$62+'Calc|Opex forecast'!P$65-'Calc|Opex forecast'!P$68)*'Calc|Opex forecast'!P$71*SUM('Calc|Opex forecast'!$J$54:$T$54),"")</f>
        <v>7.4157417026753647</v>
      </c>
      <c r="P18" s="74">
        <f ca="1">IF('Calc|Opex forecast'!Q103='Calc|Opex forecast'!Q4,'Calc|Opex forecast'!Q65/('Calc|Opex forecast'!Q$62+'Calc|Opex forecast'!Q$65-'Calc|Opex forecast'!Q$68)*'Calc|Opex forecast'!Q$71*SUM('Calc|Opex forecast'!$J$54:$T$54),"")</f>
        <v>9.7059256364540971</v>
      </c>
      <c r="Q18" s="74">
        <f ca="1">IF('Calc|Opex forecast'!R103='Calc|Opex forecast'!R4,'Calc|Opex forecast'!R65/('Calc|Opex forecast'!R$62+'Calc|Opex forecast'!R$65-'Calc|Opex forecast'!R$68)*'Calc|Opex forecast'!R$71*SUM('Calc|Opex forecast'!$J$54:$T$54),"")</f>
        <v>11.754221964349128</v>
      </c>
      <c r="R18" s="74">
        <f ca="1">IF('Calc|Opex forecast'!S103='Calc|Opex forecast'!S4,'Calc|Opex forecast'!S65/('Calc|Opex forecast'!S$62+'Calc|Opex forecast'!S$65-'Calc|Opex forecast'!S$68)*'Calc|Opex forecast'!S$71*SUM('Calc|Opex forecast'!$J$54:$T$54),"")</f>
        <v>14.119944762730459</v>
      </c>
      <c r="S18" s="74" t="str">
        <f t="array" ref="S18">IF('Calc|Opex forecast'!T103='Calc|Opex forecast'!T4,(PRODUCT(1+'Calc|Opex forecast'!$J64:T64)-1)*PRODUCT(1-'Calc|Opex forecast'!$J67:T67)*SUM('Calc|Opex forecast'!$J$54:$S$54),"")</f>
        <v/>
      </c>
      <c r="T18" s="74"/>
      <c r="U18" s="186">
        <f t="shared" ca="1" si="3"/>
        <v>46.692341399060211</v>
      </c>
      <c r="V18" s="185">
        <f t="shared" ca="1" si="0"/>
        <v>2.0324571421492025E-2</v>
      </c>
      <c r="W18" s="181"/>
      <c r="X18" s="74">
        <f ca="1">SUM($U$11:$U17)-AA18</f>
        <v>2127.4784745865772</v>
      </c>
      <c r="Y18" s="74"/>
      <c r="Z18" s="74">
        <f t="shared" ca="1" si="1"/>
        <v>46.692341399060211</v>
      </c>
      <c r="AA18" s="74">
        <f t="shared" ca="1" si="2"/>
        <v>0</v>
      </c>
      <c r="AB18" s="183"/>
      <c r="AC18" s="183"/>
      <c r="AD18" s="183"/>
      <c r="AE18" s="183"/>
      <c r="AF18" s="183"/>
      <c r="AG18" s="181"/>
      <c r="AH18" s="181"/>
      <c r="AI18" s="181"/>
      <c r="AJ18" s="181"/>
      <c r="AK18" s="181"/>
      <c r="AL18" s="181"/>
      <c r="AM18" s="181"/>
    </row>
    <row r="19" spans="1:39" ht="15">
      <c r="A19" s="181"/>
      <c r="B19" s="15" t="s">
        <v>233</v>
      </c>
      <c r="C19" s="16" t="s">
        <v>30</v>
      </c>
      <c r="D19" s="16" t="str">
        <f>'Calc|Opex forecast'!$E$8</f>
        <v>$millions</v>
      </c>
      <c r="E19" s="115">
        <f>'Calc|Opex forecast'!$F$8</f>
        <v>45444</v>
      </c>
      <c r="F19" s="16"/>
      <c r="G19" s="16"/>
      <c r="H19" s="16"/>
      <c r="I19" s="74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74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74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74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74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74">
        <f ca="1">IF('Calc|Opex forecast'!O103='Calc|Opex forecast'!O4,-'Calc|Opex forecast'!O68/('Calc|Opex forecast'!O$62+'Calc|Opex forecast'!O$65-'Calc|Opex forecast'!O$68)*'Calc|Opex forecast'!O$71*SUM('Calc|Opex forecast'!$J$54:$T$54),"")</f>
        <v>-2.0894914080333082</v>
      </c>
      <c r="O19" s="74">
        <f ca="1">IF('Calc|Opex forecast'!P103='Calc|Opex forecast'!P4,-'Calc|Opex forecast'!P68/('Calc|Opex forecast'!P$62+'Calc|Opex forecast'!P$65-'Calc|Opex forecast'!P$68)*'Calc|Opex forecast'!P$71*SUM('Calc|Opex forecast'!$J$54:$T$54),"")</f>
        <v>-4.1871284456552997</v>
      </c>
      <c r="P19" s="74">
        <f ca="1">IF('Calc|Opex forecast'!Q103='Calc|Opex forecast'!Q4,-'Calc|Opex forecast'!Q68/('Calc|Opex forecast'!Q$62+'Calc|Opex forecast'!Q$65-'Calc|Opex forecast'!Q$68)*'Calc|Opex forecast'!Q$71*SUM('Calc|Opex forecast'!$J$54:$T$54),"")</f>
        <v>-6.2937312190520363</v>
      </c>
      <c r="Q19" s="74">
        <f ca="1">IF('Calc|Opex forecast'!R103='Calc|Opex forecast'!R4,-'Calc|Opex forecast'!R68/('Calc|Opex forecast'!R$62+'Calc|Opex forecast'!R$65-'Calc|Opex forecast'!R$68)*'Calc|Opex forecast'!R$71*SUM('Calc|Opex forecast'!$J$54:$T$54),"")</f>
        <v>-8.4285506748247094</v>
      </c>
      <c r="R19" s="74">
        <f ca="1">IF('Calc|Opex forecast'!S103='Calc|Opex forecast'!S4,-'Calc|Opex forecast'!S68/('Calc|Opex forecast'!S$62+'Calc|Opex forecast'!S$65-'Calc|Opex forecast'!S$68)*'Calc|Opex forecast'!S$71*SUM('Calc|Opex forecast'!$J$54:$T$54),"")</f>
        <v>-10.571474774846939</v>
      </c>
      <c r="S19" s="74" t="str">
        <f t="array" ref="S19">IF('Calc|Opex forecast'!T103='Calc|Opex forecast'!T4,(PRODUCT(1-'Calc|Opex forecast'!$J67:T67)-1)*SUM('Calc|Opex forecast'!$J$54:$S$54),"")</f>
        <v/>
      </c>
      <c r="T19" s="74"/>
      <c r="U19" s="186">
        <f t="shared" ca="1" si="3"/>
        <v>-31.570376522412296</v>
      </c>
      <c r="V19" s="185">
        <f t="shared" ca="1" si="0"/>
        <v>-1.3289447721555447E-2</v>
      </c>
      <c r="W19" s="188"/>
      <c r="X19" s="74">
        <f ca="1">SUM($U$11:$U18)-AA19</f>
        <v>2142.600439463225</v>
      </c>
      <c r="Y19" s="74"/>
      <c r="Z19" s="74">
        <f t="shared" ca="1" si="1"/>
        <v>0</v>
      </c>
      <c r="AA19" s="74">
        <f t="shared" ca="1" si="2"/>
        <v>31.570376522412296</v>
      </c>
      <c r="AB19" s="183"/>
      <c r="AC19" s="183"/>
      <c r="AD19" s="183"/>
      <c r="AE19" s="183"/>
      <c r="AF19" s="183"/>
      <c r="AG19" s="181"/>
      <c r="AH19" s="181"/>
      <c r="AI19" s="181"/>
      <c r="AJ19" s="181"/>
      <c r="AK19" s="181"/>
      <c r="AL19" s="181"/>
      <c r="AM19" s="181"/>
    </row>
    <row r="20" spans="1:39" ht="15">
      <c r="A20" s="181"/>
      <c r="B20" s="15" t="s">
        <v>101</v>
      </c>
      <c r="C20" s="73" t="s">
        <v>227</v>
      </c>
      <c r="D20" s="16" t="str">
        <f>'Calc|Opex forecast'!$E$8</f>
        <v>$millions</v>
      </c>
      <c r="E20" s="115">
        <f>'Calc|Opex forecast'!$F$8</f>
        <v>45444</v>
      </c>
      <c r="F20" s="16"/>
      <c r="G20" s="16"/>
      <c r="H20" s="16"/>
      <c r="I20" s="74" t="str">
        <f>IF('Calc|Opex forecast'!J103='Calc|Opex forecast'!J4,'Calc|Opex forecast'!J87,"")</f>
        <v/>
      </c>
      <c r="J20" s="74" t="str">
        <f>IF('Calc|Opex forecast'!K103='Calc|Opex forecast'!K4,'Calc|Opex forecast'!K87,"")</f>
        <v/>
      </c>
      <c r="K20" s="74" t="str">
        <f>IF('Calc|Opex forecast'!L103='Calc|Opex forecast'!L4,'Calc|Opex forecast'!L87,"")</f>
        <v/>
      </c>
      <c r="L20" s="74" t="str">
        <f>IF('Calc|Opex forecast'!M103='Calc|Opex forecast'!M4,'Calc|Opex forecast'!M87,"")</f>
        <v/>
      </c>
      <c r="M20" s="74" t="str">
        <f>IF('Calc|Opex forecast'!N103='Calc|Opex forecast'!N4,'Calc|Opex forecast'!N87,"")</f>
        <v/>
      </c>
      <c r="N20" s="74">
        <f>IF('Calc|Opex forecast'!O103='Calc|Opex forecast'!O4,'Calc|Opex forecast'!O87,"")</f>
        <v>25.977728204346974</v>
      </c>
      <c r="O20" s="74">
        <f>IF('Calc|Opex forecast'!P103='Calc|Opex forecast'!P4,'Calc|Opex forecast'!P87,"")</f>
        <v>26.953820104019677</v>
      </c>
      <c r="P20" s="74">
        <f>IF('Calc|Opex forecast'!Q103='Calc|Opex forecast'!Q4,'Calc|Opex forecast'!Q87,"")</f>
        <v>36.871148293717418</v>
      </c>
      <c r="Q20" s="74">
        <f>IF('Calc|Opex forecast'!R103='Calc|Opex forecast'!R4,'Calc|Opex forecast'!R87,"")</f>
        <v>32.862624221096681</v>
      </c>
      <c r="R20" s="74">
        <f>IF('Calc|Opex forecast'!S103='Calc|Opex forecast'!S4,'Calc|Opex forecast'!S87,"")</f>
        <v>30.993436963665129</v>
      </c>
      <c r="S20" s="74" t="str">
        <f>IF('Calc|Opex forecast'!T103='Calc|Opex forecast'!T4,'Calc|Opex forecast'!T87,"")</f>
        <v/>
      </c>
      <c r="T20" s="74"/>
      <c r="U20" s="78">
        <f t="shared" si="3"/>
        <v>153.65875778684588</v>
      </c>
      <c r="V20" s="185">
        <f t="shared" ca="1" si="0"/>
        <v>7.015202197519968E-2</v>
      </c>
      <c r="W20" s="189"/>
      <c r="X20" s="74">
        <f ca="1">SUM($U$11:$U19)-AA20</f>
        <v>2142.600439463225</v>
      </c>
      <c r="Y20" s="74"/>
      <c r="Z20" s="74">
        <f t="shared" si="1"/>
        <v>153.65875778684588</v>
      </c>
      <c r="AA20" s="74">
        <f t="shared" si="2"/>
        <v>0</v>
      </c>
      <c r="AB20" s="183"/>
      <c r="AC20" s="183"/>
      <c r="AD20" s="183"/>
      <c r="AE20" s="183"/>
      <c r="AF20" s="183"/>
      <c r="AG20" s="181"/>
      <c r="AH20" s="181"/>
      <c r="AI20" s="181"/>
      <c r="AJ20" s="181"/>
      <c r="AK20" s="181"/>
      <c r="AL20" s="181"/>
      <c r="AM20" s="181"/>
    </row>
    <row r="21" spans="1:39" ht="15">
      <c r="A21" s="181"/>
      <c r="B21" s="15" t="s">
        <v>106</v>
      </c>
      <c r="C21" s="73" t="s">
        <v>227</v>
      </c>
      <c r="D21" s="16" t="str">
        <f>'Calc|Opex forecast'!$E$8</f>
        <v>$millions</v>
      </c>
      <c r="E21" s="115">
        <f>'Calc|Opex forecast'!$F$8</f>
        <v>45444</v>
      </c>
      <c r="F21" s="16"/>
      <c r="G21" s="16"/>
      <c r="H21" s="16"/>
      <c r="I21" s="74" t="str">
        <f>IF('Calc|Opex forecast'!J103='Calc|Opex forecast'!J4,'Calc|Opex forecast'!J99,"")</f>
        <v/>
      </c>
      <c r="J21" s="74" t="str">
        <f>IF('Calc|Opex forecast'!K103='Calc|Opex forecast'!K4,'Calc|Opex forecast'!K99,"")</f>
        <v/>
      </c>
      <c r="K21" s="74" t="str">
        <f>IF('Calc|Opex forecast'!L103='Calc|Opex forecast'!L4,'Calc|Opex forecast'!L99,"")</f>
        <v/>
      </c>
      <c r="L21" s="74" t="str">
        <f>IF('Calc|Opex forecast'!M103='Calc|Opex forecast'!M4,'Calc|Opex forecast'!M99,"")</f>
        <v/>
      </c>
      <c r="M21" s="74" t="str">
        <f>IF('Calc|Opex forecast'!N103='Calc|Opex forecast'!N4,'Calc|Opex forecast'!N99,"")</f>
        <v/>
      </c>
      <c r="N21" s="74">
        <f>IF('Calc|Opex forecast'!O103='Calc|Opex forecast'!O4,'Calc|Opex forecast'!O99,"")</f>
        <v>0.31079282950946341</v>
      </c>
      <c r="O21" s="74">
        <f>IF('Calc|Opex forecast'!P103='Calc|Opex forecast'!P4,'Calc|Opex forecast'!P99,"")</f>
        <v>0.31079282950946341</v>
      </c>
      <c r="P21" s="74">
        <f>IF('Calc|Opex forecast'!Q103='Calc|Opex forecast'!Q4,'Calc|Opex forecast'!Q99,"")</f>
        <v>0.31079282950946341</v>
      </c>
      <c r="Q21" s="74">
        <f>IF('Calc|Opex forecast'!R103='Calc|Opex forecast'!R4,'Calc|Opex forecast'!R99,"")</f>
        <v>0.31079282950946341</v>
      </c>
      <c r="R21" s="74">
        <f>IF('Calc|Opex forecast'!S103='Calc|Opex forecast'!S4,'Calc|Opex forecast'!S99,"")</f>
        <v>0.31079282950946341</v>
      </c>
      <c r="S21" s="74" t="str">
        <f>IF('Calc|Opex forecast'!T103='Calc|Opex forecast'!T4,'Calc|Opex forecast'!T99,"")</f>
        <v/>
      </c>
      <c r="T21" s="74"/>
      <c r="U21" s="78">
        <f t="shared" si="3"/>
        <v>1.5539641475473172</v>
      </c>
      <c r="V21" s="185">
        <f t="shared" ca="1" si="0"/>
        <v>6.6338615417548907E-4</v>
      </c>
      <c r="W21" s="189"/>
      <c r="X21" s="74">
        <f ca="1">SUM($U$11:$U20)-AA21</f>
        <v>2296.2591972500709</v>
      </c>
      <c r="Y21" s="74"/>
      <c r="Z21" s="74">
        <f t="shared" si="1"/>
        <v>1.5539641475473172</v>
      </c>
      <c r="AA21" s="74">
        <f t="shared" si="2"/>
        <v>0</v>
      </c>
      <c r="AB21" s="183"/>
      <c r="AC21" s="183"/>
      <c r="AD21" s="183"/>
      <c r="AE21" s="183"/>
      <c r="AF21" s="183"/>
      <c r="AG21" s="181"/>
      <c r="AH21" s="181"/>
      <c r="AI21" s="181"/>
      <c r="AJ21" s="181"/>
      <c r="AK21" s="181"/>
      <c r="AL21" s="181"/>
      <c r="AM21" s="181"/>
    </row>
    <row r="22" spans="1:39" ht="15">
      <c r="A22" s="181"/>
      <c r="B22" s="15" t="s">
        <v>39</v>
      </c>
      <c r="C22" s="73" t="s">
        <v>227</v>
      </c>
      <c r="D22" s="16" t="str">
        <f>'Calc|Opex forecast'!$E$8</f>
        <v>$millions</v>
      </c>
      <c r="E22" s="115">
        <f>'Calc|Opex forecast'!$F$8</f>
        <v>45444</v>
      </c>
      <c r="F22" s="16"/>
      <c r="G22" s="16"/>
      <c r="H22" s="16"/>
      <c r="I22" s="74" t="str">
        <f>IF('Calc|Opex forecast'!J103='Calc|Opex forecast'!J4,'Input|Step changes'!J40+'Input|Step changes'!J41,"")</f>
        <v/>
      </c>
      <c r="J22" s="74" t="str">
        <f>IF('Calc|Opex forecast'!K103='Calc|Opex forecast'!K4,'Input|Step changes'!K40+'Input|Step changes'!K41,"")</f>
        <v/>
      </c>
      <c r="K22" s="74" t="str">
        <f>IF('Calc|Opex forecast'!L103='Calc|Opex forecast'!L4,'Input|Step changes'!L40+'Input|Step changes'!L41,"")</f>
        <v/>
      </c>
      <c r="L22" s="74" t="str">
        <f>IF('Calc|Opex forecast'!M103='Calc|Opex forecast'!M4,'Input|Step changes'!M40+'Input|Step changes'!M41,"")</f>
        <v/>
      </c>
      <c r="M22" s="74" t="str">
        <f>IF('Calc|Opex forecast'!N103='Calc|Opex forecast'!N4,'Input|Step changes'!N40+'Input|Step changes'!N41,"")</f>
        <v/>
      </c>
      <c r="N22" s="74">
        <f>IF('Calc|Opex forecast'!O103='Calc|Opex forecast'!O4,'Input|Step changes'!O40+'Input|Step changes'!O41,"")</f>
        <v>9.2394631202629398</v>
      </c>
      <c r="O22" s="74">
        <f>IF('Calc|Opex forecast'!P103='Calc|Opex forecast'!P4,'Input|Step changes'!P40+'Input|Step changes'!P41,"")</f>
        <v>9.2735610005150662</v>
      </c>
      <c r="P22" s="74">
        <f>IF('Calc|Opex forecast'!Q103='Calc|Opex forecast'!Q4,'Input|Step changes'!Q40+'Input|Step changes'!Q41,"")</f>
        <v>9.2612458917358165</v>
      </c>
      <c r="Q22" s="74">
        <f>IF('Calc|Opex forecast'!R103='Calc|Opex forecast'!R4,'Input|Step changes'!R40+'Input|Step changes'!R41,"")</f>
        <v>9.2415095016645754</v>
      </c>
      <c r="R22" s="74">
        <f>IF('Calc|Opex forecast'!S103='Calc|Opex forecast'!S4,'Input|Step changes'!S40+'Input|Step changes'!S41,"")</f>
        <v>9.1980124085677435</v>
      </c>
      <c r="S22" s="74" t="str">
        <f>IF('Calc|Opex forecast'!T103='Calc|Opex forecast'!T4,'Input|Step changes'!T40+'Input|Step changes'!T41,"")</f>
        <v/>
      </c>
      <c r="T22" s="74"/>
      <c r="U22" s="78">
        <f t="shared" si="3"/>
        <v>46.21379192274614</v>
      </c>
      <c r="V22" s="185">
        <f t="shared" ca="1" si="0"/>
        <v>2.0112075559109922E-2</v>
      </c>
      <c r="W22" s="181"/>
      <c r="X22" s="74">
        <f ca="1">SUM($U$11:$U21)-AA22</f>
        <v>2297.8131613976184</v>
      </c>
      <c r="Y22" s="74"/>
      <c r="Z22" s="74">
        <f t="shared" si="1"/>
        <v>46.21379192274614</v>
      </c>
      <c r="AA22" s="74">
        <f t="shared" si="2"/>
        <v>0</v>
      </c>
      <c r="AB22" s="183"/>
      <c r="AC22" s="183"/>
      <c r="AD22" s="183"/>
      <c r="AE22" s="183"/>
      <c r="AF22" s="183"/>
      <c r="AG22" s="181"/>
      <c r="AH22" s="181"/>
      <c r="AI22" s="181"/>
      <c r="AJ22" s="181"/>
      <c r="AK22" s="181"/>
      <c r="AL22" s="181"/>
      <c r="AM22" s="181"/>
    </row>
    <row r="23" spans="1:39" ht="15">
      <c r="A23" s="181"/>
      <c r="B23" s="15" t="s">
        <v>234</v>
      </c>
      <c r="C23" s="73" t="s">
        <v>227</v>
      </c>
      <c r="D23" s="16" t="str">
        <f>'Calc|Opex forecast'!$E$8</f>
        <v>$millions</v>
      </c>
      <c r="E23" s="115">
        <f>'Calc|Opex forecast'!$F$8</f>
        <v>45444</v>
      </c>
      <c r="F23" s="16"/>
      <c r="G23" s="16"/>
      <c r="H23" s="16"/>
      <c r="I23" s="74" t="str">
        <f>'Calc|Opex forecast'!J111</f>
        <v/>
      </c>
      <c r="J23" s="74" t="str">
        <f>'Calc|Opex forecast'!K111</f>
        <v/>
      </c>
      <c r="K23" s="74" t="str">
        <f>'Calc|Opex forecast'!L111</f>
        <v/>
      </c>
      <c r="L23" s="74" t="str">
        <f>'Calc|Opex forecast'!M111</f>
        <v/>
      </c>
      <c r="M23" s="74" t="str">
        <f>'Calc|Opex forecast'!N111</f>
        <v/>
      </c>
      <c r="N23" s="74">
        <f ca="1">'Calc|Opex forecast'!O111</f>
        <v>458.33197939856228</v>
      </c>
      <c r="O23" s="74">
        <f ca="1">'Calc|Opex forecast'!P111</f>
        <v>462.43798322446003</v>
      </c>
      <c r="P23" s="74">
        <f ca="1">'Calc|Opex forecast'!Q111</f>
        <v>474.27560619026247</v>
      </c>
      <c r="Q23" s="74">
        <f ca="1">'Calc|Opex forecast'!R111</f>
        <v>473.67865765936767</v>
      </c>
      <c r="R23" s="74">
        <f ca="1">'Calc|Opex forecast'!S111</f>
        <v>475.30272684771217</v>
      </c>
      <c r="S23" s="74" t="str">
        <f>'Calc|Opex forecast'!T111</f>
        <v/>
      </c>
      <c r="T23" s="74"/>
      <c r="U23" s="78">
        <f ca="1">SUM(I23:S23)</f>
        <v>2344.0269533203646</v>
      </c>
      <c r="V23" s="90" t="str">
        <f ca="1">IF(ROUND(U23,6)=ROUND(SUM(U11:U22),6),"OK","Check")</f>
        <v>OK</v>
      </c>
      <c r="W23" s="181"/>
      <c r="X23" s="74"/>
      <c r="Y23" s="74">
        <f ca="1">U23</f>
        <v>2344.0269533203646</v>
      </c>
      <c r="Z23" s="74"/>
      <c r="AA23" s="74"/>
      <c r="AB23" s="183"/>
      <c r="AC23" s="181"/>
      <c r="AD23" s="190"/>
      <c r="AE23" s="181"/>
      <c r="AF23" s="183"/>
      <c r="AG23" s="181"/>
      <c r="AH23" s="181"/>
      <c r="AI23" s="181"/>
      <c r="AJ23" s="181"/>
      <c r="AK23" s="181"/>
      <c r="AL23" s="181"/>
      <c r="AM23" s="181"/>
    </row>
    <row r="24" spans="1:39" ht="15">
      <c r="A24" s="181"/>
      <c r="B24" s="15"/>
      <c r="C24" s="15"/>
      <c r="D24" s="15"/>
      <c r="E24" s="15"/>
      <c r="F24" s="16"/>
      <c r="G24" s="16"/>
      <c r="H24" s="16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8"/>
      <c r="V24" s="186">
        <f ca="1">U23-SUM(U11:U22)</f>
        <v>0</v>
      </c>
      <c r="W24" s="181"/>
      <c r="X24" s="183"/>
      <c r="Y24" s="183"/>
      <c r="Z24" s="183"/>
      <c r="AA24" s="183"/>
      <c r="AB24" s="183"/>
      <c r="AC24" s="183"/>
      <c r="AD24" s="183"/>
      <c r="AE24" s="183"/>
      <c r="AF24" s="183"/>
      <c r="AG24" s="181"/>
      <c r="AH24" s="181"/>
      <c r="AI24" s="181"/>
      <c r="AJ24" s="181"/>
      <c r="AK24" s="181"/>
      <c r="AL24" s="181"/>
      <c r="AM24" s="181"/>
    </row>
    <row r="25" spans="1:39" ht="15">
      <c r="A25" s="181"/>
      <c r="B25" s="191"/>
      <c r="C25" s="191"/>
      <c r="D25" s="191"/>
      <c r="E25" s="191"/>
      <c r="F25" s="16"/>
      <c r="G25" s="16"/>
      <c r="H25" s="16"/>
      <c r="I25" s="191"/>
      <c r="J25" s="191"/>
      <c r="K25" s="191"/>
      <c r="L25" s="191"/>
      <c r="M25" s="191"/>
      <c r="N25" s="181"/>
      <c r="O25" s="181"/>
      <c r="P25" s="181"/>
      <c r="Q25" s="181"/>
      <c r="R25" s="181"/>
      <c r="S25" s="181"/>
      <c r="T25" s="192"/>
      <c r="U25" s="193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</row>
    <row r="26" spans="1:39" ht="15">
      <c r="A26" s="181"/>
      <c r="B26" s="181"/>
      <c r="C26" s="181"/>
      <c r="D26" s="181"/>
      <c r="E26" s="181"/>
      <c r="F26" s="16"/>
      <c r="G26" s="16"/>
      <c r="H26" s="16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</row>
    <row r="27" spans="1:39" ht="15">
      <c r="A27" s="181"/>
      <c r="B27" s="181"/>
      <c r="C27" s="181"/>
      <c r="D27" s="181"/>
      <c r="E27" s="181"/>
      <c r="F27" s="16"/>
      <c r="G27" s="16"/>
      <c r="H27" s="16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</row>
    <row r="28" spans="1:39" ht="15">
      <c r="A28" s="181"/>
      <c r="B28" s="181"/>
      <c r="C28" s="181"/>
      <c r="D28" s="181"/>
      <c r="E28" s="181"/>
      <c r="F28" s="16"/>
      <c r="G28" s="16"/>
      <c r="H28" s="16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</row>
    <row r="29" spans="1:39" ht="15">
      <c r="A29" s="181"/>
      <c r="B29" s="181"/>
      <c r="C29" s="181"/>
      <c r="D29" s="181"/>
      <c r="E29" s="181"/>
      <c r="F29" s="16"/>
      <c r="G29" s="16"/>
      <c r="H29" s="16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</row>
    <row r="30" spans="1:39" ht="15">
      <c r="A30" s="181"/>
      <c r="B30" s="181"/>
      <c r="C30" s="181"/>
      <c r="D30" s="181"/>
      <c r="E30" s="181"/>
      <c r="F30" s="16"/>
      <c r="G30" s="16"/>
      <c r="H30" s="16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94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</row>
    <row r="31" spans="1:39" ht="12.75">
      <c r="A31" s="37"/>
      <c r="B31" s="43" t="s">
        <v>21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</sheetData>
  <mergeCells count="1">
    <mergeCell ref="M2:R2"/>
  </mergeCells>
  <conditionalFormatting sqref="Y1">
    <cfRule type="cellIs" dxfId="34" priority="8" operator="equal">
      <formula>"Check"</formula>
    </cfRule>
    <cfRule type="cellIs" dxfId="33" priority="9" operator="equal">
      <formula>"Ok"</formula>
    </cfRule>
  </conditionalFormatting>
  <conditionalFormatting sqref="I24:V24 I23:U23 I11:V22">
    <cfRule type="cellIs" dxfId="32" priority="7" operator="equal">
      <formula>0</formula>
    </cfRule>
  </conditionalFormatting>
  <conditionalFormatting sqref="V23">
    <cfRule type="cellIs" dxfId="31" priority="5" operator="equal">
      <formula>"Check"</formula>
    </cfRule>
    <cfRule type="cellIs" dxfId="30" priority="6" operator="equal">
      <formula>"Ok"</formula>
    </cfRule>
  </conditionalFormatting>
  <conditionalFormatting sqref="X11:AA11 X23:AA23 Y12:AA22">
    <cfRule type="cellIs" dxfId="29" priority="4" operator="equal">
      <formula>0</formula>
    </cfRule>
  </conditionalFormatting>
  <conditionalFormatting sqref="U9 I9:S9">
    <cfRule type="expression" dxfId="28" priority="10">
      <formula>I$88=I$4</formula>
    </cfRule>
  </conditionalFormatting>
  <conditionalFormatting sqref="V1">
    <cfRule type="cellIs" dxfId="27" priority="2" operator="equal">
      <formula>"Check"</formula>
    </cfRule>
    <cfRule type="cellIs" dxfId="26" priority="3" operator="equal">
      <formula>"Ok"</formula>
    </cfRule>
  </conditionalFormatting>
  <conditionalFormatting sqref="X12:X22">
    <cfRule type="cellIs" dxfId="25" priority="1" operator="equal">
      <formula>0</formula>
    </cfRule>
  </conditionalFormatting>
  <hyperlinks>
    <hyperlink ref="I1" location="Index!A1" display="Back to Index" xr:uid="{ACD9EC30-2B58-43B7-B254-4ABD4BD5E228}"/>
    <hyperlink ref="X1" location="'Check|List'!A1" display="Overall Check:" xr:uid="{1BBD1291-57B3-4241-B9D7-5A537A3BEEC6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35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">
        <v>36</v>
      </c>
      <c r="T1" s="34"/>
      <c r="V1" s="131" t="s">
        <v>24</v>
      </c>
      <c r="W1" s="34" t="str">
        <f>'Check|List'!$S$1</f>
        <v>Ok</v>
      </c>
    </row>
    <row r="2" spans="1:27" s="36" customFormat="1" ht="13.5" thickBot="1">
      <c r="B2" s="35" t="str">
        <f>Index!$C$14</f>
        <v>Output | Models</v>
      </c>
      <c r="C2" s="35"/>
      <c r="D2" s="35"/>
      <c r="E2" s="35"/>
      <c r="F2" s="60"/>
      <c r="G2" s="60"/>
      <c r="H2" s="60"/>
      <c r="I2" s="60"/>
    </row>
    <row r="3" spans="1:27" s="61" customFormat="1">
      <c r="D3" s="127"/>
      <c r="E3" s="127"/>
      <c r="F3" s="127"/>
      <c r="G3" s="127"/>
      <c r="H3" s="127"/>
      <c r="I3" s="127"/>
      <c r="J3" s="121" t="s">
        <v>114</v>
      </c>
      <c r="K3" s="121"/>
      <c r="L3" s="121"/>
      <c r="M3" s="127"/>
      <c r="N3" s="201"/>
      <c r="O3" s="201"/>
      <c r="P3" s="201"/>
      <c r="Q3" s="201"/>
      <c r="R3" s="201"/>
      <c r="S3" s="201"/>
      <c r="T3" s="127"/>
      <c r="U3" s="62"/>
      <c r="V3" s="62"/>
      <c r="W3" s="62"/>
      <c r="X3" s="62"/>
      <c r="Y3" s="62"/>
      <c r="Z3" s="62"/>
      <c r="AA3" s="62"/>
    </row>
    <row r="4" spans="1:27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7"/>
      <c r="W4" s="68"/>
      <c r="X4" s="68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7"/>
      <c r="B8" s="43" t="s">
        <v>54</v>
      </c>
      <c r="C8" s="37"/>
      <c r="D8" s="37"/>
      <c r="E8" s="59" t="s">
        <v>15</v>
      </c>
      <c r="F8" s="142">
        <f>DATE(PPLastYear,MONTH('Input|General'!$G$9),1)</f>
        <v>45444</v>
      </c>
      <c r="G8" s="38"/>
      <c r="H8" s="38"/>
      <c r="I8" s="38"/>
      <c r="J8" s="45" t="s">
        <v>55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2"/>
      <c r="N10" s="72"/>
      <c r="O10" s="72"/>
      <c r="P10" s="72"/>
      <c r="Q10" s="72"/>
      <c r="R10" s="72"/>
      <c r="S10" s="72"/>
      <c r="T10" s="72"/>
    </row>
    <row r="11" spans="1:27">
      <c r="C11" s="9" t="s">
        <v>217</v>
      </c>
      <c r="D11" s="21" t="s">
        <v>7</v>
      </c>
      <c r="E11" s="21" t="s">
        <v>8</v>
      </c>
      <c r="F11" s="21" t="s">
        <v>22</v>
      </c>
      <c r="H11" s="21"/>
      <c r="I11" s="21"/>
      <c r="J11" s="116" t="str">
        <f>IF(YEAR(J$4)&gt;='Input|General'!$G$13,IF(YEAR(J$4)&lt;='Input|General'!$G$14,J$4,""),"")</f>
        <v/>
      </c>
      <c r="K11" s="116" t="str">
        <f>IF(YEAR(K$4)&gt;='Input|General'!$G$13,IF(YEAR(K$4)&lt;='Input|General'!$G$14,K$4,""),"")</f>
        <v/>
      </c>
      <c r="L11" s="116" t="str">
        <f>IF(YEAR(L$4)&gt;='Input|General'!$G$13,IF(YEAR(L$4)&lt;='Input|General'!$G$14,L$4,""),"")</f>
        <v/>
      </c>
      <c r="M11" s="116" t="str">
        <f>IF(YEAR(M$4)&gt;='Input|General'!$G$13,IF(YEAR(M$4)&lt;='Input|General'!$G$14,M$4,""),"")</f>
        <v/>
      </c>
      <c r="N11" s="116" t="str">
        <f>IF(YEAR(N$4)&gt;='Input|General'!$G$13,IF(YEAR(N$4)&lt;='Input|General'!$G$14,N$4,""),"")</f>
        <v/>
      </c>
      <c r="O11" s="116">
        <f>IF(YEAR(O$4)&gt;='Input|General'!$G$13,IF(YEAR(O$4)&lt;='Input|General'!$G$14,O$4,""),"")</f>
        <v>45809</v>
      </c>
      <c r="P11" s="116">
        <f>IF(YEAR(P$4)&gt;='Input|General'!$G$13,IF(YEAR(P$4)&lt;='Input|General'!$G$14,P$4,""),"")</f>
        <v>46174</v>
      </c>
      <c r="Q11" s="116">
        <f>IF(YEAR(Q$4)&gt;='Input|General'!$G$13,IF(YEAR(Q$4)&lt;='Input|General'!$G$14,Q$4,""),"")</f>
        <v>46539</v>
      </c>
      <c r="R11" s="116">
        <f>IF(YEAR(R$4)&gt;='Input|General'!$G$13,IF(YEAR(R$4)&lt;='Input|General'!$G$14,R$4,""),"")</f>
        <v>46905</v>
      </c>
      <c r="S11" s="116">
        <f>IF(YEAR(S$4)&gt;='Input|General'!$G$13,IF(YEAR(S$4)&lt;='Input|General'!$G$14,S$4,""),"")</f>
        <v>47270</v>
      </c>
      <c r="T11" s="116" t="str">
        <f>IF(YEAR(T$4)&gt;='Input|General'!$G$13,IF(YEAR(T$4)&lt;='Input|General'!$G$14,T$4,""),"")</f>
        <v/>
      </c>
      <c r="V11" s="95" t="s">
        <v>53</v>
      </c>
      <c r="W11" s="96"/>
      <c r="X11" s="96"/>
    </row>
    <row r="12" spans="1:27">
      <c r="C12" s="9"/>
      <c r="D12" s="21"/>
      <c r="E12" s="21"/>
      <c r="F12" s="21"/>
      <c r="H12" s="21"/>
      <c r="I12" s="21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V12" s="9"/>
    </row>
    <row r="13" spans="1:27">
      <c r="C13" s="15" t="str">
        <f>'Calc|Opex forecast'!C105</f>
        <v>Total forecast opex, excluding category specific forecasts</v>
      </c>
      <c r="D13" s="28" t="s">
        <v>102</v>
      </c>
      <c r="E13" s="16" t="str">
        <f>$E$8</f>
        <v>$millions</v>
      </c>
      <c r="F13" s="115">
        <f>$F$8</f>
        <v>45444</v>
      </c>
      <c r="H13" s="21"/>
      <c r="I13" s="21"/>
      <c r="J13" s="125">
        <f>IF(J11="",0,'Calc|Opex forecast'!J106)</f>
        <v>0</v>
      </c>
      <c r="K13" s="125">
        <f>IF(K11="",0,'Calc|Opex forecast'!K106)</f>
        <v>0</v>
      </c>
      <c r="L13" s="125">
        <f>IF(L11="",0,'Calc|Opex forecast'!L106)</f>
        <v>0</v>
      </c>
      <c r="M13" s="125">
        <f>IF(M11="",0,'Calc|Opex forecast'!M106)</f>
        <v>0</v>
      </c>
      <c r="N13" s="125">
        <f>IF(N11="",0,'Calc|Opex forecast'!N106)</f>
        <v>0</v>
      </c>
      <c r="O13" s="125">
        <f ca="1">IF(O11="",0,'Calc|Opex forecast'!O106)</f>
        <v>427.24020072324794</v>
      </c>
      <c r="P13" s="125">
        <f ca="1">IF(P11="",0,'Calc|Opex forecast'!P106)</f>
        <v>431.11665518350259</v>
      </c>
      <c r="Q13" s="125">
        <f ca="1">IF(Q11="",0,'Calc|Opex forecast'!Q106)</f>
        <v>442.39779623050435</v>
      </c>
      <c r="R13" s="125">
        <f ca="1">IF(R11="",0,'Calc|Opex forecast'!R106)</f>
        <v>441.84829027244029</v>
      </c>
      <c r="S13" s="125">
        <f ca="1">IF(S11="",0,'Calc|Opex forecast'!S106)</f>
        <v>443.43581337237242</v>
      </c>
      <c r="T13" s="12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7"/>
    </row>
    <row r="14" spans="1:27">
      <c r="C14" s="15" t="str">
        <f>'Input|Step changes'!C28</f>
        <v>Network innovation program</v>
      </c>
      <c r="D14" s="28" t="s">
        <v>102</v>
      </c>
      <c r="E14" s="16" t="str">
        <f t="shared" ref="E14:E18" si="0">$E$8</f>
        <v>$millions</v>
      </c>
      <c r="F14" s="115">
        <f t="shared" ref="F14:F18" si="1">$F$8</f>
        <v>45444</v>
      </c>
      <c r="H14" s="21"/>
      <c r="I14" s="21"/>
      <c r="J14" s="125">
        <f>IF(J$11="",0,'Calc|Opex forecast'!J93*'Input|Dx Tx split'!J$12)</f>
        <v>0</v>
      </c>
      <c r="K14" s="125">
        <f>IF(K$11="",0,'Calc|Opex forecast'!K93*'Input|Dx Tx split'!K$12)</f>
        <v>0</v>
      </c>
      <c r="L14" s="125">
        <f>IF(L$11="",0,'Calc|Opex forecast'!L93*'Input|Dx Tx split'!L$12)</f>
        <v>0</v>
      </c>
      <c r="M14" s="125">
        <f>IF(M$11="",0,'Calc|Opex forecast'!M93*'Input|Dx Tx split'!M$12)</f>
        <v>0</v>
      </c>
      <c r="N14" s="125">
        <f>IF(N$11="",0,'Calc|Opex forecast'!N93*'Input|Dx Tx split'!N$12)</f>
        <v>0</v>
      </c>
      <c r="O14" s="125">
        <f>IF(O$11="",0,'Calc|Opex forecast'!O93*'Input|Dx Tx split'!O$12)</f>
        <v>0.29587477369300913</v>
      </c>
      <c r="P14" s="125">
        <f>IF(P$11="",0,'Calc|Opex forecast'!P93*'Input|Dx Tx split'!P$12)</f>
        <v>0.29587477369300913</v>
      </c>
      <c r="Q14" s="125">
        <f>IF(Q$11="",0,'Calc|Opex forecast'!Q93*'Input|Dx Tx split'!Q$12)</f>
        <v>0.29587477369300913</v>
      </c>
      <c r="R14" s="125">
        <f>IF(R$11="",0,'Calc|Opex forecast'!R93*'Input|Dx Tx split'!R$12)</f>
        <v>0.29587477369300913</v>
      </c>
      <c r="S14" s="125">
        <f>IF(S$11="",0,'Calc|Opex forecast'!S93*'Input|Dx Tx split'!S$12)</f>
        <v>0.29587477369300913</v>
      </c>
      <c r="T14" s="12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7"/>
    </row>
    <row r="15" spans="1:27">
      <c r="C15" s="15">
        <f>'Input|Step changes'!C29</f>
        <v>0</v>
      </c>
      <c r="D15" s="28" t="s">
        <v>102</v>
      </c>
      <c r="E15" s="16" t="str">
        <f t="shared" si="0"/>
        <v>$millions</v>
      </c>
      <c r="F15" s="115">
        <f t="shared" si="1"/>
        <v>45444</v>
      </c>
      <c r="H15" s="21"/>
      <c r="I15" s="21"/>
      <c r="J15" s="125">
        <f>IF(J$11="",0,'Calc|Opex forecast'!J94*'Input|Dx Tx split'!J$12)</f>
        <v>0</v>
      </c>
      <c r="K15" s="125">
        <f>IF(K$11="",0,'Calc|Opex forecast'!K94*'Input|Dx Tx split'!K$12)</f>
        <v>0</v>
      </c>
      <c r="L15" s="125">
        <f>IF(L$11="",0,'Calc|Opex forecast'!L94*'Input|Dx Tx split'!L$12)</f>
        <v>0</v>
      </c>
      <c r="M15" s="125">
        <f>IF(M$11="",0,'Calc|Opex forecast'!M94*'Input|Dx Tx split'!M$12)</f>
        <v>0</v>
      </c>
      <c r="N15" s="125">
        <f>IF(N$11="",0,'Calc|Opex forecast'!N94*'Input|Dx Tx split'!N$12)</f>
        <v>0</v>
      </c>
      <c r="O15" s="125">
        <f>IF(O$11="",0,'Calc|Opex forecast'!O94*'Input|Dx Tx split'!O$12)</f>
        <v>0</v>
      </c>
      <c r="P15" s="125">
        <f>IF(P$11="",0,'Calc|Opex forecast'!P94*'Input|Dx Tx split'!P$12)</f>
        <v>0</v>
      </c>
      <c r="Q15" s="125">
        <f>IF(Q$11="",0,'Calc|Opex forecast'!Q94*'Input|Dx Tx split'!Q$12)</f>
        <v>0</v>
      </c>
      <c r="R15" s="125">
        <f>IF(R$11="",0,'Calc|Opex forecast'!R94*'Input|Dx Tx split'!R$12)</f>
        <v>0</v>
      </c>
      <c r="S15" s="125">
        <f>IF(S$11="",0,'Calc|Opex forecast'!S94*'Input|Dx Tx split'!S$12)</f>
        <v>0</v>
      </c>
      <c r="T15" s="12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102</v>
      </c>
      <c r="E16" s="16" t="str">
        <f t="shared" si="0"/>
        <v>$millions</v>
      </c>
      <c r="F16" s="115">
        <f t="shared" si="1"/>
        <v>45444</v>
      </c>
      <c r="H16" s="21"/>
      <c r="I16" s="21"/>
      <c r="J16" s="125">
        <f>IF(J$11="",0,'Calc|Opex forecast'!J95*'Input|Dx Tx split'!J$12)</f>
        <v>0</v>
      </c>
      <c r="K16" s="125">
        <f>IF(K$11="",0,'Calc|Opex forecast'!K95*'Input|Dx Tx split'!K$12)</f>
        <v>0</v>
      </c>
      <c r="L16" s="125">
        <f>IF(L$11="",0,'Calc|Opex forecast'!L95*'Input|Dx Tx split'!L$12)</f>
        <v>0</v>
      </c>
      <c r="M16" s="125">
        <f>IF(M$11="",0,'Calc|Opex forecast'!M95*'Input|Dx Tx split'!M$12)</f>
        <v>0</v>
      </c>
      <c r="N16" s="125">
        <f>IF(N$11="",0,'Calc|Opex forecast'!N95*'Input|Dx Tx split'!N$12)</f>
        <v>0</v>
      </c>
      <c r="O16" s="125">
        <f>IF(O$11="",0,'Calc|Opex forecast'!O95*'Input|Dx Tx split'!O$12)</f>
        <v>0</v>
      </c>
      <c r="P16" s="125">
        <f>IF(P$11="",0,'Calc|Opex forecast'!P95*'Input|Dx Tx split'!P$12)</f>
        <v>0</v>
      </c>
      <c r="Q16" s="125">
        <f>IF(Q$11="",0,'Calc|Opex forecast'!Q95*'Input|Dx Tx split'!Q$12)</f>
        <v>0</v>
      </c>
      <c r="R16" s="125">
        <f>IF(R$11="",0,'Calc|Opex forecast'!R95*'Input|Dx Tx split'!R$12)</f>
        <v>0</v>
      </c>
      <c r="S16" s="125">
        <f>IF(S$11="",0,'Calc|Opex forecast'!S95*'Input|Dx Tx split'!S$12)</f>
        <v>0</v>
      </c>
      <c r="T16" s="12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7"/>
    </row>
    <row r="17" spans="1:24">
      <c r="C17" s="15">
        <f>'Input|Step changes'!C31</f>
        <v>0</v>
      </c>
      <c r="D17" s="28" t="s">
        <v>102</v>
      </c>
      <c r="E17" s="16" t="str">
        <f t="shared" si="0"/>
        <v>$millions</v>
      </c>
      <c r="F17" s="115">
        <f t="shared" si="1"/>
        <v>45444</v>
      </c>
      <c r="H17" s="21"/>
      <c r="I17" s="21"/>
      <c r="J17" s="125">
        <f>IF(J$11="",0,'Calc|Opex forecast'!J96*'Input|Dx Tx split'!J$12)</f>
        <v>0</v>
      </c>
      <c r="K17" s="125">
        <f>IF(K$11="",0,'Calc|Opex forecast'!K96*'Input|Dx Tx split'!K$12)</f>
        <v>0</v>
      </c>
      <c r="L17" s="125">
        <f>IF(L$11="",0,'Calc|Opex forecast'!L96*'Input|Dx Tx split'!L$12)</f>
        <v>0</v>
      </c>
      <c r="M17" s="125">
        <f>IF(M$11="",0,'Calc|Opex forecast'!M96*'Input|Dx Tx split'!M$12)</f>
        <v>0</v>
      </c>
      <c r="N17" s="125">
        <f>IF(N$11="",0,'Calc|Opex forecast'!N96*'Input|Dx Tx split'!N$12)</f>
        <v>0</v>
      </c>
      <c r="O17" s="125">
        <f>IF(O$11="",0,'Calc|Opex forecast'!O96*'Input|Dx Tx split'!O$12)</f>
        <v>0</v>
      </c>
      <c r="P17" s="125">
        <f>IF(P$11="",0,'Calc|Opex forecast'!P96*'Input|Dx Tx split'!P$12)</f>
        <v>0</v>
      </c>
      <c r="Q17" s="125">
        <f>IF(Q$11="",0,'Calc|Opex forecast'!Q96*'Input|Dx Tx split'!Q$12)</f>
        <v>0</v>
      </c>
      <c r="R17" s="125">
        <f>IF(R$11="",0,'Calc|Opex forecast'!R96*'Input|Dx Tx split'!R$12)</f>
        <v>0</v>
      </c>
      <c r="S17" s="125">
        <f>IF(S$11="",0,'Calc|Opex forecast'!S96*'Input|Dx Tx split'!S$12)</f>
        <v>0</v>
      </c>
      <c r="T17" s="12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3"/>
    </row>
    <row r="18" spans="1:24">
      <c r="C18" s="15">
        <f>'Input|Step changes'!C32</f>
        <v>0</v>
      </c>
      <c r="D18" s="28" t="s">
        <v>102</v>
      </c>
      <c r="E18" s="16" t="str">
        <f t="shared" si="0"/>
        <v>$millions</v>
      </c>
      <c r="F18" s="115">
        <f t="shared" si="1"/>
        <v>45444</v>
      </c>
      <c r="H18" s="21"/>
      <c r="I18" s="21"/>
      <c r="J18" s="125">
        <f>IF(J$11="",0,'Calc|Opex forecast'!J97*'Input|Dx Tx split'!J$12)</f>
        <v>0</v>
      </c>
      <c r="K18" s="125">
        <f>IF(K$11="",0,'Calc|Opex forecast'!K97*'Input|Dx Tx split'!K$12)</f>
        <v>0</v>
      </c>
      <c r="L18" s="125">
        <f>IF(L$11="",0,'Calc|Opex forecast'!L97*'Input|Dx Tx split'!L$12)</f>
        <v>0</v>
      </c>
      <c r="M18" s="125">
        <f>IF(M$11="",0,'Calc|Opex forecast'!M97*'Input|Dx Tx split'!M$12)</f>
        <v>0</v>
      </c>
      <c r="N18" s="125">
        <f>IF(N$11="",0,'Calc|Opex forecast'!N97*'Input|Dx Tx split'!N$12)</f>
        <v>0</v>
      </c>
      <c r="O18" s="125">
        <f>IF(O$11="",0,'Calc|Opex forecast'!O97*'Input|Dx Tx split'!O$12)</f>
        <v>0</v>
      </c>
      <c r="P18" s="125">
        <f>IF(P$11="",0,'Calc|Opex forecast'!P97*'Input|Dx Tx split'!P$12)</f>
        <v>0</v>
      </c>
      <c r="Q18" s="125">
        <f>IF(Q$11="",0,'Calc|Opex forecast'!Q97*'Input|Dx Tx split'!Q$12)</f>
        <v>0</v>
      </c>
      <c r="R18" s="125">
        <f>IF(R$11="",0,'Calc|Opex forecast'!R97*'Input|Dx Tx split'!R$12)</f>
        <v>0</v>
      </c>
      <c r="S18" s="125">
        <f>IF(S$11="",0,'Calc|Opex forecast'!S97*'Input|Dx Tx split'!S$12)</f>
        <v>0</v>
      </c>
      <c r="T18" s="12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3"/>
    </row>
    <row r="19" spans="1:24">
      <c r="M19" s="72"/>
      <c r="N19" s="72"/>
      <c r="O19" s="72"/>
      <c r="P19" s="72"/>
      <c r="Q19" s="72"/>
      <c r="R19" s="72"/>
      <c r="S19" s="72"/>
      <c r="T19" s="72"/>
    </row>
    <row r="20" spans="1:24">
      <c r="C20" s="9" t="s">
        <v>218</v>
      </c>
      <c r="D20" s="21" t="s">
        <v>7</v>
      </c>
      <c r="E20" s="21" t="s">
        <v>8</v>
      </c>
      <c r="F20" s="21" t="s">
        <v>22</v>
      </c>
      <c r="H20" s="21"/>
      <c r="I20" s="21"/>
      <c r="J20" s="116" t="str">
        <f>IF(YEAR(J$4)&gt;='Input|General'!$G$13,IF(YEAR(J$4)&lt;='Input|General'!$G$14,J$4,""),"")</f>
        <v/>
      </c>
      <c r="K20" s="116" t="str">
        <f>IF(YEAR(K$4)&gt;='Input|General'!$G$13,IF(YEAR(K$4)&lt;='Input|General'!$G$14,K$4,""),"")</f>
        <v/>
      </c>
      <c r="L20" s="116" t="str">
        <f>IF(YEAR(L$4)&gt;='Input|General'!$G$13,IF(YEAR(L$4)&lt;='Input|General'!$G$14,L$4,""),"")</f>
        <v/>
      </c>
      <c r="M20" s="116" t="str">
        <f>IF(YEAR(M$4)&gt;='Input|General'!$G$13,IF(YEAR(M$4)&lt;='Input|General'!$G$14,M$4,""),"")</f>
        <v/>
      </c>
      <c r="N20" s="116" t="str">
        <f>IF(YEAR(N$4)&gt;='Input|General'!$G$13,IF(YEAR(N$4)&lt;='Input|General'!$G$14,N$4,""),"")</f>
        <v/>
      </c>
      <c r="O20" s="116"/>
      <c r="P20" s="116"/>
      <c r="Q20" s="116"/>
      <c r="R20" s="116"/>
      <c r="S20" s="116"/>
      <c r="T20" s="116" t="str">
        <f>IF(YEAR(T$4)&gt;='Input|General'!$G$13,IF(YEAR(T$4)&lt;='Input|General'!$G$14,T$4,""),"")</f>
        <v/>
      </c>
      <c r="V20" s="116"/>
      <c r="W20" s="116"/>
      <c r="X20" s="116"/>
    </row>
    <row r="21" spans="1:24">
      <c r="C21" s="9"/>
      <c r="D21" s="21"/>
      <c r="E21" s="21"/>
      <c r="F21" s="21"/>
      <c r="H21" s="21"/>
      <c r="I21" s="21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V21" s="9"/>
    </row>
    <row r="22" spans="1:24">
      <c r="C22" s="15" t="str">
        <f>'Calc|Opex forecast'!C105</f>
        <v>Total forecast opex, excluding category specific forecasts</v>
      </c>
      <c r="D22" s="28" t="s">
        <v>102</v>
      </c>
      <c r="E22" s="16" t="str">
        <f>$E$8</f>
        <v>$millions</v>
      </c>
      <c r="F22" s="115">
        <f>$F$8</f>
        <v>45444</v>
      </c>
      <c r="H22" s="21"/>
      <c r="I22" s="21"/>
      <c r="J22" s="125">
        <f>IF(J11="",0,'Calc|Opex forecast'!J107)</f>
        <v>0</v>
      </c>
      <c r="K22" s="125">
        <f>IF(K11="",0,'Calc|Opex forecast'!K107)</f>
        <v>0</v>
      </c>
      <c r="L22" s="125">
        <f>IF(L11="",0,'Calc|Opex forecast'!L107)</f>
        <v>0</v>
      </c>
      <c r="M22" s="125">
        <f>IF(M11="",0,'Calc|Opex forecast'!M107)</f>
        <v>0</v>
      </c>
      <c r="N22" s="125">
        <f>IF(N11="",0,'Calc|Opex forecast'!N107)</f>
        <v>0</v>
      </c>
      <c r="O22" s="125">
        <f ca="1">IF(O11="",0,'Calc|Opex forecast'!O107)</f>
        <v>21.541522725541913</v>
      </c>
      <c r="P22" s="125">
        <f ca="1">IF(P11="",0,'Calc|Opex forecast'!P107)</f>
        <v>21.736974210932907</v>
      </c>
      <c r="Q22" s="125">
        <f ca="1">IF(Q11="",0,'Calc|Opex forecast'!Q107)</f>
        <v>22.305771238512826</v>
      </c>
      <c r="R22" s="125">
        <f ca="1">IF(R11="",0,'Calc|Opex forecast'!R107)</f>
        <v>22.278065055753292</v>
      </c>
      <c r="S22" s="125">
        <f ca="1">IF(S11="",0,'Calc|Opex forecast'!S107)</f>
        <v>22.358108237262478</v>
      </c>
      <c r="T22" s="125">
        <f>IF(T20="",0,'Calc|Opex forecast'!T114*INDEX('Input|Rate of change'!$C$14:$P$22,MATCH('Calc|Opex forecast'!$F$105,'Input|Rate of change'!$C$14:$C$22,0),MATCH('Output|Models'!$F22,'Input|Rate of change'!$C$14:$P$14,0))*IF('Calc|Opex forecast'!$E$105="$millions",1000000,IF('Calc|Opex forecast'!$E$105="$000",1000,1))/IF($E22="$millions",1000000,IF($E22="$000",1000,1)))</f>
        <v>0</v>
      </c>
      <c r="U22" s="15"/>
      <c r="V22" s="125">
        <f>IF(V$11="",0,'Calc|Opex forecast'!V92*'Input|Dx Tx split'!V$13)</f>
        <v>0</v>
      </c>
    </row>
    <row r="23" spans="1:24">
      <c r="C23" s="15" t="str">
        <f>'Input|Step changes'!C28</f>
        <v>Network innovation program</v>
      </c>
      <c r="D23" s="28" t="s">
        <v>102</v>
      </c>
      <c r="E23" s="16" t="str">
        <f t="shared" ref="E23:E27" si="2">$E$8</f>
        <v>$millions</v>
      </c>
      <c r="F23" s="115">
        <f t="shared" ref="F23:F27" si="3">$F$8</f>
        <v>45444</v>
      </c>
      <c r="H23" s="21"/>
      <c r="I23" s="21"/>
      <c r="J23" s="125">
        <f>IF(J$11="",0,'Calc|Opex forecast'!J93*'Input|Dx Tx split'!J$13)</f>
        <v>0</v>
      </c>
      <c r="K23" s="125">
        <f>IF(K$11="",0,'Calc|Opex forecast'!K93*'Input|Dx Tx split'!K$13)</f>
        <v>0</v>
      </c>
      <c r="L23" s="125">
        <f>IF(L$11="",0,'Calc|Opex forecast'!L93*'Input|Dx Tx split'!L$13)</f>
        <v>0</v>
      </c>
      <c r="M23" s="125">
        <f>IF(M$11="",0,'Calc|Opex forecast'!M93*'Input|Dx Tx split'!M$13)</f>
        <v>0</v>
      </c>
      <c r="N23" s="125">
        <f>IF(N$11="",0,'Calc|Opex forecast'!N93*'Input|Dx Tx split'!N$13)</f>
        <v>0</v>
      </c>
      <c r="O23" s="125">
        <f>IF(O$11="",0,'Calc|Opex forecast'!O93*'Input|Dx Tx split'!O$13)</f>
        <v>1.4918055816454244E-2</v>
      </c>
      <c r="P23" s="125">
        <f>IF(P$11="",0,'Calc|Opex forecast'!P93*'Input|Dx Tx split'!P$13)</f>
        <v>1.4918055816454244E-2</v>
      </c>
      <c r="Q23" s="125">
        <f>IF(Q$11="",0,'Calc|Opex forecast'!Q93*'Input|Dx Tx split'!Q$13)</f>
        <v>1.4918055816454244E-2</v>
      </c>
      <c r="R23" s="125">
        <f>IF(R$11="",0,'Calc|Opex forecast'!R93*'Input|Dx Tx split'!R$13)</f>
        <v>1.4918055816454244E-2</v>
      </c>
      <c r="S23" s="179">
        <f>IF(S$11="",0,'Calc|Opex forecast'!S93*'Input|Dx Tx split'!S$13)</f>
        <v>1.4918055816454244E-2</v>
      </c>
      <c r="T23" s="125">
        <f>IF(T$11="",0,'Calc|Opex forecast'!T102*INDEX('Input|Rate of change'!$C$14:$P$22,MATCH('Calc|Opex forecast'!$F102,'Input|Rate of change'!$C$14:$C$22,0),MATCH('Output|Models'!$F23,'Input|Rate of change'!$C$14:$P$14,0))*IF('Calc|Opex forecast'!$E102="$millions",1000000,IF('Calc|Opex forecast'!$E102="$000",1000,1))/IF($E23="$millions",1000000,IF($E23="$000",1000,1)))</f>
        <v>0</v>
      </c>
      <c r="U23" s="15"/>
      <c r="V23" s="178"/>
    </row>
    <row r="24" spans="1:24">
      <c r="C24" s="15">
        <f>'Input|Step changes'!C29</f>
        <v>0</v>
      </c>
      <c r="D24" s="28" t="s">
        <v>102</v>
      </c>
      <c r="E24" s="16" t="str">
        <f t="shared" si="2"/>
        <v>$millions</v>
      </c>
      <c r="F24" s="115">
        <f t="shared" si="3"/>
        <v>45444</v>
      </c>
      <c r="H24" s="21"/>
      <c r="I24" s="21"/>
      <c r="J24" s="125">
        <f>IF(J$11="",0,'Calc|Opex forecast'!J94*'Input|Dx Tx split'!J$13)</f>
        <v>0</v>
      </c>
      <c r="K24" s="125">
        <f>IF(K$11="",0,'Calc|Opex forecast'!K94*'Input|Dx Tx split'!K$13)</f>
        <v>0</v>
      </c>
      <c r="L24" s="125">
        <f>IF(L$11="",0,'Calc|Opex forecast'!L94*'Input|Dx Tx split'!L$13)</f>
        <v>0</v>
      </c>
      <c r="M24" s="125">
        <f>IF(M$11="",0,'Calc|Opex forecast'!M94*'Input|Dx Tx split'!M$13)</f>
        <v>0</v>
      </c>
      <c r="N24" s="125">
        <f>IF(N$11="",0,'Calc|Opex forecast'!N94*'Input|Dx Tx split'!N$13)</f>
        <v>0</v>
      </c>
      <c r="O24" s="125">
        <f>IF(O$11="",0,'Calc|Opex forecast'!O94*'Input|Dx Tx split'!O$13)</f>
        <v>0</v>
      </c>
      <c r="P24" s="125">
        <f>IF(P$11="",0,'Calc|Opex forecast'!P94*'Input|Dx Tx split'!P$13)</f>
        <v>0</v>
      </c>
      <c r="Q24" s="125">
        <f>IF(Q$11="",0,'Calc|Opex forecast'!Q94*'Input|Dx Tx split'!Q$13)</f>
        <v>0</v>
      </c>
      <c r="R24" s="125">
        <f>IF(R$11="",0,'Calc|Opex forecast'!R94*'Input|Dx Tx split'!R$13)</f>
        <v>0</v>
      </c>
      <c r="S24" s="125">
        <f>IF(S$11="",0,'Calc|Opex forecast'!S94*'Input|Dx Tx split'!S$13)</f>
        <v>0</v>
      </c>
      <c r="T24" s="125">
        <f>IF(T$11="",0,'Calc|Opex forecast'!T103*INDEX('Input|Rate of change'!$C$14:$P$22,MATCH('Calc|Opex forecast'!$F103,'Input|Rate of change'!$C$14:$C$22,0),MATCH('Output|Models'!$F24,'Input|Rate of change'!$C$14:$P$14,0))*IF('Calc|Opex forecast'!$E103="$millions",1000000,IF('Calc|Opex forecast'!$E103="$000",1000,1))/IF($E24="$millions",1000000,IF($E24="$000",1000,1)))</f>
        <v>0</v>
      </c>
      <c r="U24" s="15"/>
      <c r="V24" s="107"/>
    </row>
    <row r="25" spans="1:24">
      <c r="C25" s="15">
        <f>'Input|Step changes'!C30</f>
        <v>0</v>
      </c>
      <c r="D25" s="28" t="s">
        <v>102</v>
      </c>
      <c r="E25" s="16" t="str">
        <f t="shared" si="2"/>
        <v>$millions</v>
      </c>
      <c r="F25" s="115">
        <f t="shared" si="3"/>
        <v>45444</v>
      </c>
      <c r="H25" s="21"/>
      <c r="I25" s="21"/>
      <c r="J25" s="125">
        <f>IF(J$11="",0,'Calc|Opex forecast'!J95*'Input|Dx Tx split'!J$13)</f>
        <v>0</v>
      </c>
      <c r="K25" s="125">
        <f>IF(K$11="",0,'Calc|Opex forecast'!K95*'Input|Dx Tx split'!K$13)</f>
        <v>0</v>
      </c>
      <c r="L25" s="125">
        <f>IF(L$11="",0,'Calc|Opex forecast'!L95*'Input|Dx Tx split'!L$13)</f>
        <v>0</v>
      </c>
      <c r="M25" s="125">
        <f>IF(M$11="",0,'Calc|Opex forecast'!M95*'Input|Dx Tx split'!M$13)</f>
        <v>0</v>
      </c>
      <c r="N25" s="125">
        <f>IF(N$11="",0,'Calc|Opex forecast'!N95*'Input|Dx Tx split'!N$13)</f>
        <v>0</v>
      </c>
      <c r="O25" s="125">
        <f>IF(O$11="",0,'Calc|Opex forecast'!O95*'Input|Dx Tx split'!O$13)</f>
        <v>0</v>
      </c>
      <c r="P25" s="125">
        <f>IF(P$11="",0,'Calc|Opex forecast'!P95*'Input|Dx Tx split'!P$13)</f>
        <v>0</v>
      </c>
      <c r="Q25" s="125">
        <f>IF(Q$11="",0,'Calc|Opex forecast'!Q95*'Input|Dx Tx split'!Q$13)</f>
        <v>0</v>
      </c>
      <c r="R25" s="125">
        <f>IF(R$11="",0,'Calc|Opex forecast'!R95*'Input|Dx Tx split'!R$13)</f>
        <v>0</v>
      </c>
      <c r="S25" s="125">
        <f>IF(S$11="",0,'Calc|Opex forecast'!S95*'Input|Dx Tx split'!S$13)</f>
        <v>0</v>
      </c>
      <c r="T25" s="125">
        <f>IF(T$11="",0,'Calc|Opex forecast'!T104*INDEX('Input|Rate of change'!$C$14:$P$22,MATCH('Calc|Opex forecast'!$F104,'Input|Rate of change'!$C$14:$C$22,0),MATCH('Output|Models'!$F25,'Input|Rate of change'!$C$14:$P$14,0))*IF('Calc|Opex forecast'!$E104="$millions",1000000,IF('Calc|Opex forecast'!$E104="$000",1000,1))/IF($E25="$millions",1000000,IF($E25="$000",1000,1)))</f>
        <v>0</v>
      </c>
      <c r="U25" s="15"/>
      <c r="V25" s="107"/>
    </row>
    <row r="26" spans="1:24">
      <c r="C26" s="15">
        <f>'Input|Step changes'!C31</f>
        <v>0</v>
      </c>
      <c r="D26" s="28" t="s">
        <v>102</v>
      </c>
      <c r="E26" s="16" t="str">
        <f t="shared" si="2"/>
        <v>$millions</v>
      </c>
      <c r="F26" s="115">
        <f t="shared" si="3"/>
        <v>45444</v>
      </c>
      <c r="H26" s="21"/>
      <c r="I26" s="21"/>
      <c r="J26" s="125">
        <f>IF(J$11="",0,'Calc|Opex forecast'!J96*'Input|Dx Tx split'!J$13)</f>
        <v>0</v>
      </c>
      <c r="K26" s="125">
        <f>IF(K$11="",0,'Calc|Opex forecast'!K96*'Input|Dx Tx split'!K$13)</f>
        <v>0</v>
      </c>
      <c r="L26" s="125">
        <f>IF(L$11="",0,'Calc|Opex forecast'!L96*'Input|Dx Tx split'!L$13)</f>
        <v>0</v>
      </c>
      <c r="M26" s="125">
        <f>IF(M$11="",0,'Calc|Opex forecast'!M96*'Input|Dx Tx split'!M$13)</f>
        <v>0</v>
      </c>
      <c r="N26" s="125">
        <f>IF(N$11="",0,'Calc|Opex forecast'!N96*'Input|Dx Tx split'!N$13)</f>
        <v>0</v>
      </c>
      <c r="O26" s="125">
        <f>IF(O$11="",0,'Calc|Opex forecast'!O96*'Input|Dx Tx split'!O$13)</f>
        <v>0</v>
      </c>
      <c r="P26" s="125">
        <f>IF(P$11="",0,'Calc|Opex forecast'!P96*'Input|Dx Tx split'!P$13)</f>
        <v>0</v>
      </c>
      <c r="Q26" s="125">
        <f>IF(Q$11="",0,'Calc|Opex forecast'!Q96*'Input|Dx Tx split'!Q$13)</f>
        <v>0</v>
      </c>
      <c r="R26" s="125">
        <f>IF(R$11="",0,'Calc|Opex forecast'!R96*'Input|Dx Tx split'!R$13)</f>
        <v>0</v>
      </c>
      <c r="S26" s="125">
        <f>IF(S$11="",0,'Calc|Opex forecast'!S96*'Input|Dx Tx split'!S$13)</f>
        <v>0</v>
      </c>
      <c r="T26" s="125">
        <f>IF(T$11="",0,'Calc|Opex forecast'!T105*INDEX('Input|Rate of change'!$C$14:$P$22,MATCH('Calc|Opex forecast'!$F105,'Input|Rate of change'!$C$14:$C$22,0),MATCH('Output|Models'!$F26,'Input|Rate of change'!$C$14:$P$14,0))*IF('Calc|Opex forecast'!$E105="$millions",1000000,IF('Calc|Opex forecast'!$E105="$000",1000,1))/IF($E26="$millions",1000000,IF($E26="$000",1000,1)))</f>
        <v>0</v>
      </c>
      <c r="U26" s="15"/>
      <c r="V26" s="143"/>
    </row>
    <row r="27" spans="1:24">
      <c r="C27" s="15">
        <f>'Input|Step changes'!C32</f>
        <v>0</v>
      </c>
      <c r="D27" s="28" t="s">
        <v>102</v>
      </c>
      <c r="E27" s="16" t="str">
        <f t="shared" si="2"/>
        <v>$millions</v>
      </c>
      <c r="F27" s="115">
        <f t="shared" si="3"/>
        <v>45444</v>
      </c>
      <c r="H27" s="21"/>
      <c r="I27" s="21"/>
      <c r="J27" s="125">
        <f>IF(J$11="",0,'Calc|Opex forecast'!J97*'Input|Dx Tx split'!J$13)</f>
        <v>0</v>
      </c>
      <c r="K27" s="125">
        <f>IF(K$11="",0,'Calc|Opex forecast'!K97*'Input|Dx Tx split'!K$13)</f>
        <v>0</v>
      </c>
      <c r="L27" s="125">
        <f>IF(L$11="",0,'Calc|Opex forecast'!L97*'Input|Dx Tx split'!L$13)</f>
        <v>0</v>
      </c>
      <c r="M27" s="125">
        <f>IF(M$11="",0,'Calc|Opex forecast'!M97*'Input|Dx Tx split'!M$13)</f>
        <v>0</v>
      </c>
      <c r="N27" s="125">
        <f>IF(N$11="",0,'Calc|Opex forecast'!N97*'Input|Dx Tx split'!N$13)</f>
        <v>0</v>
      </c>
      <c r="O27" s="125">
        <f>IF(O$11="",0,'Calc|Opex forecast'!O97*'Input|Dx Tx split'!O$13)</f>
        <v>0</v>
      </c>
      <c r="P27" s="125">
        <f>IF(P$11="",0,'Calc|Opex forecast'!P97*'Input|Dx Tx split'!P$13)</f>
        <v>0</v>
      </c>
      <c r="Q27" s="125">
        <f>IF(Q$11="",0,'Calc|Opex forecast'!Q97*'Input|Dx Tx split'!Q$13)</f>
        <v>0</v>
      </c>
      <c r="R27" s="125">
        <f>IF(R$11="",0,'Calc|Opex forecast'!R97*'Input|Dx Tx split'!R$13)</f>
        <v>0</v>
      </c>
      <c r="S27" s="125">
        <f>IF(S$11="",0,'Calc|Opex forecast'!S97*'Input|Dx Tx split'!S$13)</f>
        <v>0</v>
      </c>
      <c r="T27" s="125">
        <f>IF(T$11="",0,'Calc|Opex forecast'!T106*INDEX('Input|Rate of change'!$C$14:$P$22,MATCH('Calc|Opex forecast'!$F106,'Input|Rate of change'!$C$14:$C$22,0),MATCH('Output|Models'!$F27,'Input|Rate of change'!$C$14:$P$14,0))*IF('Calc|Opex forecast'!$E106="$millions",1000000,IF('Calc|Opex forecast'!$E106="$000",1000,1))/IF($E27="$millions",1000000,IF($E27="$000",1000,1)))</f>
        <v>0</v>
      </c>
      <c r="U27" s="15"/>
      <c r="V27" s="143"/>
    </row>
    <row r="28" spans="1:24">
      <c r="D28" s="28"/>
      <c r="H28" s="21"/>
      <c r="I28" s="21"/>
      <c r="S28" s="24"/>
      <c r="T28" s="24"/>
    </row>
    <row r="29" spans="1:24" customFormat="1" ht="12.75">
      <c r="A29" s="37"/>
      <c r="B29" s="43" t="s">
        <v>21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40"/>
    </row>
    <row r="35" spans="13:20" hidden="1">
      <c r="M35" s="103"/>
      <c r="N35" s="103"/>
      <c r="O35" s="103"/>
      <c r="P35" s="103"/>
      <c r="Q35" s="103"/>
      <c r="R35" s="103"/>
      <c r="S35" s="103"/>
      <c r="T35" s="103"/>
    </row>
  </sheetData>
  <mergeCells count="1">
    <mergeCell ref="N3:S3"/>
  </mergeCells>
  <conditionalFormatting sqref="W1">
    <cfRule type="cellIs" dxfId="24" priority="17" operator="equal">
      <formula>"Check"</formula>
    </cfRule>
    <cfRule type="cellIs" dxfId="23" priority="18" operator="equal">
      <formula>"Ok"</formula>
    </cfRule>
  </conditionalFormatting>
  <conditionalFormatting sqref="J13:T18 J22:T27">
    <cfRule type="expression" dxfId="22" priority="7">
      <formula>AND($C13=0,J$11=J$4)</formula>
    </cfRule>
    <cfRule type="expression" dxfId="21" priority="8">
      <formula>NOT(J$11=J$4)</formula>
    </cfRule>
    <cfRule type="expression" dxfId="20" priority="9">
      <formula>J$11=J$4</formula>
    </cfRule>
  </conditionalFormatting>
  <conditionalFormatting sqref="J11:T11">
    <cfRule type="expression" dxfId="19" priority="11">
      <formula>J$11=J$4</formula>
    </cfRule>
  </conditionalFormatting>
  <conditionalFormatting sqref="S1:T1">
    <cfRule type="cellIs" dxfId="18" priority="5" operator="equal">
      <formula>"Check"</formula>
    </cfRule>
    <cfRule type="cellIs" dxfId="17" priority="6" operator="equal">
      <formula>"Ok"</formula>
    </cfRule>
  </conditionalFormatting>
  <conditionalFormatting sqref="V22">
    <cfRule type="expression" dxfId="16" priority="1">
      <formula>AND($C22=0,V$11=V$4)</formula>
    </cfRule>
    <cfRule type="expression" dxfId="15" priority="2">
      <formula>NOT(V$11=V$4)</formula>
    </cfRule>
    <cfRule type="expression" dxfId="14" priority="3">
      <formula>V$11=V$4</formula>
    </cfRule>
  </conditionalFormatting>
  <dataValidations count="2">
    <dataValidation type="list" allowBlank="1" showInputMessage="1" showErrorMessage="1" sqref="F13:F18 F22:F27" xr:uid="{00000000-0002-0000-0800-000000000000}">
      <formula1>$G$31:$G$37</formula1>
    </dataValidation>
    <dataValidation type="list" allowBlank="1" showInputMessage="1" showErrorMessage="1" sqref="F28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D22" location="'Calc|Opex forecast'!A1" display="Calc | Opex forecast" xr:uid="{FE1A2502-5BCB-40A5-8034-E0B9F0FB7830}"/>
    <hyperlink ref="D23" location="'Calc|Opex forecast'!A1" display="Calc | Opex forecast" xr:uid="{D12461D1-18A2-42D2-A733-B9CD91E8B11A}"/>
    <hyperlink ref="D24" location="'Calc|Opex forecast'!A1" display="Calc | Opex forecast" xr:uid="{2F2E2A60-4150-4342-963D-FBB6B3F9E054}"/>
    <hyperlink ref="D26" location="'Calc|Opex forecast'!A1" display="Calc | Opex forecast" xr:uid="{9D631C00-FAEB-4446-B0F0-45B9CFD69247}"/>
    <hyperlink ref="D25" location="'Calc|Opex forecast'!A1" display="Calc | Opex forecast" xr:uid="{66CE7320-DDF2-4819-860C-51A6E1A96ECA}"/>
    <hyperlink ref="D27" location="'Calc|Opex forecast'!A1" display="Calc | Opex forecast" xr:uid="{388E7C43-C46D-4D5B-B0EC-0D9BBC65D6E3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33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/>
      <c r="S1" s="34"/>
      <c r="U1" s="126" t="s">
        <v>24</v>
      </c>
      <c r="V1" s="34" t="str">
        <f>'Check|List'!$S$1</f>
        <v>Ok</v>
      </c>
    </row>
    <row r="2" spans="1:30" s="32" customFormat="1" ht="12.75">
      <c r="B2" s="46" t="str">
        <f>Index!$C$15</f>
        <v>Lookup | Tables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>
      <c r="D4" s="20"/>
      <c r="E4" s="20"/>
    </row>
    <row r="5" spans="1:30" customFormat="1" ht="12.75">
      <c r="A5" s="37"/>
      <c r="B5" s="43" t="s">
        <v>195</v>
      </c>
      <c r="C5" s="37"/>
      <c r="D5" s="37"/>
      <c r="E5" s="37"/>
      <c r="F5" s="38"/>
      <c r="G5" s="38"/>
      <c r="H5" s="38"/>
      <c r="I5" s="38"/>
      <c r="J5" s="39"/>
      <c r="K5" s="40"/>
      <c r="L5" s="39"/>
      <c r="M5" s="40"/>
      <c r="N5" s="39"/>
      <c r="O5" s="39"/>
      <c r="P5" s="39"/>
      <c r="Q5" s="39"/>
      <c r="R5" s="39"/>
      <c r="S5" s="39"/>
      <c r="T5" s="39"/>
      <c r="U5" s="39"/>
      <c r="V5" s="40"/>
      <c r="W5" s="40"/>
      <c r="X5" s="41"/>
      <c r="Y5" s="41"/>
      <c r="Z5" s="41"/>
      <c r="AA5" s="41"/>
      <c r="AB5" s="41"/>
      <c r="AC5" s="42"/>
      <c r="AD5" s="42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196</v>
      </c>
      <c r="D8" s="16" t="s">
        <v>199</v>
      </c>
      <c r="E8" s="16"/>
      <c r="F8" s="16"/>
      <c r="G8" s="44" t="s">
        <v>196</v>
      </c>
    </row>
    <row r="9" spans="1:30">
      <c r="C9" s="15" t="s">
        <v>197</v>
      </c>
      <c r="D9" s="16" t="s">
        <v>199</v>
      </c>
      <c r="E9" s="16"/>
      <c r="F9" s="16"/>
      <c r="G9" s="44" t="s">
        <v>197</v>
      </c>
    </row>
    <row r="10" spans="1:30">
      <c r="C10" s="15" t="s">
        <v>198</v>
      </c>
      <c r="D10" s="16" t="s">
        <v>68</v>
      </c>
      <c r="E10" s="16"/>
      <c r="F10" s="16"/>
      <c r="G10" s="44" t="s">
        <v>198</v>
      </c>
      <c r="T10" s="17"/>
    </row>
    <row r="11" spans="1:30">
      <c r="C11" s="15" t="s">
        <v>200</v>
      </c>
      <c r="D11" s="16" t="s">
        <v>199</v>
      </c>
      <c r="E11" s="16"/>
      <c r="F11" s="16"/>
      <c r="G11" s="44" t="s">
        <v>200</v>
      </c>
    </row>
    <row r="12" spans="1:30">
      <c r="C12" s="15" t="s">
        <v>201</v>
      </c>
      <c r="D12" s="16" t="s">
        <v>68</v>
      </c>
      <c r="E12" s="16"/>
      <c r="F12" s="16"/>
      <c r="G12" s="44" t="s">
        <v>201</v>
      </c>
      <c r="T12" s="17"/>
    </row>
    <row r="13" spans="1:30">
      <c r="F13" s="8"/>
      <c r="G13" s="8"/>
    </row>
    <row r="14" spans="1:30" customFormat="1" ht="12.75">
      <c r="A14" s="37"/>
      <c r="B14" s="43" t="s">
        <v>19</v>
      </c>
      <c r="C14" s="37"/>
      <c r="D14" s="37"/>
      <c r="E14" s="37"/>
      <c r="F14" s="38"/>
      <c r="G14" s="38"/>
      <c r="H14" s="38"/>
      <c r="I14" s="38"/>
      <c r="J14" s="39"/>
      <c r="K14" s="40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1"/>
      <c r="Y14" s="41"/>
      <c r="Z14" s="41"/>
      <c r="AA14" s="41"/>
      <c r="AB14" s="41"/>
      <c r="AC14" s="42"/>
      <c r="AD14" s="42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68</v>
      </c>
      <c r="E17" s="16"/>
      <c r="F17" s="16"/>
      <c r="G17" s="44" t="s">
        <v>12</v>
      </c>
    </row>
    <row r="18" spans="1:30">
      <c r="C18" s="15" t="s">
        <v>13</v>
      </c>
      <c r="D18" s="16" t="s">
        <v>68</v>
      </c>
      <c r="E18" s="16"/>
      <c r="F18" s="16"/>
      <c r="G18" s="44" t="s">
        <v>20</v>
      </c>
    </row>
    <row r="19" spans="1:30">
      <c r="C19" s="15" t="s">
        <v>14</v>
      </c>
      <c r="D19" s="16" t="s">
        <v>68</v>
      </c>
      <c r="E19" s="16"/>
      <c r="F19" s="16"/>
      <c r="G19" s="44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68</v>
      </c>
      <c r="E21" s="16"/>
      <c r="F21" s="16"/>
      <c r="G21" s="44" t="s">
        <v>31</v>
      </c>
    </row>
    <row r="22" spans="1:30">
      <c r="C22" s="15" t="s">
        <v>8</v>
      </c>
      <c r="D22" s="16" t="s">
        <v>68</v>
      </c>
      <c r="E22" s="16"/>
      <c r="F22" s="16"/>
      <c r="G22" s="44" t="s">
        <v>11</v>
      </c>
    </row>
    <row r="23" spans="1:30">
      <c r="C23" s="15" t="s">
        <v>17</v>
      </c>
      <c r="D23" s="16" t="s">
        <v>68</v>
      </c>
      <c r="E23" s="16"/>
      <c r="F23" s="16"/>
      <c r="G23" s="44" t="s">
        <v>18</v>
      </c>
    </row>
    <row r="24" spans="1:30">
      <c r="C24" s="15" t="s">
        <v>37</v>
      </c>
      <c r="D24" s="16" t="s">
        <v>68</v>
      </c>
      <c r="E24" s="16"/>
      <c r="F24" s="16"/>
      <c r="G24" s="44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68</v>
      </c>
      <c r="E26" s="16"/>
      <c r="F26" s="16"/>
      <c r="G26" s="44" t="s">
        <v>23</v>
      </c>
    </row>
    <row r="27" spans="1:30">
      <c r="C27" s="15" t="s">
        <v>73</v>
      </c>
      <c r="D27" s="16" t="s">
        <v>68</v>
      </c>
      <c r="E27" s="16"/>
      <c r="F27" s="16"/>
      <c r="G27" s="44" t="s">
        <v>73</v>
      </c>
    </row>
    <row r="28" spans="1:30">
      <c r="C28" s="15"/>
      <c r="D28" s="16"/>
      <c r="E28" s="16"/>
      <c r="F28" s="16"/>
      <c r="G28" s="8"/>
    </row>
    <row r="29" spans="1:30" customFormat="1" ht="12.75">
      <c r="A29" s="37"/>
      <c r="B29" s="43" t="s">
        <v>115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1"/>
      <c r="Y29" s="41"/>
      <c r="Z29" s="41"/>
      <c r="AA29" s="41"/>
      <c r="AB29" s="41"/>
      <c r="AC29" s="42"/>
      <c r="AD29" s="42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116</v>
      </c>
      <c r="D32" s="16" t="s">
        <v>68</v>
      </c>
      <c r="E32" s="16"/>
      <c r="F32" s="16"/>
      <c r="G32" s="108">
        <v>36526</v>
      </c>
      <c r="H32" s="14"/>
    </row>
    <row r="33" spans="1:30">
      <c r="C33" s="15" t="s">
        <v>117</v>
      </c>
      <c r="D33" s="16" t="s">
        <v>68</v>
      </c>
      <c r="E33" s="16"/>
      <c r="F33" s="16"/>
      <c r="G33" s="108">
        <v>36557</v>
      </c>
      <c r="H33" s="14"/>
    </row>
    <row r="34" spans="1:30">
      <c r="C34" s="15" t="s">
        <v>118</v>
      </c>
      <c r="D34" s="16" t="s">
        <v>68</v>
      </c>
      <c r="E34" s="16"/>
      <c r="F34" s="16"/>
      <c r="G34" s="108">
        <v>36586</v>
      </c>
      <c r="H34" s="14"/>
    </row>
    <row r="35" spans="1:30">
      <c r="C35" s="15" t="s">
        <v>119</v>
      </c>
      <c r="D35" s="16" t="s">
        <v>68</v>
      </c>
      <c r="E35" s="16"/>
      <c r="F35" s="16"/>
      <c r="G35" s="108">
        <v>36617</v>
      </c>
    </row>
    <row r="36" spans="1:30">
      <c r="C36" s="15" t="s">
        <v>120</v>
      </c>
      <c r="D36" s="16" t="s">
        <v>68</v>
      </c>
      <c r="E36" s="16"/>
      <c r="F36" s="16"/>
      <c r="G36" s="108">
        <v>36647</v>
      </c>
    </row>
    <row r="37" spans="1:30">
      <c r="C37" s="15" t="s">
        <v>121</v>
      </c>
      <c r="D37" s="16" t="s">
        <v>68</v>
      </c>
      <c r="E37" s="16"/>
      <c r="F37" s="16"/>
      <c r="G37" s="108">
        <v>36678</v>
      </c>
      <c r="T37" s="17"/>
    </row>
    <row r="38" spans="1:30">
      <c r="C38" s="15" t="s">
        <v>122</v>
      </c>
      <c r="D38" s="16" t="s">
        <v>68</v>
      </c>
      <c r="E38" s="16"/>
      <c r="F38" s="16"/>
      <c r="G38" s="108">
        <v>36708</v>
      </c>
      <c r="T38" s="17"/>
    </row>
    <row r="39" spans="1:30">
      <c r="C39" s="15" t="s">
        <v>123</v>
      </c>
      <c r="D39" s="16" t="s">
        <v>68</v>
      </c>
      <c r="E39" s="16"/>
      <c r="F39" s="16"/>
      <c r="G39" s="108">
        <v>36739</v>
      </c>
      <c r="T39" s="17"/>
    </row>
    <row r="40" spans="1:30">
      <c r="C40" s="15" t="s">
        <v>124</v>
      </c>
      <c r="D40" s="16" t="s">
        <v>68</v>
      </c>
      <c r="E40" s="16"/>
      <c r="F40" s="16"/>
      <c r="G40" s="108">
        <v>36770</v>
      </c>
      <c r="T40" s="17"/>
    </row>
    <row r="41" spans="1:30">
      <c r="C41" s="15" t="s">
        <v>125</v>
      </c>
      <c r="D41" s="16" t="s">
        <v>68</v>
      </c>
      <c r="E41" s="16"/>
      <c r="F41" s="16"/>
      <c r="G41" s="108">
        <v>36800</v>
      </c>
      <c r="T41" s="17"/>
    </row>
    <row r="42" spans="1:30">
      <c r="C42" s="15" t="s">
        <v>126</v>
      </c>
      <c r="D42" s="16" t="s">
        <v>68</v>
      </c>
      <c r="E42" s="16"/>
      <c r="F42" s="16"/>
      <c r="G42" s="108">
        <v>36831</v>
      </c>
      <c r="T42" s="17"/>
    </row>
    <row r="43" spans="1:30">
      <c r="C43" s="15" t="s">
        <v>127</v>
      </c>
      <c r="D43" s="16" t="s">
        <v>68</v>
      </c>
      <c r="E43" s="16"/>
      <c r="F43" s="16"/>
      <c r="G43" s="108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7"/>
      <c r="B45" s="43" t="s">
        <v>69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150</v>
      </c>
      <c r="H47" s="14" t="s">
        <v>148</v>
      </c>
      <c r="I47" s="14" t="s">
        <v>149</v>
      </c>
    </row>
    <row r="48" spans="1:30">
      <c r="C48" s="114">
        <v>40695</v>
      </c>
      <c r="D48" s="16" t="s">
        <v>68</v>
      </c>
      <c r="E48" s="16"/>
      <c r="F48" s="16"/>
      <c r="G48" s="109">
        <v>2011</v>
      </c>
      <c r="H48" s="129">
        <f>DATE(G48,MONTH('Input|General'!$G$9),1)</f>
        <v>40695</v>
      </c>
      <c r="I48" s="128" t="str">
        <f>G48-1&amp;"–"&amp;RIGHT(G48,2)</f>
        <v>2010–11</v>
      </c>
    </row>
    <row r="49" spans="3:20">
      <c r="C49" s="114">
        <v>41061</v>
      </c>
      <c r="D49" s="16" t="s">
        <v>68</v>
      </c>
      <c r="E49" s="16"/>
      <c r="F49" s="16"/>
      <c r="G49" s="109">
        <v>2012</v>
      </c>
      <c r="H49" s="129">
        <f>DATE(G49,MONTH('Input|General'!$G$9),1)</f>
        <v>41061</v>
      </c>
      <c r="I49" s="128" t="str">
        <f t="shared" ref="I49:I67" si="0">G49-1&amp;"–"&amp;RIGHT(G49,2)</f>
        <v>2011–12</v>
      </c>
    </row>
    <row r="50" spans="3:20">
      <c r="C50" s="114">
        <v>41426</v>
      </c>
      <c r="D50" s="16" t="s">
        <v>68</v>
      </c>
      <c r="E50" s="16"/>
      <c r="F50" s="16"/>
      <c r="G50" s="109">
        <v>2013</v>
      </c>
      <c r="H50" s="129">
        <f>DATE(G50,MONTH('Input|General'!$G$9),1)</f>
        <v>41426</v>
      </c>
      <c r="I50" s="128" t="str">
        <f t="shared" si="0"/>
        <v>2012–13</v>
      </c>
    </row>
    <row r="51" spans="3:20">
      <c r="C51" s="114">
        <v>41791</v>
      </c>
      <c r="D51" s="16" t="s">
        <v>68</v>
      </c>
      <c r="E51" s="16"/>
      <c r="F51" s="16"/>
      <c r="G51" s="109">
        <v>2014</v>
      </c>
      <c r="H51" s="129">
        <f>DATE(G51,MONTH('Input|General'!$G$9),1)</f>
        <v>41791</v>
      </c>
      <c r="I51" s="128" t="str">
        <f t="shared" si="0"/>
        <v>2013–14</v>
      </c>
    </row>
    <row r="52" spans="3:20">
      <c r="C52" s="114">
        <v>42156</v>
      </c>
      <c r="D52" s="16" t="s">
        <v>68</v>
      </c>
      <c r="E52" s="16"/>
      <c r="F52" s="16"/>
      <c r="G52" s="109">
        <v>2015</v>
      </c>
      <c r="H52" s="129">
        <f>DATE(G52,MONTH('Input|General'!$G$9),1)</f>
        <v>42156</v>
      </c>
      <c r="I52" s="128" t="str">
        <f t="shared" si="0"/>
        <v>2014–15</v>
      </c>
      <c r="T52" s="17"/>
    </row>
    <row r="53" spans="3:20">
      <c r="C53" s="114">
        <v>42522</v>
      </c>
      <c r="D53" s="16" t="s">
        <v>68</v>
      </c>
      <c r="E53" s="16"/>
      <c r="F53" s="16"/>
      <c r="G53" s="109">
        <v>2016</v>
      </c>
      <c r="H53" s="129">
        <f>DATE(G53,MONTH('Input|General'!$G$9),1)</f>
        <v>42522</v>
      </c>
      <c r="I53" s="128" t="str">
        <f t="shared" si="0"/>
        <v>2015–16</v>
      </c>
      <c r="T53" s="17"/>
    </row>
    <row r="54" spans="3:20">
      <c r="C54" s="114">
        <v>42887</v>
      </c>
      <c r="D54" s="16" t="s">
        <v>68</v>
      </c>
      <c r="E54" s="16"/>
      <c r="F54" s="16"/>
      <c r="G54" s="109">
        <v>2017</v>
      </c>
      <c r="H54" s="129">
        <f>DATE(G54,MONTH('Input|General'!$G$9),1)</f>
        <v>42887</v>
      </c>
      <c r="I54" s="128" t="str">
        <f t="shared" si="0"/>
        <v>2016–17</v>
      </c>
      <c r="T54" s="17"/>
    </row>
    <row r="55" spans="3:20">
      <c r="C55" s="114">
        <v>43252</v>
      </c>
      <c r="D55" s="16" t="s">
        <v>68</v>
      </c>
      <c r="E55" s="16"/>
      <c r="F55" s="16"/>
      <c r="G55" s="109">
        <v>2018</v>
      </c>
      <c r="H55" s="129">
        <f>DATE(G55,MONTH('Input|General'!$G$9),1)</f>
        <v>43252</v>
      </c>
      <c r="I55" s="128" t="str">
        <f t="shared" si="0"/>
        <v>2017–18</v>
      </c>
      <c r="T55" s="17"/>
    </row>
    <row r="56" spans="3:20">
      <c r="C56" s="114">
        <v>43617</v>
      </c>
      <c r="D56" s="16" t="s">
        <v>68</v>
      </c>
      <c r="E56" s="16"/>
      <c r="F56" s="16"/>
      <c r="G56" s="109">
        <v>2019</v>
      </c>
      <c r="H56" s="129">
        <f>DATE(G56,MONTH('Input|General'!$G$9),1)</f>
        <v>43617</v>
      </c>
      <c r="I56" s="128" t="str">
        <f t="shared" si="0"/>
        <v>2018–19</v>
      </c>
      <c r="T56" s="17"/>
    </row>
    <row r="57" spans="3:20">
      <c r="C57" s="114">
        <v>43983</v>
      </c>
      <c r="D57" s="16" t="s">
        <v>68</v>
      </c>
      <c r="E57" s="16"/>
      <c r="F57" s="16"/>
      <c r="G57" s="109">
        <v>2020</v>
      </c>
      <c r="H57" s="129">
        <f>DATE(G57,MONTH('Input|General'!$G$9),1)</f>
        <v>43983</v>
      </c>
      <c r="I57" s="128" t="str">
        <f t="shared" si="0"/>
        <v>2019–20</v>
      </c>
      <c r="T57" s="17"/>
    </row>
    <row r="58" spans="3:20">
      <c r="C58" s="114">
        <v>44348</v>
      </c>
      <c r="D58" s="16" t="s">
        <v>68</v>
      </c>
      <c r="E58" s="16"/>
      <c r="F58" s="16"/>
      <c r="G58" s="109">
        <v>2021</v>
      </c>
      <c r="H58" s="129">
        <f>DATE(G58,MONTH('Input|General'!$G$9),1)</f>
        <v>44348</v>
      </c>
      <c r="I58" s="128" t="str">
        <f t="shared" si="0"/>
        <v>2020–21</v>
      </c>
      <c r="T58" s="17"/>
    </row>
    <row r="59" spans="3:20">
      <c r="C59" s="114">
        <v>44713</v>
      </c>
      <c r="D59" s="16" t="s">
        <v>68</v>
      </c>
      <c r="E59" s="16"/>
      <c r="F59" s="16"/>
      <c r="G59" s="109">
        <v>2022</v>
      </c>
      <c r="H59" s="129">
        <f>DATE(G59,MONTH('Input|General'!$G$9),1)</f>
        <v>44713</v>
      </c>
      <c r="I59" s="128" t="str">
        <f t="shared" si="0"/>
        <v>2021–22</v>
      </c>
      <c r="T59" s="17"/>
    </row>
    <row r="60" spans="3:20">
      <c r="C60" s="114">
        <v>45078</v>
      </c>
      <c r="D60" s="16" t="s">
        <v>68</v>
      </c>
      <c r="E60" s="16"/>
      <c r="F60" s="16"/>
      <c r="G60" s="109">
        <v>2023</v>
      </c>
      <c r="H60" s="129">
        <f>DATE(G60,MONTH('Input|General'!$G$9),1)</f>
        <v>45078</v>
      </c>
      <c r="I60" s="128" t="str">
        <f t="shared" si="0"/>
        <v>2022–23</v>
      </c>
      <c r="T60" s="17"/>
    </row>
    <row r="61" spans="3:20">
      <c r="C61" s="114">
        <v>45444</v>
      </c>
      <c r="D61" s="16" t="s">
        <v>68</v>
      </c>
      <c r="E61" s="16"/>
      <c r="F61" s="16"/>
      <c r="G61" s="109">
        <v>2024</v>
      </c>
      <c r="H61" s="129">
        <f>DATE(G61,MONTH('Input|General'!$G$9),1)</f>
        <v>45444</v>
      </c>
      <c r="I61" s="128" t="str">
        <f t="shared" si="0"/>
        <v>2023–24</v>
      </c>
      <c r="T61" s="17"/>
    </row>
    <row r="62" spans="3:20">
      <c r="C62" s="114">
        <v>45809</v>
      </c>
      <c r="D62" s="16" t="s">
        <v>68</v>
      </c>
      <c r="E62" s="16"/>
      <c r="F62" s="16"/>
      <c r="G62" s="109">
        <v>2025</v>
      </c>
      <c r="H62" s="129">
        <f>DATE(G62,MONTH('Input|General'!$G$9),1)</f>
        <v>45809</v>
      </c>
      <c r="I62" s="128" t="str">
        <f t="shared" si="0"/>
        <v>2024–25</v>
      </c>
      <c r="T62" s="17"/>
    </row>
    <row r="63" spans="3:20">
      <c r="C63" s="114">
        <v>46174</v>
      </c>
      <c r="D63" s="16" t="s">
        <v>68</v>
      </c>
      <c r="E63" s="16"/>
      <c r="F63" s="16"/>
      <c r="G63" s="109">
        <v>2026</v>
      </c>
      <c r="H63" s="129">
        <f>DATE(G63,MONTH('Input|General'!$G$9),1)</f>
        <v>46174</v>
      </c>
      <c r="I63" s="128" t="str">
        <f t="shared" si="0"/>
        <v>2025–26</v>
      </c>
      <c r="T63" s="17"/>
    </row>
    <row r="64" spans="3:20">
      <c r="C64" s="114">
        <v>46539</v>
      </c>
      <c r="D64" s="16" t="s">
        <v>68</v>
      </c>
      <c r="E64" s="16"/>
      <c r="F64" s="16"/>
      <c r="G64" s="109">
        <v>2027</v>
      </c>
      <c r="H64" s="129">
        <f>DATE(G64,MONTH('Input|General'!$G$9),1)</f>
        <v>46539</v>
      </c>
      <c r="I64" s="128" t="str">
        <f t="shared" si="0"/>
        <v>2026–27</v>
      </c>
      <c r="T64" s="17"/>
    </row>
    <row r="65" spans="1:30">
      <c r="C65" s="114">
        <v>46905</v>
      </c>
      <c r="D65" s="16" t="s">
        <v>68</v>
      </c>
      <c r="E65" s="16"/>
      <c r="F65" s="16"/>
      <c r="G65" s="109">
        <v>2028</v>
      </c>
      <c r="H65" s="129">
        <f>DATE(G65,MONTH('Input|General'!$G$9),1)</f>
        <v>46905</v>
      </c>
      <c r="I65" s="128" t="str">
        <f t="shared" si="0"/>
        <v>2027–28</v>
      </c>
      <c r="T65" s="17"/>
    </row>
    <row r="66" spans="1:30">
      <c r="C66" s="114">
        <v>47270</v>
      </c>
      <c r="D66" s="16" t="s">
        <v>68</v>
      </c>
      <c r="E66" s="16"/>
      <c r="F66" s="16"/>
      <c r="G66" s="109">
        <v>2029</v>
      </c>
      <c r="H66" s="129">
        <f>DATE(G66,MONTH('Input|General'!$G$9),1)</f>
        <v>47270</v>
      </c>
      <c r="I66" s="128" t="str">
        <f t="shared" si="0"/>
        <v>2028–29</v>
      </c>
      <c r="T66" s="17"/>
    </row>
    <row r="67" spans="1:30">
      <c r="C67" s="114">
        <v>47635</v>
      </c>
      <c r="D67" s="16" t="s">
        <v>68</v>
      </c>
      <c r="E67" s="16"/>
      <c r="F67" s="16"/>
      <c r="G67" s="109">
        <v>2030</v>
      </c>
      <c r="H67" s="129">
        <f>DATE(G67,MONTH('Input|General'!$G$9),1)</f>
        <v>47635</v>
      </c>
      <c r="I67" s="128" t="str">
        <f t="shared" si="0"/>
        <v>2029–30</v>
      </c>
      <c r="T67" s="17"/>
    </row>
    <row r="68" spans="1:30"/>
    <row r="69" spans="1:30" customFormat="1" ht="12.75">
      <c r="A69" s="37"/>
      <c r="B69" s="43" t="s">
        <v>146</v>
      </c>
      <c r="C69" s="37"/>
      <c r="D69" s="37"/>
      <c r="E69" s="37"/>
      <c r="F69" s="38"/>
      <c r="G69" s="38"/>
      <c r="H69" s="38"/>
      <c r="I69" s="38"/>
      <c r="J69" s="39"/>
      <c r="K69" s="40"/>
      <c r="L69" s="39"/>
      <c r="M69" s="40"/>
      <c r="N69" s="39"/>
      <c r="O69" s="39"/>
      <c r="P69" s="39"/>
      <c r="Q69" s="39"/>
      <c r="R69" s="39"/>
      <c r="S69" s="39"/>
      <c r="T69" s="39"/>
      <c r="U69" s="39"/>
      <c r="V69" s="40"/>
      <c r="W69" s="40"/>
      <c r="X69" s="41"/>
      <c r="Y69" s="41"/>
      <c r="Z69" s="41"/>
      <c r="AA69" s="41"/>
      <c r="AB69" s="41"/>
      <c r="AC69" s="42"/>
      <c r="AD69" s="42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147</v>
      </c>
      <c r="H71" s="14" t="s">
        <v>114</v>
      </c>
    </row>
    <row r="72" spans="1:30">
      <c r="C72" s="15" t="s">
        <v>175</v>
      </c>
      <c r="D72" s="16" t="s">
        <v>97</v>
      </c>
      <c r="E72" s="21"/>
      <c r="F72" s="14"/>
      <c r="G72" s="128" t="str">
        <f>IF(H72="","",IF(MONTH(H72)=12,YEAR(H72),YEAR(H72)-1&amp;"–"&amp;RIGHT(YEAR(H72),2)))</f>
        <v>2018–19</v>
      </c>
      <c r="H72" s="129">
        <f>DATE(PPFirstYear-1,MONTH('Input|General'!$G$9),1)</f>
        <v>43617</v>
      </c>
    </row>
    <row r="73" spans="1:30">
      <c r="C73" s="15" t="s">
        <v>134</v>
      </c>
      <c r="D73" s="16" t="s">
        <v>97</v>
      </c>
      <c r="E73" s="16"/>
      <c r="F73" s="16"/>
      <c r="G73" s="128" t="str">
        <f t="shared" ref="G73:G82" si="1">IF(H73="","",IF(MONTH(H73)=12,YEAR(H73),YEAR(H73)-1&amp;"–"&amp;RIGHT(YEAR(H73),2)))</f>
        <v>2019–20</v>
      </c>
      <c r="H73" s="129">
        <f>DATE(PPFirstYear,MONTH('Input|General'!$G$9),1)</f>
        <v>43983</v>
      </c>
    </row>
    <row r="74" spans="1:30">
      <c r="C74" s="15" t="s">
        <v>135</v>
      </c>
      <c r="D74" s="16" t="s">
        <v>97</v>
      </c>
      <c r="E74" s="16"/>
      <c r="F74" s="16"/>
      <c r="G74" s="128" t="str">
        <f t="shared" si="1"/>
        <v>2020–21</v>
      </c>
      <c r="H74" s="129">
        <f>IF(PPLastYear-PPFirstYear&lt;1,"",DATE(PPFirstYear+1,MONTH('Input|General'!$G$9),1))</f>
        <v>44348</v>
      </c>
    </row>
    <row r="75" spans="1:30">
      <c r="C75" s="15" t="s">
        <v>136</v>
      </c>
      <c r="D75" s="16" t="s">
        <v>97</v>
      </c>
      <c r="E75" s="16"/>
      <c r="F75" s="16"/>
      <c r="G75" s="128" t="str">
        <f t="shared" si="1"/>
        <v>2021–22</v>
      </c>
      <c r="H75" s="129">
        <f>IF(PPLastYear-PPFirstYear&lt;2,"",DATE(PPFirstYear+2,MONTH('Input|General'!$G$9),1))</f>
        <v>44713</v>
      </c>
    </row>
    <row r="76" spans="1:30">
      <c r="C76" s="15" t="s">
        <v>137</v>
      </c>
      <c r="D76" s="16" t="s">
        <v>97</v>
      </c>
      <c r="E76" s="16"/>
      <c r="F76" s="16"/>
      <c r="G76" s="128" t="str">
        <f t="shared" si="1"/>
        <v>2022–23</v>
      </c>
      <c r="H76" s="129">
        <f>IF(PPLastYear-PPFirstYear&lt;3,"",DATE(PPFirstYear+3,MONTH('Input|General'!$G$9),1))</f>
        <v>45078</v>
      </c>
    </row>
    <row r="77" spans="1:30">
      <c r="C77" s="15" t="s">
        <v>138</v>
      </c>
      <c r="D77" s="16" t="s">
        <v>97</v>
      </c>
      <c r="E77" s="16"/>
      <c r="F77" s="16"/>
      <c r="G77" s="128" t="str">
        <f t="shared" si="1"/>
        <v>2023–24</v>
      </c>
      <c r="H77" s="129">
        <f>IF(PPLastYear-PPFirstYear&lt;4,"",DATE(PPFirstYear+4,MONTH('Input|General'!$G$9),1))</f>
        <v>45444</v>
      </c>
    </row>
    <row r="78" spans="1:30">
      <c r="C78" s="15" t="s">
        <v>177</v>
      </c>
      <c r="D78" s="16" t="s">
        <v>97</v>
      </c>
      <c r="E78" s="16"/>
      <c r="F78" s="16"/>
      <c r="G78" s="128" t="str">
        <f t="shared" si="1"/>
        <v/>
      </c>
      <c r="H78" s="129" t="str">
        <f>IF(PPLastYear-PPFirstYear&lt;5,"",DATE(PPFirstYear+5,MONTH('Input|General'!$G$9),1))</f>
        <v/>
      </c>
    </row>
    <row r="79" spans="1:30">
      <c r="C79" s="15" t="s">
        <v>139</v>
      </c>
      <c r="D79" s="16" t="s">
        <v>97</v>
      </c>
      <c r="E79" s="16"/>
      <c r="F79" s="16"/>
      <c r="G79" s="128" t="str">
        <f t="shared" si="1"/>
        <v>2024–25</v>
      </c>
      <c r="H79" s="129">
        <f>DATE(FPFirstYear,MONTH('Input|General'!$G$9),1)</f>
        <v>45809</v>
      </c>
      <c r="T79" s="17"/>
    </row>
    <row r="80" spans="1:30">
      <c r="C80" s="15" t="s">
        <v>140</v>
      </c>
      <c r="D80" s="16" t="s">
        <v>97</v>
      </c>
      <c r="E80" s="16"/>
      <c r="F80" s="16"/>
      <c r="G80" s="128" t="str">
        <f t="shared" si="1"/>
        <v>2025–26</v>
      </c>
      <c r="H80" s="129">
        <f>IF(FPLastYear-FPFirstYear&lt;1,"",DATE(FPFirstYear+1,MONTH('Input|General'!$G$9),1))</f>
        <v>46174</v>
      </c>
      <c r="T80" s="17"/>
    </row>
    <row r="81" spans="1:30">
      <c r="C81" s="15" t="s">
        <v>141</v>
      </c>
      <c r="D81" s="16" t="s">
        <v>97</v>
      </c>
      <c r="E81" s="16"/>
      <c r="F81" s="16"/>
      <c r="G81" s="128" t="str">
        <f t="shared" si="1"/>
        <v>2026–27</v>
      </c>
      <c r="H81" s="129">
        <f>IF(FPLastYear-FPFirstYear&lt;2,"",DATE(FPFirstYear+2,MONTH('Input|General'!$G$9),1))</f>
        <v>46539</v>
      </c>
      <c r="T81" s="17"/>
    </row>
    <row r="82" spans="1:30">
      <c r="C82" s="15" t="s">
        <v>142</v>
      </c>
      <c r="D82" s="16" t="s">
        <v>97</v>
      </c>
      <c r="E82" s="16"/>
      <c r="F82" s="16"/>
      <c r="G82" s="128" t="str">
        <f t="shared" si="1"/>
        <v>2027–28</v>
      </c>
      <c r="H82" s="129">
        <f>IF(FPLastYear-FPFirstYear&lt;3,"",DATE(FPFirstYear+3,MONTH('Input|General'!$G$9),1))</f>
        <v>46905</v>
      </c>
      <c r="T82" s="17"/>
    </row>
    <row r="83" spans="1:30">
      <c r="C83" s="15" t="s">
        <v>143</v>
      </c>
      <c r="D83" s="16" t="s">
        <v>97</v>
      </c>
      <c r="E83" s="16"/>
      <c r="F83" s="16"/>
      <c r="G83" s="128" t="str">
        <f>IF(H83="","",IF(MONTH(H83)=12,YEAR(H83),YEAR(H83)-1&amp;"–"&amp;RIGHT(YEAR(H83),2)))</f>
        <v>2028–29</v>
      </c>
      <c r="H83" s="129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45"/>
      <c r="H84" s="146"/>
      <c r="T84" s="17"/>
    </row>
    <row r="85" spans="1:30" customFormat="1" ht="12.75">
      <c r="A85" s="37"/>
      <c r="B85" s="43" t="s">
        <v>21</v>
      </c>
      <c r="C85" s="37"/>
      <c r="D85" s="37"/>
      <c r="E85" s="37"/>
      <c r="F85" s="38"/>
      <c r="G85" s="38"/>
      <c r="H85" s="38"/>
      <c r="I85" s="38"/>
      <c r="J85" s="39"/>
      <c r="K85" s="40"/>
      <c r="L85" s="39"/>
      <c r="M85" s="40"/>
      <c r="N85" s="39"/>
      <c r="O85" s="39"/>
      <c r="P85" s="39"/>
      <c r="Q85" s="39"/>
      <c r="R85" s="39"/>
      <c r="S85" s="39"/>
      <c r="T85" s="39"/>
      <c r="U85" s="39"/>
      <c r="V85" s="40"/>
      <c r="W85" s="40"/>
      <c r="X85" s="41"/>
      <c r="Y85" s="41"/>
      <c r="Z85" s="41"/>
      <c r="AA85" s="41"/>
      <c r="AB85" s="41"/>
      <c r="AC85" s="42"/>
      <c r="AD85" s="42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126" t="s">
        <v>24</v>
      </c>
      <c r="S1" s="34" t="str">
        <f>IF(COUNTIF(G10:G17,"Check")=0,"Ok","Check")</f>
        <v>Ok</v>
      </c>
      <c r="U1" s="33"/>
      <c r="V1" s="34"/>
    </row>
    <row r="2" spans="1:30" s="32" customFormat="1" ht="12.75">
      <c r="B2" s="46" t="str">
        <f>Index!$C$16</f>
        <v>Check | List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8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8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Input | Dx/Tx split</v>
      </c>
      <c r="D15" s="28" t="str">
        <f t="shared" si="0"/>
        <v>Input | Dx/Tx split</v>
      </c>
      <c r="E15" s="16" t="s">
        <v>28</v>
      </c>
      <c r="F15" s="16"/>
      <c r="G15" s="18" t="str">
        <f>'Input|Dx Tx split'!S1</f>
        <v>OK</v>
      </c>
      <c r="H15" s="16"/>
      <c r="T15" s="17"/>
    </row>
    <row r="16" spans="1:30">
      <c r="C16" s="15" t="str">
        <f>Index!C13</f>
        <v>Calc | Opex Forecast</v>
      </c>
      <c r="D16" s="28" t="str">
        <f t="shared" si="0"/>
        <v>Calc | Opex Forecast</v>
      </c>
      <c r="E16" s="16" t="s">
        <v>28</v>
      </c>
      <c r="F16" s="16"/>
      <c r="G16" s="18" t="str">
        <f>'Calc|Opex forecast'!S1</f>
        <v>n/a</v>
      </c>
      <c r="H16" s="16"/>
      <c r="T16" s="17"/>
    </row>
    <row r="17" spans="1:30">
      <c r="C17" s="15" t="str">
        <f>Index!C14</f>
        <v>Output | Models</v>
      </c>
      <c r="D17" s="28" t="str">
        <f t="shared" si="0"/>
        <v>Output | Models</v>
      </c>
      <c r="E17" s="16" t="s">
        <v>28</v>
      </c>
      <c r="F17" s="16"/>
      <c r="G17" s="18" t="str">
        <f>'Output|Models'!S1</f>
        <v>n/a</v>
      </c>
      <c r="H17" s="16"/>
      <c r="T17" s="17"/>
    </row>
    <row r="18" spans="1:30">
      <c r="C18" s="15"/>
    </row>
    <row r="19" spans="1:30" customFormat="1" ht="12.75">
      <c r="A19" s="37"/>
      <c r="B19" s="43" t="s">
        <v>21</v>
      </c>
      <c r="C19" s="37"/>
      <c r="D19" s="37"/>
      <c r="E19" s="37"/>
      <c r="F19" s="38"/>
      <c r="G19" s="38"/>
      <c r="H19" s="38"/>
      <c r="I19" s="38"/>
      <c r="J19" s="39"/>
      <c r="K19" s="40"/>
      <c r="L19" s="39"/>
      <c r="M19" s="40"/>
      <c r="N19" s="39"/>
      <c r="O19" s="39"/>
      <c r="P19" s="39"/>
      <c r="Q19" s="39"/>
      <c r="R19" s="39"/>
      <c r="S19" s="39"/>
      <c r="T19" s="39"/>
      <c r="U19" s="39"/>
      <c r="V19" s="40"/>
      <c r="W19" s="40"/>
      <c r="X19" s="41"/>
      <c r="Y19" s="41"/>
      <c r="Z19" s="41"/>
      <c r="AA19" s="41"/>
      <c r="AB19" s="41"/>
      <c r="AC19" s="42"/>
      <c r="AD19" s="42"/>
    </row>
    <row r="20" spans="1:30" hidden="1">
      <c r="C20" s="15"/>
    </row>
    <row r="21" spans="1:30" hidden="1">
      <c r="C21" s="15"/>
    </row>
    <row r="22" spans="1:30" hidden="1">
      <c r="C22" s="15"/>
    </row>
    <row r="23" spans="1:30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6" location="'Calc|Opex forecast'!A1" display="'Calc|Opex forecast'!A1" xr:uid="{00000000-0004-0000-0C00-000005000000}"/>
    <hyperlink ref="D17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  <hyperlink ref="D15" location="'Input|Dx Tx split'!A1" display="'Input|Dx Tx split'!A1" xr:uid="{DEB46DBB-9E0C-45C5-9EE2-49468AB574C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Input|Dx Tx split</vt:lpstr>
      <vt:lpstr>Calc|Opex forecast</vt:lpstr>
      <vt:lpstr>Output|Decomposition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2024-04-18T02:23:07Z</dcterms:created>
  <dcterms:modified xsi:type="dcterms:W3CDTF">2024-04-18T02:26:41Z</dcterms:modified>
</cp:coreProperties>
</file>