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8_{B01E9704-2F7D-49C4-8851-D01378E58D68}" xr6:coauthVersionLast="47" xr6:coauthVersionMax="47" xr10:uidLastSave="{00000000-0000-0000-0000-000000000000}"/>
  <bookViews>
    <workbookView xWindow="-38520" yWindow="-5535" windowWidth="38640" windowHeight="21240" xr2:uid="{00000000-000D-0000-FFFF-FFFF00000000}"/>
  </bookViews>
  <sheets>
    <sheet name="AER - Final decision" sheetId="30" r:id="rId1"/>
    <sheet name="Difference" sheetId="31" r:id="rId2"/>
    <sheet name="Revised proposal" sheetId="32" r:id="rId3"/>
  </sheets>
  <definedNames>
    <definedName name="anscount">1</definedName>
    <definedName name="dms_PRCP_BaseYear" localSheetId="0">'AER - Final decision'!$C$23</definedName>
    <definedName name="dms_PRCP_BaseYear" localSheetId="1">Difference!$C$23</definedName>
    <definedName name="dms_PRCP_BaseYear" localSheetId="2">'Revised proposal'!$C$14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1" l="1"/>
  <c r="E44" i="31"/>
  <c r="F44" i="31"/>
  <c r="G44" i="31"/>
  <c r="H44" i="31"/>
  <c r="D45" i="31"/>
  <c r="E45" i="31"/>
  <c r="F45" i="31"/>
  <c r="G45" i="31"/>
  <c r="H45" i="31"/>
  <c r="C45" i="31"/>
  <c r="C44" i="31"/>
  <c r="D42" i="31"/>
  <c r="E42" i="31"/>
  <c r="F42" i="31"/>
  <c r="G42" i="31"/>
  <c r="H42" i="31"/>
  <c r="C42" i="31"/>
  <c r="D32" i="31"/>
  <c r="E32" i="31"/>
  <c r="F32" i="31"/>
  <c r="G32" i="31"/>
  <c r="H32" i="31"/>
  <c r="I32" i="31"/>
  <c r="C32" i="31"/>
  <c r="D31" i="31"/>
  <c r="E31" i="31"/>
  <c r="F31" i="31"/>
  <c r="G31" i="31"/>
  <c r="H31" i="31"/>
  <c r="H36" i="31" s="1"/>
  <c r="I31" i="31"/>
  <c r="I36" i="31" s="1"/>
  <c r="C31" i="31"/>
  <c r="D29" i="31"/>
  <c r="E29" i="31"/>
  <c r="F29" i="31"/>
  <c r="G29" i="31"/>
  <c r="H29" i="31"/>
  <c r="I29" i="31"/>
  <c r="C29" i="31"/>
  <c r="C36" i="31" s="1"/>
  <c r="K43" i="32"/>
  <c r="J43" i="32"/>
  <c r="I43" i="32"/>
  <c r="H43" i="32"/>
  <c r="G43" i="32"/>
  <c r="F43" i="32"/>
  <c r="E43" i="32"/>
  <c r="D43" i="32"/>
  <c r="C43" i="32"/>
  <c r="B36" i="32"/>
  <c r="N33" i="32"/>
  <c r="H33" i="32"/>
  <c r="L28" i="32"/>
  <c r="K28" i="32"/>
  <c r="J28" i="32"/>
  <c r="I28" i="32"/>
  <c r="H28" i="32"/>
  <c r="G28" i="32"/>
  <c r="F28" i="32"/>
  <c r="E28" i="32"/>
  <c r="D28" i="32"/>
  <c r="C28" i="32"/>
  <c r="T18" i="32"/>
  <c r="T33" i="32" s="1"/>
  <c r="T53" i="32" s="1"/>
  <c r="S18" i="32"/>
  <c r="S33" i="32" s="1"/>
  <c r="S53" i="32" s="1"/>
  <c r="P18" i="32"/>
  <c r="P33" i="32" s="1"/>
  <c r="P53" i="32" s="1"/>
  <c r="N18" i="32"/>
  <c r="L18" i="32"/>
  <c r="L33" i="32" s="1"/>
  <c r="K18" i="32"/>
  <c r="K33" i="32" s="1"/>
  <c r="J18" i="32"/>
  <c r="R18" i="32" s="1"/>
  <c r="R33" i="32" s="1"/>
  <c r="R53" i="32" s="1"/>
  <c r="I18" i="32"/>
  <c r="Q18" i="32" s="1"/>
  <c r="Q33" i="32" s="1"/>
  <c r="Q53" i="32" s="1"/>
  <c r="H18" i="32"/>
  <c r="G18" i="32"/>
  <c r="G33" i="32" s="1"/>
  <c r="F18" i="32"/>
  <c r="F33" i="32" s="1"/>
  <c r="E18" i="32"/>
  <c r="E33" i="32" s="1"/>
  <c r="D18" i="32"/>
  <c r="D33" i="32" s="1"/>
  <c r="C18" i="32"/>
  <c r="C33" i="32" s="1"/>
  <c r="M8" i="32"/>
  <c r="L8" i="32" s="1"/>
  <c r="N7" i="32"/>
  <c r="M7" i="32"/>
  <c r="L7" i="32"/>
  <c r="K7" i="32"/>
  <c r="J7" i="32"/>
  <c r="I7" i="32"/>
  <c r="H7" i="32"/>
  <c r="G7" i="32"/>
  <c r="F7" i="32"/>
  <c r="E7" i="32"/>
  <c r="I78" i="31"/>
  <c r="H78" i="31"/>
  <c r="G78" i="31"/>
  <c r="F78" i="31"/>
  <c r="E78" i="31"/>
  <c r="D78" i="31"/>
  <c r="C78" i="31"/>
  <c r="B46" i="31"/>
  <c r="B45" i="31"/>
  <c r="B44" i="31"/>
  <c r="G36" i="31"/>
  <c r="F36" i="31"/>
  <c r="E36" i="31"/>
  <c r="D36" i="31"/>
  <c r="M16" i="31"/>
  <c r="L16" i="31"/>
  <c r="K16" i="31"/>
  <c r="J16" i="31"/>
  <c r="I16" i="31"/>
  <c r="H16" i="31"/>
  <c r="G16" i="31"/>
  <c r="F16" i="31"/>
  <c r="E16" i="31"/>
  <c r="N15" i="31"/>
  <c r="N16" i="31" s="1"/>
  <c r="M17" i="31" s="1"/>
  <c r="I78" i="30"/>
  <c r="H78" i="30"/>
  <c r="G78" i="30"/>
  <c r="F78" i="30"/>
  <c r="E78" i="30"/>
  <c r="D78" i="30"/>
  <c r="C78" i="30"/>
  <c r="H48" i="31"/>
  <c r="G48" i="31"/>
  <c r="G50" i="31" s="1"/>
  <c r="F48" i="31"/>
  <c r="F50" i="31" s="1"/>
  <c r="E48" i="31"/>
  <c r="D48" i="31"/>
  <c r="C48" i="31"/>
  <c r="B46" i="30"/>
  <c r="B45" i="30"/>
  <c r="B44" i="30"/>
  <c r="I36" i="30"/>
  <c r="G36" i="30"/>
  <c r="F36" i="30"/>
  <c r="E36" i="30"/>
  <c r="D36" i="30"/>
  <c r="C36" i="30"/>
  <c r="N16" i="30"/>
  <c r="M17" i="30" s="1"/>
  <c r="M16" i="30"/>
  <c r="L16" i="30"/>
  <c r="K16" i="30"/>
  <c r="J16" i="30"/>
  <c r="I16" i="30"/>
  <c r="H16" i="30"/>
  <c r="G16" i="30"/>
  <c r="F16" i="30"/>
  <c r="E16" i="30"/>
  <c r="E50" i="30" l="1"/>
  <c r="G50" i="30"/>
  <c r="D50" i="30"/>
  <c r="F50" i="30"/>
  <c r="H50" i="30"/>
  <c r="E50" i="31"/>
  <c r="C50" i="31"/>
  <c r="R40" i="32"/>
  <c r="R36" i="32"/>
  <c r="K8" i="32"/>
  <c r="R41" i="32"/>
  <c r="R37" i="32"/>
  <c r="R38" i="32"/>
  <c r="R34" i="32"/>
  <c r="R43" i="32" s="1"/>
  <c r="R39" i="32"/>
  <c r="S36" i="32"/>
  <c r="I33" i="32"/>
  <c r="S34" i="32"/>
  <c r="S40" i="32"/>
  <c r="J33" i="32"/>
  <c r="S39" i="32"/>
  <c r="O18" i="32"/>
  <c r="O33" i="32" s="1"/>
  <c r="S38" i="32"/>
  <c r="S37" i="32"/>
  <c r="S41" i="32"/>
  <c r="P42" i="31"/>
  <c r="P45" i="31"/>
  <c r="L17" i="31"/>
  <c r="O42" i="31" s="1"/>
  <c r="P44" i="31"/>
  <c r="P47" i="31"/>
  <c r="P48" i="31"/>
  <c r="P49" i="31"/>
  <c r="P46" i="31"/>
  <c r="H50" i="31"/>
  <c r="D50" i="31"/>
  <c r="O45" i="30"/>
  <c r="P49" i="30"/>
  <c r="P46" i="30"/>
  <c r="P45" i="30"/>
  <c r="L17" i="30"/>
  <c r="O42" i="30" s="1"/>
  <c r="P47" i="30"/>
  <c r="P48" i="30"/>
  <c r="P44" i="30"/>
  <c r="H36" i="30"/>
  <c r="C50" i="30"/>
  <c r="P42" i="30"/>
  <c r="S43" i="32" l="1"/>
  <c r="Q34" i="32"/>
  <c r="Q40" i="32"/>
  <c r="Q36" i="32"/>
  <c r="J8" i="32"/>
  <c r="Q41" i="32"/>
  <c r="Q37" i="32"/>
  <c r="Q39" i="32"/>
  <c r="Q38" i="32"/>
  <c r="O48" i="31"/>
  <c r="O47" i="31"/>
  <c r="O44" i="31"/>
  <c r="K17" i="31"/>
  <c r="O49" i="31"/>
  <c r="O46" i="31"/>
  <c r="P50" i="31"/>
  <c r="O45" i="31"/>
  <c r="P50" i="30"/>
  <c r="O49" i="30"/>
  <c r="O46" i="30"/>
  <c r="K17" i="30"/>
  <c r="O47" i="30"/>
  <c r="O44" i="30"/>
  <c r="O48" i="30"/>
  <c r="O50" i="30" l="1"/>
  <c r="O50" i="31"/>
  <c r="P39" i="32"/>
  <c r="P34" i="32"/>
  <c r="P40" i="32"/>
  <c r="P36" i="32"/>
  <c r="I8" i="32"/>
  <c r="P41" i="32"/>
  <c r="P37" i="32"/>
  <c r="P38" i="32"/>
  <c r="Q43" i="32"/>
  <c r="N44" i="31"/>
  <c r="N49" i="31"/>
  <c r="N47" i="31"/>
  <c r="N42" i="31"/>
  <c r="J17" i="31"/>
  <c r="N45" i="31"/>
  <c r="N46" i="31"/>
  <c r="N48" i="31"/>
  <c r="J17" i="30"/>
  <c r="N49" i="30"/>
  <c r="N46" i="30"/>
  <c r="N47" i="30"/>
  <c r="N42" i="30"/>
  <c r="N44" i="30"/>
  <c r="N45" i="30"/>
  <c r="N48" i="30"/>
  <c r="P43" i="32" l="1"/>
  <c r="R27" i="32"/>
  <c r="Q26" i="32"/>
  <c r="P25" i="32"/>
  <c r="T21" i="32"/>
  <c r="S19" i="32"/>
  <c r="O38" i="32"/>
  <c r="R26" i="32"/>
  <c r="O39" i="32"/>
  <c r="Q27" i="32"/>
  <c r="P26" i="32"/>
  <c r="T22" i="32"/>
  <c r="S21" i="32"/>
  <c r="R19" i="32"/>
  <c r="O42" i="32"/>
  <c r="O34" i="32"/>
  <c r="P27" i="32"/>
  <c r="T23" i="32"/>
  <c r="S22" i="32"/>
  <c r="R21" i="32"/>
  <c r="Q19" i="32"/>
  <c r="O40" i="32"/>
  <c r="O36" i="32"/>
  <c r="T24" i="32"/>
  <c r="S23" i="32"/>
  <c r="R22" i="32"/>
  <c r="Q21" i="32"/>
  <c r="P19" i="32"/>
  <c r="H8" i="32"/>
  <c r="S27" i="32"/>
  <c r="T25" i="32"/>
  <c r="S24" i="32"/>
  <c r="R23" i="32"/>
  <c r="Q22" i="32"/>
  <c r="P21" i="32"/>
  <c r="Q25" i="32"/>
  <c r="T19" i="32"/>
  <c r="O41" i="32"/>
  <c r="O37" i="32"/>
  <c r="T26" i="32"/>
  <c r="S25" i="32"/>
  <c r="R24" i="32"/>
  <c r="Q23" i="32"/>
  <c r="P22" i="32"/>
  <c r="T27" i="32"/>
  <c r="S26" i="32"/>
  <c r="R25" i="32"/>
  <c r="Q24" i="32"/>
  <c r="P23" i="32"/>
  <c r="P24" i="32"/>
  <c r="M48" i="31"/>
  <c r="M45" i="31"/>
  <c r="M49" i="31"/>
  <c r="M46" i="31"/>
  <c r="M47" i="31"/>
  <c r="M42" i="31"/>
  <c r="M44" i="31"/>
  <c r="I17" i="31"/>
  <c r="N50" i="31"/>
  <c r="N50" i="30"/>
  <c r="I17" i="30"/>
  <c r="M42" i="30"/>
  <c r="M49" i="30"/>
  <c r="M46" i="30"/>
  <c r="M44" i="30"/>
  <c r="M47" i="30"/>
  <c r="M45" i="30"/>
  <c r="M48" i="30"/>
  <c r="M50" i="30" l="1"/>
  <c r="M50" i="31"/>
  <c r="O43" i="32"/>
  <c r="R28" i="32"/>
  <c r="S28" i="32"/>
  <c r="S48" i="32" s="1"/>
  <c r="Q28" i="32"/>
  <c r="Q48" i="32" s="1"/>
  <c r="P28" i="32"/>
  <c r="G8" i="32"/>
  <c r="F8" i="32" s="1"/>
  <c r="E8" i="32" s="1"/>
  <c r="D8" i="32" s="1"/>
  <c r="N42" i="32"/>
  <c r="N38" i="32"/>
  <c r="N39" i="32"/>
  <c r="N41" i="32"/>
  <c r="N34" i="32"/>
  <c r="N40" i="32"/>
  <c r="N36" i="32"/>
  <c r="N37" i="32"/>
  <c r="T28" i="32"/>
  <c r="N29" i="31"/>
  <c r="P31" i="31"/>
  <c r="Q33" i="31"/>
  <c r="P32" i="31"/>
  <c r="N32" i="31"/>
  <c r="L47" i="31"/>
  <c r="P35" i="31"/>
  <c r="O34" i="31"/>
  <c r="M32" i="31"/>
  <c r="L49" i="31"/>
  <c r="L46" i="31"/>
  <c r="Q34" i="31"/>
  <c r="P33" i="31"/>
  <c r="O32" i="31"/>
  <c r="Q35" i="31"/>
  <c r="P34" i="31"/>
  <c r="O33" i="31"/>
  <c r="M31" i="31"/>
  <c r="N33" i="31"/>
  <c r="Q32" i="31"/>
  <c r="O35" i="31"/>
  <c r="N34" i="31"/>
  <c r="M33" i="31"/>
  <c r="L44" i="31"/>
  <c r="N35" i="31"/>
  <c r="M34" i="31"/>
  <c r="P29" i="31"/>
  <c r="M35" i="31"/>
  <c r="Q31" i="31"/>
  <c r="O29" i="31"/>
  <c r="L48" i="31"/>
  <c r="H17" i="31"/>
  <c r="Q29" i="31"/>
  <c r="Q36" i="31" s="1"/>
  <c r="O31" i="31"/>
  <c r="N31" i="31"/>
  <c r="L42" i="31"/>
  <c r="M29" i="31"/>
  <c r="L45" i="31"/>
  <c r="L44" i="30"/>
  <c r="N35" i="30"/>
  <c r="M34" i="30"/>
  <c r="M35" i="30"/>
  <c r="P34" i="30"/>
  <c r="L47" i="30"/>
  <c r="L42" i="30"/>
  <c r="M33" i="30"/>
  <c r="Q29" i="30"/>
  <c r="Q31" i="30"/>
  <c r="O29" i="30"/>
  <c r="Q35" i="30"/>
  <c r="P35" i="30"/>
  <c r="O34" i="30"/>
  <c r="M32" i="30"/>
  <c r="N34" i="30"/>
  <c r="Q32" i="30"/>
  <c r="H17" i="30"/>
  <c r="Q33" i="30"/>
  <c r="P32" i="30"/>
  <c r="M29" i="30"/>
  <c r="O33" i="30"/>
  <c r="O35" i="30"/>
  <c r="L49" i="30"/>
  <c r="L46" i="30"/>
  <c r="Q34" i="30"/>
  <c r="P33" i="30"/>
  <c r="O32" i="30"/>
  <c r="M31" i="30"/>
  <c r="N32" i="30"/>
  <c r="N33" i="30"/>
  <c r="O31" i="30"/>
  <c r="P31" i="30"/>
  <c r="N31" i="30"/>
  <c r="N29" i="30"/>
  <c r="L48" i="30"/>
  <c r="L45" i="30"/>
  <c r="P29" i="30"/>
  <c r="N36" i="30" l="1"/>
  <c r="O36" i="30"/>
  <c r="O53" i="30" s="1"/>
  <c r="S61" i="30" s="1"/>
  <c r="O24" i="32"/>
  <c r="N23" i="32"/>
  <c r="O23" i="32"/>
  <c r="O25" i="32"/>
  <c r="N24" i="32"/>
  <c r="O26" i="32"/>
  <c r="N25" i="32"/>
  <c r="O27" i="32"/>
  <c r="N26" i="32"/>
  <c r="N22" i="32"/>
  <c r="N27" i="32"/>
  <c r="O19" i="32"/>
  <c r="O21" i="32"/>
  <c r="N19" i="32"/>
  <c r="O22" i="32"/>
  <c r="N21" i="32"/>
  <c r="V55" i="32"/>
  <c r="U55" i="32"/>
  <c r="T55" i="32"/>
  <c r="S55" i="32"/>
  <c r="R55" i="32"/>
  <c r="N43" i="32"/>
  <c r="X57" i="32"/>
  <c r="W57" i="32"/>
  <c r="V57" i="32"/>
  <c r="U57" i="32"/>
  <c r="T57" i="32"/>
  <c r="T43" i="32"/>
  <c r="T48" i="32" s="1"/>
  <c r="R48" i="32"/>
  <c r="N36" i="31"/>
  <c r="G17" i="31"/>
  <c r="F17" i="31" s="1"/>
  <c r="E17" i="31" s="1"/>
  <c r="D17" i="31" s="1"/>
  <c r="K46" i="31"/>
  <c r="K49" i="31"/>
  <c r="K47" i="31"/>
  <c r="K44" i="31"/>
  <c r="K42" i="31"/>
  <c r="K48" i="31"/>
  <c r="K45" i="31"/>
  <c r="M36" i="31"/>
  <c r="P36" i="31"/>
  <c r="O36" i="31"/>
  <c r="O53" i="31" s="1"/>
  <c r="L50" i="31"/>
  <c r="Q36" i="30"/>
  <c r="L50" i="30"/>
  <c r="P36" i="30"/>
  <c r="P53" i="30" s="1"/>
  <c r="M36" i="30"/>
  <c r="N53" i="30" s="1"/>
  <c r="R61" i="30"/>
  <c r="Q61" i="30"/>
  <c r="T61" i="30"/>
  <c r="G17" i="30"/>
  <c r="F17" i="30" s="1"/>
  <c r="E17" i="30" s="1"/>
  <c r="D17" i="30" s="1"/>
  <c r="K44" i="30"/>
  <c r="K45" i="30"/>
  <c r="K49" i="30"/>
  <c r="K46" i="30"/>
  <c r="K47" i="30"/>
  <c r="K48" i="30"/>
  <c r="K42" i="30"/>
  <c r="P61" i="30" l="1"/>
  <c r="U58" i="32"/>
  <c r="Y58" i="32"/>
  <c r="Y59" i="32" s="1"/>
  <c r="Y61" i="32" s="1"/>
  <c r="X58" i="32"/>
  <c r="W58" i="32"/>
  <c r="V58" i="32"/>
  <c r="X59" i="32"/>
  <c r="X61" i="32" s="1"/>
  <c r="O28" i="32"/>
  <c r="P48" i="32" s="1"/>
  <c r="N28" i="32"/>
  <c r="U56" i="32"/>
  <c r="T56" i="32"/>
  <c r="S56" i="32"/>
  <c r="W56" i="32"/>
  <c r="W59" i="32" s="1"/>
  <c r="W61" i="32" s="1"/>
  <c r="V56" i="32"/>
  <c r="V59" i="32" s="1"/>
  <c r="V61" i="32" s="1"/>
  <c r="P61" i="31"/>
  <c r="T61" i="31"/>
  <c r="S61" i="31"/>
  <c r="R61" i="31"/>
  <c r="Q61" i="31"/>
  <c r="P53" i="31"/>
  <c r="L35" i="31"/>
  <c r="K35" i="31"/>
  <c r="K29" i="31"/>
  <c r="L31" i="31"/>
  <c r="L32" i="31"/>
  <c r="L33" i="31"/>
  <c r="K32" i="31"/>
  <c r="L34" i="31"/>
  <c r="K33" i="31"/>
  <c r="K34" i="31"/>
  <c r="L29" i="31"/>
  <c r="K31" i="31"/>
  <c r="N53" i="31"/>
  <c r="K50" i="31"/>
  <c r="U62" i="30"/>
  <c r="T62" i="30"/>
  <c r="S62" i="30"/>
  <c r="R62" i="30"/>
  <c r="Q62" i="30"/>
  <c r="L33" i="30"/>
  <c r="K32" i="30"/>
  <c r="K33" i="30"/>
  <c r="L34" i="30"/>
  <c r="L35" i="30"/>
  <c r="K34" i="30"/>
  <c r="K29" i="30"/>
  <c r="K35" i="30"/>
  <c r="L32" i="30"/>
  <c r="L31" i="30"/>
  <c r="K31" i="30"/>
  <c r="L29" i="30"/>
  <c r="P60" i="30"/>
  <c r="S60" i="30"/>
  <c r="R60" i="30"/>
  <c r="Q60" i="30"/>
  <c r="O60" i="30"/>
  <c r="K50" i="30"/>
  <c r="U54" i="32" l="1"/>
  <c r="U59" i="32" s="1"/>
  <c r="T54" i="32"/>
  <c r="S54" i="32"/>
  <c r="R54" i="32"/>
  <c r="Q54" i="32"/>
  <c r="S60" i="31"/>
  <c r="P60" i="31"/>
  <c r="R60" i="31"/>
  <c r="Q60" i="31"/>
  <c r="O60" i="31"/>
  <c r="T62" i="31"/>
  <c r="S62" i="31"/>
  <c r="R62" i="31"/>
  <c r="Q62" i="31"/>
  <c r="U62" i="31"/>
  <c r="L36" i="31"/>
  <c r="K36" i="31"/>
  <c r="K36" i="30"/>
  <c r="L36" i="30"/>
  <c r="M53" i="30" s="1"/>
  <c r="U61" i="32" l="1"/>
  <c r="Z61" i="32" s="1"/>
  <c r="Z59" i="32"/>
  <c r="M53" i="31"/>
  <c r="R59" i="30"/>
  <c r="Q59" i="30"/>
  <c r="P59" i="30"/>
  <c r="O59" i="30"/>
  <c r="N59" i="30"/>
  <c r="Q59" i="31" l="1"/>
  <c r="P59" i="31"/>
  <c r="O59" i="31"/>
  <c r="N59" i="31"/>
  <c r="R59" i="31"/>
  <c r="R51" i="31" l="1"/>
  <c r="Q50" i="31" s="1"/>
  <c r="Q53" i="31" s="1"/>
  <c r="Q50" i="30"/>
  <c r="Q53" i="30" s="1"/>
  <c r="S63" i="30" l="1"/>
  <c r="S64" i="30" s="1"/>
  <c r="S66" i="30" s="1"/>
  <c r="V63" i="30"/>
  <c r="V64" i="30" s="1"/>
  <c r="V66" i="30" s="1"/>
  <c r="R63" i="30"/>
  <c r="R64" i="30" s="1"/>
  <c r="U63" i="30"/>
  <c r="U64" i="30" s="1"/>
  <c r="U66" i="30" s="1"/>
  <c r="T63" i="30"/>
  <c r="T64" i="30" s="1"/>
  <c r="T66" i="30" s="1"/>
  <c r="U63" i="31"/>
  <c r="U64" i="31" s="1"/>
  <c r="U66" i="31" s="1"/>
  <c r="V63" i="31"/>
  <c r="V64" i="31" s="1"/>
  <c r="V66" i="31" s="1"/>
  <c r="T63" i="31"/>
  <c r="T64" i="31" s="1"/>
  <c r="T66" i="31" s="1"/>
  <c r="S63" i="31"/>
  <c r="S64" i="31" s="1"/>
  <c r="S66" i="31" s="1"/>
  <c r="R63" i="31"/>
  <c r="R64" i="31" s="1"/>
  <c r="W64" i="30" l="1"/>
  <c r="R66" i="30"/>
  <c r="W66" i="30" s="1"/>
  <c r="W64" i="31"/>
  <c r="R66" i="31"/>
  <c r="W66" i="31" s="1"/>
</calcChain>
</file>

<file path=xl/sharedStrings.xml><?xml version="1.0" encoding="utf-8"?>
<sst xmlns="http://schemas.openxmlformats.org/spreadsheetml/2006/main" count="326" uniqueCount="77">
  <si>
    <t>Essential Energy</t>
  </si>
  <si>
    <t>2024-25</t>
  </si>
  <si>
    <t>Current period</t>
  </si>
  <si>
    <t>Previous period</t>
  </si>
  <si>
    <t>2028-29</t>
  </si>
  <si>
    <t>7.5 EBSS</t>
  </si>
  <si>
    <t>Intstructions</t>
  </si>
  <si>
    <r>
      <t xml:space="preserve">
Efficiency gains are calculated using the formulae outlined on page 6 and 7 of version 2 of the </t>
    </r>
    <r>
      <rPr>
        <i/>
        <sz val="12"/>
        <color theme="1"/>
        <rFont val="Arial"/>
        <family val="2"/>
      </rPr>
      <t>Efficiency benefit sharing scheme</t>
    </r>
    <r>
      <rPr>
        <sz val="12"/>
        <color theme="1"/>
        <rFont val="Arial"/>
        <family val="2"/>
      </rPr>
      <t xml:space="preserve">.  </t>
    </r>
  </si>
  <si>
    <t>Actual and estimated inflation</t>
  </si>
  <si>
    <t>Actual</t>
  </si>
  <si>
    <t>Estimated</t>
  </si>
  <si>
    <t>ABS CPI index - June</t>
  </si>
  <si>
    <t xml:space="preserve">Inflation rate (per cent) </t>
  </si>
  <si>
    <t>7.5.1 -  The carryover amounts that arise from applying the EBSS during the current regulatory control period</t>
  </si>
  <si>
    <t>Base year used to forecast opex for the current period (drop down menu)</t>
  </si>
  <si>
    <t>2017-18</t>
  </si>
  <si>
    <t>7.5.1.1 - Opex allowance applicable to EBSS (EBSS target)</t>
  </si>
  <si>
    <t>Current regulatory control period</t>
  </si>
  <si>
    <t>Total opex allowance</t>
  </si>
  <si>
    <t xml:space="preserve">Approved excludable costs - allowance </t>
  </si>
  <si>
    <t>Debt raising costs</t>
  </si>
  <si>
    <t>DMIA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</si>
  <si>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</si>
  <si>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</si>
  <si>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</si>
  <si>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</si>
  <si>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</si>
  <si>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</si>
  <si>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</si>
  <si>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Capitalised opex that has been excluded from the regulatory asset base</t>
  </si>
  <si>
    <t>Movements in provisions related to opex</t>
  </si>
  <si>
    <t>Actual opex for EBSS purposes</t>
  </si>
  <si>
    <t>2022-23</t>
  </si>
  <si>
    <t>Carryover</t>
  </si>
  <si>
    <t>Forthcoming regulatory control period</t>
  </si>
  <si>
    <t>Total</t>
  </si>
  <si>
    <t>7.5.2 - Proposed forecast opex for the EBSS for the forthcoming regulatory control period</t>
  </si>
  <si>
    <t>Forecast opex</t>
  </si>
  <si>
    <t>Less excluded costs</t>
  </si>
  <si>
    <t>Provision Movements</t>
  </si>
  <si>
    <t>EFFICIENCY BENEFIT SHARING SCHEME</t>
  </si>
  <si>
    <t>2012-13</t>
  </si>
  <si>
    <t>2013-14</t>
  </si>
  <si>
    <t>2014-15</t>
  </si>
  <si>
    <t>2015-16</t>
  </si>
  <si>
    <t>2016-17</t>
  </si>
  <si>
    <t>2018-19</t>
  </si>
  <si>
    <t>2019-20</t>
  </si>
  <si>
    <t>2020-21</t>
  </si>
  <si>
    <t>2021-22</t>
  </si>
  <si>
    <t>2023-24</t>
  </si>
  <si>
    <t>2025-26</t>
  </si>
  <si>
    <t>2026-27</t>
  </si>
  <si>
    <t>2027-28</t>
  </si>
  <si>
    <t>2024-25 to 2028-29</t>
  </si>
  <si>
    <t>Essential Energy is required to populate all input cells (yellow) in this worksheet.</t>
  </si>
  <si>
    <t>Reconstructed cumulative index (2023-24=1)</t>
  </si>
  <si>
    <t>Non-recurrent efficiency adjustment made to 2017-18 opex, $m, real June 2019</t>
  </si>
  <si>
    <t>$m, real June 2014</t>
  </si>
  <si>
    <t>$m, real June 2019</t>
  </si>
  <si>
    <t>$m, real June 2024</t>
  </si>
  <si>
    <t>Incremental gain $m, real June 2024</t>
  </si>
  <si>
    <t>Essential Energy to nominate base year used to forecast opex 
(drop down menu)</t>
  </si>
  <si>
    <t>Base year non-recurrent efficiency gain $m, real June 2024</t>
  </si>
  <si>
    <t>Total Carryover Amount ($m, June 2024)</t>
  </si>
  <si>
    <t>PTRM inputs ($m, June 2024)</t>
  </si>
  <si>
    <t>Adjusted forecast opex ($m, 2023-24)</t>
  </si>
  <si>
    <t>ABS CPI index - June (old base)</t>
  </si>
  <si>
    <t>ABS CPI index - June (rebased)</t>
  </si>
  <si>
    <t>Base year for the previous period (drop down menu)</t>
  </si>
  <si>
    <t>Self insurance</t>
  </si>
  <si>
    <t>Demand management innovation allowance</t>
  </si>
  <si>
    <t>Approved pass throughs</t>
  </si>
  <si>
    <t>Business to nominate base year used to forecast opex 
(drop down menu)</t>
  </si>
  <si>
    <t>Movements in provisions</t>
  </si>
  <si>
    <t>Base year non-recurrent efficiency gain ($m)</t>
  </si>
  <si>
    <t xml:space="preserve"> $m, real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</si>
</sst>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[$€-2]* #,##0.00_);_([$€-2]* \(#,##0.00\);_([$€-2]* &quot;-&quot;??_)"/>
    <numFmt numFmtId="169" formatCode="_-* #,##0.00_-;[Red]\(#,##0.00\)_-;_-* &quot;-&quot;??_-;_-@_-"/>
    <numFmt numFmtId="170" formatCode="mm/dd/yy"/>
    <numFmt numFmtId="171" formatCode="0_);[Red]\(0\)"/>
    <numFmt numFmtId="172" formatCode="0.0%"/>
    <numFmt numFmtId="173" formatCode="_(* #,##0.0_);_(* \(#,##0.0\);_(* &quot;-&quot;?_);_(@_)"/>
    <numFmt numFmtId="174" formatCode="_(* #,##0_);_(* \(#,##0\);_(* &quot;-&quot;?_);_(@_)"/>
    <numFmt numFmtId="175" formatCode="#,##0.000_ ;[Red]\-#,##0.000\ "/>
    <numFmt numFmtId="176" formatCode="#,##0.0_);\(#,##0.0\)"/>
    <numFmt numFmtId="177" formatCode="#,##0_ ;\-#,##0\ "/>
    <numFmt numFmtId="178" formatCode="#,##0;[Red]\(#,##0.0\)"/>
    <numFmt numFmtId="179" formatCode="#,##0_ ;[Red]\(#,##0\)\ "/>
    <numFmt numFmtId="180" formatCode="#,##0.00;\(#,##0.00\)"/>
    <numFmt numFmtId="181" formatCode="_)d\-mmm\-yy_)"/>
    <numFmt numFmtId="182" formatCode="_(#,##0.0_);\(#,##0.0\);_(&quot;-&quot;_)"/>
    <numFmt numFmtId="183" formatCode="_(###0_);\(###0\);_(###0_)"/>
    <numFmt numFmtId="184" formatCode="#,##0.0000_);[Red]\(#,##0.0000\)"/>
    <numFmt numFmtId="185" formatCode="0.0"/>
    <numFmt numFmtId="186" formatCode="_-* #,##0_-;\-* #,##0_-;_-* &quot;-&quot;??_-;_-@_-"/>
    <numFmt numFmtId="187" formatCode="#,##0_ ;\(#,##0\)_ "/>
    <numFmt numFmtId="188" formatCode="#,##0.0_ ;\-#,##0.0\ "/>
    <numFmt numFmtId="189" formatCode="#,##0;\(#,##0\)"/>
    <numFmt numFmtId="190" formatCode="0.000"/>
    <numFmt numFmtId="191" formatCode="_-* #,##0.0_-;\-* #,##0.0_-;_-* &quot;-&quot;??_-;_-@_-"/>
    <numFmt numFmtId="192" formatCode="0.0;\–0.0;&quot;–&quot;"/>
    <numFmt numFmtId="196" formatCode="0.000000000000"/>
    <numFmt numFmtId="197" formatCode="#,##0.0;\–#,##0.0;&quot;–&quot;"/>
    <numFmt numFmtId="198" formatCode="#,##0.0000;\–#,##0.0000;&quot;–&quot;"/>
    <numFmt numFmtId="199" formatCode="#,##0.00;\–#,##0.00;&quot;–&quot;"/>
    <numFmt numFmtId="200" formatCode="#,##0.0000"/>
    <numFmt numFmtId="201" formatCode="_-* #,##0.0000_-;\-* #,##0.0000_-;_-* &quot;-&quot;??_-;_-@_-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6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sz val="5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b/>
      <sz val="11"/>
      <color rgb="FFFF0000"/>
      <name val="Calibri"/>
      <family val="2"/>
      <scheme val="minor"/>
    </font>
    <font>
      <i/>
      <sz val="12"/>
      <color theme="1"/>
      <name val="Arial"/>
      <family val="2"/>
    </font>
    <font>
      <strike/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auto="1"/>
      </patternFill>
    </fill>
    <fill>
      <patternFill patternType="solid">
        <fgColor rgb="FFFFFFCC"/>
        <bgColor rgb="FFFFFFCC"/>
      </patternFill>
    </fill>
  </fills>
  <borders count="1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70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8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0" fontId="14" fillId="0" borderId="0"/>
    <xf numFmtId="0" fontId="1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169" fontId="16" fillId="0" borderId="0"/>
    <xf numFmtId="169" fontId="16" fillId="0" borderId="0"/>
    <xf numFmtId="0" fontId="17" fillId="12" borderId="0" applyNumberFormat="0" applyBorder="0" applyAlignment="0" applyProtection="0"/>
    <xf numFmtId="0" fontId="1" fillId="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0" borderId="0"/>
    <xf numFmtId="164" fontId="20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0" borderId="0" applyNumberFormat="0" applyFill="0" applyBorder="0" applyAlignment="0"/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165" fontId="4" fillId="32" borderId="0" applyNumberFormat="0" applyFont="0" applyBorder="0" applyAlignment="0">
      <alignment horizontal="right"/>
    </xf>
    <xf numFmtId="0" fontId="23" fillId="0" borderId="0" applyNumberFormat="0" applyFill="0" applyBorder="0" applyAlignment="0">
      <protection locked="0"/>
    </xf>
    <xf numFmtId="0" fontId="24" fillId="15" borderId="38" applyNumberFormat="0" applyAlignment="0" applyProtection="0"/>
    <xf numFmtId="0" fontId="24" fillId="15" borderId="38" applyNumberFormat="0" applyAlignment="0" applyProtection="0"/>
    <xf numFmtId="0" fontId="24" fillId="15" borderId="38" applyNumberFormat="0" applyAlignment="0" applyProtection="0"/>
    <xf numFmtId="0" fontId="24" fillId="15" borderId="38" applyNumberFormat="0" applyAlignment="0" applyProtection="0"/>
    <xf numFmtId="0" fontId="24" fillId="15" borderId="38" applyNumberFormat="0" applyAlignment="0" applyProtection="0"/>
    <xf numFmtId="0" fontId="24" fillId="15" borderId="38" applyNumberFormat="0" applyAlignment="0" applyProtection="0"/>
    <xf numFmtId="0" fontId="24" fillId="15" borderId="38" applyNumberFormat="0" applyAlignment="0" applyProtection="0"/>
    <xf numFmtId="0" fontId="25" fillId="33" borderId="39" applyNumberFormat="0" applyAlignment="0" applyProtection="0"/>
    <xf numFmtId="0" fontId="25" fillId="33" borderId="39" applyNumberFormat="0" applyAlignment="0" applyProtection="0"/>
    <xf numFmtId="165" fontId="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2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168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2" fillId="0" borderId="0"/>
    <xf numFmtId="0" fontId="33" fillId="0" borderId="0"/>
    <xf numFmtId="0" fontId="34" fillId="39" borderId="0" applyNumberFormat="0" applyBorder="0" applyAlignment="0" applyProtection="0"/>
    <xf numFmtId="0" fontId="7" fillId="0" borderId="0" applyFill="0" applyBorder="0">
      <alignment vertical="center"/>
    </xf>
    <xf numFmtId="0" fontId="35" fillId="0" borderId="41" applyNumberFormat="0" applyFill="0" applyAlignment="0" applyProtection="0"/>
    <xf numFmtId="0" fontId="7" fillId="0" borderId="0" applyFill="0" applyBorder="0">
      <alignment vertical="center"/>
    </xf>
    <xf numFmtId="0" fontId="36" fillId="0" borderId="0" applyFill="0" applyBorder="0">
      <alignment vertical="center"/>
    </xf>
    <xf numFmtId="0" fontId="37" fillId="0" borderId="42" applyNumberFormat="0" applyFill="0" applyAlignment="0" applyProtection="0"/>
    <xf numFmtId="0" fontId="36" fillId="0" borderId="0" applyFill="0" applyBorder="0">
      <alignment vertical="center"/>
    </xf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9" fillId="0" borderId="0" applyFill="0" applyBorder="0">
      <alignment vertical="center"/>
    </xf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9" fillId="0" borderId="0" applyFill="0" applyBorder="0">
      <alignment vertical="center"/>
    </xf>
    <xf numFmtId="0" fontId="16" fillId="0" borderId="0" applyFill="0" applyBorder="0">
      <alignment vertical="center"/>
    </xf>
    <xf numFmtId="0" fontId="38" fillId="0" borderId="0" applyNumberFormat="0" applyFill="0" applyBorder="0" applyAlignment="0" applyProtection="0"/>
    <xf numFmtId="0" fontId="16" fillId="0" borderId="0" applyFill="0" applyBorder="0">
      <alignment vertical="center"/>
    </xf>
    <xf numFmtId="172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5" fillId="0" borderId="0" applyFill="0" applyBorder="0">
      <alignment horizontal="center" vertical="center"/>
      <protection locked="0"/>
    </xf>
    <xf numFmtId="0" fontId="46" fillId="0" borderId="0" applyFill="0" applyBorder="0">
      <alignment horizontal="left" vertical="center"/>
      <protection locked="0"/>
    </xf>
    <xf numFmtId="173" fontId="4" fillId="40" borderId="0" applyFont="0" applyBorder="0">
      <alignment horizontal="right"/>
    </xf>
    <xf numFmtId="172" fontId="4" fillId="40" borderId="0" applyFont="0" applyBorder="0" applyAlignment="0"/>
    <xf numFmtId="173" fontId="4" fillId="40" borderId="0" applyFont="0" applyBorder="0">
      <alignment horizontal="right"/>
    </xf>
    <xf numFmtId="0" fontId="47" fillId="13" borderId="38" applyNumberFormat="0" applyAlignment="0" applyProtection="0"/>
    <xf numFmtId="0" fontId="47" fillId="13" borderId="38" applyNumberFormat="0" applyAlignment="0" applyProtection="0"/>
    <xf numFmtId="0" fontId="47" fillId="13" borderId="38" applyNumberFormat="0" applyAlignment="0" applyProtection="0"/>
    <xf numFmtId="0" fontId="47" fillId="13" borderId="38" applyNumberFormat="0" applyAlignment="0" applyProtection="0"/>
    <xf numFmtId="0" fontId="47" fillId="13" borderId="38" applyNumberFormat="0" applyAlignment="0" applyProtection="0"/>
    <xf numFmtId="0" fontId="47" fillId="13" borderId="38" applyNumberFormat="0" applyAlignment="0" applyProtection="0"/>
    <xf numFmtId="0" fontId="47" fillId="13" borderId="38" applyNumberFormat="0" applyAlignment="0" applyProtection="0"/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1" borderId="0" applyFont="0" applyBorder="0" applyAlignment="0">
      <alignment horizontal="right"/>
      <protection locked="0"/>
    </xf>
    <xf numFmtId="165" fontId="4" fillId="42" borderId="0" applyFont="0" applyBorder="0" applyAlignment="0">
      <alignment horizontal="right"/>
      <protection locked="0"/>
    </xf>
    <xf numFmtId="10" fontId="4" fillId="42" borderId="0" applyFont="0" applyBorder="0">
      <alignment horizontal="right"/>
      <protection locked="0"/>
    </xf>
    <xf numFmtId="165" fontId="4" fillId="42" borderId="0" applyFont="0" applyBorder="0" applyAlignment="0">
      <alignment horizontal="right"/>
      <protection locked="0"/>
    </xf>
    <xf numFmtId="3" fontId="4" fillId="43" borderId="0" applyFont="0" applyBorder="0">
      <protection locked="0"/>
    </xf>
    <xf numFmtId="172" fontId="36" fillId="43" borderId="0" applyBorder="0" applyAlignment="0"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74" fontId="4" fillId="44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65" fontId="4" fillId="40" borderId="0" applyFont="0" applyBorder="0">
      <alignment horizontal="right"/>
      <protection locked="0"/>
    </xf>
    <xf numFmtId="175" fontId="1" fillId="35" borderId="17">
      <protection locked="0"/>
    </xf>
    <xf numFmtId="175" fontId="1" fillId="35" borderId="17">
      <protection locked="0"/>
    </xf>
    <xf numFmtId="175" fontId="1" fillId="35" borderId="17"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49" fontId="1" fillId="35" borderId="17" applyFont="0" applyAlignment="0">
      <alignment horizontal="left" vertical="center" wrapText="1"/>
      <protection locked="0"/>
    </xf>
    <xf numFmtId="172" fontId="48" fillId="45" borderId="0" applyBorder="0" applyAlignment="0"/>
    <xf numFmtId="0" fontId="16" fillId="32" borderId="0"/>
    <xf numFmtId="0" fontId="49" fillId="0" borderId="44" applyNumberFormat="0" applyFill="0" applyAlignment="0" applyProtection="0"/>
    <xf numFmtId="173" fontId="11" fillId="32" borderId="45" applyFont="0" applyBorder="0" applyAlignment="0"/>
    <xf numFmtId="172" fontId="36" fillId="32" borderId="0" applyFont="0" applyBorder="0" applyAlignment="0"/>
    <xf numFmtId="176" fontId="50" fillId="0" borderId="0"/>
    <xf numFmtId="0" fontId="51" fillId="0" borderId="0" applyFill="0" applyBorder="0">
      <alignment horizontal="left" vertical="center"/>
    </xf>
    <xf numFmtId="0" fontId="52" fillId="16" borderId="0" applyNumberFormat="0" applyBorder="0" applyAlignment="0" applyProtection="0"/>
    <xf numFmtId="175" fontId="1" fillId="4" borderId="17"/>
    <xf numFmtId="175" fontId="1" fillId="4" borderId="17"/>
    <xf numFmtId="175" fontId="1" fillId="4" borderId="17"/>
    <xf numFmtId="177" fontId="53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8" borderId="0"/>
    <xf numFmtId="0" fontId="4" fillId="8" borderId="0"/>
    <xf numFmtId="0" fontId="4" fillId="0" borderId="0"/>
    <xf numFmtId="0" fontId="1" fillId="0" borderId="0">
      <protection locked="0"/>
    </xf>
    <xf numFmtId="0" fontId="4" fillId="0" borderId="0"/>
    <xf numFmtId="0" fontId="2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 applyFill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8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20" fillId="0" borderId="0"/>
    <xf numFmtId="0" fontId="4" fillId="8" borderId="0"/>
    <xf numFmtId="0" fontId="4" fillId="8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4" fillId="14" borderId="46" applyNumberFormat="0" applyFont="0" applyAlignment="0" applyProtection="0"/>
    <xf numFmtId="0" fontId="54" fillId="15" borderId="47" applyNumberFormat="0" applyAlignment="0" applyProtection="0"/>
    <xf numFmtId="0" fontId="54" fillId="15" borderId="47" applyNumberFormat="0" applyAlignment="0" applyProtection="0"/>
    <xf numFmtId="0" fontId="54" fillId="15" borderId="47" applyNumberFormat="0" applyAlignment="0" applyProtection="0"/>
    <xf numFmtId="0" fontId="54" fillId="15" borderId="47" applyNumberFormat="0" applyAlignment="0" applyProtection="0"/>
    <xf numFmtId="0" fontId="54" fillId="15" borderId="47" applyNumberFormat="0" applyAlignment="0" applyProtection="0"/>
    <xf numFmtId="0" fontId="54" fillId="15" borderId="47" applyNumberFormat="0" applyAlignment="0" applyProtection="0"/>
    <xf numFmtId="0" fontId="54" fillId="15" borderId="47" applyNumberFormat="0" applyAlignment="0" applyProtection="0"/>
    <xf numFmtId="178" fontId="4" fillId="0" borderId="0" applyFill="0" applyBorder="0"/>
    <xf numFmtId="178" fontId="4" fillId="0" borderId="0" applyFill="0" applyBorder="0"/>
    <xf numFmtId="178" fontId="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55" fillId="0" borderId="0"/>
    <xf numFmtId="0" fontId="39" fillId="0" borderId="0" applyFill="0" applyBorder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179" fontId="56" fillId="0" borderId="7"/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3" fontId="26" fillId="0" borderId="0" applyFont="0" applyFill="0" applyBorder="0" applyAlignment="0" applyProtection="0"/>
    <xf numFmtId="0" fontId="26" fillId="46" borderId="0" applyNumberFormat="0" applyFont="0" applyBorder="0" applyAlignment="0" applyProtection="0"/>
    <xf numFmtId="180" fontId="4" fillId="0" borderId="0"/>
    <xf numFmtId="180" fontId="4" fillId="0" borderId="0"/>
    <xf numFmtId="180" fontId="4" fillId="0" borderId="0"/>
    <xf numFmtId="181" fontId="16" fillId="0" borderId="0" applyFill="0" applyBorder="0">
      <alignment horizontal="right" vertical="center"/>
    </xf>
    <xf numFmtId="182" fontId="16" fillId="0" borderId="0" applyFill="0" applyBorder="0">
      <alignment horizontal="right" vertical="center"/>
    </xf>
    <xf numFmtId="183" fontId="16" fillId="0" borderId="0" applyFill="0" applyBorder="0">
      <alignment horizontal="right" vertical="center"/>
    </xf>
    <xf numFmtId="175" fontId="6" fillId="35" borderId="21">
      <alignment horizontal="right" indent="2"/>
      <protection locked="0"/>
    </xf>
    <xf numFmtId="0" fontId="4" fillId="14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8" fillId="0" borderId="0" applyNumberFormat="0" applyFill="0" applyBorder="0" applyAlignment="0" applyProtection="0"/>
    <xf numFmtId="0" fontId="59" fillId="47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60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61" fillId="48" borderId="48" applyBorder="0" applyProtection="0">
      <alignment horizontal="centerContinuous" vertical="center"/>
    </xf>
    <xf numFmtId="0" fontId="62" fillId="0" borderId="0" applyBorder="0" applyProtection="0">
      <alignment vertical="center"/>
    </xf>
    <xf numFmtId="0" fontId="63" fillId="0" borderId="0">
      <alignment horizontal="left"/>
    </xf>
    <xf numFmtId="0" fontId="63" fillId="0" borderId="8" applyFill="0" applyBorder="0" applyProtection="0">
      <alignment horizontal="left" vertical="top"/>
    </xf>
    <xf numFmtId="0" fontId="59" fillId="49" borderId="0">
      <alignment horizontal="left" vertical="center"/>
      <protection locked="0"/>
    </xf>
    <xf numFmtId="0" fontId="64" fillId="11" borderId="0">
      <alignment vertical="center"/>
      <protection locked="0"/>
    </xf>
    <xf numFmtId="49" fontId="4" fillId="0" borderId="0" applyFont="0" applyFill="0" applyBorder="0" applyAlignment="0" applyProtection="0"/>
    <xf numFmtId="0" fontId="65" fillId="0" borderId="0"/>
    <xf numFmtId="49" fontId="4" fillId="0" borderId="0" applyFont="0" applyFill="0" applyBorder="0" applyAlignment="0" applyProtection="0"/>
    <xf numFmtId="0" fontId="66" fillId="0" borderId="0"/>
    <xf numFmtId="0" fontId="66" fillId="0" borderId="0"/>
    <xf numFmtId="0" fontId="65" fillId="0" borderId="0"/>
    <xf numFmtId="176" fontId="67" fillId="0" borderId="0"/>
    <xf numFmtId="0" fontId="58" fillId="0" borderId="0" applyNumberFormat="0" applyFill="0" applyBorder="0" applyAlignment="0" applyProtection="0"/>
    <xf numFmtId="0" fontId="68" fillId="0" borderId="0" applyFill="0" applyBorder="0">
      <alignment horizontal="left" vertical="center"/>
      <protection locked="0"/>
    </xf>
    <xf numFmtId="0" fontId="65" fillId="0" borderId="0"/>
    <xf numFmtId="0" fontId="69" fillId="0" borderId="0" applyFill="0" applyBorder="0">
      <alignment horizontal="left" vertical="center"/>
      <protection locked="0"/>
    </xf>
    <xf numFmtId="0" fontId="30" fillId="0" borderId="49" applyNumberFormat="0" applyFill="0" applyAlignment="0" applyProtection="0"/>
    <xf numFmtId="0" fontId="30" fillId="0" borderId="49" applyNumberFormat="0" applyFill="0" applyAlignment="0" applyProtection="0"/>
    <xf numFmtId="0" fontId="30" fillId="0" borderId="49" applyNumberFormat="0" applyFill="0" applyAlignment="0" applyProtection="0"/>
    <xf numFmtId="0" fontId="30" fillId="0" borderId="49" applyNumberFormat="0" applyFill="0" applyAlignment="0" applyProtection="0"/>
    <xf numFmtId="0" fontId="30" fillId="0" borderId="49" applyNumberFormat="0" applyFill="0" applyAlignment="0" applyProtection="0"/>
    <xf numFmtId="0" fontId="30" fillId="0" borderId="49" applyNumberFormat="0" applyFill="0" applyAlignment="0" applyProtection="0"/>
    <xf numFmtId="0" fontId="30" fillId="0" borderId="49" applyNumberFormat="0" applyFill="0" applyAlignment="0" applyProtection="0"/>
    <xf numFmtId="0" fontId="70" fillId="0" borderId="0" applyNumberFormat="0" applyFill="0" applyBorder="0" applyAlignment="0" applyProtection="0"/>
    <xf numFmtId="184" fontId="4" fillId="0" borderId="48" applyBorder="0" applyProtection="0">
      <alignment horizontal="right"/>
    </xf>
    <xf numFmtId="184" fontId="4" fillId="0" borderId="48" applyBorder="0" applyProtection="0">
      <alignment horizontal="right"/>
    </xf>
    <xf numFmtId="184" fontId="4" fillId="0" borderId="48" applyBorder="0" applyProtection="0">
      <alignment horizontal="right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" fillId="0" borderId="0"/>
    <xf numFmtId="0" fontId="4" fillId="8" borderId="0"/>
    <xf numFmtId="0" fontId="4" fillId="8" borderId="0"/>
    <xf numFmtId="0" fontId="4" fillId="8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7" fillId="0" borderId="4">
      <alignment horizontal="center"/>
    </xf>
    <xf numFmtId="0" fontId="57" fillId="0" borderId="4">
      <alignment horizontal="center"/>
    </xf>
    <xf numFmtId="0" fontId="57" fillId="0" borderId="4">
      <alignment horizontal="center"/>
    </xf>
    <xf numFmtId="49" fontId="4" fillId="35" borderId="17" applyAlignment="0">
      <alignment horizontal="left" vertical="center" wrapText="1"/>
      <protection locked="0"/>
    </xf>
    <xf numFmtId="0" fontId="29" fillId="11" borderId="31">
      <alignment vertical="center"/>
    </xf>
    <xf numFmtId="49" fontId="71" fillId="11" borderId="0">
      <alignment vertical="center"/>
    </xf>
  </cellStyleXfs>
  <cellXfs count="498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/>
    <xf numFmtId="0" fontId="59" fillId="49" borderId="0" xfId="651" applyProtection="1">
      <alignment horizontal="left" vertical="center"/>
    </xf>
    <xf numFmtId="10" fontId="4" fillId="5" borderId="70" xfId="1" applyNumberFormat="1" applyFont="1" applyFill="1" applyBorder="1" applyAlignment="1" applyProtection="1">
      <alignment horizontal="right" vertical="center" wrapText="1"/>
    </xf>
    <xf numFmtId="2" fontId="4" fillId="5" borderId="73" xfId="1" applyNumberFormat="1" applyFont="1" applyFill="1" applyBorder="1" applyAlignment="1" applyProtection="1">
      <alignment horizontal="right" vertical="center" wrapText="1"/>
    </xf>
    <xf numFmtId="2" fontId="4" fillId="5" borderId="68" xfId="1" applyNumberFormat="1" applyFont="1" applyFill="1" applyBorder="1" applyAlignment="1" applyProtection="1">
      <alignment horizontal="right" vertical="center" wrapText="1"/>
    </xf>
    <xf numFmtId="185" fontId="4" fillId="5" borderId="0" xfId="1" applyNumberFormat="1" applyFont="1" applyFill="1" applyBorder="1" applyAlignment="1" applyProtection="1">
      <alignment horizontal="right" vertical="center" wrapText="1"/>
    </xf>
    <xf numFmtId="0" fontId="6" fillId="5" borderId="0" xfId="0" applyFont="1" applyFill="1"/>
    <xf numFmtId="185" fontId="4" fillId="5" borderId="80" xfId="1" applyNumberFormat="1" applyFont="1" applyFill="1" applyBorder="1" applyAlignment="1" applyProtection="1">
      <alignment horizontal="right" vertical="center" wrapText="1"/>
    </xf>
    <xf numFmtId="185" fontId="4" fillId="5" borderId="67" xfId="1" applyNumberFormat="1" applyFont="1" applyFill="1" applyBorder="1" applyAlignment="1" applyProtection="1">
      <alignment horizontal="right" vertical="center" wrapText="1"/>
    </xf>
    <xf numFmtId="185" fontId="4" fillId="5" borderId="81" xfId="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85" fontId="4" fillId="5" borderId="19" xfId="1" applyNumberFormat="1" applyFont="1" applyFill="1" applyBorder="1" applyAlignment="1" applyProtection="1">
      <alignment horizontal="right" wrapText="1"/>
    </xf>
    <xf numFmtId="0" fontId="0" fillId="4" borderId="52" xfId="0" applyFill="1" applyBorder="1"/>
    <xf numFmtId="0" fontId="0" fillId="0" borderId="6" xfId="0" applyBorder="1"/>
    <xf numFmtId="0" fontId="4" fillId="0" borderId="0" xfId="0" applyFont="1"/>
    <xf numFmtId="0" fontId="0" fillId="0" borderId="0" xfId="0" applyAlignment="1">
      <alignment horizontal="left"/>
    </xf>
    <xf numFmtId="2" fontId="7" fillId="40" borderId="80" xfId="0" applyNumberFormat="1" applyFont="1" applyFill="1" applyBorder="1" applyAlignment="1" applyProtection="1">
      <alignment vertical="center" wrapText="1"/>
      <protection locked="0"/>
    </xf>
    <xf numFmtId="2" fontId="7" fillId="40" borderId="67" xfId="0" applyNumberFormat="1" applyFont="1" applyFill="1" applyBorder="1" applyAlignment="1" applyProtection="1">
      <alignment vertical="center" wrapText="1"/>
      <protection locked="0"/>
    </xf>
    <xf numFmtId="2" fontId="4" fillId="40" borderId="82" xfId="0" applyNumberFormat="1" applyFont="1" applyFill="1" applyBorder="1" applyAlignment="1" applyProtection="1">
      <alignment horizontal="left" vertical="top" wrapText="1" indent="2"/>
      <protection locked="0"/>
    </xf>
    <xf numFmtId="2" fontId="4" fillId="35" borderId="19" xfId="0" applyNumberFormat="1" applyFont="1" applyFill="1" applyBorder="1" applyAlignment="1" applyProtection="1">
      <alignment vertical="center" wrapText="1"/>
      <protection locked="0"/>
    </xf>
    <xf numFmtId="2" fontId="4" fillId="35" borderId="83" xfId="0" applyNumberFormat="1" applyFont="1" applyFill="1" applyBorder="1" applyAlignment="1" applyProtection="1">
      <alignment vertical="center" wrapText="1"/>
      <protection locked="0"/>
    </xf>
    <xf numFmtId="2" fontId="4" fillId="40" borderId="82" xfId="0" applyNumberFormat="1" applyFont="1" applyFill="1" applyBorder="1" applyAlignment="1" applyProtection="1">
      <alignment horizontal="left" vertical="center" wrapText="1" indent="2"/>
      <protection locked="0"/>
    </xf>
    <xf numFmtId="185" fontId="4" fillId="5" borderId="34" xfId="1" applyNumberFormat="1" applyFont="1" applyFill="1" applyBorder="1" applyAlignment="1" applyProtection="1">
      <alignment horizontal="right" wrapText="1"/>
    </xf>
    <xf numFmtId="185" fontId="4" fillId="5" borderId="73" xfId="1" applyNumberFormat="1" applyFont="1" applyFill="1" applyBorder="1" applyAlignment="1" applyProtection="1">
      <alignment horizontal="right" wrapText="1"/>
    </xf>
    <xf numFmtId="185" fontId="4" fillId="5" borderId="35" xfId="1" applyNumberFormat="1" applyFont="1" applyFill="1" applyBorder="1" applyAlignment="1" applyProtection="1">
      <alignment horizontal="right" wrapText="1"/>
    </xf>
    <xf numFmtId="185" fontId="4" fillId="10" borderId="93" xfId="1" applyNumberFormat="1" applyFont="1" applyFill="1" applyBorder="1" applyAlignment="1" applyProtection="1">
      <alignment horizontal="right" vertical="center" wrapText="1"/>
    </xf>
    <xf numFmtId="185" fontId="4" fillId="10" borderId="89" xfId="1" applyNumberFormat="1" applyFont="1" applyFill="1" applyBorder="1" applyAlignment="1" applyProtection="1">
      <alignment horizontal="right" vertical="center" wrapText="1"/>
    </xf>
    <xf numFmtId="185" fontId="4" fillId="10" borderId="20" xfId="1" applyNumberFormat="1" applyFont="1" applyFill="1" applyBorder="1" applyAlignment="1" applyProtection="1">
      <alignment horizontal="right" wrapText="1"/>
    </xf>
    <xf numFmtId="185" fontId="4" fillId="10" borderId="79" xfId="1" applyNumberFormat="1" applyFont="1" applyFill="1" applyBorder="1" applyAlignment="1" applyProtection="1">
      <alignment horizontal="right" wrapText="1"/>
    </xf>
    <xf numFmtId="185" fontId="4" fillId="10" borderId="51" xfId="1" applyNumberFormat="1" applyFont="1" applyFill="1" applyBorder="1" applyAlignment="1" applyProtection="1">
      <alignment horizontal="right" wrapText="1"/>
    </xf>
    <xf numFmtId="185" fontId="4" fillId="10" borderId="69" xfId="1" applyNumberFormat="1" applyFont="1" applyFill="1" applyBorder="1" applyAlignment="1" applyProtection="1">
      <alignment horizontal="right" wrapText="1"/>
    </xf>
    <xf numFmtId="10" fontId="4" fillId="5" borderId="76" xfId="1" applyNumberFormat="1" applyFont="1" applyFill="1" applyBorder="1" applyAlignment="1" applyProtection="1">
      <alignment horizontal="right" vertical="center" wrapText="1"/>
    </xf>
    <xf numFmtId="2" fontId="4" fillId="5" borderId="105" xfId="1" applyNumberFormat="1" applyFont="1" applyFill="1" applyBorder="1" applyAlignment="1" applyProtection="1">
      <alignment horizontal="right" vertical="center" wrapText="1"/>
    </xf>
    <xf numFmtId="0" fontId="0" fillId="4" borderId="54" xfId="0" applyFill="1" applyBorder="1"/>
    <xf numFmtId="49" fontId="86" fillId="11" borderId="0" xfId="705" applyFont="1">
      <alignment vertical="center"/>
    </xf>
    <xf numFmtId="0" fontId="3" fillId="35" borderId="9" xfId="0" applyFont="1" applyFill="1" applyBorder="1" applyProtection="1">
      <protection locked="0"/>
    </xf>
    <xf numFmtId="0" fontId="3" fillId="35" borderId="9" xfId="0" applyFont="1" applyFill="1" applyBorder="1" applyAlignment="1" applyProtection="1">
      <alignment horizontal="right"/>
      <protection locked="0"/>
    </xf>
    <xf numFmtId="189" fontId="5" fillId="35" borderId="9" xfId="0" applyNumberFormat="1" applyFont="1" applyFill="1" applyBorder="1" applyAlignment="1" applyProtection="1">
      <alignment horizontal="center"/>
      <protection locked="0"/>
    </xf>
    <xf numFmtId="2" fontId="7" fillId="40" borderId="81" xfId="0" applyNumberFormat="1" applyFont="1" applyFill="1" applyBorder="1" applyAlignment="1" applyProtection="1">
      <alignment vertical="center" wrapText="1"/>
      <protection locked="0"/>
    </xf>
    <xf numFmtId="2" fontId="4" fillId="35" borderId="84" xfId="0" applyNumberFormat="1" applyFont="1" applyFill="1" applyBorder="1" applyAlignment="1" applyProtection="1">
      <alignment vertical="center" wrapText="1"/>
      <protection locked="0"/>
    </xf>
    <xf numFmtId="185" fontId="4" fillId="35" borderId="98" xfId="0" applyNumberFormat="1" applyFont="1" applyFill="1" applyBorder="1" applyAlignment="1" applyProtection="1">
      <alignment vertical="center" wrapText="1"/>
      <protection locked="0"/>
    </xf>
    <xf numFmtId="185" fontId="4" fillId="35" borderId="15" xfId="0" applyNumberFormat="1" applyFont="1" applyFill="1" applyBorder="1" applyAlignment="1" applyProtection="1">
      <alignment vertical="center" wrapText="1"/>
      <protection locked="0"/>
    </xf>
    <xf numFmtId="185" fontId="4" fillId="35" borderId="23" xfId="0" applyNumberFormat="1" applyFont="1" applyFill="1" applyBorder="1" applyAlignment="1" applyProtection="1">
      <alignment vertical="center" wrapText="1"/>
      <protection locked="0"/>
    </xf>
    <xf numFmtId="185" fontId="4" fillId="35" borderId="18" xfId="0" applyNumberFormat="1" applyFont="1" applyFill="1" applyBorder="1" applyAlignment="1" applyProtection="1">
      <alignment vertical="center" wrapText="1"/>
      <protection locked="0"/>
    </xf>
    <xf numFmtId="185" fontId="4" fillId="35" borderId="17" xfId="0" applyNumberFormat="1" applyFont="1" applyFill="1" applyBorder="1" applyAlignment="1" applyProtection="1">
      <alignment vertical="center" wrapText="1"/>
      <protection locked="0"/>
    </xf>
    <xf numFmtId="185" fontId="4" fillId="35" borderId="36" xfId="0" applyNumberFormat="1" applyFont="1" applyFill="1" applyBorder="1" applyAlignment="1" applyProtection="1">
      <alignment vertical="center" wrapText="1"/>
      <protection locked="0"/>
    </xf>
    <xf numFmtId="185" fontId="4" fillId="35" borderId="99" xfId="0" applyNumberFormat="1" applyFont="1" applyFill="1" applyBorder="1" applyAlignment="1" applyProtection="1">
      <alignment vertical="center" wrapText="1"/>
      <protection locked="0"/>
    </xf>
    <xf numFmtId="185" fontId="4" fillId="35" borderId="29" xfId="0" applyNumberFormat="1" applyFont="1" applyFill="1" applyBorder="1" applyAlignment="1" applyProtection="1">
      <alignment vertical="center" wrapText="1"/>
      <protection locked="0"/>
    </xf>
    <xf numFmtId="185" fontId="4" fillId="35" borderId="28" xfId="0" applyNumberFormat="1" applyFont="1" applyFill="1" applyBorder="1" applyAlignment="1" applyProtection="1">
      <alignment vertical="center" wrapText="1"/>
      <protection locked="0"/>
    </xf>
    <xf numFmtId="185" fontId="4" fillId="35" borderId="37" xfId="0" applyNumberFormat="1" applyFont="1" applyFill="1" applyBorder="1" applyAlignment="1" applyProtection="1">
      <alignment vertical="center" wrapText="1"/>
      <protection locked="0"/>
    </xf>
    <xf numFmtId="185" fontId="4" fillId="35" borderId="80" xfId="0" applyNumberFormat="1" applyFont="1" applyFill="1" applyBorder="1" applyAlignment="1" applyProtection="1">
      <alignment vertical="center" wrapText="1"/>
      <protection locked="0"/>
    </xf>
    <xf numFmtId="185" fontId="4" fillId="35" borderId="96" xfId="0" applyNumberFormat="1" applyFont="1" applyFill="1" applyBorder="1" applyAlignment="1" applyProtection="1">
      <alignment vertical="center" wrapText="1"/>
      <protection locked="0"/>
    </xf>
    <xf numFmtId="185" fontId="4" fillId="35" borderId="67" xfId="0" applyNumberFormat="1" applyFont="1" applyFill="1" applyBorder="1" applyAlignment="1" applyProtection="1">
      <alignment vertical="center" wrapText="1"/>
      <protection locked="0"/>
    </xf>
    <xf numFmtId="185" fontId="4" fillId="35" borderId="83" xfId="0" applyNumberFormat="1" applyFont="1" applyFill="1" applyBorder="1" applyAlignment="1" applyProtection="1">
      <alignment vertical="center" wrapText="1"/>
      <protection locked="0"/>
    </xf>
    <xf numFmtId="185" fontId="4" fillId="35" borderId="79" xfId="0" applyNumberFormat="1" applyFont="1" applyFill="1" applyBorder="1" applyAlignment="1" applyProtection="1">
      <alignment vertical="center" wrapText="1"/>
      <protection locked="0"/>
    </xf>
    <xf numFmtId="185" fontId="4" fillId="35" borderId="19" xfId="0" applyNumberFormat="1" applyFont="1" applyFill="1" applyBorder="1" applyAlignment="1" applyProtection="1">
      <alignment vertical="center" wrapText="1"/>
      <protection locked="0"/>
    </xf>
    <xf numFmtId="185" fontId="4" fillId="35" borderId="68" xfId="0" applyNumberFormat="1" applyFont="1" applyFill="1" applyBorder="1" applyAlignment="1" applyProtection="1">
      <alignment vertical="center" wrapText="1"/>
      <protection locked="0"/>
    </xf>
    <xf numFmtId="185" fontId="4" fillId="35" borderId="69" xfId="0" applyNumberFormat="1" applyFont="1" applyFill="1" applyBorder="1" applyAlignment="1" applyProtection="1">
      <alignment vertical="center" wrapText="1"/>
      <protection locked="0"/>
    </xf>
    <xf numFmtId="185" fontId="4" fillId="35" borderId="73" xfId="0" applyNumberFormat="1" applyFont="1" applyFill="1" applyBorder="1" applyAlignment="1" applyProtection="1">
      <alignment vertical="center" wrapText="1"/>
      <protection locked="0"/>
    </xf>
    <xf numFmtId="185" fontId="0" fillId="56" borderId="17" xfId="0" applyNumberFormat="1" applyFill="1" applyBorder="1" applyAlignment="1" applyProtection="1">
      <alignment vertical="center" wrapText="1"/>
      <protection locked="0"/>
    </xf>
    <xf numFmtId="192" fontId="7" fillId="50" borderId="86" xfId="1" applyNumberFormat="1" applyFont="1" applyFill="1" applyBorder="1" applyAlignment="1" applyProtection="1">
      <alignment horizontal="right" wrapText="1"/>
    </xf>
    <xf numFmtId="192" fontId="7" fillId="50" borderId="87" xfId="1" applyNumberFormat="1" applyFont="1" applyFill="1" applyBorder="1" applyAlignment="1" applyProtection="1">
      <alignment horizontal="right" wrapText="1"/>
    </xf>
    <xf numFmtId="192" fontId="7" fillId="50" borderId="85" xfId="1" applyNumberFormat="1" applyFont="1" applyFill="1" applyBorder="1" applyAlignment="1" applyProtection="1">
      <alignment horizontal="right" wrapText="1"/>
    </xf>
    <xf numFmtId="185" fontId="4" fillId="35" borderId="67" xfId="1" applyNumberFormat="1" applyFont="1" applyFill="1" applyBorder="1" applyAlignment="1" applyProtection="1">
      <alignment horizontal="right" vertical="center" wrapText="1"/>
      <protection locked="0"/>
    </xf>
    <xf numFmtId="185" fontId="4" fillId="35" borderId="81" xfId="1" applyNumberFormat="1" applyFont="1" applyFill="1" applyBorder="1" applyAlignment="1" applyProtection="1">
      <alignment horizontal="right" vertical="center" wrapText="1"/>
      <protection locked="0"/>
    </xf>
    <xf numFmtId="0" fontId="7" fillId="4" borderId="23" xfId="0" applyFont="1" applyFill="1" applyBorder="1" applyAlignment="1" applyProtection="1">
      <alignment vertical="center"/>
      <protection locked="0"/>
    </xf>
    <xf numFmtId="0" fontId="7" fillId="4" borderId="18" xfId="0" applyFont="1" applyFill="1" applyBorder="1" applyAlignment="1" applyProtection="1">
      <alignment vertical="center"/>
      <protection locked="0"/>
    </xf>
    <xf numFmtId="0" fontId="7" fillId="4" borderId="17" xfId="0" applyFont="1" applyFill="1" applyBorder="1" applyAlignment="1" applyProtection="1">
      <alignment vertical="center"/>
      <protection locked="0"/>
    </xf>
    <xf numFmtId="0" fontId="7" fillId="4" borderId="36" xfId="0" applyFont="1" applyFill="1" applyBorder="1" applyAlignment="1" applyProtection="1">
      <alignment vertical="center"/>
      <protection locked="0"/>
    </xf>
    <xf numFmtId="192" fontId="7" fillId="50" borderId="86" xfId="1" applyNumberFormat="1" applyFont="1" applyFill="1" applyBorder="1" applyAlignment="1" applyProtection="1">
      <alignment horizontal="right" wrapText="1"/>
      <protection locked="0"/>
    </xf>
    <xf numFmtId="192" fontId="7" fillId="50" borderId="87" xfId="1" applyNumberFormat="1" applyFont="1" applyFill="1" applyBorder="1" applyAlignment="1" applyProtection="1">
      <alignment horizontal="right" wrapText="1"/>
      <protection locked="0"/>
    </xf>
    <xf numFmtId="2" fontId="7" fillId="4" borderId="106" xfId="0" applyNumberFormat="1" applyFont="1" applyFill="1" applyBorder="1" applyProtection="1">
      <protection locked="0"/>
    </xf>
    <xf numFmtId="185" fontId="7" fillId="4" borderId="19" xfId="0" applyNumberFormat="1" applyFont="1" applyFill="1" applyBorder="1" applyProtection="1">
      <protection locked="0"/>
    </xf>
    <xf numFmtId="185" fontId="7" fillId="4" borderId="101" xfId="0" applyNumberFormat="1" applyFont="1" applyFill="1" applyBorder="1" applyProtection="1">
      <protection locked="0"/>
    </xf>
    <xf numFmtId="185" fontId="7" fillId="4" borderId="83" xfId="0" applyNumberFormat="1" applyFont="1" applyFill="1" applyBorder="1" applyProtection="1">
      <protection locked="0"/>
    </xf>
    <xf numFmtId="185" fontId="7" fillId="4" borderId="79" xfId="0" applyNumberFormat="1" applyFont="1" applyFill="1" applyBorder="1" applyProtection="1">
      <protection locked="0"/>
    </xf>
    <xf numFmtId="2" fontId="7" fillId="4" borderId="88" xfId="0" applyNumberFormat="1" applyFont="1" applyFill="1" applyBorder="1" applyProtection="1">
      <protection locked="0"/>
    </xf>
    <xf numFmtId="2" fontId="7" fillId="4" borderId="108" xfId="0" applyNumberFormat="1" applyFont="1" applyFill="1" applyBorder="1" applyProtection="1">
      <protection locked="0"/>
    </xf>
    <xf numFmtId="192" fontId="7" fillId="50" borderId="78" xfId="1" applyNumberFormat="1" applyFont="1" applyFill="1" applyBorder="1" applyAlignment="1" applyProtection="1">
      <alignment horizontal="right" wrapText="1"/>
      <protection locked="0"/>
    </xf>
    <xf numFmtId="185" fontId="7" fillId="50" borderId="104" xfId="1" applyNumberFormat="1" applyFont="1" applyFill="1" applyBorder="1" applyAlignment="1" applyProtection="1">
      <alignment horizontal="right" wrapText="1"/>
      <protection locked="0"/>
    </xf>
    <xf numFmtId="192" fontId="13" fillId="51" borderId="118" xfId="0" applyNumberFormat="1" applyFont="1" applyFill="1" applyBorder="1" applyProtection="1">
      <protection locked="0"/>
    </xf>
    <xf numFmtId="0" fontId="4" fillId="4" borderId="19" xfId="0" applyFont="1" applyFill="1" applyBorder="1" applyAlignment="1" applyProtection="1">
      <alignment horizontal="right" vertical="center" wrapText="1"/>
      <protection locked="0"/>
    </xf>
    <xf numFmtId="0" fontId="4" fillId="4" borderId="83" xfId="0" applyFont="1" applyFill="1" applyBorder="1" applyAlignment="1" applyProtection="1">
      <alignment horizontal="right" vertical="center" wrapText="1"/>
      <protection locked="0"/>
    </xf>
    <xf numFmtId="0" fontId="4" fillId="4" borderId="84" xfId="0" applyFont="1" applyFill="1" applyBorder="1" applyAlignment="1" applyProtection="1">
      <alignment horizontal="right" vertical="center" wrapText="1"/>
      <protection locked="0"/>
    </xf>
    <xf numFmtId="0" fontId="6" fillId="5" borderId="0" xfId="5" applyFont="1" applyFill="1"/>
    <xf numFmtId="0" fontId="59" fillId="48" borderId="0" xfId="0" applyFont="1" applyFill="1" applyAlignment="1">
      <alignment vertical="center"/>
    </xf>
    <xf numFmtId="0" fontId="59" fillId="48" borderId="0" xfId="0" applyFont="1" applyFill="1" applyAlignment="1">
      <alignment vertical="center" wrapText="1"/>
    </xf>
    <xf numFmtId="0" fontId="59" fillId="48" borderId="0" xfId="0" applyFont="1" applyFill="1" applyAlignment="1">
      <alignment horizontal="left" vertical="center"/>
    </xf>
    <xf numFmtId="0" fontId="59" fillId="48" borderId="0" xfId="5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10" fillId="5" borderId="0" xfId="0" applyFont="1" applyFill="1"/>
    <xf numFmtId="0" fontId="51" fillId="4" borderId="53" xfId="0" applyFont="1" applyFill="1" applyBorder="1" applyAlignment="1">
      <alignment horizontal="left" wrapText="1"/>
    </xf>
    <xf numFmtId="0" fontId="51" fillId="4" borderId="59" xfId="0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5" borderId="0" xfId="0" applyFill="1" applyAlignment="1">
      <alignment horizontal="left" vertical="top" wrapText="1"/>
    </xf>
    <xf numFmtId="0" fontId="51" fillId="4" borderId="31" xfId="0" applyFont="1" applyFill="1" applyBorder="1" applyAlignment="1">
      <alignment horizontal="left" vertical="center"/>
    </xf>
    <xf numFmtId="0" fontId="51" fillId="4" borderId="32" xfId="0" applyFont="1" applyFill="1" applyBorder="1" applyAlignment="1">
      <alignment horizontal="left" vertical="center"/>
    </xf>
    <xf numFmtId="0" fontId="51" fillId="4" borderId="33" xfId="0" applyFont="1" applyFill="1" applyBorder="1" applyAlignment="1">
      <alignment horizontal="left" vertical="center"/>
    </xf>
    <xf numFmtId="0" fontId="51" fillId="4" borderId="5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5" fillId="7" borderId="116" xfId="0" quotePrefix="1" applyFont="1" applyFill="1" applyBorder="1" applyAlignment="1">
      <alignment horizontal="right" vertical="center"/>
    </xf>
    <xf numFmtId="0" fontId="5" fillId="7" borderId="64" xfId="0" quotePrefix="1" applyFont="1" applyFill="1" applyBorder="1" applyAlignment="1">
      <alignment horizontal="right" vertical="center"/>
    </xf>
    <xf numFmtId="0" fontId="5" fillId="7" borderId="64" xfId="0" applyFont="1" applyFill="1" applyBorder="1" applyAlignment="1">
      <alignment horizontal="right" vertical="center"/>
    </xf>
    <xf numFmtId="0" fontId="5" fillId="7" borderId="65" xfId="0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 indent="1"/>
    </xf>
    <xf numFmtId="167" fontId="7" fillId="4" borderId="93" xfId="0" applyNumberFormat="1" applyFont="1" applyFill="1" applyBorder="1" applyAlignment="1">
      <alignment horizontal="left"/>
    </xf>
    <xf numFmtId="0" fontId="8" fillId="5" borderId="22" xfId="0" applyFont="1" applyFill="1" applyBorder="1" applyAlignment="1">
      <alignment horizontal="left" vertical="center" wrapText="1" indent="1"/>
    </xf>
    <xf numFmtId="185" fontId="7" fillId="4" borderId="66" xfId="0" applyNumberFormat="1" applyFont="1" applyFill="1" applyBorder="1" applyAlignment="1">
      <alignment vertical="center"/>
    </xf>
    <xf numFmtId="0" fontId="8" fillId="4" borderId="10" xfId="0" applyFont="1" applyFill="1" applyBorder="1" applyAlignment="1">
      <alignment horizontal="left" vertical="center" wrapText="1" indent="1"/>
    </xf>
    <xf numFmtId="0" fontId="8" fillId="5" borderId="71" xfId="0" applyFont="1" applyFill="1" applyBorder="1" applyAlignment="1">
      <alignment horizontal="left" vertical="center" wrapText="1" indent="1"/>
    </xf>
    <xf numFmtId="185" fontId="7" fillId="4" borderId="72" xfId="0" applyNumberFormat="1" applyFont="1" applyFill="1" applyBorder="1" applyAlignment="1">
      <alignment vertical="center"/>
    </xf>
    <xf numFmtId="0" fontId="8" fillId="5" borderId="0" xfId="0" applyFont="1" applyFill="1" applyAlignment="1">
      <alignment horizontal="left" vertical="center" wrapText="1" indent="1"/>
    </xf>
    <xf numFmtId="0" fontId="6" fillId="0" borderId="0" xfId="0" applyFont="1"/>
    <xf numFmtId="190" fontId="6" fillId="0" borderId="0" xfId="0" applyNumberFormat="1" applyFont="1"/>
    <xf numFmtId="2" fontId="7" fillId="0" borderId="0" xfId="0" applyNumberFormat="1" applyFont="1" applyAlignment="1">
      <alignment horizontal="center"/>
    </xf>
    <xf numFmtId="0" fontId="29" fillId="11" borderId="0" xfId="652" applyFont="1" applyProtection="1">
      <alignment vertical="center"/>
    </xf>
    <xf numFmtId="0" fontId="73" fillId="11" borderId="0" xfId="652" applyFont="1" applyProtection="1">
      <alignment vertical="center"/>
    </xf>
    <xf numFmtId="0" fontId="74" fillId="5" borderId="0" xfId="0" applyFont="1" applyFill="1"/>
    <xf numFmtId="0" fontId="87" fillId="0" borderId="9" xfId="0" applyFont="1" applyBorder="1"/>
    <xf numFmtId="0" fontId="75" fillId="4" borderId="31" xfId="0" applyFont="1" applyFill="1" applyBorder="1" applyAlignment="1">
      <alignment horizontal="left" vertical="center"/>
    </xf>
    <xf numFmtId="0" fontId="75" fillId="4" borderId="2" xfId="0" applyFont="1" applyFill="1" applyBorder="1" applyAlignment="1">
      <alignment horizontal="left" vertical="center"/>
    </xf>
    <xf numFmtId="0" fontId="75" fillId="4" borderId="32" xfId="0" applyFont="1" applyFill="1" applyBorder="1" applyAlignment="1">
      <alignment horizontal="left" vertical="center"/>
    </xf>
    <xf numFmtId="0" fontId="75" fillId="4" borderId="33" xfId="0" applyFont="1" applyFill="1" applyBorder="1" applyAlignment="1">
      <alignment horizontal="left" vertical="center"/>
    </xf>
    <xf numFmtId="0" fontId="76" fillId="5" borderId="0" xfId="0" applyFont="1" applyFill="1"/>
    <xf numFmtId="0" fontId="7" fillId="4" borderId="51" xfId="0" applyFont="1" applyFill="1" applyBorder="1" applyAlignment="1">
      <alignment horizontal="right" vertical="center"/>
    </xf>
    <xf numFmtId="0" fontId="7" fillId="4" borderId="69" xfId="0" applyFont="1" applyFill="1" applyBorder="1" applyAlignment="1">
      <alignment horizontal="right" vertical="center"/>
    </xf>
    <xf numFmtId="0" fontId="7" fillId="6" borderId="77" xfId="0" applyFont="1" applyFill="1" applyBorder="1" applyAlignment="1">
      <alignment horizontal="right" vertical="center"/>
    </xf>
    <xf numFmtId="0" fontId="7" fillId="6" borderId="78" xfId="0" applyFont="1" applyFill="1" applyBorder="1" applyAlignment="1">
      <alignment horizontal="right" vertical="center"/>
    </xf>
    <xf numFmtId="0" fontId="7" fillId="6" borderId="104" xfId="0" applyFont="1" applyFill="1" applyBorder="1" applyAlignment="1">
      <alignment horizontal="right" vertical="center"/>
    </xf>
    <xf numFmtId="0" fontId="4" fillId="0" borderId="40" xfId="0" applyFont="1" applyBorder="1" applyAlignment="1">
      <alignment horizontal="left" vertical="center" wrapText="1" indent="1"/>
    </xf>
    <xf numFmtId="0" fontId="77" fillId="9" borderId="82" xfId="0" applyFont="1" applyFill="1" applyBorder="1" applyAlignment="1">
      <alignment horizontal="left" vertical="center" wrapText="1" indent="1"/>
    </xf>
    <xf numFmtId="167" fontId="7" fillId="4" borderId="20" xfId="0" applyNumberFormat="1" applyFont="1" applyFill="1" applyBorder="1" applyAlignment="1">
      <alignment horizontal="left"/>
    </xf>
    <xf numFmtId="167" fontId="7" fillId="4" borderId="79" xfId="0" applyNumberFormat="1" applyFont="1" applyFill="1" applyBorder="1" applyAlignment="1">
      <alignment horizontal="left"/>
    </xf>
    <xf numFmtId="167" fontId="7" fillId="4" borderId="19" xfId="0" applyNumberFormat="1" applyFont="1" applyFill="1" applyBorder="1" applyAlignment="1">
      <alignment horizontal="left"/>
    </xf>
    <xf numFmtId="167" fontId="7" fillId="4" borderId="83" xfId="0" applyNumberFormat="1" applyFont="1" applyFill="1" applyBorder="1" applyAlignment="1">
      <alignment horizontal="left"/>
    </xf>
    <xf numFmtId="167" fontId="7" fillId="4" borderId="84" xfId="0" applyNumberFormat="1" applyFont="1" applyFill="1" applyBorder="1" applyAlignment="1">
      <alignment horizontal="left"/>
    </xf>
    <xf numFmtId="186" fontId="7" fillId="0" borderId="0" xfId="0" applyNumberFormat="1" applyFont="1"/>
    <xf numFmtId="0" fontId="4" fillId="0" borderId="107" xfId="0" applyFont="1" applyBorder="1" applyAlignment="1">
      <alignment horizontal="left" vertical="center" wrapText="1" indent="1"/>
    </xf>
    <xf numFmtId="0" fontId="7" fillId="50" borderId="31" xfId="0" applyFont="1" applyFill="1" applyBorder="1" applyAlignment="1">
      <alignment horizontal="right" vertical="center" wrapText="1" indent="1"/>
    </xf>
    <xf numFmtId="0" fontId="77" fillId="0" borderId="4" xfId="0" applyFont="1" applyBorder="1" applyAlignment="1">
      <alignment vertical="center"/>
    </xf>
    <xf numFmtId="0" fontId="77" fillId="0" borderId="0" xfId="0" applyFont="1" applyAlignment="1">
      <alignment vertical="center"/>
    </xf>
    <xf numFmtId="185" fontId="78" fillId="0" borderId="0" xfId="0" applyNumberFormat="1" applyFont="1"/>
    <xf numFmtId="0" fontId="6" fillId="0" borderId="4" xfId="0" applyFont="1" applyBorder="1"/>
    <xf numFmtId="0" fontId="12" fillId="5" borderId="6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4" fillId="0" borderId="54" xfId="0" applyFont="1" applyBorder="1" applyAlignment="1">
      <alignment horizontal="left" vertical="center" wrapText="1" indent="1"/>
    </xf>
    <xf numFmtId="191" fontId="4" fillId="5" borderId="93" xfId="0" applyNumberFormat="1" applyFont="1" applyFill="1" applyBorder="1" applyAlignment="1">
      <alignment horizontal="right" vertical="center"/>
    </xf>
    <xf numFmtId="191" fontId="4" fillId="5" borderId="89" xfId="0" applyNumberFormat="1" applyFont="1" applyFill="1" applyBorder="1" applyAlignment="1">
      <alignment horizontal="right" vertical="center"/>
    </xf>
    <xf numFmtId="191" fontId="4" fillId="5" borderId="80" xfId="0" applyNumberFormat="1" applyFont="1" applyFill="1" applyBorder="1" applyAlignment="1">
      <alignment horizontal="right" vertical="center"/>
    </xf>
    <xf numFmtId="191" fontId="4" fillId="5" borderId="67" xfId="0" applyNumberFormat="1" applyFont="1" applyFill="1" applyBorder="1" applyAlignment="1">
      <alignment horizontal="right" vertical="center"/>
    </xf>
    <xf numFmtId="186" fontId="7" fillId="4" borderId="3" xfId="0" applyNumberFormat="1" applyFont="1" applyFill="1" applyBorder="1" applyAlignment="1">
      <alignment horizontal="left"/>
    </xf>
    <xf numFmtId="191" fontId="7" fillId="4" borderId="20" xfId="0" applyNumberFormat="1" applyFont="1" applyFill="1" applyBorder="1" applyAlignment="1">
      <alignment horizontal="left"/>
    </xf>
    <xf numFmtId="191" fontId="7" fillId="4" borderId="79" xfId="0" applyNumberFormat="1" applyFont="1" applyFill="1" applyBorder="1" applyAlignment="1">
      <alignment horizontal="left"/>
    </xf>
    <xf numFmtId="191" fontId="7" fillId="4" borderId="19" xfId="0" applyNumberFormat="1" applyFont="1" applyFill="1" applyBorder="1" applyAlignment="1">
      <alignment horizontal="left"/>
    </xf>
    <xf numFmtId="191" fontId="7" fillId="4" borderId="83" xfId="0" applyNumberFormat="1" applyFont="1" applyFill="1" applyBorder="1" applyAlignment="1">
      <alignment horizontal="left"/>
    </xf>
    <xf numFmtId="187" fontId="7" fillId="4" borderId="6" xfId="0" applyNumberFormat="1" applyFont="1" applyFill="1" applyBorder="1" applyAlignment="1">
      <alignment horizontal="right"/>
    </xf>
    <xf numFmtId="0" fontId="4" fillId="0" borderId="82" xfId="0" applyFont="1" applyBorder="1" applyAlignment="1">
      <alignment horizontal="left" vertical="center" wrapText="1" indent="3"/>
    </xf>
    <xf numFmtId="191" fontId="4" fillId="5" borderId="20" xfId="0" applyNumberFormat="1" applyFont="1" applyFill="1" applyBorder="1" applyAlignment="1">
      <alignment horizontal="right" vertical="center"/>
    </xf>
    <xf numFmtId="191" fontId="4" fillId="5" borderId="79" xfId="0" applyNumberFormat="1" applyFont="1" applyFill="1" applyBorder="1" applyAlignment="1">
      <alignment horizontal="right" vertical="center"/>
    </xf>
    <xf numFmtId="191" fontId="4" fillId="5" borderId="19" xfId="0" applyNumberFormat="1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horizontal="right"/>
    </xf>
    <xf numFmtId="0" fontId="4" fillId="0" borderId="82" xfId="0" applyFont="1" applyBorder="1" applyAlignment="1">
      <alignment horizontal="left" vertical="center" wrapText="1" indent="1"/>
    </xf>
    <xf numFmtId="186" fontId="6" fillId="0" borderId="0" xfId="0" applyNumberFormat="1" applyFont="1"/>
    <xf numFmtId="0" fontId="6" fillId="4" borderId="6" xfId="0" applyFont="1" applyFill="1" applyBorder="1"/>
    <xf numFmtId="0" fontId="79" fillId="0" borderId="0" xfId="0" applyFont="1"/>
    <xf numFmtId="191" fontId="4" fillId="5" borderId="51" xfId="0" applyNumberFormat="1" applyFont="1" applyFill="1" applyBorder="1" applyAlignment="1">
      <alignment horizontal="right" vertical="center"/>
    </xf>
    <xf numFmtId="191" fontId="4" fillId="5" borderId="69" xfId="0" applyNumberFormat="1" applyFont="1" applyFill="1" applyBorder="1" applyAlignment="1">
      <alignment horizontal="right" vertical="center"/>
    </xf>
    <xf numFmtId="191" fontId="4" fillId="5" borderId="73" xfId="0" applyNumberFormat="1" applyFont="1" applyFill="1" applyBorder="1" applyAlignment="1">
      <alignment horizontal="right" vertical="center"/>
    </xf>
    <xf numFmtId="0" fontId="6" fillId="4" borderId="54" xfId="0" applyFont="1" applyFill="1" applyBorder="1"/>
    <xf numFmtId="0" fontId="7" fillId="50" borderId="72" xfId="0" applyFont="1" applyFill="1" applyBorder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0" fillId="4" borderId="1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6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192" fontId="4" fillId="9" borderId="85" xfId="0" applyNumberFormat="1" applyFont="1" applyFill="1" applyBorder="1" applyAlignment="1">
      <alignment horizontal="right" vertical="center"/>
    </xf>
    <xf numFmtId="192" fontId="4" fillId="9" borderId="86" xfId="0" applyNumberFormat="1" applyFont="1" applyFill="1" applyBorder="1" applyAlignment="1">
      <alignment horizontal="right" vertical="center"/>
    </xf>
    <xf numFmtId="192" fontId="4" fillId="9" borderId="8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60" fillId="4" borderId="31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60" fillId="4" borderId="2" xfId="0" applyFont="1" applyFill="1" applyBorder="1" applyAlignment="1">
      <alignment horizontal="left" vertical="center"/>
    </xf>
    <xf numFmtId="0" fontId="60" fillId="4" borderId="3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5" fillId="9" borderId="16" xfId="0" applyFont="1" applyFill="1" applyBorder="1"/>
    <xf numFmtId="0" fontId="7" fillId="5" borderId="5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34" borderId="25" xfId="0" applyFont="1" applyFill="1" applyBorder="1" applyAlignment="1">
      <alignment horizontal="centerContinuous" vertical="center"/>
    </xf>
    <xf numFmtId="0" fontId="7" fillId="34" borderId="26" xfId="0" applyFont="1" applyFill="1" applyBorder="1" applyAlignment="1">
      <alignment horizontal="centerContinuous" vertical="center"/>
    </xf>
    <xf numFmtId="0" fontId="7" fillId="34" borderId="27" xfId="0" applyFont="1" applyFill="1" applyBorder="1" applyAlignment="1">
      <alignment horizontal="centerContinuous" vertical="center"/>
    </xf>
    <xf numFmtId="0" fontId="7" fillId="34" borderId="58" xfId="0" applyFont="1" applyFill="1" applyBorder="1" applyAlignment="1">
      <alignment horizontal="centerContinuous" vertical="center"/>
    </xf>
    <xf numFmtId="0" fontId="7" fillId="34" borderId="90" xfId="0" applyFont="1" applyFill="1" applyBorder="1" applyAlignment="1">
      <alignment horizontal="centerContinuous" vertical="center"/>
    </xf>
    <xf numFmtId="0" fontId="0" fillId="34" borderId="102" xfId="0" applyFill="1" applyBorder="1" applyAlignment="1">
      <alignment horizontal="centerContinuous"/>
    </xf>
    <xf numFmtId="0" fontId="7" fillId="6" borderId="91" xfId="0" applyFont="1" applyFill="1" applyBorder="1" applyAlignment="1">
      <alignment horizontal="right" vertical="center"/>
    </xf>
    <xf numFmtId="0" fontId="7" fillId="6" borderId="111" xfId="0" applyFont="1" applyFill="1" applyBorder="1" applyAlignment="1">
      <alignment horizontal="right" vertical="center"/>
    </xf>
    <xf numFmtId="0" fontId="7" fillId="52" borderId="111" xfId="0" applyFont="1" applyFill="1" applyBorder="1" applyAlignment="1">
      <alignment horizontal="right" vertical="center"/>
    </xf>
    <xf numFmtId="0" fontId="3" fillId="9" borderId="92" xfId="0" applyFont="1" applyFill="1" applyBorder="1"/>
    <xf numFmtId="188" fontId="4" fillId="32" borderId="0" xfId="0" applyNumberFormat="1" applyFont="1" applyFill="1" applyAlignment="1">
      <alignment horizontal="left" vertical="center"/>
    </xf>
    <xf numFmtId="188" fontId="4" fillId="5" borderId="85" xfId="0" applyNumberFormat="1" applyFont="1" applyFill="1" applyBorder="1" applyAlignment="1">
      <alignment horizontal="right" vertical="center"/>
    </xf>
    <xf numFmtId="188" fontId="4" fillId="5" borderId="70" xfId="0" applyNumberFormat="1" applyFont="1" applyFill="1" applyBorder="1" applyAlignment="1">
      <alignment horizontal="right" vertical="center"/>
    </xf>
    <xf numFmtId="188" fontId="4" fillId="5" borderId="94" xfId="0" applyNumberFormat="1" applyFont="1" applyFill="1" applyBorder="1" applyAlignment="1">
      <alignment horizontal="right" vertical="center"/>
    </xf>
    <xf numFmtId="188" fontId="4" fillId="5" borderId="81" xfId="0" applyNumberFormat="1" applyFont="1" applyFill="1" applyBorder="1" applyAlignment="1">
      <alignment horizontal="right" vertical="center"/>
    </xf>
    <xf numFmtId="188" fontId="4" fillId="32" borderId="0" xfId="0" applyNumberFormat="1" applyFont="1" applyFill="1" applyAlignment="1">
      <alignment horizontal="right" vertical="center"/>
    </xf>
    <xf numFmtId="0" fontId="0" fillId="9" borderId="6" xfId="0" applyFill="1" applyBorder="1"/>
    <xf numFmtId="188" fontId="4" fillId="5" borderId="51" xfId="0" applyNumberFormat="1" applyFont="1" applyFill="1" applyBorder="1" applyAlignment="1">
      <alignment horizontal="right" vertical="center"/>
    </xf>
    <xf numFmtId="188" fontId="4" fillId="5" borderId="95" xfId="0" applyNumberFormat="1" applyFont="1" applyFill="1" applyBorder="1" applyAlignment="1">
      <alignment horizontal="right" vertical="center"/>
    </xf>
    <xf numFmtId="188" fontId="4" fillId="5" borderId="83" xfId="0" applyNumberFormat="1" applyFont="1" applyFill="1" applyBorder="1" applyAlignment="1">
      <alignment horizontal="right" vertical="center"/>
    </xf>
    <xf numFmtId="188" fontId="4" fillId="5" borderId="71" xfId="0" applyNumberFormat="1" applyFont="1" applyFill="1" applyBorder="1" applyAlignment="1">
      <alignment horizontal="right" vertical="center"/>
    </xf>
    <xf numFmtId="188" fontId="4" fillId="5" borderId="109" xfId="0" applyNumberFormat="1" applyFont="1" applyFill="1" applyBorder="1" applyAlignment="1">
      <alignment horizontal="right" vertical="center"/>
    </xf>
    <xf numFmtId="188" fontId="4" fillId="32" borderId="52" xfId="0" applyNumberFormat="1" applyFont="1" applyFill="1" applyBorder="1" applyAlignment="1">
      <alignment horizontal="right" vertical="center"/>
    </xf>
    <xf numFmtId="188" fontId="4" fillId="5" borderId="97" xfId="0" applyNumberFormat="1" applyFont="1" applyFill="1" applyBorder="1" applyAlignment="1">
      <alignment horizontal="right" vertical="center"/>
    </xf>
    <xf numFmtId="188" fontId="4" fillId="5" borderId="110" xfId="0" applyNumberFormat="1" applyFont="1" applyFill="1" applyBorder="1" applyAlignment="1">
      <alignment horizontal="right" vertical="center"/>
    </xf>
    <xf numFmtId="188" fontId="4" fillId="32" borderId="4" xfId="0" applyNumberFormat="1" applyFont="1" applyFill="1" applyBorder="1" applyAlignment="1">
      <alignment horizontal="right" vertical="center"/>
    </xf>
    <xf numFmtId="188" fontId="4" fillId="5" borderId="55" xfId="0" applyNumberFormat="1" applyFont="1" applyFill="1" applyBorder="1" applyAlignment="1">
      <alignment horizontal="right" vertical="center"/>
    </xf>
    <xf numFmtId="188" fontId="4" fillId="5" borderId="115" xfId="0" applyNumberFormat="1" applyFont="1" applyFill="1" applyBorder="1" applyAlignment="1">
      <alignment horizontal="right" vertical="center"/>
    </xf>
    <xf numFmtId="188" fontId="4" fillId="5" borderId="24" xfId="0" applyNumberFormat="1" applyFont="1" applyFill="1" applyBorder="1" applyAlignment="1">
      <alignment horizontal="right" vertical="center"/>
    </xf>
    <xf numFmtId="188" fontId="4" fillId="5" borderId="117" xfId="0" applyNumberFormat="1" applyFont="1" applyFill="1" applyBorder="1" applyAlignment="1">
      <alignment horizontal="right" vertical="center"/>
    </xf>
    <xf numFmtId="0" fontId="80" fillId="53" borderId="31" xfId="0" applyFont="1" applyFill="1" applyBorder="1"/>
    <xf numFmtId="0" fontId="80" fillId="53" borderId="32" xfId="0" applyFont="1" applyFill="1" applyBorder="1" applyAlignment="1">
      <alignment wrapText="1"/>
    </xf>
    <xf numFmtId="188" fontId="80" fillId="53" borderId="32" xfId="0" applyNumberFormat="1" applyFont="1" applyFill="1" applyBorder="1" applyAlignment="1">
      <alignment horizontal="right"/>
    </xf>
    <xf numFmtId="192" fontId="80" fillId="53" borderId="120" xfId="0" applyNumberFormat="1" applyFont="1" applyFill="1" applyBorder="1" applyAlignment="1">
      <alignment horizontal="right"/>
    </xf>
    <xf numFmtId="0" fontId="7" fillId="5" borderId="32" xfId="0" applyFont="1" applyFill="1" applyBorder="1" applyAlignment="1">
      <alignment horizontal="left" wrapText="1"/>
    </xf>
    <xf numFmtId="188" fontId="7" fillId="5" borderId="0" xfId="0" applyNumberFormat="1" applyFont="1" applyFill="1" applyAlignment="1">
      <alignment horizontal="right" vertical="center"/>
    </xf>
    <xf numFmtId="0" fontId="80" fillId="53" borderId="31" xfId="0" applyFont="1" applyFill="1" applyBorder="1" applyAlignment="1">
      <alignment vertical="center"/>
    </xf>
    <xf numFmtId="0" fontId="80" fillId="53" borderId="32" xfId="0" applyFont="1" applyFill="1" applyBorder="1" applyAlignment="1">
      <alignment vertical="center"/>
    </xf>
    <xf numFmtId="2" fontId="7" fillId="53" borderId="32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81" fillId="0" borderId="0" xfId="0" applyFont="1" applyAlignment="1">
      <alignment horizontal="center" wrapText="1"/>
    </xf>
    <xf numFmtId="0" fontId="2" fillId="0" borderId="0" xfId="0" applyFont="1"/>
    <xf numFmtId="0" fontId="29" fillId="11" borderId="31" xfId="652" applyFont="1" applyBorder="1" applyProtection="1">
      <alignment vertical="center"/>
    </xf>
    <xf numFmtId="0" fontId="73" fillId="11" borderId="32" xfId="652" applyFont="1" applyBorder="1" applyProtection="1">
      <alignment vertical="center"/>
    </xf>
    <xf numFmtId="0" fontId="73" fillId="11" borderId="33" xfId="652" applyFont="1" applyBorder="1" applyProtection="1">
      <alignment vertical="center"/>
    </xf>
    <xf numFmtId="0" fontId="7" fillId="0" borderId="0" xfId="0" applyFont="1" applyAlignment="1">
      <alignment vertical="center" wrapText="1"/>
    </xf>
    <xf numFmtId="0" fontId="82" fillId="0" borderId="0" xfId="0" applyFont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54" xfId="0" applyBorder="1"/>
    <xf numFmtId="0" fontId="7" fillId="4" borderId="85" xfId="0" applyFont="1" applyFill="1" applyBorder="1" applyAlignment="1">
      <alignment horizontal="right" vertical="center"/>
    </xf>
    <xf numFmtId="0" fontId="7" fillId="4" borderId="119" xfId="0" applyFont="1" applyFill="1" applyBorder="1" applyAlignment="1">
      <alignment horizontal="right" vertical="center"/>
    </xf>
    <xf numFmtId="0" fontId="7" fillId="52" borderId="100" xfId="0" applyFont="1" applyFill="1" applyBorder="1" applyAlignment="1">
      <alignment horizontal="right" vertical="center"/>
    </xf>
    <xf numFmtId="0" fontId="7" fillId="52" borderId="86" xfId="0" applyFont="1" applyFill="1" applyBorder="1" applyAlignment="1">
      <alignment horizontal="right" vertical="center"/>
    </xf>
    <xf numFmtId="0" fontId="7" fillId="52" borderId="87" xfId="0" applyFont="1" applyFill="1" applyBorder="1" applyAlignment="1">
      <alignment horizontal="right" vertical="center"/>
    </xf>
    <xf numFmtId="0" fontId="4" fillId="5" borderId="40" xfId="0" applyFont="1" applyFill="1" applyBorder="1" applyAlignment="1">
      <alignment vertical="center" wrapText="1"/>
    </xf>
    <xf numFmtId="0" fontId="77" fillId="4" borderId="8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/>
    </xf>
    <xf numFmtId="0" fontId="83" fillId="53" borderId="50" xfId="0" applyFont="1" applyFill="1" applyBorder="1" applyAlignment="1">
      <alignment wrapText="1"/>
    </xf>
    <xf numFmtId="0" fontId="84" fillId="4" borderId="114" xfId="0" applyFont="1" applyFill="1" applyBorder="1" applyAlignment="1">
      <alignment horizontal="left"/>
    </xf>
    <xf numFmtId="0" fontId="0" fillId="0" borderId="0" xfId="0"/>
    <xf numFmtId="0" fontId="4" fillId="0" borderId="121" xfId="0" applyFont="1" applyBorder="1" applyAlignment="1">
      <alignment horizontal="left" vertical="center" wrapText="1" indent="1"/>
    </xf>
    <xf numFmtId="0" fontId="77" fillId="9" borderId="22" xfId="0" applyFont="1" applyFill="1" applyBorder="1" applyAlignment="1">
      <alignment horizontal="left" vertical="center" wrapText="1" indent="1"/>
    </xf>
    <xf numFmtId="49" fontId="4" fillId="35" borderId="113" xfId="703" applyBorder="1" applyAlignment="1">
      <alignment horizontal="right"/>
      <protection locked="0"/>
    </xf>
    <xf numFmtId="0" fontId="4" fillId="0" borderId="22" xfId="453" applyFont="1" applyBorder="1" applyAlignment="1">
      <alignment horizontal="left" vertical="center" indent="1"/>
    </xf>
    <xf numFmtId="0" fontId="4" fillId="0" borderId="71" xfId="0" applyFont="1" applyBorder="1" applyAlignment="1">
      <alignment horizontal="left" vertical="center" wrapText="1" indent="1"/>
    </xf>
    <xf numFmtId="185" fontId="4" fillId="35" borderId="122" xfId="0" applyNumberFormat="1" applyFont="1" applyFill="1" applyBorder="1" applyAlignment="1" applyProtection="1">
      <alignment vertical="center" wrapText="1"/>
      <protection locked="0"/>
    </xf>
    <xf numFmtId="0" fontId="7" fillId="4" borderId="123" xfId="0" applyFont="1" applyFill="1" applyBorder="1" applyAlignment="1" applyProtection="1">
      <alignment vertical="center"/>
      <protection locked="0"/>
    </xf>
    <xf numFmtId="185" fontId="4" fillId="35" borderId="123" xfId="0" applyNumberFormat="1" applyFont="1" applyFill="1" applyBorder="1" applyAlignment="1" applyProtection="1">
      <alignment vertical="center" wrapText="1"/>
      <protection locked="0"/>
    </xf>
    <xf numFmtId="185" fontId="4" fillId="35" borderId="124" xfId="0" applyNumberFormat="1" applyFont="1" applyFill="1" applyBorder="1" applyAlignment="1" applyProtection="1">
      <alignment vertical="center" wrapText="1"/>
      <protection locked="0"/>
    </xf>
    <xf numFmtId="0" fontId="6" fillId="0" borderId="0" xfId="5" applyFont="1" applyFill="1"/>
    <xf numFmtId="196" fontId="0" fillId="0" borderId="0" xfId="0" applyNumberFormat="1"/>
    <xf numFmtId="0" fontId="51" fillId="4" borderId="9" xfId="0" applyFont="1" applyFill="1" applyBorder="1" applyAlignment="1">
      <alignment horizontal="left" vertical="center"/>
    </xf>
    <xf numFmtId="0" fontId="51" fillId="4" borderId="129" xfId="0" applyFont="1" applyFill="1" applyBorder="1" applyAlignment="1">
      <alignment horizontal="left" vertical="center"/>
    </xf>
    <xf numFmtId="185" fontId="7" fillId="4" borderId="131" xfId="0" applyNumberFormat="1" applyFont="1" applyFill="1" applyBorder="1" applyAlignment="1">
      <alignment vertical="center"/>
    </xf>
    <xf numFmtId="185" fontId="4" fillId="0" borderId="67" xfId="0" applyNumberFormat="1" applyFont="1" applyBorder="1" applyAlignment="1">
      <alignment horizontal="right" vertical="top" wrapText="1"/>
    </xf>
    <xf numFmtId="185" fontId="4" fillId="0" borderId="67" xfId="0" applyNumberFormat="1" applyFont="1" applyBorder="1" applyAlignment="1">
      <alignment vertical="center" wrapText="1"/>
    </xf>
    <xf numFmtId="185" fontId="4" fillId="4" borderId="67" xfId="0" applyNumberFormat="1" applyFont="1" applyFill="1" applyBorder="1" applyAlignment="1">
      <alignment vertical="center" wrapText="1"/>
    </xf>
    <xf numFmtId="185" fontId="4" fillId="4" borderId="2" xfId="0" applyNumberFormat="1" applyFont="1" applyFill="1" applyBorder="1"/>
    <xf numFmtId="185" fontId="7" fillId="4" borderId="2" xfId="0" applyNumberFormat="1" applyFont="1" applyFill="1" applyBorder="1"/>
    <xf numFmtId="185" fontId="7" fillId="4" borderId="3" xfId="0" applyNumberFormat="1" applyFont="1" applyFill="1" applyBorder="1"/>
    <xf numFmtId="185" fontId="7" fillId="4" borderId="132" xfId="0" applyNumberFormat="1" applyFont="1" applyFill="1" applyBorder="1" applyAlignment="1">
      <alignment vertical="center"/>
    </xf>
    <xf numFmtId="185" fontId="4" fillId="5" borderId="133" xfId="0" applyNumberFormat="1" applyFont="1" applyFill="1" applyBorder="1" applyAlignment="1">
      <alignment vertical="center" wrapText="1"/>
    </xf>
    <xf numFmtId="185" fontId="4" fillId="0" borderId="134" xfId="0" applyNumberFormat="1" applyFont="1" applyBorder="1" applyAlignment="1">
      <alignment horizontal="right" vertical="center" wrapText="1"/>
    </xf>
    <xf numFmtId="0" fontId="8" fillId="5" borderId="10" xfId="0" applyFont="1" applyFill="1" applyBorder="1" applyAlignment="1">
      <alignment horizontal="left" vertical="center" wrapText="1" indent="1"/>
    </xf>
    <xf numFmtId="0" fontId="29" fillId="11" borderId="0" xfId="652" applyFont="1">
      <alignment vertical="center"/>
      <protection locked="0"/>
    </xf>
    <xf numFmtId="0" fontId="73" fillId="11" borderId="0" xfId="652" applyFont="1">
      <alignment vertical="center"/>
      <protection locked="0"/>
    </xf>
    <xf numFmtId="0" fontId="3" fillId="35" borderId="9" xfId="0" applyFont="1" applyFill="1" applyBorder="1"/>
    <xf numFmtId="0" fontId="75" fillId="4" borderId="31" xfId="0" applyFont="1" applyFill="1" applyBorder="1" applyAlignment="1" applyProtection="1">
      <alignment horizontal="left" vertical="center"/>
      <protection locked="0"/>
    </xf>
    <xf numFmtId="0" fontId="75" fillId="4" borderId="2" xfId="0" applyFont="1" applyFill="1" applyBorder="1" applyAlignment="1" applyProtection="1">
      <alignment horizontal="left" vertical="center"/>
      <protection locked="0"/>
    </xf>
    <xf numFmtId="0" fontId="75" fillId="4" borderId="32" xfId="0" applyFont="1" applyFill="1" applyBorder="1" applyAlignment="1" applyProtection="1">
      <alignment horizontal="left" vertical="center"/>
      <protection locked="0"/>
    </xf>
    <xf numFmtId="0" fontId="75" fillId="4" borderId="33" xfId="0" applyFont="1" applyFill="1" applyBorder="1" applyAlignment="1" applyProtection="1">
      <alignment horizontal="left" vertical="center"/>
      <protection locked="0"/>
    </xf>
    <xf numFmtId="0" fontId="7" fillId="4" borderId="141" xfId="0" applyFont="1" applyFill="1" applyBorder="1" applyAlignment="1">
      <alignment horizontal="right" vertical="center"/>
    </xf>
    <xf numFmtId="0" fontId="7" fillId="4" borderId="142" xfId="0" applyFont="1" applyFill="1" applyBorder="1" applyAlignment="1">
      <alignment horizontal="right" vertical="center"/>
    </xf>
    <xf numFmtId="0" fontId="7" fillId="4" borderId="143" xfId="0" applyFont="1" applyFill="1" applyBorder="1" applyAlignment="1">
      <alignment horizontal="right" vertical="center"/>
    </xf>
    <xf numFmtId="0" fontId="7" fillId="6" borderId="144" xfId="0" applyFont="1" applyFill="1" applyBorder="1" applyAlignment="1">
      <alignment horizontal="right" vertical="center"/>
    </xf>
    <xf numFmtId="0" fontId="7" fillId="6" borderId="145" xfId="0" applyFont="1" applyFill="1" applyBorder="1" applyAlignment="1">
      <alignment horizontal="right" vertical="center"/>
    </xf>
    <xf numFmtId="0" fontId="7" fillId="6" borderId="146" xfId="0" applyFont="1" applyFill="1" applyBorder="1" applyAlignment="1">
      <alignment horizontal="right" vertical="center"/>
    </xf>
    <xf numFmtId="197" fontId="4" fillId="9" borderId="147" xfId="0" applyNumberFormat="1" applyFont="1" applyFill="1" applyBorder="1" applyAlignment="1" applyProtection="1">
      <alignment vertical="center" wrapText="1"/>
      <protection locked="0"/>
    </xf>
    <xf numFmtId="197" fontId="4" fillId="9" borderId="148" xfId="0" applyNumberFormat="1" applyFont="1" applyFill="1" applyBorder="1" applyAlignment="1" applyProtection="1">
      <alignment vertical="center" wrapText="1"/>
      <protection locked="0"/>
    </xf>
    <xf numFmtId="198" fontId="4" fillId="35" borderId="149" xfId="0" applyNumberFormat="1" applyFont="1" applyFill="1" applyBorder="1" applyAlignment="1" applyProtection="1">
      <alignment vertical="center" wrapText="1"/>
      <protection locked="0"/>
    </xf>
    <xf numFmtId="198" fontId="4" fillId="35" borderId="150" xfId="0" applyNumberFormat="1" applyFont="1" applyFill="1" applyBorder="1" applyAlignment="1" applyProtection="1">
      <alignment vertical="center" wrapText="1"/>
      <protection locked="0"/>
    </xf>
    <xf numFmtId="198" fontId="4" fillId="35" borderId="148" xfId="0" applyNumberFormat="1" applyFont="1" applyFill="1" applyBorder="1" applyAlignment="1" applyProtection="1">
      <alignment vertical="center" wrapText="1"/>
      <protection locked="0"/>
    </xf>
    <xf numFmtId="198" fontId="4" fillId="35" borderId="151" xfId="0" applyNumberFormat="1" applyFont="1" applyFill="1" applyBorder="1" applyAlignment="1" applyProtection="1">
      <alignment vertical="center" wrapText="1"/>
      <protection locked="0"/>
    </xf>
    <xf numFmtId="197" fontId="4" fillId="5" borderId="11" xfId="1" applyNumberFormat="1" applyFont="1" applyFill="1" applyBorder="1" applyAlignment="1" applyProtection="1">
      <alignment horizontal="right" vertical="center" wrapText="1"/>
    </xf>
    <xf numFmtId="197" fontId="4" fillId="5" borderId="152" xfId="1" applyNumberFormat="1" applyFont="1" applyFill="1" applyBorder="1" applyAlignment="1" applyProtection="1">
      <alignment horizontal="right" vertical="center" wrapText="1"/>
    </xf>
    <xf numFmtId="197" fontId="4" fillId="5" borderId="10" xfId="1" applyNumberFormat="1" applyFont="1" applyFill="1" applyBorder="1" applyAlignment="1" applyProtection="1">
      <alignment horizontal="right" vertical="center" wrapText="1"/>
    </xf>
    <xf numFmtId="197" fontId="4" fillId="5" borderId="70" xfId="1" applyNumberFormat="1" applyFont="1" applyFill="1" applyBorder="1" applyAlignment="1" applyProtection="1">
      <alignment horizontal="right" vertical="center" wrapText="1"/>
    </xf>
    <xf numFmtId="197" fontId="4" fillId="5" borderId="76" xfId="1" applyNumberFormat="1" applyFont="1" applyFill="1" applyBorder="1" applyAlignment="1" applyProtection="1">
      <alignment horizontal="right" vertical="center" wrapText="1"/>
    </xf>
    <xf numFmtId="197" fontId="7" fillId="4" borderId="23" xfId="0" applyNumberFormat="1" applyFont="1" applyFill="1" applyBorder="1"/>
    <xf numFmtId="197" fontId="7" fillId="4" borderId="17" xfId="0" applyNumberFormat="1" applyFont="1" applyFill="1" applyBorder="1"/>
    <xf numFmtId="197" fontId="7" fillId="4" borderId="153" xfId="0" applyNumberFormat="1" applyFont="1" applyFill="1" applyBorder="1" applyAlignment="1">
      <alignment vertical="center"/>
    </xf>
    <xf numFmtId="197" fontId="7" fillId="4" borderId="123" xfId="0" applyNumberFormat="1" applyFont="1" applyFill="1" applyBorder="1" applyAlignment="1">
      <alignment vertical="center"/>
    </xf>
    <xf numFmtId="197" fontId="7" fillId="4" borderId="17" xfId="0" applyNumberFormat="1" applyFont="1" applyFill="1" applyBorder="1" applyAlignment="1">
      <alignment vertical="center"/>
    </xf>
    <xf numFmtId="197" fontId="7" fillId="4" borderId="36" xfId="0" applyNumberFormat="1" applyFont="1" applyFill="1" applyBorder="1" applyAlignment="1">
      <alignment vertical="center"/>
    </xf>
    <xf numFmtId="197" fontId="7" fillId="4" borderId="20" xfId="0" applyNumberFormat="1" applyFont="1" applyFill="1" applyBorder="1" applyAlignment="1">
      <alignment horizontal="left"/>
    </xf>
    <xf numFmtId="197" fontId="7" fillId="4" borderId="79" xfId="0" applyNumberFormat="1" applyFont="1" applyFill="1" applyBorder="1" applyAlignment="1">
      <alignment horizontal="left"/>
    </xf>
    <xf numFmtId="197" fontId="7" fillId="4" borderId="19" xfId="0" applyNumberFormat="1" applyFont="1" applyFill="1" applyBorder="1" applyAlignment="1">
      <alignment horizontal="left"/>
    </xf>
    <xf numFmtId="197" fontId="7" fillId="4" borderId="83" xfId="0" applyNumberFormat="1" applyFont="1" applyFill="1" applyBorder="1" applyAlignment="1">
      <alignment horizontal="left"/>
    </xf>
    <xf numFmtId="197" fontId="7" fillId="4" borderId="84" xfId="0" applyNumberFormat="1" applyFont="1" applyFill="1" applyBorder="1" applyAlignment="1">
      <alignment horizontal="left"/>
    </xf>
    <xf numFmtId="0" fontId="4" fillId="0" borderId="82" xfId="0" applyFont="1" applyBorder="1" applyAlignment="1">
      <alignment horizontal="left" vertical="center" indent="4"/>
    </xf>
    <xf numFmtId="197" fontId="4" fillId="9" borderId="23" xfId="0" applyNumberFormat="1" applyFont="1" applyFill="1" applyBorder="1" applyAlignment="1" applyProtection="1">
      <alignment vertical="center" wrapText="1"/>
      <protection locked="0"/>
    </xf>
    <xf numFmtId="197" fontId="4" fillId="9" borderId="17" xfId="0" applyNumberFormat="1" applyFont="1" applyFill="1" applyBorder="1" applyAlignment="1" applyProtection="1">
      <alignment vertical="center" wrapText="1"/>
      <protection locked="0"/>
    </xf>
    <xf numFmtId="197" fontId="4" fillId="9" borderId="26" xfId="0" applyNumberFormat="1" applyFont="1" applyFill="1" applyBorder="1" applyAlignment="1" applyProtection="1">
      <alignment vertical="center" wrapText="1"/>
      <protection locked="0"/>
    </xf>
    <xf numFmtId="197" fontId="4" fillId="35" borderId="27" xfId="0" applyNumberFormat="1" applyFont="1" applyFill="1" applyBorder="1" applyAlignment="1" applyProtection="1">
      <alignment vertical="center" wrapText="1"/>
      <protection locked="0"/>
    </xf>
    <xf numFmtId="197" fontId="4" fillId="35" borderId="123" xfId="0" applyNumberFormat="1" applyFont="1" applyFill="1" applyBorder="1" applyAlignment="1" applyProtection="1">
      <alignment vertical="center" wrapText="1"/>
      <protection locked="0"/>
    </xf>
    <xf numFmtId="197" fontId="4" fillId="35" borderId="17" xfId="0" applyNumberFormat="1" applyFont="1" applyFill="1" applyBorder="1" applyAlignment="1" applyProtection="1">
      <alignment vertical="center" wrapText="1"/>
      <protection locked="0"/>
    </xf>
    <xf numFmtId="197" fontId="4" fillId="35" borderId="36" xfId="0" applyNumberFormat="1" applyFont="1" applyFill="1" applyBorder="1" applyAlignment="1" applyProtection="1">
      <alignment vertical="center" wrapText="1"/>
      <protection locked="0"/>
    </xf>
    <xf numFmtId="197" fontId="4" fillId="5" borderId="20" xfId="1" applyNumberFormat="1" applyFont="1" applyFill="1" applyBorder="1" applyAlignment="1" applyProtection="1">
      <alignment horizontal="right" wrapText="1"/>
    </xf>
    <xf numFmtId="197" fontId="4" fillId="5" borderId="101" xfId="1" applyNumberFormat="1" applyFont="1" applyFill="1" applyBorder="1" applyAlignment="1" applyProtection="1">
      <alignment horizontal="right" wrapText="1"/>
    </xf>
    <xf numFmtId="197" fontId="4" fillId="5" borderId="19" xfId="1" applyNumberFormat="1" applyFont="1" applyFill="1" applyBorder="1" applyAlignment="1" applyProtection="1">
      <alignment horizontal="right" wrapText="1"/>
    </xf>
    <xf numFmtId="197" fontId="4" fillId="5" borderId="34" xfId="1" applyNumberFormat="1" applyFont="1" applyFill="1" applyBorder="1" applyAlignment="1" applyProtection="1">
      <alignment horizontal="right" wrapText="1"/>
    </xf>
    <xf numFmtId="197" fontId="4" fillId="9" borderId="153" xfId="0" applyNumberFormat="1" applyFont="1" applyFill="1" applyBorder="1" applyAlignment="1" applyProtection="1">
      <alignment vertical="center" wrapText="1"/>
      <protection locked="0"/>
    </xf>
    <xf numFmtId="197" fontId="4" fillId="35" borderId="153" xfId="0" applyNumberFormat="1" applyFont="1" applyFill="1" applyBorder="1" applyAlignment="1" applyProtection="1">
      <alignment vertical="center" wrapText="1"/>
      <protection locked="0"/>
    </xf>
    <xf numFmtId="0" fontId="89" fillId="0" borderId="82" xfId="0" applyFont="1" applyBorder="1" applyAlignment="1">
      <alignment horizontal="left" vertical="center" indent="4"/>
    </xf>
    <xf numFmtId="197" fontId="4" fillId="35" borderId="149" xfId="0" applyNumberFormat="1" applyFont="1" applyFill="1" applyBorder="1" applyAlignment="1" applyProtection="1">
      <alignment vertical="center" wrapText="1"/>
      <protection locked="0"/>
    </xf>
    <xf numFmtId="0" fontId="4" fillId="0" borderId="82" xfId="0" applyFont="1" applyBorder="1" applyAlignment="1">
      <alignment horizontal="left" vertical="center" indent="1"/>
    </xf>
    <xf numFmtId="0" fontId="89" fillId="0" borderId="82" xfId="453" applyFont="1" applyBorder="1" applyAlignment="1">
      <alignment horizontal="left" vertical="center" indent="1"/>
    </xf>
    <xf numFmtId="197" fontId="4" fillId="35" borderId="150" xfId="0" applyNumberFormat="1" applyFont="1" applyFill="1" applyBorder="1" applyAlignment="1" applyProtection="1">
      <alignment vertical="center" wrapText="1"/>
      <protection locked="0"/>
    </xf>
    <xf numFmtId="197" fontId="4" fillId="5" borderId="125" xfId="1" applyNumberFormat="1" applyFont="1" applyFill="1" applyBorder="1" applyAlignment="1" applyProtection="1">
      <alignment horizontal="right" wrapText="1"/>
    </xf>
    <xf numFmtId="197" fontId="4" fillId="5" borderId="154" xfId="1" applyNumberFormat="1" applyFont="1" applyFill="1" applyBorder="1" applyAlignment="1" applyProtection="1">
      <alignment horizontal="right" wrapText="1"/>
    </xf>
    <xf numFmtId="197" fontId="4" fillId="5" borderId="155" xfId="1" applyNumberFormat="1" applyFont="1" applyFill="1" applyBorder="1" applyAlignment="1" applyProtection="1">
      <alignment horizontal="right" wrapText="1"/>
    </xf>
    <xf numFmtId="197" fontId="4" fillId="5" borderId="156" xfId="1" applyNumberFormat="1" applyFont="1" applyFill="1" applyBorder="1" applyAlignment="1" applyProtection="1">
      <alignment horizontal="right" wrapText="1"/>
    </xf>
    <xf numFmtId="197" fontId="7" fillId="50" borderId="157" xfId="1" applyNumberFormat="1" applyFont="1" applyFill="1" applyBorder="1" applyAlignment="1" applyProtection="1">
      <alignment horizontal="right" wrapText="1"/>
    </xf>
    <xf numFmtId="197" fontId="7" fillId="50" borderId="145" xfId="1" applyNumberFormat="1" applyFont="1" applyFill="1" applyBorder="1" applyAlignment="1" applyProtection="1">
      <alignment horizontal="right" wrapText="1"/>
    </xf>
    <xf numFmtId="197" fontId="7" fillId="50" borderId="86" xfId="1" applyNumberFormat="1" applyFont="1" applyFill="1" applyBorder="1" applyAlignment="1" applyProtection="1">
      <alignment horizontal="right" wrapText="1"/>
    </xf>
    <xf numFmtId="197" fontId="7" fillId="50" borderId="146" xfId="1" applyNumberFormat="1" applyFont="1" applyFill="1" applyBorder="1" applyAlignment="1" applyProtection="1">
      <alignment horizontal="right" wrapText="1"/>
    </xf>
    <xf numFmtId="197" fontId="7" fillId="50" borderId="85" xfId="1" applyNumberFormat="1" applyFont="1" applyFill="1" applyBorder="1" applyAlignment="1" applyProtection="1">
      <alignment horizontal="right" wrapText="1"/>
    </xf>
    <xf numFmtId="197" fontId="7" fillId="50" borderId="87" xfId="1" applyNumberFormat="1" applyFont="1" applyFill="1" applyBorder="1" applyAlignment="1" applyProtection="1">
      <alignment horizontal="right" wrapText="1"/>
    </xf>
    <xf numFmtId="197" fontId="4" fillId="9" borderId="150" xfId="0" applyNumberFormat="1" applyFont="1" applyFill="1" applyBorder="1" applyAlignment="1" applyProtection="1">
      <alignment vertical="center" wrapText="1"/>
      <protection locked="0"/>
    </xf>
    <xf numFmtId="197" fontId="4" fillId="35" borderId="148" xfId="0" applyNumberFormat="1" applyFont="1" applyFill="1" applyBorder="1" applyAlignment="1" applyProtection="1">
      <alignment vertical="center" wrapText="1"/>
      <protection locked="0"/>
    </xf>
    <xf numFmtId="197" fontId="4" fillId="35" borderId="14" xfId="0" applyNumberFormat="1" applyFont="1" applyFill="1" applyBorder="1" applyAlignment="1" applyProtection="1">
      <alignment vertical="center" wrapText="1"/>
      <protection locked="0"/>
    </xf>
    <xf numFmtId="2" fontId="7" fillId="4" borderId="6" xfId="0" applyNumberFormat="1" applyFont="1" applyFill="1" applyBorder="1"/>
    <xf numFmtId="197" fontId="4" fillId="5" borderId="93" xfId="0" applyNumberFormat="1" applyFont="1" applyFill="1" applyBorder="1" applyAlignment="1">
      <alignment horizontal="right" vertical="center"/>
    </xf>
    <xf numFmtId="197" fontId="4" fillId="5" borderId="96" xfId="0" applyNumberFormat="1" applyFont="1" applyFill="1" applyBorder="1" applyAlignment="1">
      <alignment horizontal="right" vertical="center"/>
    </xf>
    <xf numFmtId="197" fontId="4" fillId="5" borderId="80" xfId="0" applyNumberFormat="1" applyFont="1" applyFill="1" applyBorder="1" applyAlignment="1">
      <alignment horizontal="right" vertical="center"/>
    </xf>
    <xf numFmtId="197" fontId="4" fillId="5" borderId="67" xfId="0" applyNumberFormat="1" applyFont="1" applyFill="1" applyBorder="1" applyAlignment="1">
      <alignment horizontal="right" vertical="center"/>
    </xf>
    <xf numFmtId="197" fontId="4" fillId="5" borderId="89" xfId="0" applyNumberFormat="1" applyFont="1" applyFill="1" applyBorder="1" applyAlignment="1">
      <alignment horizontal="right" vertical="center"/>
    </xf>
    <xf numFmtId="197" fontId="7" fillId="4" borderId="3" xfId="0" applyNumberFormat="1" applyFont="1" applyFill="1" applyBorder="1" applyAlignment="1">
      <alignment horizontal="left"/>
    </xf>
    <xf numFmtId="197" fontId="7" fillId="4" borderId="123" xfId="0" applyNumberFormat="1" applyFont="1" applyFill="1" applyBorder="1"/>
    <xf numFmtId="197" fontId="7" fillId="4" borderId="153" xfId="0" applyNumberFormat="1" applyFont="1" applyFill="1" applyBorder="1"/>
    <xf numFmtId="197" fontId="7" fillId="4" borderId="6" xfId="0" applyNumberFormat="1" applyFont="1" applyFill="1" applyBorder="1" applyAlignment="1">
      <alignment horizontal="right"/>
    </xf>
    <xf numFmtId="0" fontId="4" fillId="0" borderId="22" xfId="0" applyFont="1" applyBorder="1" applyAlignment="1">
      <alignment horizontal="left" vertical="center" wrapText="1" indent="3"/>
    </xf>
    <xf numFmtId="197" fontId="4" fillId="9" borderId="123" xfId="0" applyNumberFormat="1" applyFont="1" applyFill="1" applyBorder="1" applyAlignment="1" applyProtection="1">
      <alignment vertical="center" wrapText="1"/>
      <protection locked="0"/>
    </xf>
    <xf numFmtId="197" fontId="4" fillId="5" borderId="20" xfId="0" applyNumberFormat="1" applyFont="1" applyFill="1" applyBorder="1" applyAlignment="1">
      <alignment horizontal="right" vertical="center"/>
    </xf>
    <xf numFmtId="197" fontId="4" fillId="5" borderId="101" xfId="0" applyNumberFormat="1" applyFont="1" applyFill="1" applyBorder="1" applyAlignment="1">
      <alignment horizontal="right" vertical="center"/>
    </xf>
    <xf numFmtId="197" fontId="4" fillId="5" borderId="19" xfId="0" applyNumberFormat="1" applyFont="1" applyFill="1" applyBorder="1" applyAlignment="1">
      <alignment horizontal="right" vertical="center"/>
    </xf>
    <xf numFmtId="197" fontId="4" fillId="5" borderId="79" xfId="0" applyNumberFormat="1" applyFont="1" applyFill="1" applyBorder="1" applyAlignment="1">
      <alignment horizontal="right" vertical="center"/>
    </xf>
    <xf numFmtId="0" fontId="89" fillId="0" borderId="22" xfId="0" applyFont="1" applyBorder="1" applyAlignment="1">
      <alignment horizontal="left" vertical="center" wrapText="1" indent="3"/>
    </xf>
    <xf numFmtId="199" fontId="4" fillId="35" borderId="153" xfId="0" applyNumberFormat="1" applyFont="1" applyFill="1" applyBorder="1" applyAlignment="1" applyProtection="1">
      <alignment vertical="center" wrapText="1"/>
      <protection locked="0"/>
    </xf>
    <xf numFmtId="197" fontId="4" fillId="35" borderId="158" xfId="0" applyNumberFormat="1" applyFont="1" applyFill="1" applyBorder="1" applyAlignment="1" applyProtection="1">
      <alignment vertical="center" wrapText="1"/>
      <protection locked="0"/>
    </xf>
    <xf numFmtId="197" fontId="4" fillId="35" borderId="26" xfId="0" applyNumberFormat="1" applyFont="1" applyFill="1" applyBorder="1" applyAlignment="1" applyProtection="1">
      <alignment vertical="center" wrapText="1"/>
      <protection locked="0"/>
    </xf>
    <xf numFmtId="197" fontId="4" fillId="35" borderId="159" xfId="0" applyNumberFormat="1" applyFont="1" applyFill="1" applyBorder="1" applyAlignment="1" applyProtection="1">
      <alignment vertical="center" wrapText="1"/>
      <protection locked="0"/>
    </xf>
    <xf numFmtId="0" fontId="4" fillId="0" borderId="55" xfId="0" applyFont="1" applyBorder="1" applyAlignment="1">
      <alignment horizontal="left" vertical="center" wrapText="1" indent="1"/>
    </xf>
    <xf numFmtId="197" fontId="4" fillId="35" borderId="160" xfId="0" applyNumberFormat="1" applyFont="1" applyFill="1" applyBorder="1" applyAlignment="1" applyProtection="1">
      <alignment vertical="center" wrapText="1"/>
      <protection locked="0"/>
    </xf>
    <xf numFmtId="197" fontId="4" fillId="5" borderId="51" xfId="0" applyNumberFormat="1" applyFont="1" applyFill="1" applyBorder="1" applyAlignment="1">
      <alignment horizontal="right" vertical="center"/>
    </xf>
    <xf numFmtId="197" fontId="4" fillId="5" borderId="161" xfId="0" applyNumberFormat="1" applyFont="1" applyFill="1" applyBorder="1" applyAlignment="1">
      <alignment horizontal="right" vertical="center"/>
    </xf>
    <xf numFmtId="197" fontId="4" fillId="5" borderId="73" xfId="0" applyNumberFormat="1" applyFont="1" applyFill="1" applyBorder="1" applyAlignment="1">
      <alignment horizontal="right" vertical="center"/>
    </xf>
    <xf numFmtId="197" fontId="4" fillId="5" borderId="69" xfId="0" applyNumberFormat="1" applyFont="1" applyFill="1" applyBorder="1" applyAlignment="1">
      <alignment horizontal="right" vertical="center"/>
    </xf>
    <xf numFmtId="197" fontId="7" fillId="4" borderId="54" xfId="0" applyNumberFormat="1" applyFont="1" applyFill="1" applyBorder="1" applyAlignment="1">
      <alignment horizontal="right"/>
    </xf>
    <xf numFmtId="0" fontId="7" fillId="50" borderId="85" xfId="0" applyFont="1" applyFill="1" applyBorder="1" applyAlignment="1">
      <alignment horizontal="right" wrapText="1"/>
    </xf>
    <xf numFmtId="185" fontId="7" fillId="50" borderId="87" xfId="1" applyNumberFormat="1" applyFont="1" applyFill="1" applyBorder="1" applyAlignment="1" applyProtection="1">
      <alignment horizontal="right" wrapText="1"/>
    </xf>
    <xf numFmtId="197" fontId="7" fillId="50" borderId="72" xfId="1" applyNumberFormat="1" applyFont="1" applyFill="1" applyBorder="1" applyAlignment="1" applyProtection="1">
      <alignment horizontal="right" wrapText="1"/>
    </xf>
    <xf numFmtId="197" fontId="7" fillId="50" borderId="78" xfId="1" applyNumberFormat="1" applyFont="1" applyFill="1" applyBorder="1" applyAlignment="1" applyProtection="1">
      <alignment horizontal="right" wrapText="1"/>
    </xf>
    <xf numFmtId="198" fontId="7" fillId="50" borderId="162" xfId="1" applyNumberFormat="1" applyFont="1" applyFill="1" applyBorder="1" applyAlignment="1" applyProtection="1">
      <alignment horizontal="right" wrapText="1"/>
    </xf>
    <xf numFmtId="189" fontId="5" fillId="35" borderId="163" xfId="0" applyNumberFormat="1" applyFont="1" applyFill="1" applyBorder="1" applyAlignment="1">
      <alignment horizontal="center"/>
    </xf>
    <xf numFmtId="2" fontId="6" fillId="35" borderId="118" xfId="0" applyNumberFormat="1" applyFont="1" applyFill="1" applyBorder="1"/>
    <xf numFmtId="167" fontId="6" fillId="5" borderId="0" xfId="104" applyFont="1" applyFill="1"/>
    <xf numFmtId="4" fontId="6" fillId="5" borderId="0" xfId="0" applyNumberFormat="1" applyFont="1" applyFill="1"/>
    <xf numFmtId="188" fontId="4" fillId="9" borderId="85" xfId="0" applyNumberFormat="1" applyFont="1" applyFill="1" applyBorder="1" applyAlignment="1">
      <alignment horizontal="right" vertical="center"/>
    </xf>
    <xf numFmtId="188" fontId="4" fillId="9" borderId="86" xfId="0" applyNumberFormat="1" applyFont="1" applyFill="1" applyBorder="1" applyAlignment="1">
      <alignment horizontal="right" vertical="center"/>
    </xf>
    <xf numFmtId="188" fontId="4" fillId="9" borderId="87" xfId="0" applyNumberFormat="1" applyFont="1" applyFill="1" applyBorder="1" applyAlignment="1">
      <alignment horizontal="right" vertical="center"/>
    </xf>
    <xf numFmtId="200" fontId="6" fillId="5" borderId="0" xfId="0" applyNumberFormat="1" applyFont="1" applyFill="1"/>
    <xf numFmtId="167" fontId="6" fillId="5" borderId="0" xfId="104" applyFont="1" applyFill="1" applyBorder="1" applyProtection="1"/>
    <xf numFmtId="10" fontId="6" fillId="5" borderId="0" xfId="0" applyNumberFormat="1" applyFont="1" applyFill="1"/>
    <xf numFmtId="185" fontId="6" fillId="5" borderId="0" xfId="0" applyNumberFormat="1" applyFont="1" applyFill="1"/>
    <xf numFmtId="201" fontId="0" fillId="0" borderId="0" xfId="0" applyNumberFormat="1" applyAlignment="1">
      <alignment vertical="center"/>
    </xf>
    <xf numFmtId="0" fontId="3" fillId="9" borderId="92" xfId="0" applyFont="1" applyFill="1" applyBorder="1" applyAlignment="1">
      <alignment horizontal="right"/>
    </xf>
    <xf numFmtId="188" fontId="4" fillId="5" borderId="68" xfId="0" applyNumberFormat="1" applyFont="1" applyFill="1" applyBorder="1" applyAlignment="1">
      <alignment horizontal="right" vertical="center"/>
    </xf>
    <xf numFmtId="188" fontId="4" fillId="5" borderId="141" xfId="0" applyNumberFormat="1" applyFont="1" applyFill="1" applyBorder="1" applyAlignment="1">
      <alignment horizontal="right" vertical="center"/>
    </xf>
    <xf numFmtId="188" fontId="4" fillId="5" borderId="164" xfId="0" applyNumberFormat="1" applyFont="1" applyFill="1" applyBorder="1" applyAlignment="1">
      <alignment horizontal="right" vertical="center"/>
    </xf>
    <xf numFmtId="188" fontId="4" fillId="5" borderId="87" xfId="0" applyNumberFormat="1" applyFont="1" applyFill="1" applyBorder="1" applyAlignment="1">
      <alignment horizontal="right" vertical="center"/>
    </xf>
    <xf numFmtId="188" fontId="80" fillId="53" borderId="33" xfId="0" applyNumberFormat="1" applyFont="1" applyFill="1" applyBorder="1" applyAlignment="1">
      <alignment horizontal="right"/>
    </xf>
    <xf numFmtId="188" fontId="80" fillId="53" borderId="120" xfId="0" applyNumberFormat="1" applyFont="1" applyFill="1" applyBorder="1" applyAlignment="1">
      <alignment horizontal="right"/>
    </xf>
    <xf numFmtId="188" fontId="80" fillId="53" borderId="165" xfId="0" applyNumberFormat="1" applyFont="1" applyFill="1" applyBorder="1" applyAlignment="1">
      <alignment horizontal="right"/>
    </xf>
    <xf numFmtId="188" fontId="80" fillId="53" borderId="4" xfId="0" applyNumberFormat="1" applyFont="1" applyFill="1" applyBorder="1" applyAlignment="1">
      <alignment horizontal="right"/>
    </xf>
    <xf numFmtId="188" fontId="80" fillId="53" borderId="166" xfId="0" applyNumberFormat="1" applyFont="1" applyFill="1" applyBorder="1" applyAlignment="1">
      <alignment horizontal="right"/>
    </xf>
    <xf numFmtId="188" fontId="80" fillId="53" borderId="167" xfId="0" applyNumberFormat="1" applyFont="1" applyFill="1" applyBorder="1" applyAlignment="1">
      <alignment horizontal="right"/>
    </xf>
    <xf numFmtId="188" fontId="80" fillId="53" borderId="9" xfId="0" applyNumberFormat="1" applyFont="1" applyFill="1" applyBorder="1" applyAlignment="1">
      <alignment horizontal="right"/>
    </xf>
    <xf numFmtId="188" fontId="7" fillId="5" borderId="32" xfId="0" applyNumberFormat="1" applyFont="1" applyFill="1" applyBorder="1" applyAlignment="1">
      <alignment horizontal="right" vertical="center"/>
    </xf>
    <xf numFmtId="2" fontId="7" fillId="53" borderId="33" xfId="0" applyNumberFormat="1" applyFont="1" applyFill="1" applyBorder="1" applyAlignment="1">
      <alignment horizontal="right"/>
    </xf>
    <xf numFmtId="188" fontId="80" fillId="53" borderId="168" xfId="0" applyNumberFormat="1" applyFont="1" applyFill="1" applyBorder="1" applyAlignment="1">
      <alignment horizontal="right" vertical="center"/>
    </xf>
    <xf numFmtId="188" fontId="80" fillId="53" borderId="32" xfId="0" applyNumberFormat="1" applyFont="1" applyFill="1" applyBorder="1" applyAlignment="1">
      <alignment horizontal="right" vertical="center"/>
    </xf>
    <xf numFmtId="188" fontId="80" fillId="53" borderId="167" xfId="0" applyNumberFormat="1" applyFont="1" applyFill="1" applyBorder="1" applyAlignment="1">
      <alignment horizontal="right" vertical="center"/>
    </xf>
    <xf numFmtId="185" fontId="0" fillId="5" borderId="0" xfId="0" applyNumberFormat="1" applyFill="1"/>
    <xf numFmtId="191" fontId="4" fillId="35" borderId="123" xfId="0" applyNumberFormat="1" applyFont="1" applyFill="1" applyBorder="1" applyAlignment="1" applyProtection="1">
      <alignment vertical="center" wrapText="1"/>
      <protection locked="0"/>
    </xf>
    <xf numFmtId="191" fontId="4" fillId="35" borderId="18" xfId="0" applyNumberFormat="1" applyFont="1" applyFill="1" applyBorder="1" applyAlignment="1" applyProtection="1">
      <alignment vertical="center" wrapText="1"/>
      <protection locked="0"/>
    </xf>
    <xf numFmtId="191" fontId="4" fillId="35" borderId="23" xfId="0" applyNumberFormat="1" applyFont="1" applyFill="1" applyBorder="1" applyAlignment="1" applyProtection="1">
      <alignment vertical="center" wrapText="1"/>
      <protection locked="0"/>
    </xf>
    <xf numFmtId="191" fontId="4" fillId="35" borderId="36" xfId="0" applyNumberFormat="1" applyFont="1" applyFill="1" applyBorder="1" applyAlignment="1" applyProtection="1">
      <alignment vertical="center" wrapText="1"/>
      <protection locked="0"/>
    </xf>
    <xf numFmtId="191" fontId="4" fillId="35" borderId="17" xfId="0" applyNumberFormat="1" applyFont="1" applyFill="1" applyBorder="1" applyAlignment="1" applyProtection="1">
      <alignment vertical="center" wrapText="1"/>
      <protection locked="0"/>
    </xf>
    <xf numFmtId="191" fontId="4" fillId="35" borderId="124" xfId="0" applyNumberFormat="1" applyFont="1" applyFill="1" applyBorder="1" applyAlignment="1" applyProtection="1">
      <alignment vertical="center" wrapText="1"/>
      <protection locked="0"/>
    </xf>
    <xf numFmtId="191" fontId="4" fillId="35" borderId="29" xfId="0" applyNumberFormat="1" applyFont="1" applyFill="1" applyBorder="1" applyAlignment="1" applyProtection="1">
      <alignment vertical="center" wrapText="1"/>
      <protection locked="0"/>
    </xf>
    <xf numFmtId="191" fontId="4" fillId="35" borderId="99" xfId="0" applyNumberFormat="1" applyFont="1" applyFill="1" applyBorder="1" applyAlignment="1" applyProtection="1">
      <alignment vertical="center" wrapText="1"/>
      <protection locked="0"/>
    </xf>
    <xf numFmtId="191" fontId="4" fillId="35" borderId="28" xfId="0" applyNumberFormat="1" applyFont="1" applyFill="1" applyBorder="1" applyAlignment="1" applyProtection="1">
      <alignment vertical="center" wrapText="1"/>
      <protection locked="0"/>
    </xf>
    <xf numFmtId="191" fontId="4" fillId="35" borderId="37" xfId="0" applyNumberFormat="1" applyFont="1" applyFill="1" applyBorder="1" applyAlignment="1" applyProtection="1">
      <alignment vertical="center" wrapText="1"/>
      <protection locked="0"/>
    </xf>
    <xf numFmtId="191" fontId="4" fillId="35" borderId="122" xfId="0" applyNumberFormat="1" applyFont="1" applyFill="1" applyBorder="1" applyAlignment="1" applyProtection="1">
      <alignment vertical="center" wrapText="1"/>
      <protection locked="0"/>
    </xf>
    <xf numFmtId="191" fontId="4" fillId="35" borderId="80" xfId="0" applyNumberFormat="1" applyFont="1" applyFill="1" applyBorder="1" applyAlignment="1" applyProtection="1">
      <alignment vertical="center" wrapText="1"/>
      <protection locked="0"/>
    </xf>
    <xf numFmtId="191" fontId="4" fillId="35" borderId="83" xfId="0" applyNumberFormat="1" applyFont="1" applyFill="1" applyBorder="1" applyAlignment="1" applyProtection="1">
      <alignment vertical="center" wrapText="1"/>
      <protection locked="0"/>
    </xf>
    <xf numFmtId="191" fontId="4" fillId="35" borderId="68" xfId="0" applyNumberFormat="1" applyFont="1" applyFill="1" applyBorder="1" applyAlignment="1" applyProtection="1">
      <alignment vertical="center" wrapText="1"/>
      <protection locked="0"/>
    </xf>
    <xf numFmtId="191" fontId="4" fillId="35" borderId="69" xfId="0" applyNumberFormat="1" applyFont="1" applyFill="1" applyBorder="1" applyAlignment="1" applyProtection="1">
      <alignment vertical="center" wrapText="1"/>
      <protection locked="0"/>
    </xf>
    <xf numFmtId="191" fontId="4" fillId="35" borderId="73" xfId="0" applyNumberFormat="1" applyFont="1" applyFill="1" applyBorder="1" applyAlignment="1" applyProtection="1">
      <alignment vertical="center" wrapText="1"/>
      <protection locked="0"/>
    </xf>
    <xf numFmtId="191" fontId="7" fillId="50" borderId="86" xfId="1" applyNumberFormat="1" applyFont="1" applyFill="1" applyBorder="1" applyAlignment="1" applyProtection="1">
      <alignment horizontal="right" wrapText="1"/>
      <protection locked="0"/>
    </xf>
    <xf numFmtId="191" fontId="7" fillId="50" borderId="87" xfId="1" applyNumberFormat="1" applyFont="1" applyFill="1" applyBorder="1" applyAlignment="1" applyProtection="1">
      <alignment horizontal="right" wrapText="1"/>
      <protection locked="0"/>
    </xf>
    <xf numFmtId="191" fontId="7" fillId="50" borderId="78" xfId="1" applyNumberFormat="1" applyFont="1" applyFill="1" applyBorder="1" applyAlignment="1" applyProtection="1">
      <alignment horizontal="right" wrapText="1"/>
      <protection locked="0"/>
    </xf>
    <xf numFmtId="191" fontId="7" fillId="4" borderId="123" xfId="0" applyNumberFormat="1" applyFont="1" applyFill="1" applyBorder="1" applyAlignment="1" applyProtection="1">
      <alignment vertical="center"/>
      <protection locked="0"/>
    </xf>
    <xf numFmtId="191" fontId="7" fillId="4" borderId="18" xfId="0" applyNumberFormat="1" applyFont="1" applyFill="1" applyBorder="1" applyAlignment="1" applyProtection="1">
      <alignment vertical="center"/>
      <protection locked="0"/>
    </xf>
    <xf numFmtId="191" fontId="7" fillId="4" borderId="23" xfId="0" applyNumberFormat="1" applyFont="1" applyFill="1" applyBorder="1" applyAlignment="1" applyProtection="1">
      <alignment vertical="center"/>
      <protection locked="0"/>
    </xf>
    <xf numFmtId="191" fontId="7" fillId="4" borderId="17" xfId="0" applyNumberFormat="1" applyFont="1" applyFill="1" applyBorder="1" applyAlignment="1" applyProtection="1">
      <alignment vertical="center"/>
      <protection locked="0"/>
    </xf>
    <xf numFmtId="191" fontId="7" fillId="4" borderId="36" xfId="0" applyNumberFormat="1" applyFont="1" applyFill="1" applyBorder="1" applyAlignment="1" applyProtection="1">
      <alignment vertical="center"/>
      <protection locked="0"/>
    </xf>
    <xf numFmtId="191" fontId="7" fillId="4" borderId="106" xfId="0" applyNumberFormat="1" applyFont="1" applyFill="1" applyBorder="1" applyProtection="1">
      <protection locked="0"/>
    </xf>
    <xf numFmtId="191" fontId="7" fillId="4" borderId="19" xfId="0" applyNumberFormat="1" applyFont="1" applyFill="1" applyBorder="1" applyProtection="1">
      <protection locked="0"/>
    </xf>
    <xf numFmtId="191" fontId="7" fillId="4" borderId="101" xfId="0" applyNumberFormat="1" applyFont="1" applyFill="1" applyBorder="1" applyProtection="1">
      <protection locked="0"/>
    </xf>
    <xf numFmtId="191" fontId="7" fillId="4" borderId="83" xfId="0" applyNumberFormat="1" applyFont="1" applyFill="1" applyBorder="1" applyProtection="1">
      <protection locked="0"/>
    </xf>
    <xf numFmtId="191" fontId="7" fillId="4" borderId="79" xfId="0" applyNumberFormat="1" applyFont="1" applyFill="1" applyBorder="1" applyProtection="1">
      <protection locked="0"/>
    </xf>
    <xf numFmtId="191" fontId="7" fillId="4" borderId="88" xfId="0" applyNumberFormat="1" applyFont="1" applyFill="1" applyBorder="1" applyProtection="1">
      <protection locked="0"/>
    </xf>
    <xf numFmtId="191" fontId="7" fillId="4" borderId="108" xfId="0" applyNumberFormat="1" applyFont="1" applyFill="1" applyBorder="1" applyProtection="1">
      <protection locked="0"/>
    </xf>
    <xf numFmtId="191" fontId="7" fillId="50" borderId="104" xfId="1" applyNumberFormat="1" applyFont="1" applyFill="1" applyBorder="1" applyAlignment="1" applyProtection="1">
      <alignment horizontal="right" wrapText="1"/>
      <protection locked="0"/>
    </xf>
    <xf numFmtId="0" fontId="85" fillId="55" borderId="60" xfId="0" applyFont="1" applyFill="1" applyBorder="1" applyAlignment="1">
      <alignment horizontal="left" vertical="top" wrapText="1"/>
    </xf>
    <xf numFmtId="0" fontId="85" fillId="55" borderId="48" xfId="0" applyFont="1" applyFill="1" applyBorder="1" applyAlignment="1">
      <alignment horizontal="left" vertical="top" wrapText="1"/>
    </xf>
    <xf numFmtId="0" fontId="85" fillId="55" borderId="61" xfId="0" applyFont="1" applyFill="1" applyBorder="1" applyAlignment="1">
      <alignment horizontal="left" vertical="top" wrapText="1"/>
    </xf>
    <xf numFmtId="185" fontId="7" fillId="7" borderId="74" xfId="0" applyNumberFormat="1" applyFont="1" applyFill="1" applyBorder="1" applyAlignment="1">
      <alignment horizontal="center" vertical="center"/>
    </xf>
    <xf numFmtId="185" fontId="7" fillId="7" borderId="62" xfId="0" applyNumberFormat="1" applyFont="1" applyFill="1" applyBorder="1" applyAlignment="1">
      <alignment horizontal="center" vertical="center"/>
    </xf>
    <xf numFmtId="185" fontId="7" fillId="7" borderId="63" xfId="0" applyNumberFormat="1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103" xfId="0" applyFont="1" applyFill="1" applyBorder="1" applyAlignment="1">
      <alignment horizontal="center" vertical="center"/>
    </xf>
    <xf numFmtId="0" fontId="7" fillId="10" borderId="62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/>
    </xf>
    <xf numFmtId="0" fontId="7" fillId="6" borderId="7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52" borderId="14" xfId="0" applyFont="1" applyFill="1" applyBorder="1" applyAlignment="1">
      <alignment horizontal="center" vertical="center" wrapText="1"/>
    </xf>
    <xf numFmtId="0" fontId="5" fillId="52" borderId="5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/>
    </xf>
    <xf numFmtId="0" fontId="5" fillId="4" borderId="75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70" xfId="0" applyFont="1" applyFill="1" applyBorder="1" applyAlignment="1">
      <alignment horizontal="center"/>
    </xf>
    <xf numFmtId="0" fontId="5" fillId="6" borderId="76" xfId="0" applyFont="1" applyFill="1" applyBorder="1" applyAlignment="1">
      <alignment horizontal="center"/>
    </xf>
    <xf numFmtId="0" fontId="7" fillId="4" borderId="74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72" fillId="54" borderId="114" xfId="0" applyFont="1" applyFill="1" applyBorder="1" applyAlignment="1">
      <alignment horizontal="center" vertical="center" wrapText="1"/>
    </xf>
    <xf numFmtId="0" fontId="72" fillId="54" borderId="59" xfId="0" applyFont="1" applyFill="1" applyBorder="1" applyAlignment="1">
      <alignment horizontal="center" vertical="center" wrapText="1"/>
    </xf>
    <xf numFmtId="0" fontId="72" fillId="54" borderId="8" xfId="0" applyFont="1" applyFill="1" applyBorder="1" applyAlignment="1">
      <alignment horizontal="center" vertical="center" wrapText="1"/>
    </xf>
    <xf numFmtId="0" fontId="72" fillId="54" borderId="45" xfId="0" applyFont="1" applyFill="1" applyBorder="1" applyAlignment="1">
      <alignment horizontal="center" vertical="center" wrapText="1"/>
    </xf>
    <xf numFmtId="0" fontId="72" fillId="54" borderId="48" xfId="0" applyFont="1" applyFill="1" applyBorder="1" applyAlignment="1">
      <alignment horizontal="center" vertical="center" wrapText="1"/>
    </xf>
    <xf numFmtId="0" fontId="72" fillId="54" borderId="61" xfId="0" applyFont="1" applyFill="1" applyBorder="1" applyAlignment="1">
      <alignment horizontal="center" vertical="center" wrapText="1"/>
    </xf>
    <xf numFmtId="0" fontId="3" fillId="52" borderId="112" xfId="0" applyFont="1" applyFill="1" applyBorder="1" applyAlignment="1">
      <alignment horizontal="center" vertical="center"/>
    </xf>
    <xf numFmtId="0" fontId="3" fillId="52" borderId="57" xfId="0" applyFont="1" applyFill="1" applyBorder="1" applyAlignment="1">
      <alignment horizontal="center" vertical="center"/>
    </xf>
    <xf numFmtId="0" fontId="3" fillId="52" borderId="30" xfId="0" applyFont="1" applyFill="1" applyBorder="1" applyAlignment="1">
      <alignment horizontal="center" vertical="center"/>
    </xf>
    <xf numFmtId="0" fontId="4" fillId="5" borderId="93" xfId="0" applyFont="1" applyFill="1" applyBorder="1" applyAlignment="1">
      <alignment horizontal="center"/>
    </xf>
    <xf numFmtId="0" fontId="4" fillId="5" borderId="89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79" xfId="0" applyFont="1" applyFill="1" applyBorder="1" applyAlignment="1">
      <alignment horizontal="center"/>
    </xf>
    <xf numFmtId="0" fontId="4" fillId="5" borderId="51" xfId="0" applyFont="1" applyFill="1" applyBorder="1" applyAlignment="1">
      <alignment horizontal="center"/>
    </xf>
    <xf numFmtId="0" fontId="4" fillId="5" borderId="69" xfId="0" applyFont="1" applyFill="1" applyBorder="1" applyAlignment="1">
      <alignment horizontal="center"/>
    </xf>
    <xf numFmtId="0" fontId="3" fillId="4" borderId="93" xfId="0" applyFont="1" applyFill="1" applyBorder="1" applyAlignment="1">
      <alignment horizontal="center"/>
    </xf>
    <xf numFmtId="0" fontId="3" fillId="4" borderId="110" xfId="0" applyFont="1" applyFill="1" applyBorder="1" applyAlignment="1">
      <alignment horizontal="center"/>
    </xf>
    <xf numFmtId="0" fontId="3" fillId="52" borderId="56" xfId="0" applyFont="1" applyFill="1" applyBorder="1" applyAlignment="1">
      <alignment horizontal="center"/>
    </xf>
    <xf numFmtId="0" fontId="3" fillId="52" borderId="16" xfId="0" applyFont="1" applyFill="1" applyBorder="1" applyAlignment="1">
      <alignment horizontal="center"/>
    </xf>
    <xf numFmtId="0" fontId="5" fillId="4" borderId="135" xfId="0" applyFont="1" applyFill="1" applyBorder="1" applyAlignment="1">
      <alignment horizontal="center"/>
    </xf>
    <xf numFmtId="0" fontId="5" fillId="4" borderId="136" xfId="0" applyFont="1" applyFill="1" applyBorder="1" applyAlignment="1">
      <alignment horizontal="center"/>
    </xf>
    <xf numFmtId="0" fontId="5" fillId="4" borderId="137" xfId="0" applyFont="1" applyFill="1" applyBorder="1" applyAlignment="1">
      <alignment horizontal="center"/>
    </xf>
    <xf numFmtId="0" fontId="5" fillId="6" borderId="138" xfId="0" applyFont="1" applyFill="1" applyBorder="1" applyAlignment="1">
      <alignment horizontal="center"/>
    </xf>
    <xf numFmtId="0" fontId="5" fillId="6" borderId="136" xfId="0" applyFont="1" applyFill="1" applyBorder="1" applyAlignment="1">
      <alignment horizontal="center"/>
    </xf>
    <xf numFmtId="0" fontId="5" fillId="6" borderId="139" xfId="0" applyFont="1" applyFill="1" applyBorder="1" applyAlignment="1">
      <alignment horizontal="center"/>
    </xf>
    <xf numFmtId="0" fontId="5" fillId="4" borderId="66" xfId="0" applyFont="1" applyFill="1" applyBorder="1" applyAlignment="1">
      <alignment horizontal="center"/>
    </xf>
    <xf numFmtId="0" fontId="5" fillId="4" borderId="140" xfId="0" applyFont="1" applyFill="1" applyBorder="1" applyAlignment="1">
      <alignment horizontal="center"/>
    </xf>
    <xf numFmtId="0" fontId="5" fillId="6" borderId="126" xfId="0" applyFont="1" applyFill="1" applyBorder="1" applyAlignment="1">
      <alignment horizontal="center"/>
    </xf>
    <xf numFmtId="0" fontId="5" fillId="6" borderId="127" xfId="0" applyFont="1" applyFill="1" applyBorder="1" applyAlignment="1">
      <alignment horizontal="center"/>
    </xf>
    <xf numFmtId="0" fontId="5" fillId="6" borderId="128" xfId="0" applyFont="1" applyFill="1" applyBorder="1" applyAlignment="1">
      <alignment horizontal="center"/>
    </xf>
    <xf numFmtId="185" fontId="7" fillId="7" borderId="130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7" fillId="10" borderId="130" xfId="0" applyFont="1" applyFill="1" applyBorder="1" applyAlignment="1">
      <alignment horizontal="center" vertical="center"/>
    </xf>
  </cellXfs>
  <cellStyles count="706">
    <cellStyle name=" 1" xfId="9" xr:uid="{00000000-0005-0000-0000-000000000000}"/>
    <cellStyle name=" 1 2" xfId="10" xr:uid="{00000000-0005-0000-0000-000001000000}"/>
    <cellStyle name=" 1 2 2" xfId="11" xr:uid="{00000000-0005-0000-0000-000002000000}"/>
    <cellStyle name=" 1 2 3" xfId="12" xr:uid="{00000000-0005-0000-0000-000003000000}"/>
    <cellStyle name=" 1 3" xfId="13" xr:uid="{00000000-0005-0000-0000-000004000000}"/>
    <cellStyle name=" 1 3 2" xfId="14" xr:uid="{00000000-0005-0000-0000-000005000000}"/>
    <cellStyle name=" 1 4" xfId="15" xr:uid="{00000000-0005-0000-0000-000006000000}"/>
    <cellStyle name=" 1_29(d) - Gas extensions -tariffs" xfId="16" xr:uid="{00000000-0005-0000-0000-000007000000}"/>
    <cellStyle name="_3GIS model v2.77_Distribution Business_Retail Fin Perform " xfId="17" xr:uid="{00000000-0005-0000-0000-000008000000}"/>
    <cellStyle name="_3GIS model v2.77_Fleet Overhead Costs 2_Retail Fin Perform " xfId="18" xr:uid="{00000000-0005-0000-0000-000009000000}"/>
    <cellStyle name="_3GIS model v2.77_Fleet Overhead Costs_Retail Fin Perform " xfId="19" xr:uid="{00000000-0005-0000-0000-00000A000000}"/>
    <cellStyle name="_3GIS model v2.77_Forecast 2_Retail Fin Perform " xfId="20" xr:uid="{00000000-0005-0000-0000-00000B000000}"/>
    <cellStyle name="_3GIS model v2.77_Forecast_Retail Fin Perform " xfId="21" xr:uid="{00000000-0005-0000-0000-00000C000000}"/>
    <cellStyle name="_3GIS model v2.77_Funding &amp; Cashflow_1_Retail Fin Perform " xfId="22" xr:uid="{00000000-0005-0000-0000-00000D000000}"/>
    <cellStyle name="_3GIS model v2.77_Funding &amp; Cashflow_Retail Fin Perform " xfId="23" xr:uid="{00000000-0005-0000-0000-00000E000000}"/>
    <cellStyle name="_3GIS model v2.77_Group P&amp;L_1_Retail Fin Perform " xfId="24" xr:uid="{00000000-0005-0000-0000-00000F000000}"/>
    <cellStyle name="_3GIS model v2.77_Group P&amp;L_Retail Fin Perform " xfId="25" xr:uid="{00000000-0005-0000-0000-000010000000}"/>
    <cellStyle name="_3GIS model v2.77_Opening  Detailed BS_Retail Fin Perform " xfId="26" xr:uid="{00000000-0005-0000-0000-000011000000}"/>
    <cellStyle name="_3GIS model v2.77_OUTPUT DB_Retail Fin Perform " xfId="27" xr:uid="{00000000-0005-0000-0000-000012000000}"/>
    <cellStyle name="_3GIS model v2.77_OUTPUT EB_Retail Fin Perform " xfId="28" xr:uid="{00000000-0005-0000-0000-000013000000}"/>
    <cellStyle name="_3GIS model v2.77_Report_Retail Fin Perform " xfId="29" xr:uid="{00000000-0005-0000-0000-000014000000}"/>
    <cellStyle name="_3GIS model v2.77_Retail Fin Perform " xfId="30" xr:uid="{00000000-0005-0000-0000-000015000000}"/>
    <cellStyle name="_3GIS model v2.77_Sheet2 2_Retail Fin Perform " xfId="31" xr:uid="{00000000-0005-0000-0000-000016000000}"/>
    <cellStyle name="_3GIS model v2.77_Sheet2_Retail Fin Perform " xfId="32" xr:uid="{00000000-0005-0000-0000-000017000000}"/>
    <cellStyle name="_Capex" xfId="33" xr:uid="{00000000-0005-0000-0000-000018000000}"/>
    <cellStyle name="_Capex 2" xfId="34" xr:uid="{00000000-0005-0000-0000-000019000000}"/>
    <cellStyle name="_Capex_29(d) - Gas extensions -tariffs" xfId="35" xr:uid="{00000000-0005-0000-0000-00001A000000}"/>
    <cellStyle name="_UED AMP 2009-14 Final 250309 Less PU" xfId="36" xr:uid="{00000000-0005-0000-0000-00001B000000}"/>
    <cellStyle name="_UED AMP 2009-14 Final 250309 Less PU_1011 monthly" xfId="37" xr:uid="{00000000-0005-0000-0000-00001C000000}"/>
    <cellStyle name="20% - Accent1 2" xfId="38" xr:uid="{00000000-0005-0000-0000-00001D000000}"/>
    <cellStyle name="20% - Accent1 3" xfId="39" xr:uid="{00000000-0005-0000-0000-00001E000000}"/>
    <cellStyle name="20% - Accent2 2" xfId="40" xr:uid="{00000000-0005-0000-0000-00001F000000}"/>
    <cellStyle name="20% - Accent3 2" xfId="41" xr:uid="{00000000-0005-0000-0000-000020000000}"/>
    <cellStyle name="20% - Accent4 2" xfId="42" xr:uid="{00000000-0005-0000-0000-000021000000}"/>
    <cellStyle name="20% - Accent5 2" xfId="43" xr:uid="{00000000-0005-0000-0000-000022000000}"/>
    <cellStyle name="20% - Accent6 2" xfId="44" xr:uid="{00000000-0005-0000-0000-000023000000}"/>
    <cellStyle name="40% - Accent1 2" xfId="45" xr:uid="{00000000-0005-0000-0000-000024000000}"/>
    <cellStyle name="40% - Accent1 3" xfId="46" xr:uid="{00000000-0005-0000-0000-000025000000}"/>
    <cellStyle name="40% - Accent2 2" xfId="47" xr:uid="{00000000-0005-0000-0000-000026000000}"/>
    <cellStyle name="40% - Accent3 2" xfId="48" xr:uid="{00000000-0005-0000-0000-000027000000}"/>
    <cellStyle name="40% - Accent4 2" xfId="49" xr:uid="{00000000-0005-0000-0000-000028000000}"/>
    <cellStyle name="40% - Accent5 2" xfId="50" xr:uid="{00000000-0005-0000-0000-000029000000}"/>
    <cellStyle name="40% - Accent6 2" xfId="51" xr:uid="{00000000-0005-0000-0000-00002A000000}"/>
    <cellStyle name="60% - Accent1 2" xfId="52" xr:uid="{00000000-0005-0000-0000-00002B000000}"/>
    <cellStyle name="60% - Accent2 2" xfId="53" xr:uid="{00000000-0005-0000-0000-00002C000000}"/>
    <cellStyle name="60% - Accent3 2" xfId="54" xr:uid="{00000000-0005-0000-0000-00002D000000}"/>
    <cellStyle name="60% - Accent4 2" xfId="55" xr:uid="{00000000-0005-0000-0000-00002E000000}"/>
    <cellStyle name="60% - Accent5 2" xfId="56" xr:uid="{00000000-0005-0000-0000-00002F000000}"/>
    <cellStyle name="60% - Accent6 2" xfId="57" xr:uid="{00000000-0005-0000-0000-000030000000}"/>
    <cellStyle name="Accent1 - 20%" xfId="58" xr:uid="{00000000-0005-0000-0000-000031000000}"/>
    <cellStyle name="Accent1 - 40%" xfId="59" xr:uid="{00000000-0005-0000-0000-000032000000}"/>
    <cellStyle name="Accent1 - 60%" xfId="60" xr:uid="{00000000-0005-0000-0000-000033000000}"/>
    <cellStyle name="Accent1 2" xfId="61" xr:uid="{00000000-0005-0000-0000-000034000000}"/>
    <cellStyle name="Accent1 3" xfId="675" xr:uid="{00000000-0005-0000-0000-000035000000}"/>
    <cellStyle name="Accent1 4" xfId="676" xr:uid="{00000000-0005-0000-0000-000036000000}"/>
    <cellStyle name="Accent1 5" xfId="677" xr:uid="{00000000-0005-0000-0000-000037000000}"/>
    <cellStyle name="Accent2 - 20%" xfId="62" xr:uid="{00000000-0005-0000-0000-000038000000}"/>
    <cellStyle name="Accent2 - 40%" xfId="63" xr:uid="{00000000-0005-0000-0000-000039000000}"/>
    <cellStyle name="Accent2 - 60%" xfId="64" xr:uid="{00000000-0005-0000-0000-00003A000000}"/>
    <cellStyle name="Accent2 2" xfId="65" xr:uid="{00000000-0005-0000-0000-00003B000000}"/>
    <cellStyle name="Accent2 3" xfId="678" xr:uid="{00000000-0005-0000-0000-00003C000000}"/>
    <cellStyle name="Accent2 4" xfId="679" xr:uid="{00000000-0005-0000-0000-00003D000000}"/>
    <cellStyle name="Accent2 5" xfId="680" xr:uid="{00000000-0005-0000-0000-00003E000000}"/>
    <cellStyle name="Accent3 - 20%" xfId="66" xr:uid="{00000000-0005-0000-0000-00003F000000}"/>
    <cellStyle name="Accent3 - 40%" xfId="67" xr:uid="{00000000-0005-0000-0000-000040000000}"/>
    <cellStyle name="Accent3 - 60%" xfId="68" xr:uid="{00000000-0005-0000-0000-000041000000}"/>
    <cellStyle name="Accent3 2" xfId="69" xr:uid="{00000000-0005-0000-0000-000042000000}"/>
    <cellStyle name="Accent3 3" xfId="681" xr:uid="{00000000-0005-0000-0000-000043000000}"/>
    <cellStyle name="Accent3 4" xfId="682" xr:uid="{00000000-0005-0000-0000-000044000000}"/>
    <cellStyle name="Accent3 5" xfId="683" xr:uid="{00000000-0005-0000-0000-000045000000}"/>
    <cellStyle name="Accent4 - 20%" xfId="70" xr:uid="{00000000-0005-0000-0000-000046000000}"/>
    <cellStyle name="Accent4 - 40%" xfId="71" xr:uid="{00000000-0005-0000-0000-000047000000}"/>
    <cellStyle name="Accent4 - 60%" xfId="72" xr:uid="{00000000-0005-0000-0000-000048000000}"/>
    <cellStyle name="Accent4 2" xfId="73" xr:uid="{00000000-0005-0000-0000-000049000000}"/>
    <cellStyle name="Accent4 3" xfId="684" xr:uid="{00000000-0005-0000-0000-00004A000000}"/>
    <cellStyle name="Accent4 4" xfId="685" xr:uid="{00000000-0005-0000-0000-00004B000000}"/>
    <cellStyle name="Accent4 5" xfId="686" xr:uid="{00000000-0005-0000-0000-00004C000000}"/>
    <cellStyle name="Accent5 - 20%" xfId="74" xr:uid="{00000000-0005-0000-0000-00004D000000}"/>
    <cellStyle name="Accent5 - 40%" xfId="75" xr:uid="{00000000-0005-0000-0000-00004E000000}"/>
    <cellStyle name="Accent5 - 60%" xfId="76" xr:uid="{00000000-0005-0000-0000-00004F000000}"/>
    <cellStyle name="Accent5 2" xfId="77" xr:uid="{00000000-0005-0000-0000-000050000000}"/>
    <cellStyle name="Accent5 3" xfId="687" xr:uid="{00000000-0005-0000-0000-000051000000}"/>
    <cellStyle name="Accent5 4" xfId="688" xr:uid="{00000000-0005-0000-0000-000052000000}"/>
    <cellStyle name="Accent5 5" xfId="689" xr:uid="{00000000-0005-0000-0000-000053000000}"/>
    <cellStyle name="Accent6 - 20%" xfId="78" xr:uid="{00000000-0005-0000-0000-000054000000}"/>
    <cellStyle name="Accent6 - 40%" xfId="79" xr:uid="{00000000-0005-0000-0000-000055000000}"/>
    <cellStyle name="Accent6 - 60%" xfId="80" xr:uid="{00000000-0005-0000-0000-000056000000}"/>
    <cellStyle name="Accent6 2" xfId="81" xr:uid="{00000000-0005-0000-0000-000057000000}"/>
    <cellStyle name="Accent6 3" xfId="690" xr:uid="{00000000-0005-0000-0000-000058000000}"/>
    <cellStyle name="Accent6 4" xfId="691" xr:uid="{00000000-0005-0000-0000-000059000000}"/>
    <cellStyle name="Accent6 5" xfId="692" xr:uid="{00000000-0005-0000-0000-00005A000000}"/>
    <cellStyle name="Agara" xfId="82" xr:uid="{00000000-0005-0000-0000-00005B000000}"/>
    <cellStyle name="B79812_.wvu.PrintTitlest" xfId="83" xr:uid="{00000000-0005-0000-0000-00005C000000}"/>
    <cellStyle name="Bad 2" xfId="84" xr:uid="{00000000-0005-0000-0000-00005D000000}"/>
    <cellStyle name="Black" xfId="85" xr:uid="{00000000-0005-0000-0000-00005E000000}"/>
    <cellStyle name="Blockout" xfId="86" xr:uid="{00000000-0005-0000-0000-00005F000000}"/>
    <cellStyle name="Blockout 2" xfId="87" xr:uid="{00000000-0005-0000-0000-000060000000}"/>
    <cellStyle name="Blockout 2 2" xfId="88" xr:uid="{00000000-0005-0000-0000-000061000000}"/>
    <cellStyle name="Blockout 3" xfId="89" xr:uid="{00000000-0005-0000-0000-000062000000}"/>
    <cellStyle name="Blue" xfId="90" xr:uid="{00000000-0005-0000-0000-000063000000}"/>
    <cellStyle name="Calculation 2" xfId="91" xr:uid="{00000000-0005-0000-0000-000064000000}"/>
    <cellStyle name="Calculation 2 2" xfId="92" xr:uid="{00000000-0005-0000-0000-000065000000}"/>
    <cellStyle name="Calculation 2 2 2" xfId="93" xr:uid="{00000000-0005-0000-0000-000066000000}"/>
    <cellStyle name="Calculation 2 3" xfId="94" xr:uid="{00000000-0005-0000-0000-000067000000}"/>
    <cellStyle name="Calculation 2 3 2" xfId="95" xr:uid="{00000000-0005-0000-0000-000068000000}"/>
    <cellStyle name="Calculation 2 3 3" xfId="96" xr:uid="{00000000-0005-0000-0000-000069000000}"/>
    <cellStyle name="Calculation 2 4" xfId="97" xr:uid="{00000000-0005-0000-0000-00006A000000}"/>
    <cellStyle name="Check Cell 2" xfId="98" xr:uid="{00000000-0005-0000-0000-00006B000000}"/>
    <cellStyle name="Check Cell 2 2 2 2" xfId="99" xr:uid="{00000000-0005-0000-0000-00006C000000}"/>
    <cellStyle name="Comma [0]7Z_87C" xfId="100" xr:uid="{00000000-0005-0000-0000-00006D000000}"/>
    <cellStyle name="Comma 0" xfId="101" xr:uid="{00000000-0005-0000-0000-00006E000000}"/>
    <cellStyle name="Comma 1" xfId="102" xr:uid="{00000000-0005-0000-0000-00006F000000}"/>
    <cellStyle name="Comma 1 2" xfId="103" xr:uid="{00000000-0005-0000-0000-000070000000}"/>
    <cellStyle name="Comma 10" xfId="104" xr:uid="{00000000-0005-0000-0000-000071000000}"/>
    <cellStyle name="Comma 11" xfId="105" xr:uid="{00000000-0005-0000-0000-000072000000}"/>
    <cellStyle name="Comma 2" xfId="106" xr:uid="{00000000-0005-0000-0000-000073000000}"/>
    <cellStyle name="Comma 2 2" xfId="107" xr:uid="{00000000-0005-0000-0000-000074000000}"/>
    <cellStyle name="Comma 2 2 2" xfId="108" xr:uid="{00000000-0005-0000-0000-000075000000}"/>
    <cellStyle name="Comma 2 2 3" xfId="109" xr:uid="{00000000-0005-0000-0000-000076000000}"/>
    <cellStyle name="Comma 2 2 4" xfId="110" xr:uid="{00000000-0005-0000-0000-000077000000}"/>
    <cellStyle name="Comma 2 3" xfId="111" xr:uid="{00000000-0005-0000-0000-000078000000}"/>
    <cellStyle name="Comma 2 3 2" xfId="112" xr:uid="{00000000-0005-0000-0000-000079000000}"/>
    <cellStyle name="Comma 2 3 3" xfId="113" xr:uid="{00000000-0005-0000-0000-00007A000000}"/>
    <cellStyle name="Comma 2 4" xfId="114" xr:uid="{00000000-0005-0000-0000-00007B000000}"/>
    <cellStyle name="Comma 2 5" xfId="115" xr:uid="{00000000-0005-0000-0000-00007C000000}"/>
    <cellStyle name="Comma 2 6" xfId="116" xr:uid="{00000000-0005-0000-0000-00007D000000}"/>
    <cellStyle name="Comma 2 7" xfId="117" xr:uid="{00000000-0005-0000-0000-00007E000000}"/>
    <cellStyle name="Comma 2 8" xfId="118" xr:uid="{00000000-0005-0000-0000-00007F000000}"/>
    <cellStyle name="Comma 3" xfId="119" xr:uid="{00000000-0005-0000-0000-000080000000}"/>
    <cellStyle name="Comma 3 2" xfId="120" xr:uid="{00000000-0005-0000-0000-000081000000}"/>
    <cellStyle name="Comma 3 2 2" xfId="121" xr:uid="{00000000-0005-0000-0000-000082000000}"/>
    <cellStyle name="Comma 3 2 3" xfId="122" xr:uid="{00000000-0005-0000-0000-000083000000}"/>
    <cellStyle name="Comma 3 3" xfId="123" xr:uid="{00000000-0005-0000-0000-000084000000}"/>
    <cellStyle name="Comma 3 3 2" xfId="124" xr:uid="{00000000-0005-0000-0000-000085000000}"/>
    <cellStyle name="Comma 3 3 3" xfId="125" xr:uid="{00000000-0005-0000-0000-000086000000}"/>
    <cellStyle name="Comma 3 4" xfId="126" xr:uid="{00000000-0005-0000-0000-000087000000}"/>
    <cellStyle name="Comma 3 5" xfId="127" xr:uid="{00000000-0005-0000-0000-000088000000}"/>
    <cellStyle name="Comma 3 6" xfId="128" xr:uid="{00000000-0005-0000-0000-000089000000}"/>
    <cellStyle name="Comma 4" xfId="129" xr:uid="{00000000-0005-0000-0000-00008A000000}"/>
    <cellStyle name="Comma 4 2" xfId="130" xr:uid="{00000000-0005-0000-0000-00008B000000}"/>
    <cellStyle name="Comma 5" xfId="131" xr:uid="{00000000-0005-0000-0000-00008C000000}"/>
    <cellStyle name="Comma 6" xfId="132" xr:uid="{00000000-0005-0000-0000-00008D000000}"/>
    <cellStyle name="Comma 7" xfId="133" xr:uid="{00000000-0005-0000-0000-00008E000000}"/>
    <cellStyle name="Comma 8" xfId="134" xr:uid="{00000000-0005-0000-0000-00008F000000}"/>
    <cellStyle name="Comma 9" xfId="135" xr:uid="{00000000-0005-0000-0000-000090000000}"/>
    <cellStyle name="Comma 9 2" xfId="136" xr:uid="{00000000-0005-0000-0000-000091000000}"/>
    <cellStyle name="Comma 9 3" xfId="137" xr:uid="{00000000-0005-0000-0000-000092000000}"/>
    <cellStyle name="Comma0" xfId="138" xr:uid="{00000000-0005-0000-0000-000093000000}"/>
    <cellStyle name="Currency 11" xfId="139" xr:uid="{00000000-0005-0000-0000-000094000000}"/>
    <cellStyle name="Currency 11 2" xfId="140" xr:uid="{00000000-0005-0000-0000-000095000000}"/>
    <cellStyle name="Currency 11 3" xfId="141" xr:uid="{00000000-0005-0000-0000-000096000000}"/>
    <cellStyle name="Currency 2" xfId="142" xr:uid="{00000000-0005-0000-0000-000097000000}"/>
    <cellStyle name="Currency 2 2" xfId="143" xr:uid="{00000000-0005-0000-0000-000098000000}"/>
    <cellStyle name="Currency 2 3" xfId="144" xr:uid="{00000000-0005-0000-0000-000099000000}"/>
    <cellStyle name="Currency 3" xfId="145" xr:uid="{00000000-0005-0000-0000-00009A000000}"/>
    <cellStyle name="Currency 3 2" xfId="146" xr:uid="{00000000-0005-0000-0000-00009B000000}"/>
    <cellStyle name="Currency 4" xfId="147" xr:uid="{00000000-0005-0000-0000-00009C000000}"/>
    <cellStyle name="Currency 4 2" xfId="148" xr:uid="{00000000-0005-0000-0000-00009D000000}"/>
    <cellStyle name="Currency 5" xfId="149" xr:uid="{00000000-0005-0000-0000-00009E000000}"/>
    <cellStyle name="Currency 6" xfId="150" xr:uid="{00000000-0005-0000-0000-00009F000000}"/>
    <cellStyle name="Currency 6 2" xfId="151" xr:uid="{00000000-0005-0000-0000-0000A0000000}"/>
    <cellStyle name="Currency 6 3" xfId="152" xr:uid="{00000000-0005-0000-0000-0000A1000000}"/>
    <cellStyle name="Currency 7" xfId="153" xr:uid="{00000000-0005-0000-0000-0000A2000000}"/>
    <cellStyle name="Currency 8" xfId="154" xr:uid="{00000000-0005-0000-0000-0000A3000000}"/>
    <cellStyle name="D4_B8B1_005004B79812_.wvu.PrintTitlest" xfId="155" xr:uid="{00000000-0005-0000-0000-0000A4000000}"/>
    <cellStyle name="Date" xfId="156" xr:uid="{00000000-0005-0000-0000-0000A5000000}"/>
    <cellStyle name="Date 2" xfId="157" xr:uid="{00000000-0005-0000-0000-0000A6000000}"/>
    <cellStyle name="dms_1" xfId="704" xr:uid="{00000000-0005-0000-0000-0000A7000000}"/>
    <cellStyle name="dms_Row1" xfId="703" xr:uid="{00000000-0005-0000-0000-0000B7000000}"/>
    <cellStyle name="dms_TopHeader" xfId="705" xr:uid="{00000000-0005-0000-0000-0000BB000000}"/>
    <cellStyle name="Emphasis 1" xfId="158" xr:uid="{00000000-0005-0000-0000-0000BC000000}"/>
    <cellStyle name="Emphasis 2" xfId="159" xr:uid="{00000000-0005-0000-0000-0000BD000000}"/>
    <cellStyle name="Emphasis 3" xfId="160" xr:uid="{00000000-0005-0000-0000-0000BE000000}"/>
    <cellStyle name="Euro" xfId="161" xr:uid="{00000000-0005-0000-0000-0000BF000000}"/>
    <cellStyle name="Explanatory Text 2" xfId="162" xr:uid="{00000000-0005-0000-0000-0000C0000000}"/>
    <cellStyle name="Fixed" xfId="163" xr:uid="{00000000-0005-0000-0000-0000C1000000}"/>
    <cellStyle name="Fixed 2" xfId="164" xr:uid="{00000000-0005-0000-0000-0000C2000000}"/>
    <cellStyle name="Gilsans" xfId="165" xr:uid="{00000000-0005-0000-0000-0000C3000000}"/>
    <cellStyle name="Gilsansl" xfId="166" xr:uid="{00000000-0005-0000-0000-0000C4000000}"/>
    <cellStyle name="Good 2" xfId="167" xr:uid="{00000000-0005-0000-0000-0000C5000000}"/>
    <cellStyle name="Heading 1 2" xfId="168" xr:uid="{00000000-0005-0000-0000-0000C6000000}"/>
    <cellStyle name="Heading 1 2 2" xfId="169" xr:uid="{00000000-0005-0000-0000-0000C7000000}"/>
    <cellStyle name="Heading 1 3" xfId="170" xr:uid="{00000000-0005-0000-0000-0000C8000000}"/>
    <cellStyle name="Heading 2 2" xfId="171" xr:uid="{00000000-0005-0000-0000-0000C9000000}"/>
    <cellStyle name="Heading 2 2 2" xfId="172" xr:uid="{00000000-0005-0000-0000-0000CA000000}"/>
    <cellStyle name="Heading 2 3" xfId="173" xr:uid="{00000000-0005-0000-0000-0000CB000000}"/>
    <cellStyle name="Heading 3 2" xfId="174" xr:uid="{00000000-0005-0000-0000-0000CC000000}"/>
    <cellStyle name="Heading 3 2 2" xfId="175" xr:uid="{00000000-0005-0000-0000-0000CD000000}"/>
    <cellStyle name="Heading 3 2 2 2" xfId="176" xr:uid="{00000000-0005-0000-0000-0000CE000000}"/>
    <cellStyle name="Heading 3 2 2 2 2" xfId="177" xr:uid="{00000000-0005-0000-0000-0000CF000000}"/>
    <cellStyle name="Heading 3 2 2 2 2 2" xfId="178" xr:uid="{00000000-0005-0000-0000-0000D0000000}"/>
    <cellStyle name="Heading 3 2 2 2 2 2 2" xfId="179" xr:uid="{00000000-0005-0000-0000-0000D1000000}"/>
    <cellStyle name="Heading 3 2 2 2 2 2 3" xfId="180" xr:uid="{00000000-0005-0000-0000-0000D2000000}"/>
    <cellStyle name="Heading 3 2 2 2 2 3" xfId="181" xr:uid="{00000000-0005-0000-0000-0000D3000000}"/>
    <cellStyle name="Heading 3 2 2 2 2 3 2" xfId="182" xr:uid="{00000000-0005-0000-0000-0000D4000000}"/>
    <cellStyle name="Heading 3 2 2 2 2 3 3" xfId="183" xr:uid="{00000000-0005-0000-0000-0000D5000000}"/>
    <cellStyle name="Heading 3 2 2 2 2 4" xfId="184" xr:uid="{00000000-0005-0000-0000-0000D6000000}"/>
    <cellStyle name="Heading 3 2 2 2 2 4 2" xfId="185" xr:uid="{00000000-0005-0000-0000-0000D7000000}"/>
    <cellStyle name="Heading 3 2 2 2 2 5" xfId="186" xr:uid="{00000000-0005-0000-0000-0000D8000000}"/>
    <cellStyle name="Heading 3 2 2 2 2 6" xfId="187" xr:uid="{00000000-0005-0000-0000-0000D9000000}"/>
    <cellStyle name="Heading 3 2 2 2 3" xfId="188" xr:uid="{00000000-0005-0000-0000-0000DA000000}"/>
    <cellStyle name="Heading 3 2 2 2 3 2" xfId="189" xr:uid="{00000000-0005-0000-0000-0000DB000000}"/>
    <cellStyle name="Heading 3 2 2 2 3 3" xfId="190" xr:uid="{00000000-0005-0000-0000-0000DC000000}"/>
    <cellStyle name="Heading 3 2 2 2 4" xfId="191" xr:uid="{00000000-0005-0000-0000-0000DD000000}"/>
    <cellStyle name="Heading 3 2 2 2 4 2" xfId="192" xr:uid="{00000000-0005-0000-0000-0000DE000000}"/>
    <cellStyle name="Heading 3 2 2 2 4 3" xfId="193" xr:uid="{00000000-0005-0000-0000-0000DF000000}"/>
    <cellStyle name="Heading 3 2 2 2 5" xfId="194" xr:uid="{00000000-0005-0000-0000-0000E0000000}"/>
    <cellStyle name="Heading 3 2 2 2 5 2" xfId="195" xr:uid="{00000000-0005-0000-0000-0000E1000000}"/>
    <cellStyle name="Heading 3 2 2 2 6" xfId="196" xr:uid="{00000000-0005-0000-0000-0000E2000000}"/>
    <cellStyle name="Heading 3 2 2 3" xfId="197" xr:uid="{00000000-0005-0000-0000-0000E3000000}"/>
    <cellStyle name="Heading 3 2 2 3 2" xfId="198" xr:uid="{00000000-0005-0000-0000-0000E4000000}"/>
    <cellStyle name="Heading 3 2 2 3 2 2" xfId="199" xr:uid="{00000000-0005-0000-0000-0000E5000000}"/>
    <cellStyle name="Heading 3 2 2 3 2 2 2" xfId="200" xr:uid="{00000000-0005-0000-0000-0000E6000000}"/>
    <cellStyle name="Heading 3 2 2 3 2 2 3" xfId="201" xr:uid="{00000000-0005-0000-0000-0000E7000000}"/>
    <cellStyle name="Heading 3 2 2 3 2 3" xfId="202" xr:uid="{00000000-0005-0000-0000-0000E8000000}"/>
    <cellStyle name="Heading 3 2 2 3 2 3 2" xfId="203" xr:uid="{00000000-0005-0000-0000-0000E9000000}"/>
    <cellStyle name="Heading 3 2 2 3 2 3 3" xfId="204" xr:uid="{00000000-0005-0000-0000-0000EA000000}"/>
    <cellStyle name="Heading 3 2 2 3 2 4" xfId="205" xr:uid="{00000000-0005-0000-0000-0000EB000000}"/>
    <cellStyle name="Heading 3 2 2 3 2 4 2" xfId="206" xr:uid="{00000000-0005-0000-0000-0000EC000000}"/>
    <cellStyle name="Heading 3 2 2 3 2 5" xfId="207" xr:uid="{00000000-0005-0000-0000-0000ED000000}"/>
    <cellStyle name="Heading 3 2 2 3 2 6" xfId="208" xr:uid="{00000000-0005-0000-0000-0000EE000000}"/>
    <cellStyle name="Heading 3 2 2 3 3" xfId="209" xr:uid="{00000000-0005-0000-0000-0000EF000000}"/>
    <cellStyle name="Heading 3 2 2 3 3 2" xfId="210" xr:uid="{00000000-0005-0000-0000-0000F0000000}"/>
    <cellStyle name="Heading 3 2 2 3 3 3" xfId="211" xr:uid="{00000000-0005-0000-0000-0000F1000000}"/>
    <cellStyle name="Heading 3 2 2 3 4" xfId="212" xr:uid="{00000000-0005-0000-0000-0000F2000000}"/>
    <cellStyle name="Heading 3 2 2 3 4 2" xfId="213" xr:uid="{00000000-0005-0000-0000-0000F3000000}"/>
    <cellStyle name="Heading 3 2 2 3 4 3" xfId="214" xr:uid="{00000000-0005-0000-0000-0000F4000000}"/>
    <cellStyle name="Heading 3 2 2 3 5" xfId="215" xr:uid="{00000000-0005-0000-0000-0000F5000000}"/>
    <cellStyle name="Heading 3 2 2 3 5 2" xfId="216" xr:uid="{00000000-0005-0000-0000-0000F6000000}"/>
    <cellStyle name="Heading 3 2 2 3 6" xfId="217" xr:uid="{00000000-0005-0000-0000-0000F7000000}"/>
    <cellStyle name="Heading 3 2 2 4" xfId="218" xr:uid="{00000000-0005-0000-0000-0000F8000000}"/>
    <cellStyle name="Heading 3 2 2 4 2" xfId="219" xr:uid="{00000000-0005-0000-0000-0000F9000000}"/>
    <cellStyle name="Heading 3 2 2 4 2 2" xfId="220" xr:uid="{00000000-0005-0000-0000-0000FA000000}"/>
    <cellStyle name="Heading 3 2 2 4 2 3" xfId="221" xr:uid="{00000000-0005-0000-0000-0000FB000000}"/>
    <cellStyle name="Heading 3 2 2 4 3" xfId="222" xr:uid="{00000000-0005-0000-0000-0000FC000000}"/>
    <cellStyle name="Heading 3 2 2 4 3 2" xfId="223" xr:uid="{00000000-0005-0000-0000-0000FD000000}"/>
    <cellStyle name="Heading 3 2 2 4 3 3" xfId="224" xr:uid="{00000000-0005-0000-0000-0000FE000000}"/>
    <cellStyle name="Heading 3 2 2 4 4" xfId="225" xr:uid="{00000000-0005-0000-0000-0000FF000000}"/>
    <cellStyle name="Heading 3 2 2 4 4 2" xfId="226" xr:uid="{00000000-0005-0000-0000-000000010000}"/>
    <cellStyle name="Heading 3 2 2 4 5" xfId="227" xr:uid="{00000000-0005-0000-0000-000001010000}"/>
    <cellStyle name="Heading 3 2 2 4 6" xfId="228" xr:uid="{00000000-0005-0000-0000-000002010000}"/>
    <cellStyle name="Heading 3 2 2 5" xfId="229" xr:uid="{00000000-0005-0000-0000-000003010000}"/>
    <cellStyle name="Heading 3 2 2 5 2" xfId="230" xr:uid="{00000000-0005-0000-0000-000004010000}"/>
    <cellStyle name="Heading 3 2 2 5 2 2" xfId="231" xr:uid="{00000000-0005-0000-0000-000005010000}"/>
    <cellStyle name="Heading 3 2 2 5 2 3" xfId="232" xr:uid="{00000000-0005-0000-0000-000006010000}"/>
    <cellStyle name="Heading 3 2 2 5 3" xfId="233" xr:uid="{00000000-0005-0000-0000-000007010000}"/>
    <cellStyle name="Heading 3 2 2 5 3 2" xfId="234" xr:uid="{00000000-0005-0000-0000-000008010000}"/>
    <cellStyle name="Heading 3 2 2 5 4" xfId="235" xr:uid="{00000000-0005-0000-0000-000009010000}"/>
    <cellStyle name="Heading 3 2 2 5 5" xfId="236" xr:uid="{00000000-0005-0000-0000-00000A010000}"/>
    <cellStyle name="Heading 3 2 2 6" xfId="237" xr:uid="{00000000-0005-0000-0000-00000B010000}"/>
    <cellStyle name="Heading 3 2 3" xfId="238" xr:uid="{00000000-0005-0000-0000-00000C010000}"/>
    <cellStyle name="Heading 3 2 4" xfId="239" xr:uid="{00000000-0005-0000-0000-00000D010000}"/>
    <cellStyle name="Heading 3 2 4 2" xfId="240" xr:uid="{00000000-0005-0000-0000-00000E010000}"/>
    <cellStyle name="Heading 3 2 4 2 2" xfId="241" xr:uid="{00000000-0005-0000-0000-00000F010000}"/>
    <cellStyle name="Heading 3 2 4 2 2 2" xfId="242" xr:uid="{00000000-0005-0000-0000-000010010000}"/>
    <cellStyle name="Heading 3 2 4 2 2 3" xfId="243" xr:uid="{00000000-0005-0000-0000-000011010000}"/>
    <cellStyle name="Heading 3 2 4 2 3" xfId="244" xr:uid="{00000000-0005-0000-0000-000012010000}"/>
    <cellStyle name="Heading 3 2 4 2 3 2" xfId="245" xr:uid="{00000000-0005-0000-0000-000013010000}"/>
    <cellStyle name="Heading 3 2 4 2 3 3" xfId="246" xr:uid="{00000000-0005-0000-0000-000014010000}"/>
    <cellStyle name="Heading 3 2 4 2 4" xfId="247" xr:uid="{00000000-0005-0000-0000-000015010000}"/>
    <cellStyle name="Heading 3 2 4 2 4 2" xfId="248" xr:uid="{00000000-0005-0000-0000-000016010000}"/>
    <cellStyle name="Heading 3 2 4 2 5" xfId="249" xr:uid="{00000000-0005-0000-0000-000017010000}"/>
    <cellStyle name="Heading 3 2 4 2 6" xfId="250" xr:uid="{00000000-0005-0000-0000-000018010000}"/>
    <cellStyle name="Heading 3 2 4 3" xfId="251" xr:uid="{00000000-0005-0000-0000-000019010000}"/>
    <cellStyle name="Heading 3 2 4 3 2" xfId="252" xr:uid="{00000000-0005-0000-0000-00001A010000}"/>
    <cellStyle name="Heading 3 2 4 3 3" xfId="253" xr:uid="{00000000-0005-0000-0000-00001B010000}"/>
    <cellStyle name="Heading 3 2 4 4" xfId="254" xr:uid="{00000000-0005-0000-0000-00001C010000}"/>
    <cellStyle name="Heading 3 2 4 4 2" xfId="255" xr:uid="{00000000-0005-0000-0000-00001D010000}"/>
    <cellStyle name="Heading 3 2 4 4 3" xfId="256" xr:uid="{00000000-0005-0000-0000-00001E010000}"/>
    <cellStyle name="Heading 3 2 4 5" xfId="257" xr:uid="{00000000-0005-0000-0000-00001F010000}"/>
    <cellStyle name="Heading 3 2 4 5 2" xfId="258" xr:uid="{00000000-0005-0000-0000-000020010000}"/>
    <cellStyle name="Heading 3 2 4 6" xfId="259" xr:uid="{00000000-0005-0000-0000-000021010000}"/>
    <cellStyle name="Heading 3 2 5" xfId="260" xr:uid="{00000000-0005-0000-0000-000022010000}"/>
    <cellStyle name="Heading 3 2 5 2" xfId="261" xr:uid="{00000000-0005-0000-0000-000023010000}"/>
    <cellStyle name="Heading 3 2 5 2 2" xfId="262" xr:uid="{00000000-0005-0000-0000-000024010000}"/>
    <cellStyle name="Heading 3 2 5 2 2 2" xfId="263" xr:uid="{00000000-0005-0000-0000-000025010000}"/>
    <cellStyle name="Heading 3 2 5 2 2 3" xfId="264" xr:uid="{00000000-0005-0000-0000-000026010000}"/>
    <cellStyle name="Heading 3 2 5 2 3" xfId="265" xr:uid="{00000000-0005-0000-0000-000027010000}"/>
    <cellStyle name="Heading 3 2 5 2 3 2" xfId="266" xr:uid="{00000000-0005-0000-0000-000028010000}"/>
    <cellStyle name="Heading 3 2 5 2 3 3" xfId="267" xr:uid="{00000000-0005-0000-0000-000029010000}"/>
    <cellStyle name="Heading 3 2 5 2 4" xfId="268" xr:uid="{00000000-0005-0000-0000-00002A010000}"/>
    <cellStyle name="Heading 3 2 5 2 4 2" xfId="269" xr:uid="{00000000-0005-0000-0000-00002B010000}"/>
    <cellStyle name="Heading 3 2 5 2 5" xfId="270" xr:uid="{00000000-0005-0000-0000-00002C010000}"/>
    <cellStyle name="Heading 3 2 5 2 6" xfId="271" xr:uid="{00000000-0005-0000-0000-00002D010000}"/>
    <cellStyle name="Heading 3 2 5 3" xfId="272" xr:uid="{00000000-0005-0000-0000-00002E010000}"/>
    <cellStyle name="Heading 3 2 5 3 2" xfId="273" xr:uid="{00000000-0005-0000-0000-00002F010000}"/>
    <cellStyle name="Heading 3 2 5 3 3" xfId="274" xr:uid="{00000000-0005-0000-0000-000030010000}"/>
    <cellStyle name="Heading 3 2 5 4" xfId="275" xr:uid="{00000000-0005-0000-0000-000031010000}"/>
    <cellStyle name="Heading 3 2 5 4 2" xfId="276" xr:uid="{00000000-0005-0000-0000-000032010000}"/>
    <cellStyle name="Heading 3 2 5 4 3" xfId="277" xr:uid="{00000000-0005-0000-0000-000033010000}"/>
    <cellStyle name="Heading 3 2 5 5" xfId="278" xr:uid="{00000000-0005-0000-0000-000034010000}"/>
    <cellStyle name="Heading 3 2 5 5 2" xfId="279" xr:uid="{00000000-0005-0000-0000-000035010000}"/>
    <cellStyle name="Heading 3 2 5 6" xfId="280" xr:uid="{00000000-0005-0000-0000-000036010000}"/>
    <cellStyle name="Heading 3 2 6" xfId="281" xr:uid="{00000000-0005-0000-0000-000037010000}"/>
    <cellStyle name="Heading 3 2 6 2" xfId="282" xr:uid="{00000000-0005-0000-0000-000038010000}"/>
    <cellStyle name="Heading 3 2 6 2 2" xfId="283" xr:uid="{00000000-0005-0000-0000-000039010000}"/>
    <cellStyle name="Heading 3 2 6 2 3" xfId="284" xr:uid="{00000000-0005-0000-0000-00003A010000}"/>
    <cellStyle name="Heading 3 2 6 3" xfId="285" xr:uid="{00000000-0005-0000-0000-00003B010000}"/>
    <cellStyle name="Heading 3 2 6 3 2" xfId="286" xr:uid="{00000000-0005-0000-0000-00003C010000}"/>
    <cellStyle name="Heading 3 2 6 3 3" xfId="287" xr:uid="{00000000-0005-0000-0000-00003D010000}"/>
    <cellStyle name="Heading 3 2 6 4" xfId="288" xr:uid="{00000000-0005-0000-0000-00003E010000}"/>
    <cellStyle name="Heading 3 2 6 4 2" xfId="289" xr:uid="{00000000-0005-0000-0000-00003F010000}"/>
    <cellStyle name="Heading 3 2 6 5" xfId="290" xr:uid="{00000000-0005-0000-0000-000040010000}"/>
    <cellStyle name="Heading 3 2 6 6" xfId="291" xr:uid="{00000000-0005-0000-0000-000041010000}"/>
    <cellStyle name="Heading 3 2 7" xfId="292" xr:uid="{00000000-0005-0000-0000-000042010000}"/>
    <cellStyle name="Heading 3 2 7 2" xfId="293" xr:uid="{00000000-0005-0000-0000-000043010000}"/>
    <cellStyle name="Heading 3 2 7 2 2" xfId="294" xr:uid="{00000000-0005-0000-0000-000044010000}"/>
    <cellStyle name="Heading 3 2 7 2 3" xfId="295" xr:uid="{00000000-0005-0000-0000-000045010000}"/>
    <cellStyle name="Heading 3 2 7 3" xfId="296" xr:uid="{00000000-0005-0000-0000-000046010000}"/>
    <cellStyle name="Heading 3 2 7 3 2" xfId="297" xr:uid="{00000000-0005-0000-0000-000047010000}"/>
    <cellStyle name="Heading 3 2 7 4" xfId="298" xr:uid="{00000000-0005-0000-0000-000048010000}"/>
    <cellStyle name="Heading 3 2 7 5" xfId="299" xr:uid="{00000000-0005-0000-0000-000049010000}"/>
    <cellStyle name="Heading 3 2 8" xfId="300" xr:uid="{00000000-0005-0000-0000-00004A010000}"/>
    <cellStyle name="Heading 3 3" xfId="301" xr:uid="{00000000-0005-0000-0000-00004B010000}"/>
    <cellStyle name="Heading 4 2" xfId="302" xr:uid="{00000000-0005-0000-0000-00004C010000}"/>
    <cellStyle name="Heading 4 2 2" xfId="303" xr:uid="{00000000-0005-0000-0000-00004D010000}"/>
    <cellStyle name="Heading 4 3" xfId="304" xr:uid="{00000000-0005-0000-0000-00004E010000}"/>
    <cellStyle name="Heading(4)" xfId="305" xr:uid="{00000000-0005-0000-0000-00004F010000}"/>
    <cellStyle name="Hyperlink 2" xfId="306" xr:uid="{00000000-0005-0000-0000-000050010000}"/>
    <cellStyle name="Hyperlink 2 2" xfId="307" xr:uid="{00000000-0005-0000-0000-000051010000}"/>
    <cellStyle name="Hyperlink 2 3" xfId="308" xr:uid="{00000000-0005-0000-0000-000052010000}"/>
    <cellStyle name="Hyperlink 2 4" xfId="309" xr:uid="{00000000-0005-0000-0000-000053010000}"/>
    <cellStyle name="Hyperlink 3" xfId="310" xr:uid="{00000000-0005-0000-0000-000054010000}"/>
    <cellStyle name="Hyperlink 4" xfId="311" xr:uid="{00000000-0005-0000-0000-000055010000}"/>
    <cellStyle name="Hyperlink Arrow" xfId="312" xr:uid="{00000000-0005-0000-0000-000056010000}"/>
    <cellStyle name="Hyperlink Text" xfId="313" xr:uid="{00000000-0005-0000-0000-000057010000}"/>
    <cellStyle name="import" xfId="314" xr:uid="{00000000-0005-0000-0000-000058010000}"/>
    <cellStyle name="import%" xfId="315" xr:uid="{00000000-0005-0000-0000-000059010000}"/>
    <cellStyle name="import_ICRC Electricity model 1-1  (1 Feb 2003) " xfId="316" xr:uid="{00000000-0005-0000-0000-00005A010000}"/>
    <cellStyle name="Input 2" xfId="317" xr:uid="{00000000-0005-0000-0000-00005B010000}"/>
    <cellStyle name="Input 2 2" xfId="318" xr:uid="{00000000-0005-0000-0000-00005C010000}"/>
    <cellStyle name="Input 2 2 2" xfId="319" xr:uid="{00000000-0005-0000-0000-00005D010000}"/>
    <cellStyle name="Input 2 3" xfId="320" xr:uid="{00000000-0005-0000-0000-00005E010000}"/>
    <cellStyle name="Input 2 3 2" xfId="321" xr:uid="{00000000-0005-0000-0000-00005F010000}"/>
    <cellStyle name="Input 2 3 3" xfId="322" xr:uid="{00000000-0005-0000-0000-000060010000}"/>
    <cellStyle name="Input 2 4" xfId="323" xr:uid="{00000000-0005-0000-0000-000061010000}"/>
    <cellStyle name="Input1" xfId="324" xr:uid="{00000000-0005-0000-0000-000062010000}"/>
    <cellStyle name="Input1 2" xfId="325" xr:uid="{00000000-0005-0000-0000-000063010000}"/>
    <cellStyle name="Input1 2 2" xfId="326" xr:uid="{00000000-0005-0000-0000-000064010000}"/>
    <cellStyle name="Input1 3" xfId="327" xr:uid="{00000000-0005-0000-0000-000065010000}"/>
    <cellStyle name="Input1 3 2" xfId="328" xr:uid="{00000000-0005-0000-0000-000066010000}"/>
    <cellStyle name="Input1 4" xfId="329" xr:uid="{00000000-0005-0000-0000-000067010000}"/>
    <cellStyle name="Input1 5" xfId="330" xr:uid="{00000000-0005-0000-0000-000068010000}"/>
    <cellStyle name="Input1%" xfId="331" xr:uid="{00000000-0005-0000-0000-000069010000}"/>
    <cellStyle name="Input1_ICRC Electricity model 1-1  (1 Feb 2003) " xfId="332" xr:uid="{00000000-0005-0000-0000-00006A010000}"/>
    <cellStyle name="Input1default" xfId="333" xr:uid="{00000000-0005-0000-0000-00006B010000}"/>
    <cellStyle name="Input1default%" xfId="334" xr:uid="{00000000-0005-0000-0000-00006C010000}"/>
    <cellStyle name="Input2" xfId="335" xr:uid="{00000000-0005-0000-0000-00006D010000}"/>
    <cellStyle name="Input2 2" xfId="336" xr:uid="{00000000-0005-0000-0000-00006E010000}"/>
    <cellStyle name="Input2 3" xfId="337" xr:uid="{00000000-0005-0000-0000-00006F010000}"/>
    <cellStyle name="Input3" xfId="338" xr:uid="{00000000-0005-0000-0000-000070010000}"/>
    <cellStyle name="Input3 2" xfId="339" xr:uid="{00000000-0005-0000-0000-000071010000}"/>
    <cellStyle name="Input3 3" xfId="340" xr:uid="{00000000-0005-0000-0000-000072010000}"/>
    <cellStyle name="InputCell" xfId="341" xr:uid="{00000000-0005-0000-0000-000073010000}"/>
    <cellStyle name="InputCell 2" xfId="342" xr:uid="{00000000-0005-0000-0000-000074010000}"/>
    <cellStyle name="InputCell 3" xfId="343" xr:uid="{00000000-0005-0000-0000-000075010000}"/>
    <cellStyle name="InputCellText" xfId="344" xr:uid="{00000000-0005-0000-0000-000076010000}"/>
    <cellStyle name="InputCellText 2" xfId="345" xr:uid="{00000000-0005-0000-0000-000077010000}"/>
    <cellStyle name="InputCellText 3" xfId="346" xr:uid="{00000000-0005-0000-0000-000078010000}"/>
    <cellStyle name="key result" xfId="347" xr:uid="{00000000-0005-0000-0000-000079010000}"/>
    <cellStyle name="Lines" xfId="348" xr:uid="{00000000-0005-0000-0000-00007A010000}"/>
    <cellStyle name="Linked Cell 2" xfId="349" xr:uid="{00000000-0005-0000-0000-00007B010000}"/>
    <cellStyle name="Local import" xfId="350" xr:uid="{00000000-0005-0000-0000-00007C010000}"/>
    <cellStyle name="Local import %" xfId="351" xr:uid="{00000000-0005-0000-0000-00007D010000}"/>
    <cellStyle name="Mine" xfId="352" xr:uid="{00000000-0005-0000-0000-00007E010000}"/>
    <cellStyle name="Model Name" xfId="353" xr:uid="{00000000-0005-0000-0000-00007F010000}"/>
    <cellStyle name="Neutral 2" xfId="354" xr:uid="{00000000-0005-0000-0000-000080010000}"/>
    <cellStyle name="NonInputCell" xfId="355" xr:uid="{00000000-0005-0000-0000-000081010000}"/>
    <cellStyle name="NonInputCell 2" xfId="356" xr:uid="{00000000-0005-0000-0000-000082010000}"/>
    <cellStyle name="NonInputCell 3" xfId="357" xr:uid="{00000000-0005-0000-0000-000083010000}"/>
    <cellStyle name="Normal" xfId="0" builtinId="0"/>
    <cellStyle name="Normal - Style1" xfId="358" xr:uid="{00000000-0005-0000-0000-000085010000}"/>
    <cellStyle name="Normal 10" xfId="5" xr:uid="{00000000-0005-0000-0000-000086010000}"/>
    <cellStyle name="Normal 10 2" xfId="359" xr:uid="{00000000-0005-0000-0000-000087010000}"/>
    <cellStyle name="Normal 10 2 2 2" xfId="693" xr:uid="{00000000-0005-0000-0000-000088010000}"/>
    <cellStyle name="Normal 11" xfId="360" xr:uid="{00000000-0005-0000-0000-000089010000}"/>
    <cellStyle name="Normal 11 2" xfId="361" xr:uid="{00000000-0005-0000-0000-00008A010000}"/>
    <cellStyle name="Normal 11 3" xfId="362" xr:uid="{00000000-0005-0000-0000-00008B010000}"/>
    <cellStyle name="Normal 11 4" xfId="363" xr:uid="{00000000-0005-0000-0000-00008C010000}"/>
    <cellStyle name="Normal 114" xfId="364" xr:uid="{00000000-0005-0000-0000-00008D010000}"/>
    <cellStyle name="Normal 114 2" xfId="365" xr:uid="{00000000-0005-0000-0000-00008E010000}"/>
    <cellStyle name="Normal 12" xfId="366" xr:uid="{00000000-0005-0000-0000-00008F010000}"/>
    <cellStyle name="Normal 12 2" xfId="367" xr:uid="{00000000-0005-0000-0000-000090010000}"/>
    <cellStyle name="Normal 13" xfId="368" xr:uid="{00000000-0005-0000-0000-000091010000}"/>
    <cellStyle name="Normal 13 2" xfId="3" xr:uid="{00000000-0005-0000-0000-000092010000}"/>
    <cellStyle name="Normal 13_29(d) - Gas extensions -tariffs" xfId="369" xr:uid="{00000000-0005-0000-0000-000093010000}"/>
    <cellStyle name="Normal 14" xfId="7" xr:uid="{00000000-0005-0000-0000-000094010000}"/>
    <cellStyle name="Normal 14 2" xfId="370" xr:uid="{00000000-0005-0000-0000-000095010000}"/>
    <cellStyle name="Normal 14 3" xfId="371" xr:uid="{00000000-0005-0000-0000-000096010000}"/>
    <cellStyle name="Normal 14 3 2" xfId="372" xr:uid="{00000000-0005-0000-0000-000097010000}"/>
    <cellStyle name="Normal 14 3 3" xfId="373" xr:uid="{00000000-0005-0000-0000-000098010000}"/>
    <cellStyle name="Normal 14 4" xfId="374" xr:uid="{00000000-0005-0000-0000-000099010000}"/>
    <cellStyle name="Normal 14 5" xfId="375" xr:uid="{00000000-0005-0000-0000-00009A010000}"/>
    <cellStyle name="Normal 15" xfId="376" xr:uid="{00000000-0005-0000-0000-00009B010000}"/>
    <cellStyle name="Normal 15 2" xfId="377" xr:uid="{00000000-0005-0000-0000-00009C010000}"/>
    <cellStyle name="Normal 16" xfId="378" xr:uid="{00000000-0005-0000-0000-00009D010000}"/>
    <cellStyle name="Normal 16 2" xfId="379" xr:uid="{00000000-0005-0000-0000-00009E010000}"/>
    <cellStyle name="Normal 16 3" xfId="380" xr:uid="{00000000-0005-0000-0000-00009F010000}"/>
    <cellStyle name="Normal 17" xfId="381" xr:uid="{00000000-0005-0000-0000-0000A0010000}"/>
    <cellStyle name="Normal 17 2" xfId="382" xr:uid="{00000000-0005-0000-0000-0000A1010000}"/>
    <cellStyle name="Normal 17 2 2" xfId="383" xr:uid="{00000000-0005-0000-0000-0000A2010000}"/>
    <cellStyle name="Normal 17 2 2 2" xfId="384" xr:uid="{00000000-0005-0000-0000-0000A3010000}"/>
    <cellStyle name="Normal 17 2 2 3" xfId="385" xr:uid="{00000000-0005-0000-0000-0000A4010000}"/>
    <cellStyle name="Normal 17 2 3" xfId="386" xr:uid="{00000000-0005-0000-0000-0000A5010000}"/>
    <cellStyle name="Normal 17 2 4" xfId="387" xr:uid="{00000000-0005-0000-0000-0000A6010000}"/>
    <cellStyle name="Normal 17 3" xfId="388" xr:uid="{00000000-0005-0000-0000-0000A7010000}"/>
    <cellStyle name="Normal 17 3 2" xfId="389" xr:uid="{00000000-0005-0000-0000-0000A8010000}"/>
    <cellStyle name="Normal 17 3 2 2" xfId="390" xr:uid="{00000000-0005-0000-0000-0000A9010000}"/>
    <cellStyle name="Normal 17 3 2 3" xfId="391" xr:uid="{00000000-0005-0000-0000-0000AA010000}"/>
    <cellStyle name="Normal 17 3 3" xfId="392" xr:uid="{00000000-0005-0000-0000-0000AB010000}"/>
    <cellStyle name="Normal 17 3 4" xfId="393" xr:uid="{00000000-0005-0000-0000-0000AC010000}"/>
    <cellStyle name="Normal 17 4" xfId="394" xr:uid="{00000000-0005-0000-0000-0000AD010000}"/>
    <cellStyle name="Normal 17 4 2" xfId="395" xr:uid="{00000000-0005-0000-0000-0000AE010000}"/>
    <cellStyle name="Normal 17 4 3" xfId="396" xr:uid="{00000000-0005-0000-0000-0000AF010000}"/>
    <cellStyle name="Normal 17 5" xfId="397" xr:uid="{00000000-0005-0000-0000-0000B0010000}"/>
    <cellStyle name="Normal 17 6" xfId="398" xr:uid="{00000000-0005-0000-0000-0000B1010000}"/>
    <cellStyle name="Normal 18" xfId="399" xr:uid="{00000000-0005-0000-0000-0000B2010000}"/>
    <cellStyle name="Normal 18 2" xfId="400" xr:uid="{00000000-0005-0000-0000-0000B3010000}"/>
    <cellStyle name="Normal 19" xfId="401" xr:uid="{00000000-0005-0000-0000-0000B4010000}"/>
    <cellStyle name="Normal 2" xfId="402" xr:uid="{00000000-0005-0000-0000-0000B5010000}"/>
    <cellStyle name="Normal 2 2" xfId="403" xr:uid="{00000000-0005-0000-0000-0000B6010000}"/>
    <cellStyle name="Normal 2 2 2" xfId="2" xr:uid="{00000000-0005-0000-0000-0000B7010000}"/>
    <cellStyle name="Normal 2 2 3" xfId="404" xr:uid="{00000000-0005-0000-0000-0000B8010000}"/>
    <cellStyle name="Normal 2 2 4" xfId="405" xr:uid="{00000000-0005-0000-0000-0000B9010000}"/>
    <cellStyle name="Normal 2 2 5" xfId="406" xr:uid="{00000000-0005-0000-0000-0000BA010000}"/>
    <cellStyle name="Normal 2 3" xfId="407" xr:uid="{00000000-0005-0000-0000-0000BB010000}"/>
    <cellStyle name="Normal 2 3 2" xfId="408" xr:uid="{00000000-0005-0000-0000-0000BC010000}"/>
    <cellStyle name="Normal 2 3_29(d) - Gas extensions -tariffs" xfId="409" xr:uid="{00000000-0005-0000-0000-0000BD010000}"/>
    <cellStyle name="Normal 2 4" xfId="410" xr:uid="{00000000-0005-0000-0000-0000BE010000}"/>
    <cellStyle name="Normal 2 4 2" xfId="411" xr:uid="{00000000-0005-0000-0000-0000BF010000}"/>
    <cellStyle name="Normal 2 4 3" xfId="412" xr:uid="{00000000-0005-0000-0000-0000C0010000}"/>
    <cellStyle name="Normal 2 5" xfId="8" xr:uid="{00000000-0005-0000-0000-0000C1010000}"/>
    <cellStyle name="Normal 2 6" xfId="413" xr:uid="{00000000-0005-0000-0000-0000C2010000}"/>
    <cellStyle name="Normal 2_29(d) - Gas extensions -tariffs" xfId="414" xr:uid="{00000000-0005-0000-0000-0000C3010000}"/>
    <cellStyle name="Normal 20" xfId="415" xr:uid="{00000000-0005-0000-0000-0000C4010000}"/>
    <cellStyle name="Normal 20 2" xfId="416" xr:uid="{00000000-0005-0000-0000-0000C5010000}"/>
    <cellStyle name="Normal 20 2 2" xfId="417" xr:uid="{00000000-0005-0000-0000-0000C6010000}"/>
    <cellStyle name="Normal 20 3" xfId="418" xr:uid="{00000000-0005-0000-0000-0000C7010000}"/>
    <cellStyle name="Normal 20 4" xfId="419" xr:uid="{00000000-0005-0000-0000-0000C8010000}"/>
    <cellStyle name="Normal 21" xfId="420" xr:uid="{00000000-0005-0000-0000-0000C9010000}"/>
    <cellStyle name="Normal 21 2" xfId="421" xr:uid="{00000000-0005-0000-0000-0000CA010000}"/>
    <cellStyle name="Normal 21 3" xfId="422" xr:uid="{00000000-0005-0000-0000-0000CB010000}"/>
    <cellStyle name="Normal 22" xfId="423" xr:uid="{00000000-0005-0000-0000-0000CC010000}"/>
    <cellStyle name="Normal 23" xfId="424" xr:uid="{00000000-0005-0000-0000-0000CD010000}"/>
    <cellStyle name="Normal 23 2" xfId="425" xr:uid="{00000000-0005-0000-0000-0000CE010000}"/>
    <cellStyle name="Normal 23 2 2" xfId="426" xr:uid="{00000000-0005-0000-0000-0000CF010000}"/>
    <cellStyle name="Normal 23 3" xfId="427" xr:uid="{00000000-0005-0000-0000-0000D0010000}"/>
    <cellStyle name="Normal 23 4" xfId="428" xr:uid="{00000000-0005-0000-0000-0000D1010000}"/>
    <cellStyle name="Normal 24" xfId="429" xr:uid="{00000000-0005-0000-0000-0000D2010000}"/>
    <cellStyle name="Normal 24 2" xfId="430" xr:uid="{00000000-0005-0000-0000-0000D3010000}"/>
    <cellStyle name="Normal 24 2 2" xfId="431" xr:uid="{00000000-0005-0000-0000-0000D4010000}"/>
    <cellStyle name="Normal 24 3" xfId="432" xr:uid="{00000000-0005-0000-0000-0000D5010000}"/>
    <cellStyle name="Normal 24 4" xfId="433" xr:uid="{00000000-0005-0000-0000-0000D6010000}"/>
    <cellStyle name="Normal 25" xfId="434" xr:uid="{00000000-0005-0000-0000-0000D7010000}"/>
    <cellStyle name="Normal 25 2" xfId="435" xr:uid="{00000000-0005-0000-0000-0000D8010000}"/>
    <cellStyle name="Normal 25 2 2" xfId="436" xr:uid="{00000000-0005-0000-0000-0000D9010000}"/>
    <cellStyle name="Normal 25 3" xfId="437" xr:uid="{00000000-0005-0000-0000-0000DA010000}"/>
    <cellStyle name="Normal 25 4" xfId="438" xr:uid="{00000000-0005-0000-0000-0000DB010000}"/>
    <cellStyle name="Normal 26" xfId="439" xr:uid="{00000000-0005-0000-0000-0000DC010000}"/>
    <cellStyle name="Normal 26 2" xfId="440" xr:uid="{00000000-0005-0000-0000-0000DD010000}"/>
    <cellStyle name="Normal 26 2 2" xfId="441" xr:uid="{00000000-0005-0000-0000-0000DE010000}"/>
    <cellStyle name="Normal 26 3" xfId="442" xr:uid="{00000000-0005-0000-0000-0000DF010000}"/>
    <cellStyle name="Normal 26 4" xfId="443" xr:uid="{00000000-0005-0000-0000-0000E0010000}"/>
    <cellStyle name="Normal 27" xfId="444" xr:uid="{00000000-0005-0000-0000-0000E1010000}"/>
    <cellStyle name="Normal 28" xfId="6" xr:uid="{00000000-0005-0000-0000-0000E2010000}"/>
    <cellStyle name="Normal 29" xfId="445" xr:uid="{00000000-0005-0000-0000-0000E3010000}"/>
    <cellStyle name="Normal 3" xfId="446" xr:uid="{00000000-0005-0000-0000-0000E4010000}"/>
    <cellStyle name="Normal 3 2" xfId="447" xr:uid="{00000000-0005-0000-0000-0000E5010000}"/>
    <cellStyle name="Normal 3 2 2" xfId="448" xr:uid="{00000000-0005-0000-0000-0000E6010000}"/>
    <cellStyle name="Normal 3 3" xfId="449" xr:uid="{00000000-0005-0000-0000-0000E7010000}"/>
    <cellStyle name="Normal 3 3 2" xfId="450" xr:uid="{00000000-0005-0000-0000-0000E8010000}"/>
    <cellStyle name="Normal 3 3 3" xfId="451" xr:uid="{00000000-0005-0000-0000-0000E9010000}"/>
    <cellStyle name="Normal 3 4" xfId="452" xr:uid="{00000000-0005-0000-0000-0000EA010000}"/>
    <cellStyle name="Normal 3 5" xfId="453" xr:uid="{00000000-0005-0000-0000-0000EB010000}"/>
    <cellStyle name="Normal 3 5 2" xfId="454" xr:uid="{00000000-0005-0000-0000-0000EC010000}"/>
    <cellStyle name="Normal 3 5 3" xfId="455" xr:uid="{00000000-0005-0000-0000-0000ED010000}"/>
    <cellStyle name="Normal 3_29(d) - Gas extensions -tariffs" xfId="456" xr:uid="{00000000-0005-0000-0000-0000EE010000}"/>
    <cellStyle name="Normal 30" xfId="457" xr:uid="{00000000-0005-0000-0000-0000EF010000}"/>
    <cellStyle name="Normal 31" xfId="458" xr:uid="{00000000-0005-0000-0000-0000F0010000}"/>
    <cellStyle name="Normal 32" xfId="4" xr:uid="{00000000-0005-0000-0000-0000F1010000}"/>
    <cellStyle name="Normal 33" xfId="459" xr:uid="{00000000-0005-0000-0000-0000F2010000}"/>
    <cellStyle name="Normal 34" xfId="460" xr:uid="{00000000-0005-0000-0000-0000F3010000}"/>
    <cellStyle name="Normal 35" xfId="694" xr:uid="{00000000-0005-0000-0000-0000F4010000}"/>
    <cellStyle name="Normal 36" xfId="695" xr:uid="{00000000-0005-0000-0000-0000F5010000}"/>
    <cellStyle name="Normal 37" xfId="696" xr:uid="{00000000-0005-0000-0000-0000F6010000}"/>
    <cellStyle name="Normal 38" xfId="461" xr:uid="{00000000-0005-0000-0000-0000F7010000}"/>
    <cellStyle name="Normal 38 2" xfId="462" xr:uid="{00000000-0005-0000-0000-0000F8010000}"/>
    <cellStyle name="Normal 38_29(d) - Gas extensions -tariffs" xfId="463" xr:uid="{00000000-0005-0000-0000-0000F9010000}"/>
    <cellStyle name="Normal 4" xfId="464" xr:uid="{00000000-0005-0000-0000-0000FA010000}"/>
    <cellStyle name="Normal 4 2" xfId="465" xr:uid="{00000000-0005-0000-0000-0000FB010000}"/>
    <cellStyle name="Normal 4 2 2" xfId="466" xr:uid="{00000000-0005-0000-0000-0000FC010000}"/>
    <cellStyle name="Normal 4 2 2 2" xfId="467" xr:uid="{00000000-0005-0000-0000-0000FD010000}"/>
    <cellStyle name="Normal 4 2 2 2 2" xfId="468" xr:uid="{00000000-0005-0000-0000-0000FE010000}"/>
    <cellStyle name="Normal 4 2 2 2 3" xfId="469" xr:uid="{00000000-0005-0000-0000-0000FF010000}"/>
    <cellStyle name="Normal 4 2 2 3" xfId="470" xr:uid="{00000000-0005-0000-0000-000000020000}"/>
    <cellStyle name="Normal 4 2 2 4" xfId="471" xr:uid="{00000000-0005-0000-0000-000001020000}"/>
    <cellStyle name="Normal 4 2 3" xfId="472" xr:uid="{00000000-0005-0000-0000-000002020000}"/>
    <cellStyle name="Normal 4 2 3 2" xfId="473" xr:uid="{00000000-0005-0000-0000-000003020000}"/>
    <cellStyle name="Normal 4 2 3 2 2" xfId="474" xr:uid="{00000000-0005-0000-0000-000004020000}"/>
    <cellStyle name="Normal 4 2 3 2 3" xfId="475" xr:uid="{00000000-0005-0000-0000-000005020000}"/>
    <cellStyle name="Normal 4 2 3 3" xfId="476" xr:uid="{00000000-0005-0000-0000-000006020000}"/>
    <cellStyle name="Normal 4 2 3 4" xfId="477" xr:uid="{00000000-0005-0000-0000-000007020000}"/>
    <cellStyle name="Normal 4 3" xfId="478" xr:uid="{00000000-0005-0000-0000-000008020000}"/>
    <cellStyle name="Normal 4 3 2" xfId="479" xr:uid="{00000000-0005-0000-0000-000009020000}"/>
    <cellStyle name="Normal 4 3 2 2" xfId="480" xr:uid="{00000000-0005-0000-0000-00000A020000}"/>
    <cellStyle name="Normal 4 3 2 3" xfId="481" xr:uid="{00000000-0005-0000-0000-00000B020000}"/>
    <cellStyle name="Normal 4 3 3" xfId="482" xr:uid="{00000000-0005-0000-0000-00000C020000}"/>
    <cellStyle name="Normal 4 3 3 2" xfId="483" xr:uid="{00000000-0005-0000-0000-00000D020000}"/>
    <cellStyle name="Normal 4 3 4" xfId="484" xr:uid="{00000000-0005-0000-0000-00000E020000}"/>
    <cellStyle name="Normal 4 4" xfId="485" xr:uid="{00000000-0005-0000-0000-00000F020000}"/>
    <cellStyle name="Normal 4 5" xfId="486" xr:uid="{00000000-0005-0000-0000-000010020000}"/>
    <cellStyle name="Normal 4 6" xfId="487" xr:uid="{00000000-0005-0000-0000-000011020000}"/>
    <cellStyle name="Normal 4_29(d) - Gas extensions -tariffs" xfId="488" xr:uid="{00000000-0005-0000-0000-000012020000}"/>
    <cellStyle name="Normal 40" xfId="489" xr:uid="{00000000-0005-0000-0000-000013020000}"/>
    <cellStyle name="Normal 40 2" xfId="490" xr:uid="{00000000-0005-0000-0000-000014020000}"/>
    <cellStyle name="Normal 40_29(d) - Gas extensions -tariffs" xfId="491" xr:uid="{00000000-0005-0000-0000-000015020000}"/>
    <cellStyle name="Normal 5" xfId="492" xr:uid="{00000000-0005-0000-0000-000016020000}"/>
    <cellStyle name="Normal 5 2" xfId="493" xr:uid="{00000000-0005-0000-0000-000017020000}"/>
    <cellStyle name="Normal 5 3" xfId="494" xr:uid="{00000000-0005-0000-0000-000018020000}"/>
    <cellStyle name="Normal 6" xfId="495" xr:uid="{00000000-0005-0000-0000-000019020000}"/>
    <cellStyle name="Normal 6 2" xfId="496" xr:uid="{00000000-0005-0000-0000-00001A020000}"/>
    <cellStyle name="Normal 6 2 2" xfId="497" xr:uid="{00000000-0005-0000-0000-00001B020000}"/>
    <cellStyle name="Normal 6 2 3" xfId="498" xr:uid="{00000000-0005-0000-0000-00001C020000}"/>
    <cellStyle name="Normal 7" xfId="499" xr:uid="{00000000-0005-0000-0000-00001D020000}"/>
    <cellStyle name="Normal 7 2" xfId="500" xr:uid="{00000000-0005-0000-0000-00001E020000}"/>
    <cellStyle name="Normal 7 2 2" xfId="501" xr:uid="{00000000-0005-0000-0000-00001F020000}"/>
    <cellStyle name="Normal 7 2 2 2" xfId="502" xr:uid="{00000000-0005-0000-0000-000020020000}"/>
    <cellStyle name="Normal 7 2 2 3" xfId="503" xr:uid="{00000000-0005-0000-0000-000021020000}"/>
    <cellStyle name="Normal 7 2 3" xfId="504" xr:uid="{00000000-0005-0000-0000-000022020000}"/>
    <cellStyle name="Normal 7 2 4" xfId="505" xr:uid="{00000000-0005-0000-0000-000023020000}"/>
    <cellStyle name="Normal 8" xfId="506" xr:uid="{00000000-0005-0000-0000-000024020000}"/>
    <cellStyle name="Normal 8 2" xfId="507" xr:uid="{00000000-0005-0000-0000-000025020000}"/>
    <cellStyle name="Normal 8 2 2" xfId="508" xr:uid="{00000000-0005-0000-0000-000026020000}"/>
    <cellStyle name="Normal 8 2 3" xfId="509" xr:uid="{00000000-0005-0000-0000-000027020000}"/>
    <cellStyle name="Normal 8 2 3 2" xfId="510" xr:uid="{00000000-0005-0000-0000-000028020000}"/>
    <cellStyle name="Normal 8 2 3 3" xfId="511" xr:uid="{00000000-0005-0000-0000-000029020000}"/>
    <cellStyle name="Normal 8 2 4" xfId="512" xr:uid="{00000000-0005-0000-0000-00002A020000}"/>
    <cellStyle name="Normal 9" xfId="513" xr:uid="{00000000-0005-0000-0000-00002B020000}"/>
    <cellStyle name="Normal 9 2" xfId="514" xr:uid="{00000000-0005-0000-0000-00002C020000}"/>
    <cellStyle name="Note 2" xfId="515" xr:uid="{00000000-0005-0000-0000-00002D020000}"/>
    <cellStyle name="Note 2 2" xfId="516" xr:uid="{00000000-0005-0000-0000-00002E020000}"/>
    <cellStyle name="Note 2 2 2" xfId="517" xr:uid="{00000000-0005-0000-0000-00002F020000}"/>
    <cellStyle name="Note 2 3" xfId="518" xr:uid="{00000000-0005-0000-0000-000030020000}"/>
    <cellStyle name="Note 2 3 2" xfId="519" xr:uid="{00000000-0005-0000-0000-000031020000}"/>
    <cellStyle name="Note 2 3 3" xfId="520" xr:uid="{00000000-0005-0000-0000-000032020000}"/>
    <cellStyle name="Note 2 4" xfId="521" xr:uid="{00000000-0005-0000-0000-000033020000}"/>
    <cellStyle name="Note 3" xfId="522" xr:uid="{00000000-0005-0000-0000-000034020000}"/>
    <cellStyle name="Note 3 2" xfId="523" xr:uid="{00000000-0005-0000-0000-000035020000}"/>
    <cellStyle name="Note 3 2 2" xfId="524" xr:uid="{00000000-0005-0000-0000-000036020000}"/>
    <cellStyle name="Note 3 3" xfId="525" xr:uid="{00000000-0005-0000-0000-000037020000}"/>
    <cellStyle name="Note 3 3 2" xfId="526" xr:uid="{00000000-0005-0000-0000-000038020000}"/>
    <cellStyle name="Note 3 3 3" xfId="527" xr:uid="{00000000-0005-0000-0000-000039020000}"/>
    <cellStyle name="Note 3 4" xfId="528" xr:uid="{00000000-0005-0000-0000-00003A020000}"/>
    <cellStyle name="Note 4" xfId="529" xr:uid="{00000000-0005-0000-0000-00003B020000}"/>
    <cellStyle name="Note 4 2" xfId="530" xr:uid="{00000000-0005-0000-0000-00003C020000}"/>
    <cellStyle name="Note 4 2 2" xfId="531" xr:uid="{00000000-0005-0000-0000-00003D020000}"/>
    <cellStyle name="Note 4 3" xfId="532" xr:uid="{00000000-0005-0000-0000-00003E020000}"/>
    <cellStyle name="Note 4 3 2" xfId="533" xr:uid="{00000000-0005-0000-0000-00003F020000}"/>
    <cellStyle name="Note 4 3 3" xfId="534" xr:uid="{00000000-0005-0000-0000-000040020000}"/>
    <cellStyle name="Note 4 4" xfId="535" xr:uid="{00000000-0005-0000-0000-000041020000}"/>
    <cellStyle name="Output 2" xfId="536" xr:uid="{00000000-0005-0000-0000-000042020000}"/>
    <cellStyle name="Output 2 2" xfId="537" xr:uid="{00000000-0005-0000-0000-000043020000}"/>
    <cellStyle name="Output 2 2 2" xfId="538" xr:uid="{00000000-0005-0000-0000-000044020000}"/>
    <cellStyle name="Output 2 3" xfId="539" xr:uid="{00000000-0005-0000-0000-000045020000}"/>
    <cellStyle name="Output 2 3 2" xfId="540" xr:uid="{00000000-0005-0000-0000-000046020000}"/>
    <cellStyle name="Output 2 3 3" xfId="541" xr:uid="{00000000-0005-0000-0000-000047020000}"/>
    <cellStyle name="Output 2 4" xfId="542" xr:uid="{00000000-0005-0000-0000-000048020000}"/>
    <cellStyle name="Percent" xfId="1" builtinId="5"/>
    <cellStyle name="Percent [2]" xfId="543" xr:uid="{00000000-0005-0000-0000-00004A020000}"/>
    <cellStyle name="Percent [2] 2" xfId="544" xr:uid="{00000000-0005-0000-0000-00004B020000}"/>
    <cellStyle name="Percent [2]_29(d) - Gas extensions -tariffs" xfId="545" xr:uid="{00000000-0005-0000-0000-00004C020000}"/>
    <cellStyle name="Percent 10" xfId="697" xr:uid="{00000000-0005-0000-0000-00004D020000}"/>
    <cellStyle name="Percent 11" xfId="698" xr:uid="{00000000-0005-0000-0000-00004E020000}"/>
    <cellStyle name="Percent 12" xfId="546" xr:uid="{00000000-0005-0000-0000-00004F020000}"/>
    <cellStyle name="Percent 12 2" xfId="547" xr:uid="{00000000-0005-0000-0000-000050020000}"/>
    <cellStyle name="Percent 12 2 2" xfId="548" xr:uid="{00000000-0005-0000-0000-000051020000}"/>
    <cellStyle name="Percent 12 3" xfId="549" xr:uid="{00000000-0005-0000-0000-000052020000}"/>
    <cellStyle name="Percent 12 4" xfId="550" xr:uid="{00000000-0005-0000-0000-000053020000}"/>
    <cellStyle name="Percent 2" xfId="551" xr:uid="{00000000-0005-0000-0000-000054020000}"/>
    <cellStyle name="Percent 2 2" xfId="552" xr:uid="{00000000-0005-0000-0000-000055020000}"/>
    <cellStyle name="Percent 2 2 2" xfId="553" xr:uid="{00000000-0005-0000-0000-000056020000}"/>
    <cellStyle name="Percent 2 2 2 2" xfId="554" xr:uid="{00000000-0005-0000-0000-000057020000}"/>
    <cellStyle name="Percent 2 2 2 2 2" xfId="555" xr:uid="{00000000-0005-0000-0000-000058020000}"/>
    <cellStyle name="Percent 2 2 2 2 3" xfId="556" xr:uid="{00000000-0005-0000-0000-000059020000}"/>
    <cellStyle name="Percent 2 2 2 3" xfId="557" xr:uid="{00000000-0005-0000-0000-00005A020000}"/>
    <cellStyle name="Percent 2 2 2 4" xfId="558" xr:uid="{00000000-0005-0000-0000-00005B020000}"/>
    <cellStyle name="Percent 2 2 3" xfId="559" xr:uid="{00000000-0005-0000-0000-00005C020000}"/>
    <cellStyle name="Percent 2 2 3 2" xfId="560" xr:uid="{00000000-0005-0000-0000-00005D020000}"/>
    <cellStyle name="Percent 2 2 3 2 2" xfId="561" xr:uid="{00000000-0005-0000-0000-00005E020000}"/>
    <cellStyle name="Percent 2 2 3 2 3" xfId="562" xr:uid="{00000000-0005-0000-0000-00005F020000}"/>
    <cellStyle name="Percent 2 2 3 3" xfId="563" xr:uid="{00000000-0005-0000-0000-000060020000}"/>
    <cellStyle name="Percent 2 2 3 4" xfId="564" xr:uid="{00000000-0005-0000-0000-000061020000}"/>
    <cellStyle name="Percent 2 3" xfId="565" xr:uid="{00000000-0005-0000-0000-000062020000}"/>
    <cellStyle name="Percent 2 3 2" xfId="566" xr:uid="{00000000-0005-0000-0000-000063020000}"/>
    <cellStyle name="Percent 2 3 2 2" xfId="567" xr:uid="{00000000-0005-0000-0000-000064020000}"/>
    <cellStyle name="Percent 2 3 2 3" xfId="568" xr:uid="{00000000-0005-0000-0000-000065020000}"/>
    <cellStyle name="Percent 2 3 3" xfId="569" xr:uid="{00000000-0005-0000-0000-000066020000}"/>
    <cellStyle name="Percent 2 3 4" xfId="570" xr:uid="{00000000-0005-0000-0000-000067020000}"/>
    <cellStyle name="Percent 2 4" xfId="571" xr:uid="{00000000-0005-0000-0000-000068020000}"/>
    <cellStyle name="Percent 2 4 2" xfId="572" xr:uid="{00000000-0005-0000-0000-000069020000}"/>
    <cellStyle name="Percent 2 4 2 2" xfId="573" xr:uid="{00000000-0005-0000-0000-00006A020000}"/>
    <cellStyle name="Percent 2 4 2 3" xfId="574" xr:uid="{00000000-0005-0000-0000-00006B020000}"/>
    <cellStyle name="Percent 2 4 3" xfId="575" xr:uid="{00000000-0005-0000-0000-00006C020000}"/>
    <cellStyle name="Percent 2 4 4" xfId="576" xr:uid="{00000000-0005-0000-0000-00006D020000}"/>
    <cellStyle name="Percent 3" xfId="577" xr:uid="{00000000-0005-0000-0000-00006E020000}"/>
    <cellStyle name="Percent 3 2" xfId="578" xr:uid="{00000000-0005-0000-0000-00006F020000}"/>
    <cellStyle name="Percent 3 4" xfId="579" xr:uid="{00000000-0005-0000-0000-000070020000}"/>
    <cellStyle name="Percent 3 4 2" xfId="580" xr:uid="{00000000-0005-0000-0000-000071020000}"/>
    <cellStyle name="Percent 3 4 3" xfId="581" xr:uid="{00000000-0005-0000-0000-000072020000}"/>
    <cellStyle name="Percent 4" xfId="582" xr:uid="{00000000-0005-0000-0000-000073020000}"/>
    <cellStyle name="Percent 5" xfId="583" xr:uid="{00000000-0005-0000-0000-000074020000}"/>
    <cellStyle name="Percent 5 2" xfId="584" xr:uid="{00000000-0005-0000-0000-000075020000}"/>
    <cellStyle name="Percent 5 3" xfId="585" xr:uid="{00000000-0005-0000-0000-000076020000}"/>
    <cellStyle name="Percent 6" xfId="586" xr:uid="{00000000-0005-0000-0000-000077020000}"/>
    <cellStyle name="Percent 7" xfId="587" xr:uid="{00000000-0005-0000-0000-000078020000}"/>
    <cellStyle name="Percent 8" xfId="588" xr:uid="{00000000-0005-0000-0000-000079020000}"/>
    <cellStyle name="Percent 9" xfId="699" xr:uid="{00000000-0005-0000-0000-00007A020000}"/>
    <cellStyle name="Percentage" xfId="589" xr:uid="{00000000-0005-0000-0000-00007B020000}"/>
    <cellStyle name="Period Title" xfId="590" xr:uid="{00000000-0005-0000-0000-00007C020000}"/>
    <cellStyle name="PSChar" xfId="591" xr:uid="{00000000-0005-0000-0000-00007D020000}"/>
    <cellStyle name="PSDate" xfId="592" xr:uid="{00000000-0005-0000-0000-00007E020000}"/>
    <cellStyle name="PSDec" xfId="593" xr:uid="{00000000-0005-0000-0000-00007F020000}"/>
    <cellStyle name="PSDetail" xfId="594" xr:uid="{00000000-0005-0000-0000-000080020000}"/>
    <cellStyle name="PSHeading" xfId="595" xr:uid="{00000000-0005-0000-0000-000081020000}"/>
    <cellStyle name="PSHeading 2" xfId="596" xr:uid="{00000000-0005-0000-0000-000082020000}"/>
    <cellStyle name="PSHeading 2 2" xfId="597" xr:uid="{00000000-0005-0000-0000-000083020000}"/>
    <cellStyle name="PSHeading 2 2 2" xfId="598" xr:uid="{00000000-0005-0000-0000-000084020000}"/>
    <cellStyle name="PSHeading 2 3" xfId="599" xr:uid="{00000000-0005-0000-0000-000085020000}"/>
    <cellStyle name="PSHeading 3" xfId="600" xr:uid="{00000000-0005-0000-0000-000086020000}"/>
    <cellStyle name="PSHeading 3 2" xfId="601" xr:uid="{00000000-0005-0000-0000-000087020000}"/>
    <cellStyle name="PSHeading 3 2 2" xfId="602" xr:uid="{00000000-0005-0000-0000-000088020000}"/>
    <cellStyle name="PSHeading 3 2 2 2" xfId="700" xr:uid="{00000000-0005-0000-0000-000089020000}"/>
    <cellStyle name="PSHeading 3 2 3" xfId="701" xr:uid="{00000000-0005-0000-0000-00008A020000}"/>
    <cellStyle name="PSHeading 3 3" xfId="603" xr:uid="{00000000-0005-0000-0000-00008B020000}"/>
    <cellStyle name="PSHeading 4" xfId="604" xr:uid="{00000000-0005-0000-0000-00008C020000}"/>
    <cellStyle name="PSHeading 4 2" xfId="605" xr:uid="{00000000-0005-0000-0000-00008D020000}"/>
    <cellStyle name="PSHeading 5" xfId="702" xr:uid="{00000000-0005-0000-0000-00008E020000}"/>
    <cellStyle name="PSInt" xfId="606" xr:uid="{00000000-0005-0000-0000-00008F020000}"/>
    <cellStyle name="PSSpacer" xfId="607" xr:uid="{00000000-0005-0000-0000-000090020000}"/>
    <cellStyle name="Ratio" xfId="608" xr:uid="{00000000-0005-0000-0000-000091020000}"/>
    <cellStyle name="Ratio 2" xfId="609" xr:uid="{00000000-0005-0000-0000-000092020000}"/>
    <cellStyle name="Ratio_29(d) - Gas extensions -tariffs" xfId="610" xr:uid="{00000000-0005-0000-0000-000093020000}"/>
    <cellStyle name="Right Date" xfId="611" xr:uid="{00000000-0005-0000-0000-000094020000}"/>
    <cellStyle name="Right Number" xfId="612" xr:uid="{00000000-0005-0000-0000-000095020000}"/>
    <cellStyle name="Right Year" xfId="613" xr:uid="{00000000-0005-0000-0000-000096020000}"/>
    <cellStyle name="RIN_Input$_3dp" xfId="614" xr:uid="{00000000-0005-0000-0000-000097020000}"/>
    <cellStyle name="SAPError" xfId="615" xr:uid="{00000000-0005-0000-0000-000098020000}"/>
    <cellStyle name="SAPError 2" xfId="616" xr:uid="{00000000-0005-0000-0000-000099020000}"/>
    <cellStyle name="SAPKey" xfId="617" xr:uid="{00000000-0005-0000-0000-00009A020000}"/>
    <cellStyle name="SAPKey 2" xfId="618" xr:uid="{00000000-0005-0000-0000-00009B020000}"/>
    <cellStyle name="SAPLocked" xfId="619" xr:uid="{00000000-0005-0000-0000-00009C020000}"/>
    <cellStyle name="SAPLocked 2" xfId="620" xr:uid="{00000000-0005-0000-0000-00009D020000}"/>
    <cellStyle name="SAPOutput" xfId="621" xr:uid="{00000000-0005-0000-0000-00009E020000}"/>
    <cellStyle name="SAPOutput 2" xfId="622" xr:uid="{00000000-0005-0000-0000-00009F020000}"/>
    <cellStyle name="SAPSpace" xfId="623" xr:uid="{00000000-0005-0000-0000-0000A0020000}"/>
    <cellStyle name="SAPSpace 2" xfId="624" xr:uid="{00000000-0005-0000-0000-0000A1020000}"/>
    <cellStyle name="SAPText" xfId="625" xr:uid="{00000000-0005-0000-0000-0000A2020000}"/>
    <cellStyle name="SAPText 2" xfId="626" xr:uid="{00000000-0005-0000-0000-0000A3020000}"/>
    <cellStyle name="SAPUnLocked" xfId="627" xr:uid="{00000000-0005-0000-0000-0000A4020000}"/>
    <cellStyle name="SAPUnLocked 2" xfId="628" xr:uid="{00000000-0005-0000-0000-0000A5020000}"/>
    <cellStyle name="Sheet Title" xfId="629" xr:uid="{00000000-0005-0000-0000-0000A6020000}"/>
    <cellStyle name="SheetHeader1" xfId="630" xr:uid="{00000000-0005-0000-0000-0000A7020000}"/>
    <cellStyle name="Style 1" xfId="631" xr:uid="{00000000-0005-0000-0000-0000A8020000}"/>
    <cellStyle name="Style 1 2" xfId="632" xr:uid="{00000000-0005-0000-0000-0000A9020000}"/>
    <cellStyle name="Style 1 2 2" xfId="633" xr:uid="{00000000-0005-0000-0000-0000AA020000}"/>
    <cellStyle name="Style 1 3" xfId="634" xr:uid="{00000000-0005-0000-0000-0000AB020000}"/>
    <cellStyle name="Style 1 3 2" xfId="635" xr:uid="{00000000-0005-0000-0000-0000AC020000}"/>
    <cellStyle name="Style 1 3 3" xfId="636" xr:uid="{00000000-0005-0000-0000-0000AD020000}"/>
    <cellStyle name="Style 1 4" xfId="637" xr:uid="{00000000-0005-0000-0000-0000AE020000}"/>
    <cellStyle name="Style 1_29(d) - Gas extensions -tariffs" xfId="638" xr:uid="{00000000-0005-0000-0000-0000AF020000}"/>
    <cellStyle name="Style2" xfId="639" xr:uid="{00000000-0005-0000-0000-0000B0020000}"/>
    <cellStyle name="Style3" xfId="640" xr:uid="{00000000-0005-0000-0000-0000B1020000}"/>
    <cellStyle name="Style4" xfId="641" xr:uid="{00000000-0005-0000-0000-0000B2020000}"/>
    <cellStyle name="Style4 2" xfId="642" xr:uid="{00000000-0005-0000-0000-0000B3020000}"/>
    <cellStyle name="Style4_29(d) - Gas extensions -tariffs" xfId="643" xr:uid="{00000000-0005-0000-0000-0000B4020000}"/>
    <cellStyle name="Style5" xfId="644" xr:uid="{00000000-0005-0000-0000-0000B5020000}"/>
    <cellStyle name="Style5 2" xfId="645" xr:uid="{00000000-0005-0000-0000-0000B6020000}"/>
    <cellStyle name="Style5_29(d) - Gas extensions -tariffs" xfId="646" xr:uid="{00000000-0005-0000-0000-0000B7020000}"/>
    <cellStyle name="Table Head Green" xfId="647" xr:uid="{00000000-0005-0000-0000-0000B8020000}"/>
    <cellStyle name="Table Head_pldt" xfId="648" xr:uid="{00000000-0005-0000-0000-0000B9020000}"/>
    <cellStyle name="Table Source" xfId="649" xr:uid="{00000000-0005-0000-0000-0000BA020000}"/>
    <cellStyle name="Table Units" xfId="650" xr:uid="{00000000-0005-0000-0000-0000BB020000}"/>
    <cellStyle name="TableLvl2" xfId="651" xr:uid="{00000000-0005-0000-0000-0000BC020000}"/>
    <cellStyle name="TableLvl3" xfId="652" xr:uid="{00000000-0005-0000-0000-0000BD020000}"/>
    <cellStyle name="Text" xfId="653" xr:uid="{00000000-0005-0000-0000-0000BE020000}"/>
    <cellStyle name="Text 2" xfId="654" xr:uid="{00000000-0005-0000-0000-0000BF020000}"/>
    <cellStyle name="Text 3" xfId="655" xr:uid="{00000000-0005-0000-0000-0000C0020000}"/>
    <cellStyle name="Text Head 1" xfId="656" xr:uid="{00000000-0005-0000-0000-0000C1020000}"/>
    <cellStyle name="Text Head 2" xfId="657" xr:uid="{00000000-0005-0000-0000-0000C2020000}"/>
    <cellStyle name="Text Indent 2" xfId="658" xr:uid="{00000000-0005-0000-0000-0000C3020000}"/>
    <cellStyle name="Theirs" xfId="659" xr:uid="{00000000-0005-0000-0000-0000C4020000}"/>
    <cellStyle name="Title 2" xfId="660" xr:uid="{00000000-0005-0000-0000-0000C5020000}"/>
    <cellStyle name="TOC 1" xfId="661" xr:uid="{00000000-0005-0000-0000-0000C6020000}"/>
    <cellStyle name="TOC 2" xfId="662" xr:uid="{00000000-0005-0000-0000-0000C7020000}"/>
    <cellStyle name="TOC 3" xfId="663" xr:uid="{00000000-0005-0000-0000-0000C8020000}"/>
    <cellStyle name="Total 2" xfId="664" xr:uid="{00000000-0005-0000-0000-0000C9020000}"/>
    <cellStyle name="Total 2 2" xfId="665" xr:uid="{00000000-0005-0000-0000-0000CA020000}"/>
    <cellStyle name="Total 2 2 2" xfId="666" xr:uid="{00000000-0005-0000-0000-0000CB020000}"/>
    <cellStyle name="Total 2 3" xfId="667" xr:uid="{00000000-0005-0000-0000-0000CC020000}"/>
    <cellStyle name="Total 2 3 2" xfId="668" xr:uid="{00000000-0005-0000-0000-0000CD020000}"/>
    <cellStyle name="Total 2 3 3" xfId="669" xr:uid="{00000000-0005-0000-0000-0000CE020000}"/>
    <cellStyle name="Total 2 4" xfId="670" xr:uid="{00000000-0005-0000-0000-0000CF020000}"/>
    <cellStyle name="Warning Text 2" xfId="671" xr:uid="{00000000-0005-0000-0000-0000D0020000}"/>
    <cellStyle name="year" xfId="672" xr:uid="{00000000-0005-0000-0000-0000D1020000}"/>
    <cellStyle name="year 2" xfId="673" xr:uid="{00000000-0005-0000-0000-0000D2020000}"/>
    <cellStyle name="year_29(d) - Gas extensions -tariffs" xfId="674" xr:uid="{00000000-0005-0000-0000-0000D3020000}"/>
  </cellStyles>
  <dxfs count="2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1645691</xdr:colOff>
      <xdr:row>0</xdr:row>
      <xdr:rowOff>64060</xdr:rowOff>
    </xdr:from>
    <xdr:to>
      <xdr:col>0</xdr:col>
      <xdr:colOff>2887943</xdr:colOff>
      <xdr:row>4</xdr:row>
      <xdr:rowOff>73107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39E21DF-AD19-40DC-9457-09D09F3F7FF3}"/>
            </a:ext>
          </a:extLst>
        </xdr:cNvPr>
        <xdr:cNvGrpSpPr/>
      </xdr:nvGrpSpPr>
      <xdr:grpSpPr>
        <a:xfrm>
          <a:off x="1648866" y="67235"/>
          <a:ext cx="1235902" cy="1529872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87F6692-5A80-BBDF-E323-F9AD0698989F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A53602F2-E3A7-6965-B40D-A00B556EAD9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A71696AA-E08E-D968-CEAF-867B9B8C64D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B3FC335B-5878-267D-44B1-91BF52F80155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5FE51F5A-F5B2-2CFD-94E1-B3F230D890C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661C8D56-44E2-18E5-EC01-2B3B3F7A024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12</xdr:col>
      <xdr:colOff>30443</xdr:colOff>
      <xdr:row>0</xdr:row>
      <xdr:rowOff>56029</xdr:rowOff>
    </xdr:from>
    <xdr:to>
      <xdr:col>19</xdr:col>
      <xdr:colOff>277215</xdr:colOff>
      <xdr:row>2</xdr:row>
      <xdr:rowOff>335441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7AEA04B-3FAC-40B1-A7A2-F4EEEDB77AEA}"/>
            </a:ext>
          </a:extLst>
        </xdr:cNvPr>
        <xdr:cNvGrpSpPr/>
      </xdr:nvGrpSpPr>
      <xdr:grpSpPr>
        <a:xfrm>
          <a:off x="17172268" y="56029"/>
          <a:ext cx="6286743" cy="1038237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BCD618CB-B93F-AB65-5A1B-DBD893B1610A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[0]!MarkConfidential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D439EF65-52CB-8264-5C08-EAA1784E91BF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[0]!MarkNonConfidential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F34CC4F0-687D-9DC2-065F-2A1587124E18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34892FB4-2150-F1CD-390E-7C2B4E081FA3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E6495770-1B77-4633-E48F-0F4623F31FAD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D45B1611-91FE-AD84-184F-45ED3BCDE3FF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[0]!dms_ReturnNonAmended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3AE309B1-74EF-A6FA-FA9C-3AA1557B100A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[0]!dms_Amended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2FEE0B24-43AB-F32A-2A8A-D8B26DACFB7E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C457C307-C4FC-3BA0-DC69-3F39518DA375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1648866</xdr:colOff>
      <xdr:row>0</xdr:row>
      <xdr:rowOff>67235</xdr:rowOff>
    </xdr:from>
    <xdr:to>
      <xdr:col>0</xdr:col>
      <xdr:colOff>2884768</xdr:colOff>
      <xdr:row>4</xdr:row>
      <xdr:rowOff>73107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40C96B3-A149-4F91-A064-7517A38B56F4}"/>
            </a:ext>
          </a:extLst>
        </xdr:cNvPr>
        <xdr:cNvGrpSpPr/>
      </xdr:nvGrpSpPr>
      <xdr:grpSpPr>
        <a:xfrm>
          <a:off x="1645691" y="64060"/>
          <a:ext cx="1242252" cy="1533047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8EC1CF5-F9CA-4467-D420-82ACD523436D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167C97A2-406D-BBAC-60C4-E0E1D862B0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41B5167F-164F-9E2A-9C34-C9AFA4DCB8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97137F7-4DDD-6DEC-70B9-91C51008BE7B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C70CDB4D-F6E7-001E-E00C-E0DF64BA3B7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8B5E075D-A780-D83F-35BC-C08A3F44391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12</xdr:col>
      <xdr:colOff>27268</xdr:colOff>
      <xdr:row>0</xdr:row>
      <xdr:rowOff>56029</xdr:rowOff>
    </xdr:from>
    <xdr:to>
      <xdr:col>19</xdr:col>
      <xdr:colOff>274040</xdr:colOff>
      <xdr:row>2</xdr:row>
      <xdr:rowOff>332266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C347BFF1-410E-4883-9F0A-8E873A2B7E0C}"/>
            </a:ext>
          </a:extLst>
        </xdr:cNvPr>
        <xdr:cNvGrpSpPr/>
      </xdr:nvGrpSpPr>
      <xdr:grpSpPr>
        <a:xfrm>
          <a:off x="17175443" y="56029"/>
          <a:ext cx="6286743" cy="1041412"/>
          <a:chOff x="6257924" y="76200"/>
          <a:chExt cx="5973778" cy="103403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EED78FC9-3C39-8905-D1B3-A3DB9A0EB234}"/>
              </a:ext>
            </a:extLst>
          </xdr:cNvPr>
          <xdr:cNvGrpSpPr/>
        </xdr:nvGrpSpPr>
        <xdr:grpSpPr>
          <a:xfrm>
            <a:off x="6257924" y="94034"/>
            <a:ext cx="1753561" cy="971060"/>
            <a:chOff x="11448892" y="2483864"/>
            <a:chExt cx="1750813" cy="517167"/>
          </a:xfrm>
        </xdr:grpSpPr>
        <xdr:sp macro="[0]!MarkConfidential" textlink="">
          <xdr:nvSpPr>
            <xdr:cNvPr id="17" name="Rounded Rectangle 16">
              <a:extLst>
                <a:ext uri="{FF2B5EF4-FFF2-40B4-BE49-F238E27FC236}">
                  <a16:creationId xmlns:a16="http://schemas.microsoft.com/office/drawing/2014/main" id="{3F23B71E-ED98-E81A-1862-81A8179AD532}"/>
                </a:ext>
              </a:extLst>
            </xdr:cNvPr>
            <xdr:cNvSpPr/>
          </xdr:nvSpPr>
          <xdr:spPr>
            <a:xfrm>
              <a:off x="11448892" y="2483864"/>
              <a:ext cx="1741474" cy="254078"/>
            </a:xfrm>
            <a:prstGeom prst="roundRect">
              <a:avLst/>
            </a:prstGeom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Mark selection</a:t>
              </a:r>
              <a:r>
                <a:rPr lang="en-AU" sz="1000" b="1" baseline="0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 CONFIDENTIAL</a:t>
              </a:r>
              <a:endParaRPr lang="en-AU" sz="10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[0]!MarkNonConfidential" textlink="">
          <xdr:nvSpPr>
            <xdr:cNvPr id="18" name="Rounded Rectangle 17">
              <a:extLst>
                <a:ext uri="{FF2B5EF4-FFF2-40B4-BE49-F238E27FC236}">
                  <a16:creationId xmlns:a16="http://schemas.microsoft.com/office/drawing/2014/main" id="{D0007ABB-E06F-0150-605E-B17E3E0074D8}"/>
                </a:ext>
              </a:extLst>
            </xdr:cNvPr>
            <xdr:cNvSpPr/>
          </xdr:nvSpPr>
          <xdr:spPr>
            <a:xfrm>
              <a:off x="11448895" y="2764379"/>
              <a:ext cx="1750810" cy="236652"/>
            </a:xfrm>
            <a:prstGeom prst="roundRect">
              <a:avLst/>
            </a:prstGeom>
            <a:solidFill>
              <a:srgbClr val="FFFFCC"/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000" b="1">
                  <a:solidFill>
                    <a:sysClr val="windowText" lastClr="000000"/>
                  </a:solidFill>
                </a:rPr>
                <a:t>Return</a:t>
              </a:r>
              <a:r>
                <a:rPr lang="en-AU" sz="1000" b="1" baseline="0">
                  <a:solidFill>
                    <a:sysClr val="windowText" lastClr="000000"/>
                  </a:solidFill>
                </a:rPr>
                <a:t> selection to </a:t>
              </a:r>
            </a:p>
            <a:p>
              <a:pPr algn="ctr"/>
              <a:r>
                <a:rPr lang="en-AU" sz="1000" b="1" baseline="0">
                  <a:solidFill>
                    <a:sysClr val="windowText" lastClr="000000"/>
                  </a:solidFill>
                </a:rPr>
                <a:t>NON-CONFIDENTIAL</a:t>
              </a:r>
              <a:endParaRPr lang="en-AU" sz="1000" b="1">
                <a:solidFill>
                  <a:sysClr val="windowText" lastClr="000000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B81C29E1-5086-B86D-DD69-3454B0149F0D}"/>
              </a:ext>
            </a:extLst>
          </xdr:cNvPr>
          <xdr:cNvGrpSpPr/>
        </xdr:nvGrpSpPr>
        <xdr:grpSpPr>
          <a:xfrm>
            <a:off x="9047916" y="76200"/>
            <a:ext cx="3183786" cy="1034035"/>
            <a:chOff x="8959453" y="47625"/>
            <a:chExt cx="3191911" cy="1037397"/>
          </a:xfrm>
        </xdr:grpSpPr>
        <xdr:sp macro="" textlink="">
          <xdr:nvSpPr>
            <xdr:cNvPr id="12" name="Rounded Rectangle 11">
              <a:extLst>
                <a:ext uri="{FF2B5EF4-FFF2-40B4-BE49-F238E27FC236}">
                  <a16:creationId xmlns:a16="http://schemas.microsoft.com/office/drawing/2014/main" id="{4C9F0892-5A2F-4FEE-895A-5CA5CD821D5F}"/>
                </a:ext>
              </a:extLst>
            </xdr:cNvPr>
            <xdr:cNvSpPr/>
          </xdr:nvSpPr>
          <xdr:spPr>
            <a:xfrm>
              <a:off x="8959453" y="47625"/>
              <a:ext cx="3191911" cy="1037397"/>
            </a:xfrm>
            <a:prstGeom prst="roundRect">
              <a:avLst/>
            </a:prstGeom>
            <a:ln w="3175">
              <a:solidFill>
                <a:schemeClr val="bg1"/>
              </a:solidFill>
            </a:ln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endParaRPr lang="en-AU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" name="Group 12">
              <a:extLst>
                <a:ext uri="{FF2B5EF4-FFF2-40B4-BE49-F238E27FC236}">
                  <a16:creationId xmlns:a16="http://schemas.microsoft.com/office/drawing/2014/main" id="{A5BDA5B7-5259-D8B4-EA4B-1544D6662FDC}"/>
                </a:ext>
              </a:extLst>
            </xdr:cNvPr>
            <xdr:cNvGrpSpPr/>
          </xdr:nvGrpSpPr>
          <xdr:grpSpPr>
            <a:xfrm>
              <a:off x="10422881" y="79536"/>
              <a:ext cx="1576451" cy="972629"/>
              <a:chOff x="24351211" y="420304"/>
              <a:chExt cx="1935032" cy="711040"/>
            </a:xfrm>
          </xdr:grpSpPr>
          <xdr:sp macro="[0]!dms_ReturnNonAmended" textlink="">
            <xdr:nvSpPr>
              <xdr:cNvPr id="15" name="Rounded Rectangle 14">
                <a:extLst>
                  <a:ext uri="{FF2B5EF4-FFF2-40B4-BE49-F238E27FC236}">
                    <a16:creationId xmlns:a16="http://schemas.microsoft.com/office/drawing/2014/main" id="{990CC343-2A91-59D5-D746-241E2233C8B0}"/>
                  </a:ext>
                </a:extLst>
              </xdr:cNvPr>
              <xdr:cNvSpPr/>
            </xdr:nvSpPr>
            <xdr:spPr>
              <a:xfrm>
                <a:off x="24359544" y="776424"/>
                <a:ext cx="1914402" cy="354920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tx1"/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Return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selection to NON-AMENDED</a:t>
                </a:r>
                <a:endParaRPr lang="en-AU" sz="950" b="1">
                  <a:solidFill>
                    <a:sysClr val="windowText" lastClr="000000"/>
                  </a:solidFill>
                  <a:latin typeface="+mn-lt"/>
                </a:endParaRPr>
              </a:p>
            </xdr:txBody>
          </xdr:sp>
          <xdr:sp macro="[0]!dms_Amended" textlink="">
            <xdr:nvSpPr>
              <xdr:cNvPr id="16" name="Rounded Rectangle 15">
                <a:extLst>
                  <a:ext uri="{FF2B5EF4-FFF2-40B4-BE49-F238E27FC236}">
                    <a16:creationId xmlns:a16="http://schemas.microsoft.com/office/drawing/2014/main" id="{ED3169E7-A1B8-22A5-16B7-222CB9FF0132}"/>
                  </a:ext>
                </a:extLst>
              </xdr:cNvPr>
              <xdr:cNvSpPr/>
            </xdr:nvSpPr>
            <xdr:spPr>
              <a:xfrm>
                <a:off x="24351211" y="420304"/>
                <a:ext cx="1935032" cy="342242"/>
              </a:xfrm>
              <a:prstGeom prst="roundRect">
                <a:avLst/>
              </a:prstGeom>
              <a:pattFill prst="pct3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Mark selection</a:t>
                </a:r>
                <a:r>
                  <a:rPr lang="en-AU" sz="950" b="1" baseline="0">
                    <a:solidFill>
                      <a:sysClr val="windowText" lastClr="000000"/>
                    </a:solidFill>
                    <a:latin typeface="+mn-lt"/>
                  </a:rPr>
                  <a:t> as </a:t>
                </a:r>
                <a:r>
                  <a:rPr lang="en-AU" sz="950" b="1">
                    <a:solidFill>
                      <a:sysClr val="windowText" lastClr="000000"/>
                    </a:solidFill>
                    <a:latin typeface="+mn-lt"/>
                  </a:rPr>
                  <a:t>AMENDED</a:t>
                </a:r>
              </a:p>
            </xdr:txBody>
          </xdr:sp>
        </xdr:grpSp>
        <xdr:sp macro="" textlink="">
          <xdr:nvSpPr>
            <xdr:cNvPr id="14" name="Rounded Rectangle 13">
              <a:extLst>
                <a:ext uri="{FF2B5EF4-FFF2-40B4-BE49-F238E27FC236}">
                  <a16:creationId xmlns:a16="http://schemas.microsoft.com/office/drawing/2014/main" id="{BCB7BD70-AEEC-098C-1AF5-83840590DF35}"/>
                </a:ext>
              </a:extLst>
            </xdr:cNvPr>
            <xdr:cNvSpPr/>
          </xdr:nvSpPr>
          <xdr:spPr>
            <a:xfrm>
              <a:off x="9173766" y="111208"/>
              <a:ext cx="1104320" cy="907553"/>
            </a:xfrm>
            <a:prstGeom prst="roundRect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en-AU" sz="1100" b="1">
                  <a:solidFill>
                    <a:schemeClr val="bg1"/>
                  </a:solidFill>
                </a:rPr>
                <a:t>FOR AMENDED SUBMISSIONS</a:t>
              </a:r>
              <a:r>
                <a:rPr lang="en-AU" sz="1100" b="1" baseline="0">
                  <a:solidFill>
                    <a:schemeClr val="bg1"/>
                  </a:solidFill>
                </a:rPr>
                <a:t> ONLY</a:t>
              </a:r>
              <a:endParaRPr lang="en-AU" sz="11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DF050-5933-4B0D-99B9-0453F7DBEF55}">
  <sheetPr codeName="Sheet18">
    <tabColor theme="6" tint="0.79998168889431442"/>
    <pageSetUpPr fitToPage="1"/>
  </sheetPr>
  <dimension ref="A1:JZ82"/>
  <sheetViews>
    <sheetView showGridLines="0" tabSelected="1" zoomScale="85" zoomScaleNormal="85" workbookViewId="0">
      <selection activeCell="A20" sqref="A20"/>
    </sheetView>
  </sheetViews>
  <sheetFormatPr defaultColWidth="0" defaultRowHeight="15" customHeight="1" zeroHeight="1"/>
  <cols>
    <col min="1" max="1" width="45.453125" style="86" customWidth="1"/>
    <col min="2" max="2" width="76.54296875" style="2" customWidth="1"/>
    <col min="3" max="23" width="12.453125" style="2" customWidth="1"/>
    <col min="24" max="24" width="15.453125" style="2" bestFit="1" customWidth="1"/>
    <col min="25" max="26" width="12.453125" style="251" customWidth="1"/>
    <col min="27" max="29" width="12.453125" style="251" hidden="1" customWidth="1"/>
    <col min="30" max="30" width="0" style="251" hidden="1" customWidth="1"/>
    <col min="31" max="286" width="0" style="2" hidden="1" customWidth="1"/>
    <col min="287" max="16384" width="9.1796875" style="2" hidden="1"/>
  </cols>
  <sheetData>
    <row r="1" spans="1:34" ht="30.25" customHeight="1">
      <c r="B1" s="87" t="s">
        <v>40</v>
      </c>
      <c r="C1" s="87"/>
      <c r="D1" s="87"/>
      <c r="E1" s="87"/>
      <c r="F1" s="87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34" ht="30.25" customHeight="1">
      <c r="B2" s="36" t="s">
        <v>0</v>
      </c>
      <c r="C2" s="89"/>
      <c r="D2" s="89"/>
      <c r="E2" s="89"/>
      <c r="F2" s="89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34" ht="30.25" customHeight="1">
      <c r="B3" s="90" t="s">
        <v>54</v>
      </c>
      <c r="C3" s="87"/>
      <c r="D3" s="87"/>
      <c r="E3" s="87"/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34" ht="30.25" customHeight="1">
      <c r="B4" s="3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4" ht="14.5"/>
    <row r="6" spans="1:34" ht="25.5" customHeight="1">
      <c r="B6" s="91" t="s">
        <v>6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34" ht="21.75" customHeight="1">
      <c r="A7" s="92"/>
      <c r="B7" s="250" t="s">
        <v>55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251"/>
      <c r="O7" s="251"/>
      <c r="P7" s="251"/>
      <c r="Q7" s="251"/>
      <c r="R7" s="91"/>
      <c r="S7" s="91"/>
      <c r="T7" s="91"/>
      <c r="U7" s="91"/>
      <c r="V7" s="91"/>
      <c r="W7" s="91"/>
      <c r="X7" s="91"/>
      <c r="Y7" s="91"/>
      <c r="Z7" s="91"/>
      <c r="AA7" s="91"/>
      <c r="AB7" s="2"/>
      <c r="AC7" s="2"/>
      <c r="AD7" s="2"/>
    </row>
    <row r="8" spans="1:34" ht="45.65" customHeight="1">
      <c r="A8" s="92"/>
      <c r="B8" s="438" t="s">
        <v>7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40"/>
      <c r="N8" s="251"/>
      <c r="O8" s="251"/>
      <c r="P8" s="251"/>
      <c r="Q8" s="251"/>
      <c r="R8" s="251"/>
      <c r="S8" s="95"/>
      <c r="T8" s="251"/>
      <c r="U8" s="251"/>
      <c r="V8" s="251"/>
      <c r="W8" s="251"/>
      <c r="X8" s="251"/>
      <c r="AB8" s="2"/>
      <c r="AC8" s="2"/>
      <c r="AD8" s="2"/>
    </row>
    <row r="9" spans="1:34" ht="14.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0" spans="1:34" ht="14.5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</row>
    <row r="11" spans="1:34" s="251" customFormat="1" thickBot="1">
      <c r="A11" s="86"/>
    </row>
    <row r="12" spans="1:34" s="251" customFormat="1" ht="16" thickBot="1">
      <c r="A12" s="86"/>
      <c r="B12" s="97" t="s">
        <v>8</v>
      </c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34" s="101" customFormat="1" ht="15.5">
      <c r="A13" s="86"/>
      <c r="B13" s="100"/>
      <c r="C13" s="441" t="s">
        <v>9</v>
      </c>
      <c r="D13" s="442"/>
      <c r="E13" s="442"/>
      <c r="F13" s="442"/>
      <c r="G13" s="442"/>
      <c r="H13" s="442"/>
      <c r="I13" s="442"/>
      <c r="J13" s="442"/>
      <c r="K13" s="442"/>
      <c r="L13" s="442"/>
      <c r="M13" s="442" t="s">
        <v>10</v>
      </c>
      <c r="N13" s="443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</row>
    <row r="14" spans="1:34" ht="16" thickBot="1">
      <c r="B14" s="100"/>
      <c r="C14" s="102" t="s">
        <v>41</v>
      </c>
      <c r="D14" s="103" t="s">
        <v>42</v>
      </c>
      <c r="E14" s="104" t="s">
        <v>43</v>
      </c>
      <c r="F14" s="104" t="s">
        <v>44</v>
      </c>
      <c r="G14" s="104" t="s">
        <v>45</v>
      </c>
      <c r="H14" s="104" t="s">
        <v>15</v>
      </c>
      <c r="I14" s="104" t="s">
        <v>46</v>
      </c>
      <c r="J14" s="104" t="s">
        <v>47</v>
      </c>
      <c r="K14" s="104" t="s">
        <v>48</v>
      </c>
      <c r="L14" s="104" t="s">
        <v>49</v>
      </c>
      <c r="M14" s="104" t="s">
        <v>32</v>
      </c>
      <c r="N14" s="105" t="s">
        <v>50</v>
      </c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AG14" s="251"/>
    </row>
    <row r="15" spans="1:34" ht="14.5">
      <c r="B15" s="106" t="s">
        <v>11</v>
      </c>
      <c r="C15" s="107"/>
      <c r="D15" s="65">
        <v>105.9</v>
      </c>
      <c r="E15" s="65">
        <v>107.5</v>
      </c>
      <c r="F15" s="65">
        <v>108.6</v>
      </c>
      <c r="G15" s="65">
        <v>110.7</v>
      </c>
      <c r="H15" s="65">
        <v>113</v>
      </c>
      <c r="I15" s="65">
        <v>114.8</v>
      </c>
      <c r="J15" s="65">
        <v>114.4</v>
      </c>
      <c r="K15" s="65">
        <v>118.8</v>
      </c>
      <c r="L15" s="65">
        <v>126.1</v>
      </c>
      <c r="M15" s="65">
        <v>133.69999999999999</v>
      </c>
      <c r="N15" s="66">
        <v>138.11209999999997</v>
      </c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AG15" s="251"/>
      <c r="AH15" s="251"/>
    </row>
    <row r="16" spans="1:34" ht="14.5">
      <c r="B16" s="108" t="s">
        <v>12</v>
      </c>
      <c r="C16" s="109"/>
      <c r="D16" s="110"/>
      <c r="E16" s="4">
        <f t="shared" ref="E16:N16" si="0">+E15/D15-1</f>
        <v>1.5108593012275628E-2</v>
      </c>
      <c r="F16" s="4">
        <f t="shared" si="0"/>
        <v>1.0232558139534831E-2</v>
      </c>
      <c r="G16" s="4">
        <f t="shared" si="0"/>
        <v>1.9337016574585641E-2</v>
      </c>
      <c r="H16" s="4">
        <f t="shared" si="0"/>
        <v>2.0776874435411097E-2</v>
      </c>
      <c r="I16" s="4">
        <f t="shared" si="0"/>
        <v>1.5929203539823078E-2</v>
      </c>
      <c r="J16" s="4">
        <f t="shared" si="0"/>
        <v>-3.4843205574912606E-3</v>
      </c>
      <c r="K16" s="4">
        <f t="shared" si="0"/>
        <v>3.8461538461538325E-2</v>
      </c>
      <c r="L16" s="4">
        <f t="shared" si="0"/>
        <v>6.1447811447811418E-2</v>
      </c>
      <c r="M16" s="4">
        <f t="shared" si="0"/>
        <v>6.0269627279936566E-2</v>
      </c>
      <c r="N16" s="33">
        <f t="shared" si="0"/>
        <v>3.2999999999999918E-2</v>
      </c>
      <c r="O16" s="251"/>
      <c r="P16" s="251"/>
      <c r="Q16" s="251"/>
      <c r="R16" s="251"/>
      <c r="S16" s="251"/>
      <c r="T16" s="251"/>
      <c r="U16" s="251"/>
      <c r="V16" s="251"/>
      <c r="W16" s="251"/>
      <c r="X16" s="251"/>
    </row>
    <row r="17" spans="1:286" thickBot="1">
      <c r="B17" s="111" t="s">
        <v>56</v>
      </c>
      <c r="C17" s="112"/>
      <c r="D17" s="5">
        <f t="shared" ref="D17:M17" si="1">E17/(1+E16)</f>
        <v>0.76676844389448873</v>
      </c>
      <c r="E17" s="6">
        <f t="shared" si="1"/>
        <v>0.7783532362479465</v>
      </c>
      <c r="F17" s="6">
        <f t="shared" si="1"/>
        <v>0.78631778099094873</v>
      </c>
      <c r="G17" s="6">
        <f t="shared" si="1"/>
        <v>0.80152282095486216</v>
      </c>
      <c r="H17" s="6">
        <f t="shared" si="1"/>
        <v>0.81817595996295778</v>
      </c>
      <c r="I17" s="6">
        <f t="shared" si="1"/>
        <v>0.83120885136059786</v>
      </c>
      <c r="J17" s="6">
        <f t="shared" si="1"/>
        <v>0.82831265327223347</v>
      </c>
      <c r="K17" s="6">
        <f t="shared" si="1"/>
        <v>0.86017083224424229</v>
      </c>
      <c r="L17" s="6">
        <f t="shared" si="1"/>
        <v>0.91302644735689353</v>
      </c>
      <c r="M17" s="6">
        <f t="shared" si="1"/>
        <v>0.96805421103581812</v>
      </c>
      <c r="N17" s="34">
        <v>1</v>
      </c>
      <c r="O17" s="251"/>
      <c r="P17" s="251"/>
      <c r="Q17" s="251"/>
      <c r="R17" s="251"/>
      <c r="S17" s="251"/>
      <c r="T17" s="251"/>
      <c r="U17" s="251"/>
      <c r="V17" s="251"/>
      <c r="W17" s="251"/>
      <c r="X17" s="251"/>
    </row>
    <row r="18" spans="1:286" ht="14.5">
      <c r="B18" s="113"/>
      <c r="C18" s="114"/>
      <c r="D18" s="114"/>
      <c r="E18" s="115"/>
      <c r="F18" s="115"/>
      <c r="G18" s="115"/>
      <c r="H18" s="115"/>
      <c r="I18" s="115"/>
      <c r="J18" s="7"/>
      <c r="K18" s="116"/>
      <c r="L18" s="7"/>
      <c r="M18" s="8"/>
      <c r="N18" s="116"/>
      <c r="O18" s="7"/>
      <c r="P18" s="7"/>
      <c r="Q18" s="7"/>
      <c r="R18" s="7"/>
      <c r="S18" s="116"/>
      <c r="T18" s="116"/>
      <c r="U18" s="116"/>
      <c r="V18" s="116"/>
      <c r="W18" s="116"/>
    </row>
    <row r="19" spans="1:286" ht="14.5">
      <c r="B19" s="113"/>
      <c r="C19" s="114"/>
      <c r="D19" s="114"/>
      <c r="E19" s="114"/>
      <c r="F19" s="114"/>
      <c r="G19" s="114"/>
      <c r="H19" s="114"/>
      <c r="I19" s="114"/>
      <c r="J19" s="7"/>
      <c r="K19" s="251"/>
      <c r="L19" s="251"/>
      <c r="M19" s="251"/>
      <c r="N19" s="251"/>
      <c r="O19" s="251"/>
      <c r="P19" s="251"/>
      <c r="Q19" s="251"/>
      <c r="R19" s="7"/>
      <c r="S19" s="116"/>
      <c r="T19" s="116"/>
      <c r="U19" s="116"/>
      <c r="V19" s="116"/>
      <c r="W19" s="116"/>
    </row>
    <row r="20" spans="1:286" ht="14.5">
      <c r="B20" s="113"/>
      <c r="C20" s="114"/>
      <c r="D20" s="114"/>
      <c r="E20" s="114"/>
      <c r="F20" s="114"/>
      <c r="G20" s="114"/>
      <c r="H20" s="114"/>
      <c r="I20" s="114"/>
      <c r="J20" s="7"/>
      <c r="K20" s="116"/>
      <c r="L20" s="7"/>
      <c r="M20" s="8"/>
      <c r="N20" s="116"/>
      <c r="O20" s="7"/>
      <c r="P20" s="7"/>
      <c r="Q20" s="7"/>
      <c r="R20" s="7"/>
      <c r="S20" s="116"/>
      <c r="T20" s="116"/>
      <c r="U20" s="116"/>
      <c r="V20" s="116"/>
      <c r="W20" s="116"/>
    </row>
    <row r="21" spans="1:286" s="119" customFormat="1" ht="18.5">
      <c r="A21" s="86"/>
      <c r="B21" s="117" t="s">
        <v>13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251"/>
      <c r="Z21" s="251"/>
      <c r="AA21" s="251"/>
      <c r="AB21" s="251"/>
      <c r="AC21" s="251"/>
      <c r="AD21" s="251"/>
    </row>
    <row r="22" spans="1:286" s="251" customFormat="1" thickBot="1">
      <c r="A22" s="86"/>
    </row>
    <row r="23" spans="1:286" s="251" customFormat="1" thickBot="1">
      <c r="A23" s="86"/>
      <c r="B23" s="120" t="s">
        <v>14</v>
      </c>
      <c r="C23" s="38" t="s">
        <v>15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</row>
    <row r="24" spans="1:286" s="251" customFormat="1" thickBot="1">
      <c r="A24" s="86"/>
      <c r="B24" s="120" t="s">
        <v>57</v>
      </c>
      <c r="C24" s="37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</row>
    <row r="25" spans="1:286" s="125" customFormat="1" ht="21" customHeight="1" thickBot="1">
      <c r="A25" s="86"/>
      <c r="B25" s="121" t="s">
        <v>16</v>
      </c>
      <c r="C25" s="122"/>
      <c r="D25" s="122"/>
      <c r="E25" s="122"/>
      <c r="F25" s="122"/>
      <c r="G25" s="122"/>
      <c r="H25" s="122"/>
      <c r="I25" s="122"/>
      <c r="J25" s="123"/>
      <c r="K25" s="123"/>
      <c r="L25" s="123"/>
      <c r="M25" s="123"/>
      <c r="N25" s="123"/>
      <c r="O25" s="123"/>
      <c r="P25" s="123"/>
      <c r="Q25" s="124"/>
      <c r="R25" s="251"/>
      <c r="S25" s="251"/>
      <c r="T25" s="251"/>
      <c r="U25" s="251"/>
      <c r="V25" s="251"/>
      <c r="Y25" s="251"/>
      <c r="Z25" s="251"/>
      <c r="AA25" s="251"/>
      <c r="AB25" s="251"/>
      <c r="AC25" s="251"/>
      <c r="AD25" s="251"/>
    </row>
    <row r="26" spans="1:286" ht="14.5">
      <c r="B26" s="251"/>
      <c r="C26" s="444" t="s">
        <v>58</v>
      </c>
      <c r="D26" s="445"/>
      <c r="E26" s="446" t="s">
        <v>59</v>
      </c>
      <c r="F26" s="446"/>
      <c r="G26" s="446"/>
      <c r="H26" s="446"/>
      <c r="I26" s="447"/>
      <c r="J26" s="8"/>
      <c r="K26" s="448" t="s">
        <v>60</v>
      </c>
      <c r="L26" s="449"/>
      <c r="M26" s="449"/>
      <c r="N26" s="449"/>
      <c r="O26" s="449"/>
      <c r="P26" s="449"/>
      <c r="Q26" s="450"/>
      <c r="R26" s="251"/>
      <c r="S26" s="251"/>
      <c r="T26" s="251"/>
      <c r="U26" s="251"/>
      <c r="V26" s="251"/>
      <c r="W26" s="251"/>
      <c r="X26" s="251"/>
    </row>
    <row r="27" spans="1:286" ht="21.75" customHeight="1">
      <c r="B27" s="251"/>
      <c r="C27" s="455" t="s">
        <v>3</v>
      </c>
      <c r="D27" s="456"/>
      <c r="E27" s="457" t="s">
        <v>17</v>
      </c>
      <c r="F27" s="458"/>
      <c r="G27" s="458"/>
      <c r="H27" s="458"/>
      <c r="I27" s="459"/>
      <c r="J27" s="8"/>
      <c r="K27" s="455" t="s">
        <v>3</v>
      </c>
      <c r="L27" s="456"/>
      <c r="M27" s="457" t="s">
        <v>17</v>
      </c>
      <c r="N27" s="458"/>
      <c r="O27" s="458"/>
      <c r="P27" s="458"/>
      <c r="Q27" s="459"/>
      <c r="R27" s="251"/>
      <c r="S27" s="251"/>
      <c r="T27" s="251"/>
      <c r="U27" s="251"/>
      <c r="V27" s="251"/>
      <c r="W27" s="251"/>
      <c r="X27" s="251"/>
    </row>
    <row r="28" spans="1:286" ht="21.75" customHeight="1" thickBot="1">
      <c r="B28" s="251"/>
      <c r="C28" s="126" t="s">
        <v>15</v>
      </c>
      <c r="D28" s="127" t="s">
        <v>46</v>
      </c>
      <c r="E28" s="128" t="s">
        <v>47</v>
      </c>
      <c r="F28" s="129" t="s">
        <v>48</v>
      </c>
      <c r="G28" s="129" t="s">
        <v>49</v>
      </c>
      <c r="H28" s="129" t="s">
        <v>32</v>
      </c>
      <c r="I28" s="130" t="s">
        <v>50</v>
      </c>
      <c r="J28" s="8"/>
      <c r="K28" s="126" t="s">
        <v>15</v>
      </c>
      <c r="L28" s="127" t="s">
        <v>46</v>
      </c>
      <c r="M28" s="128" t="s">
        <v>47</v>
      </c>
      <c r="N28" s="129" t="s">
        <v>48</v>
      </c>
      <c r="O28" s="129" t="s">
        <v>49</v>
      </c>
      <c r="P28" s="129" t="s">
        <v>32</v>
      </c>
      <c r="Q28" s="130" t="s">
        <v>50</v>
      </c>
      <c r="R28" s="251"/>
      <c r="S28" s="251"/>
      <c r="T28" s="251"/>
      <c r="U28" s="251"/>
      <c r="V28" s="251"/>
      <c r="W28" s="251"/>
      <c r="X28" s="251"/>
    </row>
    <row r="29" spans="1:286" ht="14.5">
      <c r="B29" s="252" t="s">
        <v>18</v>
      </c>
      <c r="C29" s="257">
        <v>330.21882207985203</v>
      </c>
      <c r="D29" s="43">
        <v>333.93406947269989</v>
      </c>
      <c r="E29" s="42">
        <v>386.62105415896849</v>
      </c>
      <c r="F29" s="42">
        <v>368.66351388854468</v>
      </c>
      <c r="G29" s="42">
        <v>357.43033025819386</v>
      </c>
      <c r="H29" s="42">
        <v>338.94776268037208</v>
      </c>
      <c r="I29" s="47">
        <v>307.07656864482209</v>
      </c>
      <c r="J29" s="8"/>
      <c r="K29" s="27">
        <f>+C29/$D$17</f>
        <v>430.66303094404839</v>
      </c>
      <c r="L29" s="28">
        <f t="shared" ref="L29:L35" si="2">+D29/$D$17</f>
        <v>435.50836257243122</v>
      </c>
      <c r="M29" s="9">
        <f>+E29/$I$17</f>
        <v>465.13106005321305</v>
      </c>
      <c r="N29" s="10">
        <f>+F29/$I$17</f>
        <v>443.52693463872873</v>
      </c>
      <c r="O29" s="10">
        <f>+G29/$I$17</f>
        <v>430.01266128617323</v>
      </c>
      <c r="P29" s="10">
        <f>+H29/$I$17</f>
        <v>407.77689280564289</v>
      </c>
      <c r="Q29" s="11">
        <f>+I29/$I$17</f>
        <v>369.43370867883732</v>
      </c>
      <c r="R29" s="251"/>
      <c r="S29" s="251"/>
      <c r="T29" s="251"/>
      <c r="U29" s="251"/>
      <c r="V29" s="251"/>
      <c r="W29" s="251"/>
      <c r="X29" s="12"/>
    </row>
    <row r="30" spans="1:286" ht="14.5">
      <c r="B30" s="253" t="s">
        <v>19</v>
      </c>
      <c r="C30" s="258"/>
      <c r="D30" s="68"/>
      <c r="E30" s="67"/>
      <c r="F30" s="69"/>
      <c r="G30" s="69"/>
      <c r="H30" s="69"/>
      <c r="I30" s="70"/>
      <c r="J30" s="114"/>
      <c r="K30" s="133"/>
      <c r="L30" s="134"/>
      <c r="M30" s="135"/>
      <c r="N30" s="136"/>
      <c r="O30" s="136"/>
      <c r="P30" s="136"/>
      <c r="Q30" s="137"/>
      <c r="R30" s="251"/>
      <c r="S30" s="251"/>
      <c r="T30" s="251"/>
      <c r="U30" s="251"/>
      <c r="V30" s="251"/>
      <c r="W30" s="251"/>
      <c r="X30" s="251"/>
    </row>
    <row r="31" spans="1:286" ht="14.5">
      <c r="B31" s="254" t="s">
        <v>20</v>
      </c>
      <c r="C31" s="259">
        <v>-3.8305814629580284</v>
      </c>
      <c r="D31" s="45">
        <v>-3.9198097797241922</v>
      </c>
      <c r="E31" s="44">
        <v>-3.9926105620233887</v>
      </c>
      <c r="F31" s="44">
        <v>-4.1004788877014615</v>
      </c>
      <c r="G31" s="44">
        <v>-4.1491769318263225</v>
      </c>
      <c r="H31" s="44">
        <v>-4.1860621292065741</v>
      </c>
      <c r="I31" s="47">
        <v>-4.20513373891011</v>
      </c>
      <c r="J31" s="114"/>
      <c r="K31" s="29">
        <f t="shared" ref="K31:K35" si="3">+C31/$D$17</f>
        <v>-4.9957474038735166</v>
      </c>
      <c r="L31" s="30">
        <f t="shared" si="2"/>
        <v>-5.1121167165084564</v>
      </c>
      <c r="M31" s="13">
        <f>E31/$I$17</f>
        <v>-4.8033783031640276</v>
      </c>
      <c r="N31" s="13">
        <f t="shared" ref="N31:Q35" si="4">F31/$I$17</f>
        <v>-4.9331511340253735</v>
      </c>
      <c r="O31" s="13">
        <f t="shared" si="4"/>
        <v>-4.9917381474398095</v>
      </c>
      <c r="P31" s="13">
        <f t="shared" si="4"/>
        <v>-5.0361135138953932</v>
      </c>
      <c r="Q31" s="24">
        <f t="shared" si="4"/>
        <v>-5.0590579395620807</v>
      </c>
      <c r="R31" s="251"/>
      <c r="S31" s="251"/>
      <c r="T31" s="251"/>
      <c r="U31" s="251"/>
      <c r="V31" s="251"/>
      <c r="W31" s="251"/>
      <c r="X31" s="251"/>
    </row>
    <row r="32" spans="1:286" ht="14.5">
      <c r="B32" s="254" t="s">
        <v>21</v>
      </c>
      <c r="C32" s="259"/>
      <c r="D32" s="45"/>
      <c r="E32" s="44"/>
      <c r="F32" s="61"/>
      <c r="G32" s="46"/>
      <c r="H32" s="46"/>
      <c r="I32" s="47"/>
      <c r="J32" s="114"/>
      <c r="K32" s="29">
        <f t="shared" si="3"/>
        <v>0</v>
      </c>
      <c r="L32" s="30">
        <f t="shared" si="2"/>
        <v>0</v>
      </c>
      <c r="M32" s="13">
        <f t="shared" ref="M32:M35" si="5">E32/$I$17</f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24">
        <f t="shared" si="4"/>
        <v>0</v>
      </c>
      <c r="R32" s="251"/>
      <c r="S32" s="251"/>
      <c r="T32" s="251"/>
      <c r="U32" s="251"/>
      <c r="V32" s="251"/>
      <c r="W32" s="251"/>
      <c r="X32" s="251"/>
    </row>
    <row r="33" spans="1:30" ht="14.5">
      <c r="B33" s="254"/>
      <c r="C33" s="259"/>
      <c r="D33" s="45"/>
      <c r="E33" s="44"/>
      <c r="F33" s="46"/>
      <c r="G33" s="46"/>
      <c r="H33" s="46"/>
      <c r="I33" s="47"/>
      <c r="J33" s="114"/>
      <c r="K33" s="29">
        <f t="shared" si="3"/>
        <v>0</v>
      </c>
      <c r="L33" s="30">
        <f t="shared" si="2"/>
        <v>0</v>
      </c>
      <c r="M33" s="13">
        <f t="shared" si="5"/>
        <v>0</v>
      </c>
      <c r="N33" s="13">
        <f t="shared" si="4"/>
        <v>0</v>
      </c>
      <c r="O33" s="13">
        <f t="shared" si="4"/>
        <v>0</v>
      </c>
      <c r="P33" s="13">
        <f t="shared" si="4"/>
        <v>0</v>
      </c>
      <c r="Q33" s="24">
        <f t="shared" si="4"/>
        <v>0</v>
      </c>
      <c r="R33" s="251"/>
      <c r="S33" s="251"/>
      <c r="T33" s="251"/>
      <c r="U33" s="251"/>
      <c r="V33" s="251"/>
      <c r="W33" s="251"/>
      <c r="X33" s="251"/>
    </row>
    <row r="34" spans="1:30" ht="14.5">
      <c r="B34" s="255" t="s">
        <v>22</v>
      </c>
      <c r="C34" s="259"/>
      <c r="D34" s="45"/>
      <c r="E34" s="44"/>
      <c r="F34" s="46"/>
      <c r="G34" s="46"/>
      <c r="H34" s="46"/>
      <c r="I34" s="47"/>
      <c r="J34" s="138"/>
      <c r="K34" s="29">
        <f t="shared" si="3"/>
        <v>0</v>
      </c>
      <c r="L34" s="30">
        <f t="shared" si="2"/>
        <v>0</v>
      </c>
      <c r="M34" s="13">
        <f t="shared" si="5"/>
        <v>0</v>
      </c>
      <c r="N34" s="13">
        <f t="shared" si="4"/>
        <v>0</v>
      </c>
      <c r="O34" s="13">
        <f t="shared" si="4"/>
        <v>0</v>
      </c>
      <c r="P34" s="13">
        <f t="shared" si="4"/>
        <v>0</v>
      </c>
      <c r="Q34" s="24">
        <f t="shared" si="4"/>
        <v>0</v>
      </c>
      <c r="R34" s="251"/>
      <c r="S34" s="251"/>
      <c r="T34" s="251"/>
      <c r="U34" s="251"/>
      <c r="V34" s="251"/>
      <c r="W34" s="251"/>
      <c r="X34" s="251"/>
    </row>
    <row r="35" spans="1:30" thickBot="1">
      <c r="B35" s="256" t="s">
        <v>23</v>
      </c>
      <c r="C35" s="260"/>
      <c r="D35" s="49"/>
      <c r="E35" s="48"/>
      <c r="F35" s="50"/>
      <c r="G35" s="50"/>
      <c r="H35" s="50"/>
      <c r="I35" s="51"/>
      <c r="J35" s="114"/>
      <c r="K35" s="31">
        <f t="shared" si="3"/>
        <v>0</v>
      </c>
      <c r="L35" s="32">
        <f t="shared" si="2"/>
        <v>0</v>
      </c>
      <c r="M35" s="25">
        <f t="shared" si="5"/>
        <v>0</v>
      </c>
      <c r="N35" s="25">
        <f t="shared" si="4"/>
        <v>0</v>
      </c>
      <c r="O35" s="25">
        <f t="shared" si="4"/>
        <v>0</v>
      </c>
      <c r="P35" s="25">
        <f t="shared" si="4"/>
        <v>0</v>
      </c>
      <c r="Q35" s="26">
        <f t="shared" si="4"/>
        <v>0</v>
      </c>
      <c r="R35" s="251"/>
      <c r="S35" s="251"/>
      <c r="T35" s="251"/>
      <c r="U35" s="251"/>
      <c r="V35" s="251"/>
      <c r="W35" s="251"/>
      <c r="X35" s="251"/>
    </row>
    <row r="36" spans="1:30" thickBot="1">
      <c r="B36" s="140" t="s">
        <v>24</v>
      </c>
      <c r="C36" s="71">
        <f t="shared" ref="C36:I36" si="6">SUM(C29:C35)</f>
        <v>326.388240616894</v>
      </c>
      <c r="D36" s="71">
        <f t="shared" si="6"/>
        <v>330.01425969297571</v>
      </c>
      <c r="E36" s="71">
        <f t="shared" si="6"/>
        <v>382.62844359694509</v>
      </c>
      <c r="F36" s="71">
        <f t="shared" si="6"/>
        <v>364.56303500084323</v>
      </c>
      <c r="G36" s="71">
        <f t="shared" si="6"/>
        <v>353.28115332636753</v>
      </c>
      <c r="H36" s="71">
        <f t="shared" si="6"/>
        <v>334.76170055116552</v>
      </c>
      <c r="I36" s="72">
        <f t="shared" si="6"/>
        <v>302.871434905912</v>
      </c>
      <c r="J36" s="114"/>
      <c r="K36" s="64">
        <f t="shared" ref="K36:Q36" si="7">+SUM(K29:K35)</f>
        <v>425.66728354017488</v>
      </c>
      <c r="L36" s="62">
        <f t="shared" si="7"/>
        <v>430.39624585592276</v>
      </c>
      <c r="M36" s="62">
        <f t="shared" si="7"/>
        <v>460.32768175004901</v>
      </c>
      <c r="N36" s="62">
        <f t="shared" si="7"/>
        <v>438.59378350470337</v>
      </c>
      <c r="O36" s="62">
        <f t="shared" si="7"/>
        <v>425.02092313873339</v>
      </c>
      <c r="P36" s="62">
        <f t="shared" si="7"/>
        <v>402.74077929174751</v>
      </c>
      <c r="Q36" s="63">
        <f t="shared" si="7"/>
        <v>364.37465073927524</v>
      </c>
      <c r="R36" s="251"/>
      <c r="S36" s="251"/>
      <c r="T36" s="251"/>
      <c r="U36" s="251"/>
      <c r="V36" s="251"/>
      <c r="W36" s="251"/>
      <c r="X36" s="251"/>
    </row>
    <row r="37" spans="1:30" thickBot="1">
      <c r="B37" s="141"/>
      <c r="C37" s="142"/>
      <c r="D37" s="143"/>
      <c r="E37" s="143"/>
      <c r="F37" s="143"/>
      <c r="G37" s="143"/>
      <c r="H37" s="143"/>
      <c r="I37" s="143"/>
      <c r="J37" s="144"/>
      <c r="K37" s="142"/>
      <c r="L37" s="142"/>
      <c r="M37" s="142"/>
      <c r="N37" s="142"/>
      <c r="O37" s="142"/>
      <c r="P37" s="142"/>
      <c r="Q37" s="142"/>
      <c r="R37" s="251"/>
      <c r="S37" s="251"/>
      <c r="T37" s="251"/>
      <c r="U37" s="251"/>
      <c r="V37" s="251"/>
      <c r="W37" s="251"/>
      <c r="X37" s="251"/>
    </row>
    <row r="38" spans="1:30" s="125" customFormat="1" ht="16" thickBot="1">
      <c r="A38" s="86"/>
      <c r="B38" s="121" t="s">
        <v>25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4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</row>
    <row r="39" spans="1:30" ht="14.5">
      <c r="B39" s="145"/>
      <c r="C39" s="460" t="s">
        <v>26</v>
      </c>
      <c r="D39" s="461"/>
      <c r="E39" s="461"/>
      <c r="F39" s="461"/>
      <c r="G39" s="461"/>
      <c r="H39" s="461"/>
      <c r="I39" s="462"/>
      <c r="J39" s="146"/>
      <c r="K39" s="448" t="s">
        <v>60</v>
      </c>
      <c r="L39" s="449"/>
      <c r="M39" s="449"/>
      <c r="N39" s="449"/>
      <c r="O39" s="449"/>
      <c r="P39" s="449"/>
      <c r="Q39" s="450"/>
      <c r="R39" s="251"/>
      <c r="S39" s="251"/>
      <c r="T39" s="251"/>
      <c r="U39" s="251"/>
      <c r="V39" s="251"/>
      <c r="W39" s="251"/>
      <c r="X39" s="251"/>
    </row>
    <row r="40" spans="1:30" ht="14.5">
      <c r="B40" s="145"/>
      <c r="C40" s="455" t="s">
        <v>3</v>
      </c>
      <c r="D40" s="456"/>
      <c r="E40" s="457" t="s">
        <v>17</v>
      </c>
      <c r="F40" s="458"/>
      <c r="G40" s="458"/>
      <c r="H40" s="458"/>
      <c r="I40" s="459"/>
      <c r="J40" s="146"/>
      <c r="K40" s="455" t="s">
        <v>3</v>
      </c>
      <c r="L40" s="456"/>
      <c r="M40" s="457" t="s">
        <v>17</v>
      </c>
      <c r="N40" s="458"/>
      <c r="O40" s="458"/>
      <c r="P40" s="458"/>
      <c r="Q40" s="459"/>
      <c r="R40" s="251"/>
      <c r="S40" s="251"/>
      <c r="T40" s="251"/>
      <c r="U40" s="251"/>
      <c r="V40" s="251"/>
      <c r="W40" s="251"/>
      <c r="X40" s="251"/>
    </row>
    <row r="41" spans="1:30" thickBot="1">
      <c r="B41" s="147"/>
      <c r="C41" s="126" t="s">
        <v>15</v>
      </c>
      <c r="D41" s="127" t="s">
        <v>46</v>
      </c>
      <c r="E41" s="128" t="s">
        <v>47</v>
      </c>
      <c r="F41" s="129" t="s">
        <v>48</v>
      </c>
      <c r="G41" s="129" t="s">
        <v>49</v>
      </c>
      <c r="H41" s="129" t="s">
        <v>32</v>
      </c>
      <c r="I41" s="130" t="s">
        <v>50</v>
      </c>
      <c r="J41" s="138"/>
      <c r="K41" s="126" t="s">
        <v>15</v>
      </c>
      <c r="L41" s="127" t="s">
        <v>46</v>
      </c>
      <c r="M41" s="128" t="s">
        <v>47</v>
      </c>
      <c r="N41" s="129" t="s">
        <v>48</v>
      </c>
      <c r="O41" s="129" t="s">
        <v>49</v>
      </c>
      <c r="P41" s="129" t="s">
        <v>32</v>
      </c>
      <c r="Q41" s="130" t="s">
        <v>50</v>
      </c>
      <c r="R41" s="251"/>
      <c r="S41" s="251"/>
      <c r="T41" s="251"/>
      <c r="U41" s="251"/>
      <c r="V41" s="251"/>
      <c r="W41" s="251"/>
      <c r="X41" s="251"/>
    </row>
    <row r="42" spans="1:30" ht="14.5">
      <c r="B42" s="131" t="s">
        <v>27</v>
      </c>
      <c r="C42" s="52">
        <v>345.390715</v>
      </c>
      <c r="D42" s="53">
        <v>401.766886</v>
      </c>
      <c r="E42" s="52">
        <v>394.65359000000001</v>
      </c>
      <c r="F42" s="54">
        <v>385.62245291999994</v>
      </c>
      <c r="G42" s="54">
        <v>360.87169299999999</v>
      </c>
      <c r="H42" s="54">
        <v>401.69005573000004</v>
      </c>
      <c r="I42" s="73"/>
      <c r="J42" s="138"/>
      <c r="K42" s="148">
        <f>+C42/LOOKUP(dms_PRCP_BaseYear,$D$14:$N$14,$D$17:$N$17)*(1+LOOKUP(dms_PRCP_BaseYear,$D$14:$N$14,$D$16:$N$16))^0.5</f>
        <v>426.5101344322988</v>
      </c>
      <c r="L42" s="149">
        <f t="shared" ref="L42" si="8">+D42/I$17*(1+I$16)^0.5</f>
        <v>487.18701210272502</v>
      </c>
      <c r="M42" s="150">
        <f>+E42/J$17*(1+J$16)^0.5</f>
        <v>475.62407585906726</v>
      </c>
      <c r="N42" s="151">
        <f>+F42/K$17*(1+K$16)^0.5</f>
        <v>456.84913720843008</v>
      </c>
      <c r="O42" s="151">
        <f>+G42/L$17*(1+L$16)^0.5</f>
        <v>407.21032597473146</v>
      </c>
      <c r="P42" s="149">
        <f>+H42/M$17*(1+M$16)^0.5</f>
        <v>427.26720754325623</v>
      </c>
      <c r="Q42" s="152"/>
      <c r="R42" s="251"/>
      <c r="S42" s="251"/>
      <c r="T42" s="251"/>
      <c r="U42" s="251"/>
      <c r="V42" s="251"/>
      <c r="W42" s="251"/>
      <c r="X42" s="251"/>
    </row>
    <row r="43" spans="1:30" ht="14.5">
      <c r="B43" s="132" t="s">
        <v>28</v>
      </c>
      <c r="C43" s="74"/>
      <c r="D43" s="75"/>
      <c r="E43" s="74"/>
      <c r="F43" s="76"/>
      <c r="G43" s="76"/>
      <c r="H43" s="77"/>
      <c r="I43" s="78"/>
      <c r="J43" s="114"/>
      <c r="K43" s="153"/>
      <c r="L43" s="154"/>
      <c r="M43" s="155"/>
      <c r="N43" s="156"/>
      <c r="O43" s="156"/>
      <c r="P43" s="154"/>
      <c r="Q43" s="157"/>
      <c r="R43" s="251"/>
      <c r="S43" s="251"/>
      <c r="T43" s="251"/>
      <c r="U43" s="251"/>
      <c r="V43" s="251"/>
      <c r="W43" s="251"/>
      <c r="X43" s="251"/>
    </row>
    <row r="44" spans="1:30" ht="14.5">
      <c r="B44" s="158" t="str">
        <f>IF(ISBLANK(B31),"",B31)</f>
        <v>Debt raising costs</v>
      </c>
      <c r="C44" s="55"/>
      <c r="D44" s="56"/>
      <c r="E44" s="57"/>
      <c r="F44" s="55"/>
      <c r="G44" s="55"/>
      <c r="H44" s="55"/>
      <c r="I44" s="78"/>
      <c r="J44" s="138"/>
      <c r="K44" s="159">
        <f t="shared" ref="K44:K49" si="9">+C44/LOOKUP(dms_PRCP_BaseYear,$D$14:$N$14,$D$17:$N$17)*(1+LOOKUP(dms_PRCP_BaseYear,$D$14:$N$14,$D$16:$N$16))^0.5</f>
        <v>0</v>
      </c>
      <c r="L44" s="160">
        <f t="shared" ref="L44:M49" si="10">D44/I$17*(1+I$16)^0.5</f>
        <v>0</v>
      </c>
      <c r="M44" s="161">
        <f>E44/J$17*(1+J$16)^0.5</f>
        <v>0</v>
      </c>
      <c r="N44" s="161">
        <f t="shared" ref="N44:P49" si="11">F44/K$17*(1+K$16)^0.5</f>
        <v>0</v>
      </c>
      <c r="O44" s="161">
        <f t="shared" si="11"/>
        <v>0</v>
      </c>
      <c r="P44" s="160">
        <f t="shared" si="11"/>
        <v>0</v>
      </c>
      <c r="Q44" s="162"/>
      <c r="R44" s="251"/>
      <c r="S44" s="251"/>
      <c r="T44" s="251"/>
      <c r="U44" s="251"/>
      <c r="V44" s="251"/>
      <c r="W44" s="251"/>
      <c r="X44" s="251"/>
    </row>
    <row r="45" spans="1:30" ht="14.5">
      <c r="A45" s="261"/>
      <c r="B45" s="158" t="str">
        <f t="shared" ref="B45:B46" si="12">IF(ISBLANK(B32),"",B32)</f>
        <v>DMIA</v>
      </c>
      <c r="C45" s="55">
        <v>-0.37894699999999998</v>
      </c>
      <c r="D45" s="56">
        <v>-0.17124835939999999</v>
      </c>
      <c r="E45" s="57">
        <v>-1.3220000000000001E-2</v>
      </c>
      <c r="F45" s="55">
        <v>0</v>
      </c>
      <c r="G45" s="55">
        <v>-0.25096986999999998</v>
      </c>
      <c r="H45" s="55">
        <v>-2.4669535099999997</v>
      </c>
      <c r="I45" s="78"/>
      <c r="J45" s="114"/>
      <c r="K45" s="159">
        <f t="shared" si="9"/>
        <v>-0.46794754141759809</v>
      </c>
      <c r="L45" s="160">
        <f t="shared" si="10"/>
        <v>-0.2076576727719158</v>
      </c>
      <c r="M45" s="161">
        <f t="shared" si="10"/>
        <v>-1.5932327596099836E-2</v>
      </c>
      <c r="N45" s="161">
        <f t="shared" si="11"/>
        <v>0</v>
      </c>
      <c r="O45" s="161">
        <f t="shared" si="11"/>
        <v>-0.28319628431630955</v>
      </c>
      <c r="P45" s="160">
        <f t="shared" si="11"/>
        <v>-2.6240339344253605</v>
      </c>
      <c r="Q45" s="162"/>
      <c r="R45" s="251"/>
      <c r="S45" s="251"/>
      <c r="T45" s="251"/>
      <c r="U45" s="251"/>
      <c r="V45" s="251"/>
      <c r="W45" s="251"/>
      <c r="X45" s="251"/>
    </row>
    <row r="46" spans="1:30" ht="14.5">
      <c r="A46" s="261"/>
      <c r="B46" s="158" t="str">
        <f t="shared" si="12"/>
        <v/>
      </c>
      <c r="C46" s="55"/>
      <c r="D46" s="56"/>
      <c r="E46" s="57"/>
      <c r="F46" s="55"/>
      <c r="G46" s="55"/>
      <c r="H46" s="55"/>
      <c r="I46" s="78"/>
      <c r="J46" s="114"/>
      <c r="K46" s="159">
        <f t="shared" si="9"/>
        <v>0</v>
      </c>
      <c r="L46" s="160">
        <f t="shared" si="10"/>
        <v>0</v>
      </c>
      <c r="M46" s="161">
        <f t="shared" si="10"/>
        <v>0</v>
      </c>
      <c r="N46" s="161">
        <f t="shared" si="11"/>
        <v>0</v>
      </c>
      <c r="O46" s="161">
        <f t="shared" si="11"/>
        <v>0</v>
      </c>
      <c r="P46" s="160">
        <f t="shared" si="11"/>
        <v>0</v>
      </c>
      <c r="Q46" s="162"/>
      <c r="R46" s="251"/>
      <c r="S46" s="463" t="s">
        <v>62</v>
      </c>
      <c r="T46" s="464"/>
      <c r="U46" s="251"/>
      <c r="V46" s="251"/>
      <c r="W46" s="251"/>
      <c r="X46" s="251"/>
    </row>
    <row r="47" spans="1:30" ht="15" customHeight="1">
      <c r="A47" s="261"/>
      <c r="B47" s="163" t="s">
        <v>29</v>
      </c>
      <c r="C47" s="55"/>
      <c r="D47" s="56"/>
      <c r="E47" s="57"/>
      <c r="F47" s="55"/>
      <c r="G47" s="55"/>
      <c r="H47" s="55"/>
      <c r="I47" s="78"/>
      <c r="J47" s="164"/>
      <c r="K47" s="159">
        <f t="shared" si="9"/>
        <v>0</v>
      </c>
      <c r="L47" s="160">
        <f t="shared" si="10"/>
        <v>0</v>
      </c>
      <c r="M47" s="161">
        <f t="shared" si="10"/>
        <v>0</v>
      </c>
      <c r="N47" s="161">
        <f t="shared" si="11"/>
        <v>0</v>
      </c>
      <c r="O47" s="161">
        <f t="shared" si="11"/>
        <v>0</v>
      </c>
      <c r="P47" s="160">
        <f t="shared" si="11"/>
        <v>0</v>
      </c>
      <c r="Q47" s="165"/>
      <c r="R47" s="251"/>
      <c r="S47" s="465"/>
      <c r="T47" s="466"/>
      <c r="U47" s="251"/>
      <c r="V47" s="251"/>
      <c r="W47" s="251"/>
      <c r="X47" s="166"/>
    </row>
    <row r="48" spans="1:30" ht="15" customHeight="1">
      <c r="A48" s="261"/>
      <c r="B48" s="163" t="s">
        <v>30</v>
      </c>
      <c r="C48" s="55">
        <v>18.768025999999999</v>
      </c>
      <c r="D48" s="55">
        <v>-27.7634560477</v>
      </c>
      <c r="E48" s="55">
        <v>-12.072732999999999</v>
      </c>
      <c r="F48" s="55">
        <v>-1.733862</v>
      </c>
      <c r="G48" s="55">
        <v>7.2076130000000003</v>
      </c>
      <c r="H48" s="55">
        <v>3.509169</v>
      </c>
      <c r="I48" s="78"/>
      <c r="J48" s="164"/>
      <c r="K48" s="159">
        <f t="shared" si="9"/>
        <v>23.175936539836858</v>
      </c>
      <c r="L48" s="160">
        <f t="shared" si="10"/>
        <v>-33.666276810887531</v>
      </c>
      <c r="M48" s="161">
        <f t="shared" si="10"/>
        <v>-14.549677544345318</v>
      </c>
      <c r="N48" s="161">
        <f t="shared" si="11"/>
        <v>-2.0541162806793629</v>
      </c>
      <c r="O48" s="161">
        <f t="shared" si="11"/>
        <v>8.1331245873854456</v>
      </c>
      <c r="P48" s="160">
        <f t="shared" si="11"/>
        <v>3.7326112957975885</v>
      </c>
      <c r="Q48" s="165"/>
      <c r="R48" s="251"/>
      <c r="S48" s="465"/>
      <c r="T48" s="466"/>
      <c r="U48" s="251"/>
      <c r="V48" s="251"/>
      <c r="W48" s="251"/>
      <c r="X48" s="166"/>
    </row>
    <row r="49" spans="1:30" ht="15.75" customHeight="1" thickBot="1">
      <c r="B49" s="139" t="s">
        <v>23</v>
      </c>
      <c r="C49" s="58"/>
      <c r="D49" s="59"/>
      <c r="E49" s="60"/>
      <c r="F49" s="58"/>
      <c r="G49" s="58"/>
      <c r="H49" s="58"/>
      <c r="I49" s="79"/>
      <c r="J49" s="164"/>
      <c r="K49" s="167">
        <f t="shared" si="9"/>
        <v>0</v>
      </c>
      <c r="L49" s="168">
        <f t="shared" si="10"/>
        <v>0</v>
      </c>
      <c r="M49" s="169">
        <f t="shared" si="10"/>
        <v>0</v>
      </c>
      <c r="N49" s="169">
        <f t="shared" si="11"/>
        <v>0</v>
      </c>
      <c r="O49" s="169">
        <f t="shared" si="11"/>
        <v>0</v>
      </c>
      <c r="P49" s="168">
        <f t="shared" si="11"/>
        <v>0</v>
      </c>
      <c r="Q49" s="170"/>
      <c r="R49" s="251"/>
      <c r="S49" s="465"/>
      <c r="T49" s="466"/>
      <c r="U49" s="251"/>
      <c r="V49" s="251"/>
      <c r="W49" s="251"/>
      <c r="X49" s="166"/>
    </row>
    <row r="50" spans="1:30" ht="15.75" customHeight="1" thickBot="1">
      <c r="B50" s="171" t="s">
        <v>31</v>
      </c>
      <c r="C50" s="80">
        <f t="shared" ref="C50:D50" si="13">SUM(C42:C49)</f>
        <v>363.77979400000004</v>
      </c>
      <c r="D50" s="80">
        <f t="shared" si="13"/>
        <v>373.83218159289999</v>
      </c>
      <c r="E50" s="80">
        <f>SUM(E42:E49)</f>
        <v>382.56763699999999</v>
      </c>
      <c r="F50" s="80">
        <f>SUM(F42:F49)</f>
        <v>383.88859091999996</v>
      </c>
      <c r="G50" s="80">
        <f>SUM(G42:G49)</f>
        <v>367.82833612999997</v>
      </c>
      <c r="H50" s="80">
        <f>SUM(H42:H49)</f>
        <v>402.73227122000003</v>
      </c>
      <c r="I50" s="81"/>
      <c r="J50" s="114"/>
      <c r="K50" s="64">
        <f t="shared" ref="K50" si="14">K42+SUM(K44:K49)</f>
        <v>449.21812343071804</v>
      </c>
      <c r="L50" s="62">
        <f t="shared" ref="L50" si="15">L42+SUM(L44:L49)</f>
        <v>453.31307761906555</v>
      </c>
      <c r="M50" s="62">
        <f t="shared" ref="M50:P50" si="16">M42+SUM(M44:M49)</f>
        <v>461.05846598712583</v>
      </c>
      <c r="N50" s="62">
        <f t="shared" si="16"/>
        <v>454.79502092775073</v>
      </c>
      <c r="O50" s="62">
        <f t="shared" si="16"/>
        <v>415.0602542778006</v>
      </c>
      <c r="P50" s="62">
        <f t="shared" si="16"/>
        <v>428.37578490462846</v>
      </c>
      <c r="Q50" s="63">
        <f>Q36-(LOOKUP($R$50,M28:P28,M36:P36)-LOOKUP($R$50,M41:P41,M50:P50))+R51</f>
        <v>431.17810483307426</v>
      </c>
      <c r="R50" s="39" t="s">
        <v>32</v>
      </c>
      <c r="S50" s="467"/>
      <c r="T50" s="468"/>
      <c r="U50" s="251"/>
      <c r="V50" s="251"/>
      <c r="W50" s="251"/>
      <c r="X50" s="251"/>
    </row>
    <row r="51" spans="1:30" s="251" customFormat="1" ht="15.65" customHeight="1" thickBot="1">
      <c r="A51" s="86"/>
      <c r="R51" s="82">
        <v>41.168448480918073</v>
      </c>
      <c r="S51" s="172" t="s">
        <v>63</v>
      </c>
    </row>
    <row r="52" spans="1:30" s="1" customFormat="1" ht="18.5" thickBot="1">
      <c r="A52" s="86"/>
      <c r="B52" s="173"/>
      <c r="C52" s="173"/>
      <c r="D52" s="173"/>
      <c r="E52" s="173"/>
      <c r="F52" s="173"/>
      <c r="G52" s="174"/>
      <c r="H52" s="174"/>
      <c r="I52" s="174"/>
      <c r="J52" s="174"/>
      <c r="K52" s="175" t="s">
        <v>61</v>
      </c>
      <c r="L52" s="176"/>
      <c r="M52" s="177"/>
      <c r="N52" s="176"/>
      <c r="O52" s="176"/>
      <c r="P52" s="176"/>
      <c r="Q52" s="178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</row>
    <row r="53" spans="1:30" thickBot="1">
      <c r="B53" s="173"/>
      <c r="C53" s="173"/>
      <c r="D53" s="173"/>
      <c r="E53" s="173"/>
      <c r="F53" s="173"/>
      <c r="G53" s="174"/>
      <c r="H53" s="174"/>
      <c r="I53" s="174"/>
      <c r="J53" s="174"/>
      <c r="K53" s="14"/>
      <c r="L53" s="35"/>
      <c r="M53" s="179">
        <f>(M36-M50)-((L36-L50)-(K36-K50))-C24/$I$17</f>
        <v>-1.3647923644771822</v>
      </c>
      <c r="N53" s="180">
        <f>(N36-N50)-(M36-M50)</f>
        <v>-15.470453185970541</v>
      </c>
      <c r="O53" s="180">
        <f>(O36-O50)-(N36-N50)</f>
        <v>26.161906283980159</v>
      </c>
      <c r="P53" s="180">
        <f>(P36-P50)-(O36-O50)</f>
        <v>-35.595674473813744</v>
      </c>
      <c r="Q53" s="181">
        <f>(Q36-Q50)-(P36-P50)</f>
        <v>-41.168448480918073</v>
      </c>
      <c r="R53" s="251"/>
      <c r="S53" s="251"/>
      <c r="T53" s="251"/>
      <c r="U53" s="251"/>
      <c r="V53" s="251"/>
      <c r="W53" s="251"/>
      <c r="X53" s="251"/>
    </row>
    <row r="54" spans="1:30" ht="23.25" customHeight="1" thickBot="1">
      <c r="B54" s="173"/>
      <c r="C54" s="173"/>
      <c r="D54" s="173"/>
      <c r="E54" s="173"/>
      <c r="F54" s="173"/>
      <c r="G54" s="174"/>
      <c r="H54" s="174"/>
      <c r="I54" s="174"/>
      <c r="J54" s="174"/>
      <c r="K54" s="182"/>
      <c r="L54" s="182"/>
      <c r="M54" s="182"/>
      <c r="N54" s="182"/>
      <c r="O54" s="182"/>
      <c r="P54" s="182"/>
      <c r="Q54" s="182"/>
      <c r="R54" s="251"/>
      <c r="S54" s="251"/>
      <c r="T54" s="251"/>
      <c r="U54" s="251"/>
      <c r="V54" s="251"/>
      <c r="W54" s="251"/>
      <c r="X54" s="251"/>
    </row>
    <row r="55" spans="1:30" s="1" customFormat="1" ht="18.5" thickBot="1">
      <c r="A55" s="86"/>
      <c r="B55" s="173"/>
      <c r="C55" s="173"/>
      <c r="D55" s="173"/>
      <c r="E55" s="173"/>
      <c r="F55" s="173"/>
      <c r="G55" s="174"/>
      <c r="H55" s="174"/>
      <c r="I55" s="174"/>
      <c r="J55" s="174"/>
      <c r="K55" s="183" t="s">
        <v>33</v>
      </c>
      <c r="L55" s="184"/>
      <c r="M55" s="176"/>
      <c r="N55" s="176"/>
      <c r="O55" s="176"/>
      <c r="P55" s="176"/>
      <c r="Q55" s="176"/>
      <c r="R55" s="176"/>
      <c r="S55" s="176"/>
      <c r="T55" s="176"/>
      <c r="U55" s="176"/>
      <c r="V55" s="185"/>
      <c r="W55" s="186"/>
      <c r="X55" s="251"/>
      <c r="Y55" s="251"/>
      <c r="Z55" s="251"/>
      <c r="AA55" s="251"/>
      <c r="AB55" s="251"/>
    </row>
    <row r="56" spans="1:30" ht="30.25" customHeight="1">
      <c r="B56" s="173"/>
      <c r="C56" s="173"/>
      <c r="D56" s="173"/>
      <c r="E56" s="173"/>
      <c r="F56" s="173"/>
      <c r="G56" s="174"/>
      <c r="H56" s="174"/>
      <c r="I56" s="174"/>
      <c r="J56" s="174"/>
      <c r="K56" s="187"/>
      <c r="L56" s="188"/>
      <c r="M56" s="451" t="s">
        <v>17</v>
      </c>
      <c r="N56" s="452"/>
      <c r="O56" s="452"/>
      <c r="P56" s="452"/>
      <c r="Q56" s="452"/>
      <c r="R56" s="453" t="s">
        <v>34</v>
      </c>
      <c r="S56" s="454"/>
      <c r="T56" s="454"/>
      <c r="U56" s="454"/>
      <c r="V56" s="454"/>
      <c r="W56" s="189"/>
      <c r="X56" s="251"/>
    </row>
    <row r="57" spans="1:30" ht="14.5">
      <c r="B57" s="173"/>
      <c r="C57" s="173"/>
      <c r="D57" s="173"/>
      <c r="E57" s="173"/>
      <c r="F57" s="173"/>
      <c r="G57" s="174"/>
      <c r="H57" s="174"/>
      <c r="I57" s="174"/>
      <c r="J57" s="174"/>
      <c r="K57" s="190"/>
      <c r="L57" s="191"/>
      <c r="M57" s="192" t="s">
        <v>60</v>
      </c>
      <c r="N57" s="193"/>
      <c r="O57" s="193"/>
      <c r="P57" s="193"/>
      <c r="Q57" s="193"/>
      <c r="R57" s="193"/>
      <c r="S57" s="193"/>
      <c r="T57" s="194"/>
      <c r="U57" s="195"/>
      <c r="V57" s="196"/>
      <c r="W57" s="197"/>
      <c r="X57" s="251"/>
    </row>
    <row r="58" spans="1:30" thickBot="1">
      <c r="B58" s="173"/>
      <c r="C58" s="173"/>
      <c r="D58" s="173"/>
      <c r="E58" s="173"/>
      <c r="F58" s="173"/>
      <c r="G58" s="174"/>
      <c r="H58" s="174"/>
      <c r="I58" s="174"/>
      <c r="J58" s="174"/>
      <c r="K58" s="190"/>
      <c r="L58" s="191"/>
      <c r="M58" s="198" t="s">
        <v>47</v>
      </c>
      <c r="N58" s="199" t="s">
        <v>48</v>
      </c>
      <c r="O58" s="199" t="s">
        <v>49</v>
      </c>
      <c r="P58" s="199" t="s">
        <v>32</v>
      </c>
      <c r="Q58" s="199" t="s">
        <v>50</v>
      </c>
      <c r="R58" s="200" t="s">
        <v>1</v>
      </c>
      <c r="S58" s="200" t="s">
        <v>51</v>
      </c>
      <c r="T58" s="200" t="s">
        <v>52</v>
      </c>
      <c r="U58" s="200" t="s">
        <v>53</v>
      </c>
      <c r="V58" s="200" t="s">
        <v>4</v>
      </c>
      <c r="W58" s="201" t="s">
        <v>35</v>
      </c>
      <c r="X58" s="251"/>
    </row>
    <row r="59" spans="1:30" thickBot="1">
      <c r="B59" s="173"/>
      <c r="C59" s="173"/>
      <c r="D59" s="173"/>
      <c r="E59" s="173"/>
      <c r="F59" s="173"/>
      <c r="G59" s="174"/>
      <c r="H59" s="174"/>
      <c r="I59" s="174"/>
      <c r="J59" s="174"/>
      <c r="K59" s="472" t="s">
        <v>47</v>
      </c>
      <c r="L59" s="473"/>
      <c r="M59" s="202"/>
      <c r="N59" s="203">
        <f>$M$53</f>
        <v>-1.3647923644771822</v>
      </c>
      <c r="O59" s="204">
        <f>$M$53</f>
        <v>-1.3647923644771822</v>
      </c>
      <c r="P59" s="205">
        <f>$M$53</f>
        <v>-1.3647923644771822</v>
      </c>
      <c r="Q59" s="204">
        <f>$M$53</f>
        <v>-1.3647923644771822</v>
      </c>
      <c r="R59" s="206">
        <f>$M$53</f>
        <v>-1.3647923644771822</v>
      </c>
      <c r="S59" s="207"/>
      <c r="T59" s="207"/>
      <c r="U59" s="207"/>
      <c r="V59" s="207"/>
      <c r="W59" s="208"/>
      <c r="X59" s="251"/>
      <c r="AC59" s="2"/>
      <c r="AD59" s="2"/>
    </row>
    <row r="60" spans="1:30" thickBot="1">
      <c r="B60" s="173"/>
      <c r="C60" s="173"/>
      <c r="D60" s="173"/>
      <c r="E60" s="173"/>
      <c r="F60" s="173"/>
      <c r="G60" s="174"/>
      <c r="H60" s="174"/>
      <c r="I60" s="174"/>
      <c r="J60" s="174"/>
      <c r="K60" s="474" t="s">
        <v>48</v>
      </c>
      <c r="L60" s="475"/>
      <c r="M60" s="202"/>
      <c r="N60" s="202"/>
      <c r="O60" s="209">
        <f>$N$53</f>
        <v>-15.470453185970541</v>
      </c>
      <c r="P60" s="210">
        <f>$N$53</f>
        <v>-15.470453185970541</v>
      </c>
      <c r="Q60" s="211">
        <f>$N$53</f>
        <v>-15.470453185970541</v>
      </c>
      <c r="R60" s="210">
        <f>$N$53</f>
        <v>-15.470453185970541</v>
      </c>
      <c r="S60" s="206">
        <f>$N$53</f>
        <v>-15.470453185970541</v>
      </c>
      <c r="T60" s="207"/>
      <c r="U60" s="207"/>
      <c r="V60" s="207"/>
      <c r="W60" s="208"/>
      <c r="X60" s="251"/>
      <c r="AC60" s="2"/>
      <c r="AD60" s="2"/>
    </row>
    <row r="61" spans="1:30" thickBot="1">
      <c r="B61" s="173"/>
      <c r="C61" s="173"/>
      <c r="D61" s="173"/>
      <c r="E61" s="173"/>
      <c r="F61" s="173"/>
      <c r="G61" s="174"/>
      <c r="H61" s="174"/>
      <c r="I61" s="174"/>
      <c r="J61" s="174"/>
      <c r="K61" s="474" t="s">
        <v>49</v>
      </c>
      <c r="L61" s="475"/>
      <c r="M61" s="207"/>
      <c r="N61" s="207"/>
      <c r="O61" s="202"/>
      <c r="P61" s="212">
        <f>$O$53</f>
        <v>26.161906283980159</v>
      </c>
      <c r="Q61" s="211">
        <f>$O$53</f>
        <v>26.161906283980159</v>
      </c>
      <c r="R61" s="210">
        <f>$O$53</f>
        <v>26.161906283980159</v>
      </c>
      <c r="S61" s="211">
        <f>$O$53</f>
        <v>26.161906283980159</v>
      </c>
      <c r="T61" s="213">
        <f>$O$53</f>
        <v>26.161906283980159</v>
      </c>
      <c r="U61" s="214"/>
      <c r="V61" s="207"/>
      <c r="W61" s="208"/>
      <c r="X61" s="251"/>
      <c r="AC61" s="2"/>
      <c r="AD61" s="2"/>
    </row>
    <row r="62" spans="1:30" thickBot="1">
      <c r="B62" s="173"/>
      <c r="C62" s="173"/>
      <c r="D62" s="173"/>
      <c r="E62" s="173"/>
      <c r="F62" s="173"/>
      <c r="G62" s="174"/>
      <c r="H62" s="174"/>
      <c r="I62" s="174"/>
      <c r="J62" s="174"/>
      <c r="K62" s="474" t="s">
        <v>32</v>
      </c>
      <c r="L62" s="475"/>
      <c r="M62" s="207"/>
      <c r="N62" s="207"/>
      <c r="O62" s="207"/>
      <c r="P62" s="202"/>
      <c r="Q62" s="209">
        <f>$P$53</f>
        <v>-35.595674473813744</v>
      </c>
      <c r="R62" s="211">
        <f>$P$53</f>
        <v>-35.595674473813744</v>
      </c>
      <c r="S62" s="215">
        <f>$P$53</f>
        <v>-35.595674473813744</v>
      </c>
      <c r="T62" s="210">
        <f>$P$53</f>
        <v>-35.595674473813744</v>
      </c>
      <c r="U62" s="216">
        <f>$P$53</f>
        <v>-35.595674473813744</v>
      </c>
      <c r="V62" s="214"/>
      <c r="W62" s="208"/>
      <c r="X62" s="251"/>
      <c r="AC62" s="2"/>
      <c r="AD62" s="2"/>
    </row>
    <row r="63" spans="1:30" thickBot="1">
      <c r="B63" s="173"/>
      <c r="C63" s="173"/>
      <c r="D63" s="173"/>
      <c r="E63" s="173"/>
      <c r="F63" s="173"/>
      <c r="G63" s="174"/>
      <c r="H63" s="174"/>
      <c r="I63" s="174"/>
      <c r="J63" s="174"/>
      <c r="K63" s="476" t="s">
        <v>50</v>
      </c>
      <c r="L63" s="477"/>
      <c r="M63" s="217"/>
      <c r="N63" s="217"/>
      <c r="O63" s="207"/>
      <c r="P63" s="217"/>
      <c r="Q63" s="202"/>
      <c r="R63" s="218">
        <f>+$Q$53</f>
        <v>-41.168448480918073</v>
      </c>
      <c r="S63" s="215">
        <f>+$Q$53</f>
        <v>-41.168448480918073</v>
      </c>
      <c r="T63" s="219">
        <f>+$Q$53</f>
        <v>-41.168448480918073</v>
      </c>
      <c r="U63" s="220">
        <f>+$Q$53</f>
        <v>-41.168448480918073</v>
      </c>
      <c r="V63" s="221">
        <f>+$Q$53</f>
        <v>-41.168448480918073</v>
      </c>
      <c r="W63" s="208"/>
      <c r="X63" s="251"/>
      <c r="AC63" s="2"/>
      <c r="AD63" s="2"/>
    </row>
    <row r="64" spans="1:30" thickBot="1">
      <c r="B64" s="173"/>
      <c r="C64" s="173"/>
      <c r="D64" s="173"/>
      <c r="E64" s="173"/>
      <c r="F64" s="173"/>
      <c r="G64" s="174"/>
      <c r="H64" s="174"/>
      <c r="I64" s="174"/>
      <c r="J64" s="174"/>
      <c r="K64" s="222" t="s">
        <v>64</v>
      </c>
      <c r="L64" s="223"/>
      <c r="M64" s="224"/>
      <c r="N64" s="224"/>
      <c r="O64" s="224"/>
      <c r="P64" s="224"/>
      <c r="Q64" s="224"/>
      <c r="R64" s="225">
        <f>+SUM(R59:R63)</f>
        <v>-67.437462221199382</v>
      </c>
      <c r="S64" s="225">
        <f>+SUM(S60:S63)</f>
        <v>-66.0726698567222</v>
      </c>
      <c r="T64" s="225">
        <f>+SUM(T61:T63)</f>
        <v>-50.602216670751659</v>
      </c>
      <c r="U64" s="225">
        <f>+SUM(U62:U63)</f>
        <v>-76.764122954731818</v>
      </c>
      <c r="V64" s="225">
        <f>+SUM(V63)</f>
        <v>-41.168448480918073</v>
      </c>
      <c r="W64" s="225">
        <f>+SUM(R64:V64)</f>
        <v>-302.04492018432313</v>
      </c>
      <c r="X64" s="262"/>
      <c r="AD64" s="2"/>
    </row>
    <row r="65" spans="1:30" thickBot="1">
      <c r="B65" s="173"/>
      <c r="C65" s="173"/>
      <c r="D65" s="173"/>
      <c r="E65" s="173"/>
      <c r="F65" s="173"/>
      <c r="G65" s="174"/>
      <c r="H65" s="174"/>
      <c r="I65" s="174"/>
      <c r="J65" s="174"/>
      <c r="K65" s="226"/>
      <c r="L65" s="226"/>
      <c r="M65" s="226"/>
      <c r="N65" s="226"/>
      <c r="O65" s="226"/>
      <c r="P65" s="226"/>
      <c r="Q65" s="226"/>
      <c r="R65" s="227"/>
      <c r="S65" s="227"/>
      <c r="T65" s="227"/>
      <c r="U65" s="227"/>
      <c r="V65" s="227"/>
      <c r="W65" s="251"/>
      <c r="X65" s="251"/>
      <c r="AD65" s="2"/>
    </row>
    <row r="66" spans="1:30" thickBot="1">
      <c r="B66" s="173"/>
      <c r="C66" s="173"/>
      <c r="D66" s="173"/>
      <c r="E66" s="173"/>
      <c r="F66" s="173"/>
      <c r="G66" s="173"/>
      <c r="H66" s="173"/>
      <c r="I66" s="173"/>
      <c r="J66" s="173"/>
      <c r="K66" s="228" t="s">
        <v>65</v>
      </c>
      <c r="L66" s="229"/>
      <c r="M66" s="230"/>
      <c r="N66" s="230"/>
      <c r="O66" s="230"/>
      <c r="P66" s="230"/>
      <c r="Q66" s="230"/>
      <c r="R66" s="225">
        <f>R64</f>
        <v>-67.437462221199382</v>
      </c>
      <c r="S66" s="225">
        <f>S64</f>
        <v>-66.0726698567222</v>
      </c>
      <c r="T66" s="225">
        <f>T64</f>
        <v>-50.602216670751659</v>
      </c>
      <c r="U66" s="225">
        <f>U64</f>
        <v>-76.764122954731818</v>
      </c>
      <c r="V66" s="225">
        <f>V64</f>
        <v>-41.168448480918073</v>
      </c>
      <c r="W66" s="225">
        <f>+SUM(R66:V66)</f>
        <v>-302.04492018432313</v>
      </c>
      <c r="X66" s="251"/>
      <c r="AD66" s="2"/>
    </row>
    <row r="67" spans="1:30" thickBot="1">
      <c r="B67" s="251"/>
      <c r="C67" s="251"/>
      <c r="D67" s="251"/>
      <c r="E67" s="251"/>
      <c r="F67" s="251"/>
      <c r="G67" s="251"/>
      <c r="H67" s="251"/>
      <c r="I67" s="231"/>
      <c r="J67" s="231"/>
      <c r="K67" s="231"/>
      <c r="L67" s="231"/>
      <c r="M67" s="232"/>
      <c r="N67" s="231"/>
      <c r="O67" s="231"/>
      <c r="P67" s="231"/>
      <c r="Q67" s="232"/>
      <c r="R67" s="232"/>
      <c r="S67" s="232"/>
      <c r="T67" s="233"/>
      <c r="U67" s="233"/>
      <c r="V67" s="251"/>
      <c r="W67" s="251"/>
      <c r="X67" s="251"/>
    </row>
    <row r="68" spans="1:30" s="239" customFormat="1" ht="19" thickBot="1">
      <c r="A68" s="86"/>
      <c r="B68" s="234" t="s">
        <v>36</v>
      </c>
      <c r="C68" s="235"/>
      <c r="D68" s="235"/>
      <c r="E68" s="235"/>
      <c r="F68" s="235"/>
      <c r="G68" s="235"/>
      <c r="H68" s="235"/>
      <c r="I68" s="236"/>
      <c r="J68" s="237"/>
      <c r="K68" s="237"/>
      <c r="L68" s="237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51"/>
      <c r="Y68" s="251"/>
      <c r="Z68" s="251"/>
      <c r="AA68" s="251"/>
      <c r="AB68" s="251"/>
      <c r="AC68" s="251"/>
      <c r="AD68" s="251"/>
    </row>
    <row r="69" spans="1:30" ht="14.5">
      <c r="B69" s="15"/>
      <c r="C69" s="478" t="s">
        <v>2</v>
      </c>
      <c r="D69" s="479"/>
      <c r="E69" s="480" t="s">
        <v>34</v>
      </c>
      <c r="F69" s="480"/>
      <c r="G69" s="480"/>
      <c r="H69" s="480"/>
      <c r="I69" s="481"/>
      <c r="J69" s="231"/>
      <c r="K69" s="231"/>
      <c r="L69" s="231"/>
      <c r="M69" s="16"/>
      <c r="N69" s="17"/>
      <c r="O69" s="17"/>
      <c r="P69" s="17"/>
      <c r="Q69" s="16"/>
      <c r="R69" s="16"/>
      <c r="S69" s="16"/>
      <c r="T69" s="233"/>
      <c r="U69" s="233"/>
      <c r="V69" s="251"/>
      <c r="W69" s="251"/>
      <c r="X69" s="251"/>
    </row>
    <row r="70" spans="1:30" s="101" customFormat="1" thickBot="1">
      <c r="A70" s="86"/>
      <c r="B70" s="15"/>
      <c r="C70" s="469" t="s">
        <v>60</v>
      </c>
      <c r="D70" s="470"/>
      <c r="E70" s="470"/>
      <c r="F70" s="470"/>
      <c r="G70" s="470"/>
      <c r="H70" s="470"/>
      <c r="I70" s="471"/>
      <c r="Y70" s="251"/>
      <c r="Z70" s="251"/>
      <c r="AA70" s="251"/>
      <c r="AB70" s="251"/>
      <c r="AC70" s="251"/>
      <c r="AD70" s="251"/>
    </row>
    <row r="71" spans="1:30" thickBot="1">
      <c r="B71" s="240"/>
      <c r="C71" s="241" t="s">
        <v>32</v>
      </c>
      <c r="D71" s="242" t="s">
        <v>50</v>
      </c>
      <c r="E71" s="243" t="s">
        <v>1</v>
      </c>
      <c r="F71" s="244" t="s">
        <v>51</v>
      </c>
      <c r="G71" s="244" t="s">
        <v>52</v>
      </c>
      <c r="H71" s="244" t="s">
        <v>53</v>
      </c>
      <c r="I71" s="245" t="s">
        <v>4</v>
      </c>
      <c r="J71" s="16"/>
      <c r="K71" s="16"/>
      <c r="L71" s="16"/>
      <c r="M71" s="166"/>
      <c r="N71" s="166"/>
      <c r="O71" s="166"/>
      <c r="P71" s="233"/>
      <c r="Q71" s="233"/>
      <c r="R71" s="251"/>
      <c r="S71" s="251"/>
      <c r="T71" s="251"/>
      <c r="U71" s="251"/>
      <c r="V71" s="251"/>
      <c r="W71" s="251"/>
      <c r="X71" s="251"/>
    </row>
    <row r="72" spans="1:30" ht="14.5">
      <c r="B72" s="246" t="s">
        <v>37</v>
      </c>
      <c r="C72" s="18"/>
      <c r="D72" s="18"/>
      <c r="E72" s="18"/>
      <c r="F72" s="19"/>
      <c r="G72" s="19"/>
      <c r="H72" s="19"/>
      <c r="I72" s="40"/>
      <c r="J72" s="231"/>
      <c r="K72" s="231"/>
      <c r="L72" s="231"/>
      <c r="M72" s="17"/>
      <c r="N72" s="17"/>
      <c r="O72" s="17"/>
      <c r="P72" s="233"/>
      <c r="Q72" s="233"/>
      <c r="R72" s="251"/>
      <c r="S72" s="251"/>
      <c r="T72" s="251"/>
      <c r="U72" s="251"/>
      <c r="V72" s="251"/>
      <c r="W72" s="251"/>
      <c r="X72" s="251"/>
    </row>
    <row r="73" spans="1:30" ht="14.5">
      <c r="B73" s="247" t="s">
        <v>38</v>
      </c>
      <c r="C73" s="83"/>
      <c r="D73" s="83"/>
      <c r="E73" s="83"/>
      <c r="F73" s="84"/>
      <c r="G73" s="84"/>
      <c r="H73" s="84"/>
      <c r="I73" s="85"/>
      <c r="J73" s="231"/>
      <c r="K73" s="231"/>
      <c r="L73" s="231"/>
      <c r="M73" s="16"/>
      <c r="N73" s="16"/>
      <c r="O73" s="16"/>
      <c r="P73" s="248"/>
      <c r="Q73" s="233"/>
      <c r="R73" s="251"/>
      <c r="S73" s="251"/>
      <c r="T73" s="251"/>
      <c r="U73" s="251"/>
      <c r="V73" s="251"/>
      <c r="W73" s="251"/>
      <c r="X73" s="251"/>
    </row>
    <row r="74" spans="1:30" ht="14.5">
      <c r="B74" s="20" t="s">
        <v>20</v>
      </c>
      <c r="C74" s="21"/>
      <c r="D74" s="21"/>
      <c r="E74" s="21"/>
      <c r="F74" s="22"/>
      <c r="G74" s="22"/>
      <c r="H74" s="22"/>
      <c r="I74" s="41"/>
      <c r="J74" s="231"/>
      <c r="K74" s="231"/>
      <c r="L74" s="231"/>
      <c r="M74" s="231"/>
      <c r="N74" s="231"/>
      <c r="O74" s="231"/>
      <c r="P74" s="233"/>
      <c r="Q74" s="248"/>
      <c r="R74" s="251"/>
      <c r="S74" s="251"/>
      <c r="T74" s="251"/>
      <c r="U74" s="251"/>
      <c r="V74" s="251"/>
      <c r="W74" s="251"/>
      <c r="X74" s="251"/>
    </row>
    <row r="75" spans="1:30" ht="14.5">
      <c r="B75" s="23" t="s">
        <v>21</v>
      </c>
      <c r="C75" s="21"/>
      <c r="D75" s="21"/>
      <c r="E75" s="21"/>
      <c r="F75" s="22"/>
      <c r="G75" s="22"/>
      <c r="H75" s="22"/>
      <c r="I75" s="41"/>
      <c r="M75" s="231"/>
      <c r="N75" s="231"/>
      <c r="O75" s="231"/>
      <c r="P75" s="233"/>
      <c r="Q75" s="233"/>
      <c r="R75" s="251"/>
      <c r="S75" s="251"/>
      <c r="T75" s="251"/>
      <c r="U75" s="251"/>
      <c r="V75" s="251"/>
      <c r="W75" s="251"/>
      <c r="X75" s="251"/>
    </row>
    <row r="76" spans="1:30" ht="14.5">
      <c r="B76" s="23" t="s">
        <v>39</v>
      </c>
      <c r="C76" s="21"/>
      <c r="D76" s="21"/>
      <c r="E76" s="21"/>
      <c r="F76" s="22"/>
      <c r="G76" s="22"/>
      <c r="H76" s="22"/>
      <c r="I76" s="41"/>
      <c r="M76" s="231"/>
      <c r="N76" s="231"/>
      <c r="O76" s="231"/>
      <c r="P76" s="233"/>
      <c r="Q76" s="233"/>
      <c r="R76" s="251"/>
      <c r="S76" s="251"/>
      <c r="T76" s="251"/>
      <c r="U76" s="251"/>
      <c r="V76" s="251"/>
      <c r="W76" s="251"/>
      <c r="X76" s="251"/>
    </row>
    <row r="77" spans="1:30" thickBot="1">
      <c r="B77" s="23"/>
      <c r="C77" s="21"/>
      <c r="D77" s="21"/>
      <c r="E77" s="21"/>
      <c r="F77" s="22"/>
      <c r="G77" s="22"/>
      <c r="H77" s="22"/>
      <c r="I77" s="41"/>
      <c r="Q77" s="233"/>
      <c r="R77" s="251"/>
      <c r="S77" s="251"/>
      <c r="T77" s="251"/>
      <c r="U77" s="251"/>
      <c r="V77" s="251"/>
      <c r="W77" s="251"/>
      <c r="X77" s="251"/>
    </row>
    <row r="78" spans="1:30" thickBot="1">
      <c r="B78" s="249" t="s">
        <v>66</v>
      </c>
      <c r="C78" s="225">
        <f t="shared" ref="C78:D78" si="17">+C72-SUM(C74:C77)</f>
        <v>0</v>
      </c>
      <c r="D78" s="225">
        <f t="shared" si="17"/>
        <v>0</v>
      </c>
      <c r="E78" s="225">
        <f>+E72-SUM(E74:E77)</f>
        <v>0</v>
      </c>
      <c r="F78" s="225">
        <f>+F72-SUM(F74:F77)</f>
        <v>0</v>
      </c>
      <c r="G78" s="225">
        <f>+G72-SUM(G74:G77)</f>
        <v>0</v>
      </c>
      <c r="H78" s="225">
        <f>+H72-SUM(H74:H77)</f>
        <v>0</v>
      </c>
      <c r="I78" s="225">
        <f>+I72-SUM(I74:I77)</f>
        <v>0</v>
      </c>
      <c r="W78" s="251"/>
      <c r="X78" s="251"/>
    </row>
    <row r="79" spans="1:30" ht="14.5"/>
    <row r="80" spans="1:30" ht="14.5"/>
    <row r="81" ht="14.5"/>
    <row r="82" ht="14.5"/>
  </sheetData>
  <mergeCells count="27">
    <mergeCell ref="C70:I70"/>
    <mergeCell ref="K59:L59"/>
    <mergeCell ref="K60:L60"/>
    <mergeCell ref="K61:L61"/>
    <mergeCell ref="K62:L62"/>
    <mergeCell ref="K63:L63"/>
    <mergeCell ref="C69:D69"/>
    <mergeCell ref="E69:I69"/>
    <mergeCell ref="M56:Q56"/>
    <mergeCell ref="R56:V56"/>
    <mergeCell ref="C27:D27"/>
    <mergeCell ref="E27:I27"/>
    <mergeCell ref="K27:L27"/>
    <mergeCell ref="M27:Q27"/>
    <mergeCell ref="C39:I39"/>
    <mergeCell ref="K39:Q39"/>
    <mergeCell ref="C40:D40"/>
    <mergeCell ref="E40:I40"/>
    <mergeCell ref="K40:L40"/>
    <mergeCell ref="M40:Q40"/>
    <mergeCell ref="S46:T50"/>
    <mergeCell ref="B8:M8"/>
    <mergeCell ref="C13:L13"/>
    <mergeCell ref="M13:N13"/>
    <mergeCell ref="C26:D26"/>
    <mergeCell ref="E26:I26"/>
    <mergeCell ref="K26:Q26"/>
  </mergeCells>
  <conditionalFormatting sqref="G72:G77">
    <cfRule type="expression" dxfId="24" priority="8">
      <formula>(dms_FRCPlength_Num)&lt;3</formula>
    </cfRule>
  </conditionalFormatting>
  <conditionalFormatting sqref="H72:H77">
    <cfRule type="expression" dxfId="23" priority="6">
      <formula>(dms_FRCPlength_Num)&lt;4</formula>
    </cfRule>
    <cfRule type="expression" dxfId="22" priority="7">
      <formula>(dms_FRCPlength_Num)&lt;4</formula>
    </cfRule>
  </conditionalFormatting>
  <conditionalFormatting sqref="I72:I77">
    <cfRule type="expression" dxfId="21" priority="5">
      <formula>(dms_FRCPlength_Num)&lt;5</formula>
    </cfRule>
  </conditionalFormatting>
  <conditionalFormatting sqref="C42:H42 E29:I29 C31:I35 C44:H49">
    <cfRule type="expression" dxfId="20" priority="3">
      <formula>dms_TradingName = "Endeavour Energy"</formula>
    </cfRule>
    <cfRule type="expression" dxfId="19" priority="4">
      <formula>dms_TradingName = "TasNetworks (T)"</formula>
    </cfRule>
  </conditionalFormatting>
  <conditionalFormatting sqref="C29:D29">
    <cfRule type="expression" dxfId="18" priority="1">
      <formula>dms_TradingName = "Endeavour Energy"</formula>
    </cfRule>
    <cfRule type="expression" dxfId="17" priority="2">
      <formula>dms_TradingName = "TasNetworks (T)"</formula>
    </cfRule>
  </conditionalFormatting>
  <dataValidations count="5">
    <dataValidation type="list" allowBlank="1" showInputMessage="1" showErrorMessage="1" sqref="C23" xr:uid="{16237F21-5382-4F7A-B464-30EC96C21B1C}">
      <formula1>$E$14:$I$14</formula1>
    </dataValidation>
    <dataValidation type="list" allowBlank="1" showInputMessage="1" showErrorMessage="1" sqref="R50" xr:uid="{0D5F3818-32EE-49FF-8AAC-83B2DB613B8F}">
      <formula1>$M$41:$P$41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9:I29" xr:uid="{A5B75256-4509-4EFB-9C7B-113B50E3E58C}">
      <formula1>ISNUMBER(C29)</formula1>
    </dataValidation>
    <dataValidation type="textLength" operator="lessThanOrEqual" allowBlank="1" showInputMessage="1" showErrorMessage="1" prompt="Enter category proposed for exclusion." sqref="B75:B77" xr:uid="{4B799ECF-A03A-4E71-A675-13A6065D30E6}">
      <formula1>150</formula1>
    </dataValidation>
    <dataValidation type="custom" allowBlank="1" showInputMessage="1" showErrorMessage="1" error="Must be a number" promptTitle="Excluded costs" prompt="Enter value in $million." sqref="E74:I77" xr:uid="{8F4F1A7A-363F-4AB8-8754-5DFD9F1E9088}">
      <formula1>ISNUMBER(E74)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50" min="1" max="25" man="1"/>
  </rowBreaks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40A8-6286-4D00-9653-035207D49A1A}">
  <sheetPr codeName="Sheet19">
    <tabColor theme="9" tint="0.79998168889431442"/>
    <pageSetUpPr fitToPage="1"/>
  </sheetPr>
  <dimension ref="A1:JZ82"/>
  <sheetViews>
    <sheetView showGridLines="0" zoomScale="85" zoomScaleNormal="85" workbookViewId="0">
      <selection activeCell="C28" sqref="C28"/>
    </sheetView>
  </sheetViews>
  <sheetFormatPr defaultColWidth="0" defaultRowHeight="15" customHeight="1" zeroHeight="1"/>
  <cols>
    <col min="1" max="1" width="45.453125" style="86" customWidth="1"/>
    <col min="2" max="2" width="76.54296875" style="2" customWidth="1"/>
    <col min="3" max="23" width="12.453125" style="2" customWidth="1"/>
    <col min="24" max="24" width="16.453125" style="2" bestFit="1" customWidth="1"/>
    <col min="25" max="26" width="12.453125" style="251" customWidth="1"/>
    <col min="27" max="29" width="12.453125" style="251" hidden="1" customWidth="1"/>
    <col min="30" max="30" width="0" style="251" hidden="1" customWidth="1"/>
    <col min="31" max="286" width="0" style="2" hidden="1" customWidth="1"/>
    <col min="287" max="16384" width="9.1796875" style="2" hidden="1"/>
  </cols>
  <sheetData>
    <row r="1" spans="1:34" ht="30.25" customHeight="1">
      <c r="B1" s="87" t="s">
        <v>40</v>
      </c>
      <c r="C1" s="87"/>
      <c r="D1" s="87"/>
      <c r="E1" s="87"/>
      <c r="F1" s="87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34" ht="30.25" customHeight="1">
      <c r="B2" s="36" t="s">
        <v>0</v>
      </c>
      <c r="C2" s="89"/>
      <c r="D2" s="89"/>
      <c r="E2" s="89"/>
      <c r="F2" s="89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34" ht="30.25" customHeight="1">
      <c r="B3" s="90" t="s">
        <v>54</v>
      </c>
      <c r="C3" s="87"/>
      <c r="D3" s="87"/>
      <c r="E3" s="87"/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34" ht="30.25" customHeight="1">
      <c r="B4" s="3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4" ht="14.5"/>
    <row r="6" spans="1:34" ht="25.5" customHeight="1">
      <c r="B6" s="91" t="s">
        <v>6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34" ht="21.75" customHeight="1">
      <c r="A7" s="92"/>
      <c r="B7" s="250" t="s">
        <v>55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251"/>
      <c r="O7" s="251"/>
      <c r="P7" s="251"/>
      <c r="Q7" s="251"/>
      <c r="R7" s="91"/>
      <c r="S7" s="91"/>
      <c r="T7" s="91"/>
      <c r="U7" s="91"/>
      <c r="V7" s="91"/>
      <c r="W7" s="91"/>
      <c r="X7" s="91"/>
      <c r="Y7" s="91"/>
      <c r="Z7" s="91"/>
      <c r="AA7" s="91"/>
      <c r="AB7" s="2"/>
      <c r="AC7" s="2"/>
      <c r="AD7" s="2"/>
    </row>
    <row r="8" spans="1:34" ht="45.65" customHeight="1">
      <c r="A8" s="92"/>
      <c r="B8" s="438" t="s">
        <v>7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40"/>
      <c r="N8" s="251"/>
      <c r="O8" s="251"/>
      <c r="P8" s="251"/>
      <c r="Q8" s="251"/>
      <c r="R8" s="251"/>
      <c r="S8" s="95"/>
      <c r="T8" s="251"/>
      <c r="U8" s="251"/>
      <c r="V8" s="251"/>
      <c r="W8" s="251"/>
      <c r="X8" s="251"/>
      <c r="AB8" s="2"/>
      <c r="AC8" s="2"/>
      <c r="AD8" s="2"/>
    </row>
    <row r="9" spans="1:34" ht="14.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0" spans="1:34" ht="14.5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</row>
    <row r="11" spans="1:34" s="251" customFormat="1" thickBot="1">
      <c r="A11" s="86"/>
    </row>
    <row r="12" spans="1:34" s="251" customFormat="1" ht="16" thickBot="1">
      <c r="A12" s="86"/>
      <c r="B12" s="97" t="s">
        <v>8</v>
      </c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</row>
    <row r="13" spans="1:34" s="101" customFormat="1" ht="15.5">
      <c r="A13" s="86"/>
      <c r="B13" s="100"/>
      <c r="C13" s="441" t="s">
        <v>9</v>
      </c>
      <c r="D13" s="442"/>
      <c r="E13" s="442"/>
      <c r="F13" s="442"/>
      <c r="G13" s="442"/>
      <c r="H13" s="442"/>
      <c r="I13" s="442"/>
      <c r="J13" s="442"/>
      <c r="K13" s="442"/>
      <c r="L13" s="442"/>
      <c r="M13" s="442" t="s">
        <v>10</v>
      </c>
      <c r="N13" s="443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</row>
    <row r="14" spans="1:34" ht="16" thickBot="1">
      <c r="B14" s="100"/>
      <c r="C14" s="102" t="s">
        <v>41</v>
      </c>
      <c r="D14" s="103" t="s">
        <v>42</v>
      </c>
      <c r="E14" s="104" t="s">
        <v>43</v>
      </c>
      <c r="F14" s="104" t="s">
        <v>44</v>
      </c>
      <c r="G14" s="104" t="s">
        <v>45</v>
      </c>
      <c r="H14" s="104" t="s">
        <v>15</v>
      </c>
      <c r="I14" s="104" t="s">
        <v>46</v>
      </c>
      <c r="J14" s="104" t="s">
        <v>47</v>
      </c>
      <c r="K14" s="104" t="s">
        <v>48</v>
      </c>
      <c r="L14" s="104" t="s">
        <v>49</v>
      </c>
      <c r="M14" s="104" t="s">
        <v>32</v>
      </c>
      <c r="N14" s="105" t="s">
        <v>50</v>
      </c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AG14" s="251"/>
    </row>
    <row r="15" spans="1:34" ht="14.5">
      <c r="B15" s="106" t="s">
        <v>11</v>
      </c>
      <c r="C15" s="107"/>
      <c r="D15" s="65">
        <v>105.9</v>
      </c>
      <c r="E15" s="65">
        <v>107.5</v>
      </c>
      <c r="F15" s="65">
        <v>108.6</v>
      </c>
      <c r="G15" s="65">
        <v>110.7</v>
      </c>
      <c r="H15" s="65">
        <v>113</v>
      </c>
      <c r="I15" s="65">
        <v>114.8</v>
      </c>
      <c r="J15" s="65">
        <v>114.4</v>
      </c>
      <c r="K15" s="65">
        <v>118.8</v>
      </c>
      <c r="L15" s="65">
        <v>126.1</v>
      </c>
      <c r="M15" s="65">
        <v>133.69999999999999</v>
      </c>
      <c r="N15" s="66">
        <f>M15*(1+3.6%)</f>
        <v>138.51319999999998</v>
      </c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AG15" s="251"/>
      <c r="AH15" s="251"/>
    </row>
    <row r="16" spans="1:34" ht="14.5">
      <c r="B16" s="108" t="s">
        <v>12</v>
      </c>
      <c r="C16" s="109"/>
      <c r="D16" s="110"/>
      <c r="E16" s="4">
        <f t="shared" ref="E16:N16" si="0">+E15/D15-1</f>
        <v>1.5108593012275628E-2</v>
      </c>
      <c r="F16" s="4">
        <f t="shared" si="0"/>
        <v>1.0232558139534831E-2</v>
      </c>
      <c r="G16" s="4">
        <f t="shared" si="0"/>
        <v>1.9337016574585641E-2</v>
      </c>
      <c r="H16" s="4">
        <f t="shared" si="0"/>
        <v>2.0776874435411097E-2</v>
      </c>
      <c r="I16" s="4">
        <f t="shared" si="0"/>
        <v>1.5929203539823078E-2</v>
      </c>
      <c r="J16" s="4">
        <f t="shared" si="0"/>
        <v>-3.4843205574912606E-3</v>
      </c>
      <c r="K16" s="4">
        <f t="shared" si="0"/>
        <v>3.8461538461538325E-2</v>
      </c>
      <c r="L16" s="4">
        <f t="shared" si="0"/>
        <v>6.1447811447811418E-2</v>
      </c>
      <c r="M16" s="4">
        <f t="shared" si="0"/>
        <v>6.0269627279936566E-2</v>
      </c>
      <c r="N16" s="33">
        <f t="shared" si="0"/>
        <v>3.6000000000000032E-2</v>
      </c>
      <c r="O16" s="251"/>
      <c r="P16" s="251"/>
      <c r="Q16" s="251"/>
      <c r="R16" s="251"/>
      <c r="S16" s="251"/>
      <c r="T16" s="251"/>
      <c r="U16" s="251"/>
      <c r="V16" s="251"/>
      <c r="W16" s="251"/>
      <c r="X16" s="251"/>
    </row>
    <row r="17" spans="1:286" thickBot="1">
      <c r="B17" s="111" t="s">
        <v>56</v>
      </c>
      <c r="C17" s="112"/>
      <c r="D17" s="5">
        <f t="shared" ref="D17:M17" si="1">E17/(1+E16)</f>
        <v>0.76454807195270913</v>
      </c>
      <c r="E17" s="6">
        <f t="shared" si="1"/>
        <v>0.7760993176101626</v>
      </c>
      <c r="F17" s="6">
        <f t="shared" si="1"/>
        <v>0.78404079899966195</v>
      </c>
      <c r="G17" s="6">
        <f t="shared" si="1"/>
        <v>0.79920180892506976</v>
      </c>
      <c r="H17" s="6">
        <f t="shared" si="1"/>
        <v>0.81580672455765935</v>
      </c>
      <c r="I17" s="6">
        <f t="shared" si="1"/>
        <v>0.82880187592229471</v>
      </c>
      <c r="J17" s="6">
        <f t="shared" si="1"/>
        <v>0.82591406450793137</v>
      </c>
      <c r="K17" s="6">
        <f t="shared" si="1"/>
        <v>0.85767999006592865</v>
      </c>
      <c r="L17" s="6">
        <f t="shared" si="1"/>
        <v>0.91038254837806065</v>
      </c>
      <c r="M17" s="6">
        <f t="shared" si="1"/>
        <v>0.96525096525096521</v>
      </c>
      <c r="N17" s="34">
        <v>1</v>
      </c>
      <c r="O17" s="251"/>
      <c r="P17" s="251"/>
      <c r="Q17" s="251"/>
      <c r="R17" s="251"/>
      <c r="S17" s="251"/>
      <c r="T17" s="251"/>
      <c r="U17" s="251"/>
      <c r="V17" s="251"/>
      <c r="W17" s="251"/>
      <c r="X17" s="251"/>
    </row>
    <row r="18" spans="1:286" ht="14.5">
      <c r="B18" s="113"/>
      <c r="C18" s="114"/>
      <c r="D18" s="114"/>
      <c r="E18" s="115"/>
      <c r="F18" s="115"/>
      <c r="G18" s="115"/>
      <c r="H18" s="115"/>
      <c r="I18" s="115"/>
      <c r="J18" s="7"/>
      <c r="K18" s="116"/>
      <c r="L18" s="7"/>
      <c r="M18" s="8"/>
      <c r="N18" s="116"/>
      <c r="O18" s="7"/>
      <c r="P18" s="7"/>
      <c r="Q18" s="7"/>
      <c r="R18" s="7"/>
      <c r="S18" s="116"/>
      <c r="T18" s="116"/>
      <c r="U18" s="116"/>
      <c r="V18" s="116"/>
      <c r="W18" s="116"/>
    </row>
    <row r="19" spans="1:286" ht="14.5">
      <c r="B19" s="113"/>
      <c r="C19" s="114"/>
      <c r="D19" s="114"/>
      <c r="E19" s="114"/>
      <c r="F19" s="114"/>
      <c r="G19" s="114"/>
      <c r="H19" s="114"/>
      <c r="I19" s="114"/>
      <c r="J19" s="7"/>
      <c r="K19" s="251"/>
      <c r="L19" s="251"/>
      <c r="M19" s="251"/>
      <c r="N19" s="251"/>
      <c r="O19" s="251"/>
      <c r="P19" s="251"/>
      <c r="Q19" s="251"/>
      <c r="R19" s="7"/>
      <c r="S19" s="116"/>
      <c r="T19" s="116"/>
      <c r="U19" s="116"/>
      <c r="V19" s="116"/>
      <c r="W19" s="116"/>
    </row>
    <row r="20" spans="1:286" ht="14.5">
      <c r="B20" s="113"/>
      <c r="C20" s="114"/>
      <c r="D20" s="114"/>
      <c r="E20" s="114"/>
      <c r="F20" s="114"/>
      <c r="G20" s="114"/>
      <c r="H20" s="114"/>
      <c r="I20" s="114"/>
      <c r="J20" s="7"/>
      <c r="K20" s="116"/>
      <c r="L20" s="7"/>
      <c r="M20" s="8"/>
      <c r="N20" s="116"/>
      <c r="O20" s="7"/>
      <c r="P20" s="7"/>
      <c r="Q20" s="7"/>
      <c r="R20" s="7"/>
      <c r="S20" s="116"/>
      <c r="T20" s="116"/>
      <c r="U20" s="116"/>
      <c r="V20" s="116"/>
      <c r="W20" s="116"/>
    </row>
    <row r="21" spans="1:286" s="119" customFormat="1" ht="18.5">
      <c r="A21" s="86"/>
      <c r="B21" s="117" t="s">
        <v>13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251"/>
      <c r="Z21" s="251"/>
      <c r="AA21" s="251"/>
      <c r="AB21" s="251"/>
      <c r="AC21" s="251"/>
      <c r="AD21" s="251"/>
    </row>
    <row r="22" spans="1:286" s="251" customFormat="1" thickBot="1">
      <c r="A22" s="86"/>
    </row>
    <row r="23" spans="1:286" s="251" customFormat="1" thickBot="1">
      <c r="A23" s="86"/>
      <c r="B23" s="120" t="s">
        <v>14</v>
      </c>
      <c r="C23" s="38" t="s">
        <v>15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</row>
    <row r="24" spans="1:286" s="251" customFormat="1" thickBot="1">
      <c r="A24" s="86"/>
      <c r="B24" s="120" t="s">
        <v>57</v>
      </c>
      <c r="C24" s="37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</row>
    <row r="25" spans="1:286" s="125" customFormat="1" ht="21" customHeight="1" thickBot="1">
      <c r="A25" s="86"/>
      <c r="B25" s="121" t="s">
        <v>16</v>
      </c>
      <c r="C25" s="122"/>
      <c r="D25" s="122"/>
      <c r="E25" s="122"/>
      <c r="F25" s="122"/>
      <c r="G25" s="122"/>
      <c r="H25" s="122"/>
      <c r="I25" s="122"/>
      <c r="J25" s="123"/>
      <c r="K25" s="123"/>
      <c r="L25" s="123"/>
      <c r="M25" s="123"/>
      <c r="N25" s="123"/>
      <c r="O25" s="123"/>
      <c r="P25" s="123"/>
      <c r="Q25" s="124"/>
      <c r="R25" s="251"/>
      <c r="S25" s="251"/>
      <c r="T25" s="251"/>
      <c r="U25" s="251"/>
      <c r="V25" s="251"/>
      <c r="Y25" s="251"/>
      <c r="Z25" s="251"/>
      <c r="AA25" s="251"/>
      <c r="AB25" s="251"/>
      <c r="AC25" s="251"/>
      <c r="AD25" s="251"/>
    </row>
    <row r="26" spans="1:286" ht="14.5">
      <c r="B26" s="251"/>
      <c r="C26" s="444" t="s">
        <v>58</v>
      </c>
      <c r="D26" s="445"/>
      <c r="E26" s="446" t="s">
        <v>59</v>
      </c>
      <c r="F26" s="446"/>
      <c r="G26" s="446"/>
      <c r="H26" s="446"/>
      <c r="I26" s="447"/>
      <c r="J26" s="8"/>
      <c r="K26" s="448" t="s">
        <v>60</v>
      </c>
      <c r="L26" s="449"/>
      <c r="M26" s="449"/>
      <c r="N26" s="449"/>
      <c r="O26" s="449"/>
      <c r="P26" s="449"/>
      <c r="Q26" s="450"/>
      <c r="R26" s="251"/>
      <c r="S26" s="251"/>
      <c r="T26" s="251"/>
      <c r="U26" s="251"/>
      <c r="V26" s="251"/>
      <c r="W26" s="251"/>
      <c r="X26" s="251"/>
    </row>
    <row r="27" spans="1:286" ht="21.75" customHeight="1">
      <c r="B27" s="251"/>
      <c r="C27" s="455" t="s">
        <v>3</v>
      </c>
      <c r="D27" s="456"/>
      <c r="E27" s="457" t="s">
        <v>17</v>
      </c>
      <c r="F27" s="458"/>
      <c r="G27" s="458"/>
      <c r="H27" s="458"/>
      <c r="I27" s="459"/>
      <c r="J27" s="8"/>
      <c r="K27" s="455" t="s">
        <v>3</v>
      </c>
      <c r="L27" s="456"/>
      <c r="M27" s="457" t="s">
        <v>17</v>
      </c>
      <c r="N27" s="458"/>
      <c r="O27" s="458"/>
      <c r="P27" s="458"/>
      <c r="Q27" s="459"/>
      <c r="R27" s="251"/>
      <c r="S27" s="251"/>
      <c r="T27" s="251"/>
      <c r="U27" s="251"/>
      <c r="V27" s="251"/>
      <c r="W27" s="251"/>
      <c r="X27" s="251"/>
    </row>
    <row r="28" spans="1:286" ht="21.75" customHeight="1" thickBot="1">
      <c r="B28" s="251"/>
      <c r="C28" s="126" t="s">
        <v>15</v>
      </c>
      <c r="D28" s="127" t="s">
        <v>46</v>
      </c>
      <c r="E28" s="128" t="s">
        <v>47</v>
      </c>
      <c r="F28" s="129" t="s">
        <v>48</v>
      </c>
      <c r="G28" s="129" t="s">
        <v>49</v>
      </c>
      <c r="H28" s="129" t="s">
        <v>32</v>
      </c>
      <c r="I28" s="130" t="s">
        <v>50</v>
      </c>
      <c r="J28" s="8"/>
      <c r="K28" s="126" t="s">
        <v>15</v>
      </c>
      <c r="L28" s="127" t="s">
        <v>46</v>
      </c>
      <c r="M28" s="128" t="s">
        <v>47</v>
      </c>
      <c r="N28" s="129" t="s">
        <v>48</v>
      </c>
      <c r="O28" s="129" t="s">
        <v>49</v>
      </c>
      <c r="P28" s="129" t="s">
        <v>32</v>
      </c>
      <c r="Q28" s="130" t="s">
        <v>50</v>
      </c>
      <c r="R28" s="251"/>
      <c r="S28" s="251"/>
      <c r="T28" s="251"/>
      <c r="U28" s="251"/>
      <c r="V28" s="251"/>
      <c r="W28" s="251"/>
      <c r="X28" s="251"/>
    </row>
    <row r="29" spans="1:286" ht="14.5">
      <c r="B29" s="252" t="s">
        <v>18</v>
      </c>
      <c r="C29" s="416">
        <f>'AER - Final decision'!C29-'Revised proposal'!F19</f>
        <v>1.2036189389164065E-5</v>
      </c>
      <c r="D29" s="416">
        <f>'AER - Final decision'!D29-'Revised proposal'!G19</f>
        <v>1.1165469913976267E-5</v>
      </c>
      <c r="E29" s="416">
        <f>'AER - Final decision'!E29-'Revised proposal'!H19</f>
        <v>0</v>
      </c>
      <c r="F29" s="416">
        <f>'AER - Final decision'!F29-'Revised proposal'!I19</f>
        <v>0</v>
      </c>
      <c r="G29" s="416">
        <f>'AER - Final decision'!G29-'Revised proposal'!J19</f>
        <v>0</v>
      </c>
      <c r="H29" s="416">
        <f>'AER - Final decision'!H29-'Revised proposal'!K19</f>
        <v>0</v>
      </c>
      <c r="I29" s="416">
        <f>'AER - Final decision'!I29-'Revised proposal'!L19</f>
        <v>0</v>
      </c>
      <c r="J29" s="8"/>
      <c r="K29" s="27">
        <f>+C29/$D$17</f>
        <v>1.574288109630935E-5</v>
      </c>
      <c r="L29" s="28">
        <f t="shared" ref="L29:L35" si="2">+D29/$D$17</f>
        <v>1.4604012911129156E-5</v>
      </c>
      <c r="M29" s="9">
        <f>+E29/$I$17</f>
        <v>0</v>
      </c>
      <c r="N29" s="10">
        <f>+F29/$I$17</f>
        <v>0</v>
      </c>
      <c r="O29" s="10">
        <f>+G29/$I$17</f>
        <v>0</v>
      </c>
      <c r="P29" s="10">
        <f>+H29/$I$17</f>
        <v>0</v>
      </c>
      <c r="Q29" s="11">
        <f>+I29/$I$17</f>
        <v>0</v>
      </c>
      <c r="R29" s="251"/>
      <c r="S29" s="251"/>
      <c r="T29" s="251"/>
      <c r="U29" s="251"/>
      <c r="V29" s="251"/>
      <c r="W29" s="251"/>
      <c r="X29" s="12"/>
    </row>
    <row r="30" spans="1:286" ht="14.5">
      <c r="B30" s="253" t="s">
        <v>19</v>
      </c>
      <c r="C30" s="425"/>
      <c r="D30" s="426"/>
      <c r="E30" s="427"/>
      <c r="F30" s="428"/>
      <c r="G30" s="428"/>
      <c r="H30" s="428"/>
      <c r="I30" s="429"/>
      <c r="J30" s="114"/>
      <c r="K30" s="133"/>
      <c r="L30" s="134"/>
      <c r="M30" s="135"/>
      <c r="N30" s="136"/>
      <c r="O30" s="136"/>
      <c r="P30" s="136"/>
      <c r="Q30" s="137"/>
      <c r="R30" s="251"/>
      <c r="S30" s="251"/>
      <c r="T30" s="251"/>
      <c r="U30" s="251"/>
      <c r="V30" s="251"/>
      <c r="W30" s="251"/>
      <c r="X30" s="251"/>
    </row>
    <row r="31" spans="1:286" ht="14.5">
      <c r="B31" s="254" t="s">
        <v>20</v>
      </c>
      <c r="C31" s="406">
        <f>'AER - Final decision'!C31-'Revised proposal'!F21</f>
        <v>-1.2036189389164065E-5</v>
      </c>
      <c r="D31" s="406">
        <f>'AER - Final decision'!D31-'Revised proposal'!G21</f>
        <v>-1.1165469922413962E-5</v>
      </c>
      <c r="E31" s="406">
        <f>'AER - Final decision'!E31-'Revised proposal'!H21</f>
        <v>0</v>
      </c>
      <c r="F31" s="406">
        <f>'AER - Final decision'!F31-'Revised proposal'!I21</f>
        <v>0</v>
      </c>
      <c r="G31" s="406">
        <f>'AER - Final decision'!G31-'Revised proposal'!J21</f>
        <v>0</v>
      </c>
      <c r="H31" s="406">
        <f>'AER - Final decision'!H31-'Revised proposal'!K21</f>
        <v>0</v>
      </c>
      <c r="I31" s="406">
        <f>'AER - Final decision'!I31-'Revised proposal'!L21</f>
        <v>0</v>
      </c>
      <c r="J31" s="114"/>
      <c r="K31" s="29">
        <f t="shared" ref="K31:K35" si="3">+C31/$D$17</f>
        <v>-1.574288109630935E-5</v>
      </c>
      <c r="L31" s="30">
        <f t="shared" si="2"/>
        <v>-1.4604012922165343E-5</v>
      </c>
      <c r="M31" s="13">
        <f>E31/$I$17</f>
        <v>0</v>
      </c>
      <c r="N31" s="13">
        <f t="shared" ref="N31:Q35" si="4">F31/$I$17</f>
        <v>0</v>
      </c>
      <c r="O31" s="13">
        <f t="shared" si="4"/>
        <v>0</v>
      </c>
      <c r="P31" s="13">
        <f t="shared" si="4"/>
        <v>0</v>
      </c>
      <c r="Q31" s="24">
        <f t="shared" si="4"/>
        <v>0</v>
      </c>
      <c r="R31" s="251"/>
      <c r="S31" s="251"/>
      <c r="T31" s="251"/>
      <c r="U31" s="251"/>
      <c r="V31" s="251"/>
      <c r="W31" s="251"/>
      <c r="X31" s="251"/>
    </row>
    <row r="32" spans="1:286" ht="14.5">
      <c r="B32" s="254" t="s">
        <v>21</v>
      </c>
      <c r="C32" s="406">
        <f>'AER - Final decision'!C32-'Revised proposal'!F24</f>
        <v>0</v>
      </c>
      <c r="D32" s="406">
        <f>'AER - Final decision'!D32-'Revised proposal'!G24</f>
        <v>0</v>
      </c>
      <c r="E32" s="406">
        <f>'AER - Final decision'!E32-'Revised proposal'!H24</f>
        <v>0</v>
      </c>
      <c r="F32" s="406">
        <f>'AER - Final decision'!F32-'Revised proposal'!I24</f>
        <v>0</v>
      </c>
      <c r="G32" s="406">
        <f>'AER - Final decision'!G32-'Revised proposal'!J24</f>
        <v>0</v>
      </c>
      <c r="H32" s="406">
        <f>'AER - Final decision'!H32-'Revised proposal'!K24</f>
        <v>0</v>
      </c>
      <c r="I32" s="406">
        <f>'AER - Final decision'!I32-'Revised proposal'!L24</f>
        <v>0</v>
      </c>
      <c r="J32" s="114"/>
      <c r="K32" s="29">
        <f t="shared" si="3"/>
        <v>0</v>
      </c>
      <c r="L32" s="30">
        <f t="shared" si="2"/>
        <v>0</v>
      </c>
      <c r="M32" s="13">
        <f t="shared" ref="M32:M35" si="5">E32/$I$17</f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24">
        <f t="shared" si="4"/>
        <v>0</v>
      </c>
      <c r="R32" s="251"/>
      <c r="S32" s="251"/>
      <c r="T32" s="251"/>
      <c r="U32" s="251"/>
      <c r="V32" s="251"/>
      <c r="W32" s="251"/>
      <c r="X32" s="251"/>
    </row>
    <row r="33" spans="1:30" ht="14.5">
      <c r="B33" s="254"/>
      <c r="C33" s="406"/>
      <c r="D33" s="407"/>
      <c r="E33" s="408"/>
      <c r="F33" s="410"/>
      <c r="G33" s="410"/>
      <c r="H33" s="410"/>
      <c r="I33" s="409"/>
      <c r="J33" s="114"/>
      <c r="K33" s="29">
        <f t="shared" si="3"/>
        <v>0</v>
      </c>
      <c r="L33" s="30">
        <f t="shared" si="2"/>
        <v>0</v>
      </c>
      <c r="M33" s="13">
        <f t="shared" si="5"/>
        <v>0</v>
      </c>
      <c r="N33" s="13">
        <f t="shared" si="4"/>
        <v>0</v>
      </c>
      <c r="O33" s="13">
        <f t="shared" si="4"/>
        <v>0</v>
      </c>
      <c r="P33" s="13">
        <f t="shared" si="4"/>
        <v>0</v>
      </c>
      <c r="Q33" s="24">
        <f t="shared" si="4"/>
        <v>0</v>
      </c>
      <c r="R33" s="251"/>
      <c r="S33" s="251"/>
      <c r="T33" s="251"/>
      <c r="U33" s="251"/>
      <c r="V33" s="251"/>
      <c r="W33" s="251"/>
      <c r="X33" s="251"/>
    </row>
    <row r="34" spans="1:30" ht="14.5">
      <c r="B34" s="255" t="s">
        <v>22</v>
      </c>
      <c r="C34" s="406"/>
      <c r="D34" s="407"/>
      <c r="E34" s="408"/>
      <c r="F34" s="410"/>
      <c r="G34" s="410"/>
      <c r="H34" s="410"/>
      <c r="I34" s="409"/>
      <c r="J34" s="138"/>
      <c r="K34" s="29">
        <f t="shared" si="3"/>
        <v>0</v>
      </c>
      <c r="L34" s="30">
        <f t="shared" si="2"/>
        <v>0</v>
      </c>
      <c r="M34" s="13">
        <f t="shared" si="5"/>
        <v>0</v>
      </c>
      <c r="N34" s="13">
        <f t="shared" si="4"/>
        <v>0</v>
      </c>
      <c r="O34" s="13">
        <f t="shared" si="4"/>
        <v>0</v>
      </c>
      <c r="P34" s="13">
        <f t="shared" si="4"/>
        <v>0</v>
      </c>
      <c r="Q34" s="24">
        <f t="shared" si="4"/>
        <v>0</v>
      </c>
      <c r="R34" s="251"/>
      <c r="S34" s="251"/>
      <c r="T34" s="251"/>
      <c r="U34" s="251"/>
      <c r="V34" s="251"/>
      <c r="W34" s="251"/>
      <c r="X34" s="251"/>
    </row>
    <row r="35" spans="1:30" thickBot="1">
      <c r="B35" s="256" t="s">
        <v>23</v>
      </c>
      <c r="C35" s="411"/>
      <c r="D35" s="412"/>
      <c r="E35" s="413"/>
      <c r="F35" s="414"/>
      <c r="G35" s="414"/>
      <c r="H35" s="414"/>
      <c r="I35" s="415"/>
      <c r="J35" s="114"/>
      <c r="K35" s="31">
        <f t="shared" si="3"/>
        <v>0</v>
      </c>
      <c r="L35" s="32">
        <f t="shared" si="2"/>
        <v>0</v>
      </c>
      <c r="M35" s="25">
        <f t="shared" si="5"/>
        <v>0</v>
      </c>
      <c r="N35" s="25">
        <f t="shared" si="4"/>
        <v>0</v>
      </c>
      <c r="O35" s="25">
        <f t="shared" si="4"/>
        <v>0</v>
      </c>
      <c r="P35" s="25">
        <f t="shared" si="4"/>
        <v>0</v>
      </c>
      <c r="Q35" s="26">
        <f t="shared" si="4"/>
        <v>0</v>
      </c>
      <c r="R35" s="251"/>
      <c r="S35" s="251"/>
      <c r="T35" s="251"/>
      <c r="U35" s="251"/>
      <c r="V35" s="251"/>
      <c r="W35" s="251"/>
      <c r="X35" s="251"/>
    </row>
    <row r="36" spans="1:30" thickBot="1">
      <c r="B36" s="140" t="s">
        <v>24</v>
      </c>
      <c r="C36" s="422">
        <f t="shared" ref="C36:I36" si="6">SUM(C29:C35)</f>
        <v>0</v>
      </c>
      <c r="D36" s="422">
        <f t="shared" si="6"/>
        <v>-8.4376949871511897E-15</v>
      </c>
      <c r="E36" s="422">
        <f t="shared" si="6"/>
        <v>0</v>
      </c>
      <c r="F36" s="422">
        <f t="shared" si="6"/>
        <v>0</v>
      </c>
      <c r="G36" s="422">
        <f t="shared" si="6"/>
        <v>0</v>
      </c>
      <c r="H36" s="422">
        <f t="shared" si="6"/>
        <v>0</v>
      </c>
      <c r="I36" s="423">
        <f t="shared" si="6"/>
        <v>0</v>
      </c>
      <c r="J36" s="114"/>
      <c r="K36" s="64">
        <f t="shared" ref="K36:Q36" si="7">+SUM(K29:K35)</f>
        <v>0</v>
      </c>
      <c r="L36" s="62">
        <f t="shared" si="7"/>
        <v>-1.1036187087354148E-14</v>
      </c>
      <c r="M36" s="62">
        <f t="shared" si="7"/>
        <v>0</v>
      </c>
      <c r="N36" s="62">
        <f t="shared" si="7"/>
        <v>0</v>
      </c>
      <c r="O36" s="62">
        <f t="shared" si="7"/>
        <v>0</v>
      </c>
      <c r="P36" s="62">
        <f t="shared" si="7"/>
        <v>0</v>
      </c>
      <c r="Q36" s="63">
        <f t="shared" si="7"/>
        <v>0</v>
      </c>
      <c r="R36" s="251"/>
      <c r="S36" s="251"/>
      <c r="T36" s="251"/>
      <c r="U36" s="251"/>
      <c r="V36" s="251"/>
      <c r="W36" s="251"/>
      <c r="X36" s="251"/>
    </row>
    <row r="37" spans="1:30" thickBot="1">
      <c r="B37" s="141"/>
      <c r="C37" s="142"/>
      <c r="D37" s="143"/>
      <c r="E37" s="143"/>
      <c r="F37" s="143"/>
      <c r="G37" s="143"/>
      <c r="H37" s="143"/>
      <c r="I37" s="143"/>
      <c r="J37" s="144"/>
      <c r="K37" s="142"/>
      <c r="L37" s="142"/>
      <c r="M37" s="142"/>
      <c r="N37" s="142"/>
      <c r="O37" s="142"/>
      <c r="P37" s="142"/>
      <c r="Q37" s="142"/>
      <c r="R37" s="251"/>
      <c r="S37" s="251"/>
      <c r="T37" s="251"/>
      <c r="U37" s="251"/>
      <c r="V37" s="251"/>
      <c r="W37" s="251"/>
      <c r="X37" s="251"/>
    </row>
    <row r="38" spans="1:30" s="125" customFormat="1" ht="16" thickBot="1">
      <c r="A38" s="86"/>
      <c r="B38" s="121" t="s">
        <v>25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4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</row>
    <row r="39" spans="1:30" ht="14.5">
      <c r="B39" s="145"/>
      <c r="C39" s="460" t="s">
        <v>26</v>
      </c>
      <c r="D39" s="461"/>
      <c r="E39" s="461"/>
      <c r="F39" s="461"/>
      <c r="G39" s="461"/>
      <c r="H39" s="461"/>
      <c r="I39" s="462"/>
      <c r="J39" s="146"/>
      <c r="K39" s="448" t="s">
        <v>60</v>
      </c>
      <c r="L39" s="449"/>
      <c r="M39" s="449"/>
      <c r="N39" s="449"/>
      <c r="O39" s="449"/>
      <c r="P39" s="449"/>
      <c r="Q39" s="450"/>
      <c r="R39" s="251"/>
      <c r="S39" s="251"/>
      <c r="T39" s="251"/>
      <c r="U39" s="251"/>
      <c r="V39" s="251"/>
      <c r="W39" s="251"/>
      <c r="X39" s="251"/>
    </row>
    <row r="40" spans="1:30" ht="14.5">
      <c r="B40" s="145"/>
      <c r="C40" s="455" t="s">
        <v>3</v>
      </c>
      <c r="D40" s="456"/>
      <c r="E40" s="457" t="s">
        <v>17</v>
      </c>
      <c r="F40" s="458"/>
      <c r="G40" s="458"/>
      <c r="H40" s="458"/>
      <c r="I40" s="459"/>
      <c r="J40" s="146"/>
      <c r="K40" s="455" t="s">
        <v>3</v>
      </c>
      <c r="L40" s="456"/>
      <c r="M40" s="457" t="s">
        <v>17</v>
      </c>
      <c r="N40" s="458"/>
      <c r="O40" s="458"/>
      <c r="P40" s="458"/>
      <c r="Q40" s="459"/>
      <c r="R40" s="251"/>
      <c r="S40" s="251"/>
      <c r="T40" s="251"/>
      <c r="U40" s="251"/>
      <c r="V40" s="251"/>
      <c r="W40" s="251"/>
      <c r="X40" s="251"/>
    </row>
    <row r="41" spans="1:30" thickBot="1">
      <c r="B41" s="147"/>
      <c r="C41" s="126" t="s">
        <v>15</v>
      </c>
      <c r="D41" s="127" t="s">
        <v>46</v>
      </c>
      <c r="E41" s="128" t="s">
        <v>47</v>
      </c>
      <c r="F41" s="129" t="s">
        <v>48</v>
      </c>
      <c r="G41" s="129" t="s">
        <v>49</v>
      </c>
      <c r="H41" s="129" t="s">
        <v>32</v>
      </c>
      <c r="I41" s="130" t="s">
        <v>50</v>
      </c>
      <c r="J41" s="138"/>
      <c r="K41" s="126" t="s">
        <v>15</v>
      </c>
      <c r="L41" s="127" t="s">
        <v>46</v>
      </c>
      <c r="M41" s="128" t="s">
        <v>47</v>
      </c>
      <c r="N41" s="129" t="s">
        <v>48</v>
      </c>
      <c r="O41" s="129" t="s">
        <v>49</v>
      </c>
      <c r="P41" s="129" t="s">
        <v>32</v>
      </c>
      <c r="Q41" s="130" t="s">
        <v>50</v>
      </c>
      <c r="R41" s="251"/>
      <c r="S41" s="251"/>
      <c r="T41" s="251"/>
      <c r="U41" s="251"/>
      <c r="V41" s="251"/>
      <c r="W41" s="251"/>
      <c r="X41" s="251"/>
    </row>
    <row r="42" spans="1:30" ht="14.5">
      <c r="B42" s="131" t="s">
        <v>27</v>
      </c>
      <c r="C42" s="417">
        <f>'AER - Final decision'!C42-'Revised proposal'!F34</f>
        <v>0</v>
      </c>
      <c r="D42" s="417">
        <f>'AER - Final decision'!D42-'Revised proposal'!G34</f>
        <v>0</v>
      </c>
      <c r="E42" s="417">
        <f>'AER - Final decision'!E42-'Revised proposal'!H34</f>
        <v>0</v>
      </c>
      <c r="F42" s="417">
        <f>'AER - Final decision'!F42-'Revised proposal'!I34</f>
        <v>5.6843418860808015E-13</v>
      </c>
      <c r="G42" s="417">
        <f>'AER - Final decision'!G42-'Revised proposal'!J34</f>
        <v>0</v>
      </c>
      <c r="H42" s="417">
        <f>'AER - Final decision'!H42-'Revised proposal'!K34</f>
        <v>5.9096691984450445E-9</v>
      </c>
      <c r="I42" s="430"/>
      <c r="J42" s="138"/>
      <c r="K42" s="148">
        <f>+C42/LOOKUP(dms_PRCP_BaseYear,$D$14:$N$14,$D$17:$N$17)*(1+LOOKUP(dms_PRCP_BaseYear,$D$14:$N$14,$D$16:$N$16))^0.5</f>
        <v>0</v>
      </c>
      <c r="L42" s="149">
        <f t="shared" ref="L42" si="8">+D42/I$17*(1+I$16)^0.5</f>
        <v>0</v>
      </c>
      <c r="M42" s="150">
        <f>+E42/J$17*(1+J$16)^0.5</f>
        <v>0</v>
      </c>
      <c r="N42" s="151">
        <f>+F42/K$17*(1+K$16)^0.5</f>
        <v>6.753829938607579E-13</v>
      </c>
      <c r="O42" s="151">
        <f>+G42/L$17*(1+L$16)^0.5</f>
        <v>0</v>
      </c>
      <c r="P42" s="149">
        <f>+H42/M$17*(1+M$16)^0.5</f>
        <v>6.3042160323969364E-9</v>
      </c>
      <c r="Q42" s="152"/>
      <c r="R42" s="251"/>
      <c r="S42" s="251"/>
      <c r="T42" s="251"/>
      <c r="U42" s="251"/>
      <c r="V42" s="251"/>
      <c r="W42" s="251"/>
      <c r="X42" s="251"/>
    </row>
    <row r="43" spans="1:30" ht="14.5">
      <c r="B43" s="132" t="s">
        <v>28</v>
      </c>
      <c r="C43" s="431"/>
      <c r="D43" s="432"/>
      <c r="E43" s="431"/>
      <c r="F43" s="433"/>
      <c r="G43" s="433"/>
      <c r="H43" s="434"/>
      <c r="I43" s="435"/>
      <c r="J43" s="114"/>
      <c r="K43" s="153"/>
      <c r="L43" s="154"/>
      <c r="M43" s="155"/>
      <c r="N43" s="156"/>
      <c r="O43" s="156"/>
      <c r="P43" s="154"/>
      <c r="Q43" s="157"/>
      <c r="R43" s="251"/>
      <c r="S43" s="251"/>
      <c r="T43" s="251"/>
      <c r="U43" s="251"/>
      <c r="V43" s="251"/>
      <c r="W43" s="251"/>
      <c r="X43" s="251"/>
    </row>
    <row r="44" spans="1:30" ht="14.5">
      <c r="B44" s="158" t="str">
        <f>IF(ISBLANK(B31),"",B31)</f>
        <v>Debt raising costs</v>
      </c>
      <c r="C44" s="418">
        <f>'AER - Final decision'!C44-'Revised proposal'!F36</f>
        <v>0</v>
      </c>
      <c r="D44" s="418">
        <f>'AER - Final decision'!D44-'Revised proposal'!G36</f>
        <v>0</v>
      </c>
      <c r="E44" s="418">
        <f>'AER - Final decision'!E44-'Revised proposal'!H36</f>
        <v>0</v>
      </c>
      <c r="F44" s="418">
        <f>'AER - Final decision'!F44-'Revised proposal'!I36</f>
        <v>0</v>
      </c>
      <c r="G44" s="418">
        <f>'AER - Final decision'!G44-'Revised proposal'!J36</f>
        <v>0</v>
      </c>
      <c r="H44" s="418">
        <f>'AER - Final decision'!H44-'Revised proposal'!K36</f>
        <v>0</v>
      </c>
      <c r="I44" s="435"/>
      <c r="J44" s="138"/>
      <c r="K44" s="159">
        <f t="shared" ref="K44:K49" si="9">+C44/LOOKUP(dms_PRCP_BaseYear,$D$14:$N$14,$D$17:$N$17)*(1+LOOKUP(dms_PRCP_BaseYear,$D$14:$N$14,$D$16:$N$16))^0.5</f>
        <v>0</v>
      </c>
      <c r="L44" s="160">
        <f t="shared" ref="L44:M49" si="10">D44/I$17*(1+I$16)^0.5</f>
        <v>0</v>
      </c>
      <c r="M44" s="161">
        <f>E44/J$17*(1+J$16)^0.5</f>
        <v>0</v>
      </c>
      <c r="N44" s="161">
        <f t="shared" ref="N44:P49" si="11">F44/K$17*(1+K$16)^0.5</f>
        <v>0</v>
      </c>
      <c r="O44" s="161">
        <f t="shared" si="11"/>
        <v>0</v>
      </c>
      <c r="P44" s="160">
        <f t="shared" si="11"/>
        <v>0</v>
      </c>
      <c r="Q44" s="162"/>
      <c r="R44" s="251"/>
      <c r="S44" s="251"/>
      <c r="T44" s="251"/>
      <c r="U44" s="251"/>
      <c r="V44" s="251"/>
      <c r="W44" s="251"/>
      <c r="X44" s="251"/>
    </row>
    <row r="45" spans="1:30" ht="14.5">
      <c r="A45" s="261"/>
      <c r="B45" s="158" t="str">
        <f t="shared" ref="B45:B46" si="12">IF(ISBLANK(B32),"",B32)</f>
        <v>DMIA</v>
      </c>
      <c r="C45" s="418">
        <f>'AER - Final decision'!C45-'Revised proposal'!F39</f>
        <v>0.26127962889518414</v>
      </c>
      <c r="D45" s="418">
        <f>'AER - Final decision'!D45-'Revised proposal'!G39</f>
        <v>0.47917656977847017</v>
      </c>
      <c r="E45" s="418">
        <f>'AER - Final decision'!E45-'Revised proposal'!H39</f>
        <v>-1.3220000000000001E-2</v>
      </c>
      <c r="F45" s="418">
        <f>'AER - Final decision'!F45-'Revised proposal'!I39</f>
        <v>0</v>
      </c>
      <c r="G45" s="418">
        <f>'AER - Final decision'!G45-'Revised proposal'!J39</f>
        <v>-9.698699999999838E-4</v>
      </c>
      <c r="H45" s="418">
        <f>'AER - Final decision'!H45-'Revised proposal'!K39</f>
        <v>0</v>
      </c>
      <c r="I45" s="435"/>
      <c r="J45" s="114"/>
      <c r="K45" s="159">
        <f t="shared" si="9"/>
        <v>0.32358149786883722</v>
      </c>
      <c r="L45" s="160">
        <f t="shared" si="10"/>
        <v>0.58274233682029375</v>
      </c>
      <c r="M45" s="161">
        <f t="shared" si="10"/>
        <v>-1.5978597666562858E-2</v>
      </c>
      <c r="N45" s="161">
        <f t="shared" si="11"/>
        <v>0</v>
      </c>
      <c r="O45" s="161">
        <f t="shared" si="11"/>
        <v>-1.0975869253801256E-3</v>
      </c>
      <c r="P45" s="160">
        <f t="shared" si="11"/>
        <v>0</v>
      </c>
      <c r="Q45" s="162"/>
      <c r="R45" s="251"/>
      <c r="S45" s="251"/>
      <c r="T45" s="251"/>
      <c r="U45" s="251"/>
      <c r="V45" s="251"/>
      <c r="W45" s="251"/>
      <c r="X45" s="251"/>
    </row>
    <row r="46" spans="1:30" ht="14.5">
      <c r="A46" s="261"/>
      <c r="B46" s="158" t="str">
        <f t="shared" si="12"/>
        <v/>
      </c>
      <c r="C46" s="418"/>
      <c r="D46" s="418"/>
      <c r="E46" s="418"/>
      <c r="F46" s="418"/>
      <c r="G46" s="418"/>
      <c r="H46" s="418"/>
      <c r="I46" s="435"/>
      <c r="J46" s="114"/>
      <c r="K46" s="159">
        <f t="shared" si="9"/>
        <v>0</v>
      </c>
      <c r="L46" s="160">
        <f t="shared" si="10"/>
        <v>0</v>
      </c>
      <c r="M46" s="161">
        <f t="shared" si="10"/>
        <v>0</v>
      </c>
      <c r="N46" s="161">
        <f t="shared" si="11"/>
        <v>0</v>
      </c>
      <c r="O46" s="161">
        <f t="shared" si="11"/>
        <v>0</v>
      </c>
      <c r="P46" s="160">
        <f t="shared" si="11"/>
        <v>0</v>
      </c>
      <c r="Q46" s="162"/>
      <c r="R46" s="251"/>
      <c r="S46" s="463" t="s">
        <v>62</v>
      </c>
      <c r="T46" s="464"/>
      <c r="U46" s="251"/>
      <c r="V46" s="251"/>
      <c r="W46" s="251"/>
      <c r="X46" s="251"/>
    </row>
    <row r="47" spans="1:30" ht="15" customHeight="1">
      <c r="A47" s="261"/>
      <c r="B47" s="163" t="s">
        <v>29</v>
      </c>
      <c r="C47" s="418"/>
      <c r="D47" s="418"/>
      <c r="E47" s="418"/>
      <c r="F47" s="418"/>
      <c r="G47" s="418"/>
      <c r="H47" s="418"/>
      <c r="I47" s="435"/>
      <c r="J47" s="164"/>
      <c r="K47" s="159">
        <f t="shared" si="9"/>
        <v>0</v>
      </c>
      <c r="L47" s="160">
        <f t="shared" si="10"/>
        <v>0</v>
      </c>
      <c r="M47" s="161">
        <f t="shared" si="10"/>
        <v>0</v>
      </c>
      <c r="N47" s="161">
        <f t="shared" si="11"/>
        <v>0</v>
      </c>
      <c r="O47" s="161">
        <f t="shared" si="11"/>
        <v>0</v>
      </c>
      <c r="P47" s="160">
        <f t="shared" si="11"/>
        <v>0</v>
      </c>
      <c r="Q47" s="165"/>
      <c r="R47" s="251"/>
      <c r="S47" s="465"/>
      <c r="T47" s="466"/>
      <c r="U47" s="251"/>
      <c r="V47" s="251"/>
      <c r="W47" s="251"/>
      <c r="X47" s="166"/>
    </row>
    <row r="48" spans="1:30" ht="15" customHeight="1">
      <c r="A48" s="261"/>
      <c r="B48" s="163" t="s">
        <v>30</v>
      </c>
      <c r="C48" s="418">
        <f>'AER - Final decision'!C48-'Revised proposal'!F41</f>
        <v>0</v>
      </c>
      <c r="D48" s="418">
        <f>'AER - Final decision'!D48-'Revised proposal'!G41</f>
        <v>0</v>
      </c>
      <c r="E48" s="418">
        <f>'AER - Final decision'!E48-'Revised proposal'!H41</f>
        <v>0</v>
      </c>
      <c r="F48" s="418">
        <f>'AER - Final decision'!F48-'Revised proposal'!I41</f>
        <v>0</v>
      </c>
      <c r="G48" s="418">
        <f>'AER - Final decision'!G48-'Revised proposal'!J41</f>
        <v>0</v>
      </c>
      <c r="H48" s="418">
        <f>'AER - Final decision'!H48-'Revised proposal'!K41</f>
        <v>0</v>
      </c>
      <c r="I48" s="435"/>
      <c r="J48" s="164"/>
      <c r="K48" s="159">
        <f t="shared" si="9"/>
        <v>0</v>
      </c>
      <c r="L48" s="160">
        <f t="shared" si="10"/>
        <v>0</v>
      </c>
      <c r="M48" s="161">
        <f t="shared" si="10"/>
        <v>0</v>
      </c>
      <c r="N48" s="161">
        <f t="shared" si="11"/>
        <v>0</v>
      </c>
      <c r="O48" s="161">
        <f t="shared" si="11"/>
        <v>0</v>
      </c>
      <c r="P48" s="160">
        <f t="shared" si="11"/>
        <v>0</v>
      </c>
      <c r="Q48" s="165"/>
      <c r="R48" s="251"/>
      <c r="S48" s="465"/>
      <c r="T48" s="466"/>
      <c r="U48" s="251"/>
      <c r="V48" s="251"/>
      <c r="W48" s="251"/>
      <c r="X48" s="166"/>
    </row>
    <row r="49" spans="1:30" ht="15.75" customHeight="1" thickBot="1">
      <c r="B49" s="139" t="s">
        <v>23</v>
      </c>
      <c r="C49" s="419"/>
      <c r="D49" s="420"/>
      <c r="E49" s="421"/>
      <c r="F49" s="419"/>
      <c r="G49" s="419"/>
      <c r="H49" s="419"/>
      <c r="I49" s="436"/>
      <c r="J49" s="164"/>
      <c r="K49" s="167">
        <f t="shared" si="9"/>
        <v>0</v>
      </c>
      <c r="L49" s="168">
        <f t="shared" si="10"/>
        <v>0</v>
      </c>
      <c r="M49" s="169">
        <f t="shared" si="10"/>
        <v>0</v>
      </c>
      <c r="N49" s="169">
        <f t="shared" si="11"/>
        <v>0</v>
      </c>
      <c r="O49" s="169">
        <f t="shared" si="11"/>
        <v>0</v>
      </c>
      <c r="P49" s="168">
        <f t="shared" si="11"/>
        <v>0</v>
      </c>
      <c r="Q49" s="170"/>
      <c r="R49" s="251"/>
      <c r="S49" s="465"/>
      <c r="T49" s="466"/>
      <c r="U49" s="251"/>
      <c r="V49" s="251"/>
      <c r="W49" s="251"/>
      <c r="X49" s="166"/>
    </row>
    <row r="50" spans="1:30" ht="15.75" customHeight="1" thickBot="1">
      <c r="B50" s="171" t="s">
        <v>31</v>
      </c>
      <c r="C50" s="424">
        <f t="shared" ref="C50:D50" si="13">SUM(C42:C49)</f>
        <v>0.26127962889518414</v>
      </c>
      <c r="D50" s="424">
        <f t="shared" si="13"/>
        <v>0.47917656977847017</v>
      </c>
      <c r="E50" s="424">
        <f>SUM(E42:E49)</f>
        <v>-1.3220000000000001E-2</v>
      </c>
      <c r="F50" s="424">
        <f>SUM(F42:F49)</f>
        <v>5.6843418860808015E-13</v>
      </c>
      <c r="G50" s="424">
        <f>SUM(G42:G49)</f>
        <v>-9.698699999999838E-4</v>
      </c>
      <c r="H50" s="424">
        <f>SUM(H42:H49)</f>
        <v>5.9096691984450445E-9</v>
      </c>
      <c r="I50" s="437"/>
      <c r="J50" s="114"/>
      <c r="K50" s="64">
        <f t="shared" ref="K50" si="14">K42+SUM(K44:K49)</f>
        <v>0.32358149786883722</v>
      </c>
      <c r="L50" s="62">
        <f t="shared" ref="L50" si="15">L42+SUM(L44:L49)</f>
        <v>0.58274233682029375</v>
      </c>
      <c r="M50" s="62">
        <f t="shared" ref="M50:P50" si="16">M42+SUM(M44:M49)</f>
        <v>-1.5978597666562858E-2</v>
      </c>
      <c r="N50" s="62">
        <f t="shared" si="16"/>
        <v>6.753829938607579E-13</v>
      </c>
      <c r="O50" s="62">
        <f t="shared" si="16"/>
        <v>-1.0975869253801256E-3</v>
      </c>
      <c r="P50" s="62">
        <f t="shared" si="16"/>
        <v>6.3042160323969364E-9</v>
      </c>
      <c r="Q50" s="63">
        <f>Q36-(LOOKUP($R$50,M28:P28,M36:P36)-LOOKUP($R$50,M41:P41,M50:P50))+R51</f>
        <v>1.1327181048727264</v>
      </c>
      <c r="R50" s="39" t="s">
        <v>32</v>
      </c>
      <c r="S50" s="467"/>
      <c r="T50" s="468"/>
      <c r="U50" s="251"/>
      <c r="V50" s="251"/>
      <c r="W50" s="251"/>
      <c r="X50" s="251"/>
    </row>
    <row r="51" spans="1:30" s="251" customFormat="1" ht="15.65" customHeight="1" thickBot="1">
      <c r="A51" s="86"/>
      <c r="R51" s="82">
        <f>'AER - Final decision'!R51-'Revised proposal'!U44</f>
        <v>1.1327180985685104</v>
      </c>
      <c r="S51" s="172" t="s">
        <v>63</v>
      </c>
    </row>
    <row r="52" spans="1:30" s="1" customFormat="1" ht="18.5" thickBot="1">
      <c r="A52" s="86"/>
      <c r="B52" s="173"/>
      <c r="C52" s="173"/>
      <c r="D52" s="173"/>
      <c r="E52" s="173"/>
      <c r="F52" s="173"/>
      <c r="G52" s="174"/>
      <c r="H52" s="174"/>
      <c r="I52" s="174"/>
      <c r="J52" s="174"/>
      <c r="K52" s="175" t="s">
        <v>61</v>
      </c>
      <c r="L52" s="176"/>
      <c r="M52" s="177"/>
      <c r="N52" s="176"/>
      <c r="O52" s="176"/>
      <c r="P52" s="176"/>
      <c r="Q52" s="178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</row>
    <row r="53" spans="1:30" thickBot="1">
      <c r="B53" s="173"/>
      <c r="C53" s="173"/>
      <c r="D53" s="173"/>
      <c r="E53" s="173"/>
      <c r="F53" s="173"/>
      <c r="G53" s="174"/>
      <c r="H53" s="174"/>
      <c r="I53" s="174"/>
      <c r="J53" s="174"/>
      <c r="K53" s="14"/>
      <c r="L53" s="35"/>
      <c r="M53" s="179">
        <f>(M36-M50)-((L36-L50)-(K36-K50))-C24/$I$17</f>
        <v>0.27513943661803036</v>
      </c>
      <c r="N53" s="180">
        <f>(N36-N50)-(M36-M50)</f>
        <v>-1.5978597667238241E-2</v>
      </c>
      <c r="O53" s="180">
        <f>(O36-O50)-(N36-N50)</f>
        <v>1.0975869260555085E-3</v>
      </c>
      <c r="P53" s="180">
        <f>(P36-P50)-(O36-O50)</f>
        <v>-1.0975932295961581E-3</v>
      </c>
      <c r="Q53" s="181">
        <f>(Q36-Q50)-(P36-P50)</f>
        <v>-1.1327180985685104</v>
      </c>
      <c r="R53" s="251"/>
      <c r="S53" s="251"/>
      <c r="T53" s="251"/>
      <c r="U53" s="251"/>
      <c r="V53" s="251"/>
      <c r="W53" s="251"/>
      <c r="X53" s="251"/>
    </row>
    <row r="54" spans="1:30" ht="23.25" customHeight="1" thickBot="1">
      <c r="B54" s="173"/>
      <c r="C54" s="173"/>
      <c r="D54" s="173"/>
      <c r="E54" s="173"/>
      <c r="F54" s="173"/>
      <c r="G54" s="174"/>
      <c r="H54" s="174"/>
      <c r="I54" s="174"/>
      <c r="J54" s="174"/>
      <c r="K54" s="182"/>
      <c r="L54" s="182"/>
      <c r="M54" s="182"/>
      <c r="N54" s="182"/>
      <c r="O54" s="182"/>
      <c r="P54" s="182"/>
      <c r="Q54" s="182"/>
      <c r="R54" s="251"/>
      <c r="S54" s="251"/>
      <c r="T54" s="251"/>
      <c r="U54" s="251"/>
      <c r="V54" s="251"/>
      <c r="W54" s="251"/>
      <c r="X54" s="251"/>
    </row>
    <row r="55" spans="1:30" s="1" customFormat="1" ht="18.5" thickBot="1">
      <c r="A55" s="86"/>
      <c r="B55" s="173"/>
      <c r="C55" s="173"/>
      <c r="D55" s="173"/>
      <c r="E55" s="173"/>
      <c r="F55" s="173"/>
      <c r="G55" s="174"/>
      <c r="H55" s="174"/>
      <c r="I55" s="174"/>
      <c r="J55" s="174"/>
      <c r="K55" s="183" t="s">
        <v>33</v>
      </c>
      <c r="L55" s="184"/>
      <c r="M55" s="176"/>
      <c r="N55" s="176"/>
      <c r="O55" s="176"/>
      <c r="P55" s="176"/>
      <c r="Q55" s="176"/>
      <c r="R55" s="176"/>
      <c r="S55" s="176"/>
      <c r="T55" s="176"/>
      <c r="U55" s="176"/>
      <c r="V55" s="185"/>
      <c r="W55" s="186"/>
      <c r="X55" s="251"/>
      <c r="Y55" s="251"/>
      <c r="Z55" s="251"/>
      <c r="AA55" s="251"/>
      <c r="AB55" s="251"/>
    </row>
    <row r="56" spans="1:30" ht="30.25" customHeight="1">
      <c r="B56" s="173"/>
      <c r="C56" s="173"/>
      <c r="D56" s="173"/>
      <c r="E56" s="173"/>
      <c r="F56" s="173"/>
      <c r="G56" s="174"/>
      <c r="H56" s="174"/>
      <c r="I56" s="174"/>
      <c r="J56" s="174"/>
      <c r="K56" s="187"/>
      <c r="L56" s="188"/>
      <c r="M56" s="451" t="s">
        <v>17</v>
      </c>
      <c r="N56" s="452"/>
      <c r="O56" s="452"/>
      <c r="P56" s="452"/>
      <c r="Q56" s="452"/>
      <c r="R56" s="453" t="s">
        <v>34</v>
      </c>
      <c r="S56" s="454"/>
      <c r="T56" s="454"/>
      <c r="U56" s="454"/>
      <c r="V56" s="454"/>
      <c r="W56" s="189"/>
      <c r="X56" s="251"/>
    </row>
    <row r="57" spans="1:30" ht="14.5">
      <c r="B57" s="173"/>
      <c r="C57" s="173"/>
      <c r="D57" s="173"/>
      <c r="E57" s="173"/>
      <c r="F57" s="173"/>
      <c r="G57" s="174"/>
      <c r="H57" s="174"/>
      <c r="I57" s="174"/>
      <c r="J57" s="174"/>
      <c r="K57" s="190"/>
      <c r="L57" s="191"/>
      <c r="M57" s="192" t="s">
        <v>60</v>
      </c>
      <c r="N57" s="193"/>
      <c r="O57" s="193"/>
      <c r="P57" s="193"/>
      <c r="Q57" s="193"/>
      <c r="R57" s="193"/>
      <c r="S57" s="193"/>
      <c r="T57" s="194"/>
      <c r="U57" s="195"/>
      <c r="V57" s="196"/>
      <c r="W57" s="197"/>
      <c r="X57" s="251"/>
    </row>
    <row r="58" spans="1:30" thickBot="1">
      <c r="B58" s="173"/>
      <c r="C58" s="173"/>
      <c r="D58" s="173"/>
      <c r="E58" s="173"/>
      <c r="F58" s="173"/>
      <c r="G58" s="174"/>
      <c r="H58" s="174"/>
      <c r="I58" s="174"/>
      <c r="J58" s="174"/>
      <c r="K58" s="190"/>
      <c r="L58" s="191"/>
      <c r="M58" s="198" t="s">
        <v>47</v>
      </c>
      <c r="N58" s="199" t="s">
        <v>48</v>
      </c>
      <c r="O58" s="199" t="s">
        <v>49</v>
      </c>
      <c r="P58" s="199" t="s">
        <v>32</v>
      </c>
      <c r="Q58" s="199" t="s">
        <v>50</v>
      </c>
      <c r="R58" s="200" t="s">
        <v>1</v>
      </c>
      <c r="S58" s="200" t="s">
        <v>51</v>
      </c>
      <c r="T58" s="200" t="s">
        <v>52</v>
      </c>
      <c r="U58" s="200" t="s">
        <v>53</v>
      </c>
      <c r="V58" s="200" t="s">
        <v>4</v>
      </c>
      <c r="W58" s="201" t="s">
        <v>35</v>
      </c>
      <c r="X58" s="251"/>
    </row>
    <row r="59" spans="1:30" thickBot="1">
      <c r="B59" s="173"/>
      <c r="C59" s="173"/>
      <c r="D59" s="173"/>
      <c r="E59" s="173"/>
      <c r="F59" s="173"/>
      <c r="G59" s="174"/>
      <c r="H59" s="174"/>
      <c r="I59" s="174"/>
      <c r="J59" s="174"/>
      <c r="K59" s="472" t="s">
        <v>47</v>
      </c>
      <c r="L59" s="473"/>
      <c r="M59" s="202"/>
      <c r="N59" s="203">
        <f>$M$53</f>
        <v>0.27513943661803036</v>
      </c>
      <c r="O59" s="204">
        <f>$M$53</f>
        <v>0.27513943661803036</v>
      </c>
      <c r="P59" s="205">
        <f>$M$53</f>
        <v>0.27513943661803036</v>
      </c>
      <c r="Q59" s="204">
        <f>$M$53</f>
        <v>0.27513943661803036</v>
      </c>
      <c r="R59" s="206">
        <f>$M$53</f>
        <v>0.27513943661803036</v>
      </c>
      <c r="S59" s="207"/>
      <c r="T59" s="207"/>
      <c r="U59" s="207"/>
      <c r="V59" s="207"/>
      <c r="W59" s="208"/>
      <c r="X59" s="251"/>
      <c r="AC59" s="2"/>
      <c r="AD59" s="2"/>
    </row>
    <row r="60" spans="1:30" thickBot="1">
      <c r="B60" s="173"/>
      <c r="C60" s="173"/>
      <c r="D60" s="173"/>
      <c r="E60" s="173"/>
      <c r="F60" s="173"/>
      <c r="G60" s="174"/>
      <c r="H60" s="174"/>
      <c r="I60" s="174"/>
      <c r="J60" s="174"/>
      <c r="K60" s="474" t="s">
        <v>48</v>
      </c>
      <c r="L60" s="475"/>
      <c r="M60" s="202"/>
      <c r="N60" s="202"/>
      <c r="O60" s="209">
        <f>$N$53</f>
        <v>-1.5978597667238241E-2</v>
      </c>
      <c r="P60" s="210">
        <f>$N$53</f>
        <v>-1.5978597667238241E-2</v>
      </c>
      <c r="Q60" s="211">
        <f>$N$53</f>
        <v>-1.5978597667238241E-2</v>
      </c>
      <c r="R60" s="210">
        <f>$N$53</f>
        <v>-1.5978597667238241E-2</v>
      </c>
      <c r="S60" s="206">
        <f>$N$53</f>
        <v>-1.5978597667238241E-2</v>
      </c>
      <c r="T60" s="207"/>
      <c r="U60" s="207"/>
      <c r="V60" s="207"/>
      <c r="W60" s="208"/>
      <c r="X60" s="251"/>
      <c r="AC60" s="2"/>
      <c r="AD60" s="2"/>
    </row>
    <row r="61" spans="1:30" thickBot="1">
      <c r="B61" s="173"/>
      <c r="C61" s="173"/>
      <c r="D61" s="173"/>
      <c r="E61" s="173"/>
      <c r="F61" s="173"/>
      <c r="G61" s="174"/>
      <c r="H61" s="174"/>
      <c r="I61" s="174"/>
      <c r="J61" s="174"/>
      <c r="K61" s="474" t="s">
        <v>49</v>
      </c>
      <c r="L61" s="475"/>
      <c r="M61" s="207"/>
      <c r="N61" s="207"/>
      <c r="O61" s="202"/>
      <c r="P61" s="212">
        <f>$O$53</f>
        <v>1.0975869260555085E-3</v>
      </c>
      <c r="Q61" s="211">
        <f>$O$53</f>
        <v>1.0975869260555085E-3</v>
      </c>
      <c r="R61" s="210">
        <f>$O$53</f>
        <v>1.0975869260555085E-3</v>
      </c>
      <c r="S61" s="211">
        <f>$O$53</f>
        <v>1.0975869260555085E-3</v>
      </c>
      <c r="T61" s="213">
        <f>$O$53</f>
        <v>1.0975869260555085E-3</v>
      </c>
      <c r="U61" s="214"/>
      <c r="V61" s="207"/>
      <c r="W61" s="208"/>
      <c r="X61" s="251"/>
      <c r="AC61" s="2"/>
      <c r="AD61" s="2"/>
    </row>
    <row r="62" spans="1:30" thickBot="1">
      <c r="B62" s="173"/>
      <c r="C62" s="173"/>
      <c r="D62" s="173"/>
      <c r="E62" s="173"/>
      <c r="F62" s="173"/>
      <c r="G62" s="174"/>
      <c r="H62" s="174"/>
      <c r="I62" s="174"/>
      <c r="J62" s="174"/>
      <c r="K62" s="474" t="s">
        <v>32</v>
      </c>
      <c r="L62" s="475"/>
      <c r="M62" s="207"/>
      <c r="N62" s="207"/>
      <c r="O62" s="207"/>
      <c r="P62" s="202"/>
      <c r="Q62" s="209">
        <f>$P$53</f>
        <v>-1.0975932295961581E-3</v>
      </c>
      <c r="R62" s="211">
        <f>$P$53</f>
        <v>-1.0975932295961581E-3</v>
      </c>
      <c r="S62" s="215">
        <f>$P$53</f>
        <v>-1.0975932295961581E-3</v>
      </c>
      <c r="T62" s="210">
        <f>$P$53</f>
        <v>-1.0975932295961581E-3</v>
      </c>
      <c r="U62" s="216">
        <f>$P$53</f>
        <v>-1.0975932295961581E-3</v>
      </c>
      <c r="V62" s="214"/>
      <c r="W62" s="208"/>
      <c r="X62" s="251"/>
      <c r="AC62" s="2"/>
      <c r="AD62" s="2"/>
    </row>
    <row r="63" spans="1:30" thickBot="1">
      <c r="B63" s="173"/>
      <c r="C63" s="173"/>
      <c r="D63" s="173"/>
      <c r="E63" s="173"/>
      <c r="F63" s="173"/>
      <c r="G63" s="174"/>
      <c r="H63" s="174"/>
      <c r="I63" s="174"/>
      <c r="J63" s="174"/>
      <c r="K63" s="476" t="s">
        <v>50</v>
      </c>
      <c r="L63" s="477"/>
      <c r="M63" s="217"/>
      <c r="N63" s="217"/>
      <c r="O63" s="207"/>
      <c r="P63" s="217"/>
      <c r="Q63" s="202"/>
      <c r="R63" s="218">
        <f>+$Q$53</f>
        <v>-1.1327180985685104</v>
      </c>
      <c r="S63" s="215">
        <f>+$Q$53</f>
        <v>-1.1327180985685104</v>
      </c>
      <c r="T63" s="219">
        <f>+$Q$53</f>
        <v>-1.1327180985685104</v>
      </c>
      <c r="U63" s="220">
        <f>+$Q$53</f>
        <v>-1.1327180985685104</v>
      </c>
      <c r="V63" s="221">
        <f>+$Q$53</f>
        <v>-1.1327180985685104</v>
      </c>
      <c r="W63" s="208"/>
      <c r="X63" s="251"/>
      <c r="AC63" s="2"/>
      <c r="AD63" s="2"/>
    </row>
    <row r="64" spans="1:30" thickBot="1">
      <c r="B64" s="173"/>
      <c r="C64" s="173"/>
      <c r="D64" s="173"/>
      <c r="E64" s="173"/>
      <c r="F64" s="173"/>
      <c r="G64" s="174"/>
      <c r="H64" s="174"/>
      <c r="I64" s="174"/>
      <c r="J64" s="174"/>
      <c r="K64" s="222" t="s">
        <v>64</v>
      </c>
      <c r="L64" s="223"/>
      <c r="M64" s="224"/>
      <c r="N64" s="224"/>
      <c r="O64" s="224"/>
      <c r="P64" s="224"/>
      <c r="Q64" s="224"/>
      <c r="R64" s="225">
        <f>+SUM(R59:R63)</f>
        <v>-0.87355726592125893</v>
      </c>
      <c r="S64" s="225">
        <f>+SUM(S60:S63)</f>
        <v>-1.1486967025392893</v>
      </c>
      <c r="T64" s="225">
        <f>+SUM(T61:T63)</f>
        <v>-1.1327181048720509</v>
      </c>
      <c r="U64" s="225">
        <f>+SUM(U62:U63)</f>
        <v>-1.1338156917981066</v>
      </c>
      <c r="V64" s="225">
        <f>+SUM(V63)</f>
        <v>-1.1327180985685104</v>
      </c>
      <c r="W64" s="225">
        <f>+SUM(R64:V64)</f>
        <v>-5.4215058636992168</v>
      </c>
      <c r="X64" s="262"/>
      <c r="AD64" s="2"/>
    </row>
    <row r="65" spans="1:30" thickBot="1">
      <c r="B65" s="173"/>
      <c r="C65" s="173"/>
      <c r="D65" s="173"/>
      <c r="E65" s="173"/>
      <c r="F65" s="173"/>
      <c r="G65" s="174"/>
      <c r="H65" s="174"/>
      <c r="I65" s="174"/>
      <c r="J65" s="174"/>
      <c r="K65" s="226"/>
      <c r="L65" s="226"/>
      <c r="M65" s="226"/>
      <c r="N65" s="226"/>
      <c r="O65" s="226"/>
      <c r="P65" s="226"/>
      <c r="Q65" s="226"/>
      <c r="R65" s="227"/>
      <c r="S65" s="227"/>
      <c r="T65" s="227"/>
      <c r="U65" s="227"/>
      <c r="V65" s="227"/>
      <c r="W65" s="251"/>
      <c r="X65" s="251"/>
      <c r="AD65" s="2"/>
    </row>
    <row r="66" spans="1:30" thickBot="1">
      <c r="B66" s="173"/>
      <c r="C66" s="173"/>
      <c r="D66" s="173"/>
      <c r="E66" s="173"/>
      <c r="F66" s="173"/>
      <c r="G66" s="173"/>
      <c r="H66" s="173"/>
      <c r="I66" s="173"/>
      <c r="J66" s="173"/>
      <c r="K66" s="228" t="s">
        <v>65</v>
      </c>
      <c r="L66" s="229"/>
      <c r="M66" s="230"/>
      <c r="N66" s="230"/>
      <c r="O66" s="230"/>
      <c r="P66" s="230"/>
      <c r="Q66" s="230"/>
      <c r="R66" s="225">
        <f>R64</f>
        <v>-0.87355726592125893</v>
      </c>
      <c r="S66" s="225">
        <f>S64</f>
        <v>-1.1486967025392893</v>
      </c>
      <c r="T66" s="225">
        <f>T64</f>
        <v>-1.1327181048720509</v>
      </c>
      <c r="U66" s="225">
        <f>U64</f>
        <v>-1.1338156917981066</v>
      </c>
      <c r="V66" s="225">
        <f>V64</f>
        <v>-1.1327180985685104</v>
      </c>
      <c r="W66" s="225">
        <f>+SUM(R66:V66)</f>
        <v>-5.4215058636992168</v>
      </c>
      <c r="X66" s="251"/>
      <c r="AD66" s="2"/>
    </row>
    <row r="67" spans="1:30" thickBot="1">
      <c r="B67" s="251"/>
      <c r="C67" s="251"/>
      <c r="D67" s="251"/>
      <c r="E67" s="251"/>
      <c r="F67" s="251"/>
      <c r="G67" s="251"/>
      <c r="H67" s="251"/>
      <c r="I67" s="231"/>
      <c r="J67" s="231"/>
      <c r="K67" s="231"/>
      <c r="L67" s="231"/>
      <c r="M67" s="232"/>
      <c r="N67" s="231"/>
      <c r="O67" s="231"/>
      <c r="P67" s="231"/>
      <c r="Q67" s="232"/>
      <c r="R67" s="232"/>
      <c r="S67" s="232"/>
      <c r="T67" s="233"/>
      <c r="U67" s="233"/>
      <c r="V67" s="251"/>
      <c r="W67" s="251"/>
      <c r="X67" s="251"/>
    </row>
    <row r="68" spans="1:30" s="239" customFormat="1" ht="19" thickBot="1">
      <c r="A68" s="86"/>
      <c r="B68" s="234" t="s">
        <v>36</v>
      </c>
      <c r="C68" s="235"/>
      <c r="D68" s="235"/>
      <c r="E68" s="235"/>
      <c r="F68" s="235"/>
      <c r="G68" s="235"/>
      <c r="H68" s="235"/>
      <c r="I68" s="236"/>
      <c r="J68" s="237"/>
      <c r="K68" s="237"/>
      <c r="L68" s="237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51"/>
      <c r="Y68" s="251"/>
      <c r="Z68" s="251"/>
      <c r="AA68" s="251"/>
      <c r="AB68" s="251"/>
      <c r="AC68" s="251"/>
      <c r="AD68" s="251"/>
    </row>
    <row r="69" spans="1:30" ht="14.5">
      <c r="B69" s="15"/>
      <c r="C69" s="478" t="s">
        <v>2</v>
      </c>
      <c r="D69" s="479"/>
      <c r="E69" s="480" t="s">
        <v>34</v>
      </c>
      <c r="F69" s="480"/>
      <c r="G69" s="480"/>
      <c r="H69" s="480"/>
      <c r="I69" s="481"/>
      <c r="J69" s="231"/>
      <c r="K69" s="231"/>
      <c r="L69" s="231"/>
      <c r="M69" s="16"/>
      <c r="N69" s="17"/>
      <c r="O69" s="17"/>
      <c r="P69" s="17"/>
      <c r="Q69" s="16"/>
      <c r="R69" s="16"/>
      <c r="S69" s="16"/>
      <c r="T69" s="233"/>
      <c r="U69" s="233"/>
      <c r="V69" s="251"/>
      <c r="W69" s="251"/>
      <c r="X69" s="251"/>
    </row>
    <row r="70" spans="1:30" s="101" customFormat="1" thickBot="1">
      <c r="A70" s="86"/>
      <c r="B70" s="15"/>
      <c r="C70" s="469" t="s">
        <v>60</v>
      </c>
      <c r="D70" s="470"/>
      <c r="E70" s="470"/>
      <c r="F70" s="470"/>
      <c r="G70" s="470"/>
      <c r="H70" s="470"/>
      <c r="I70" s="471"/>
      <c r="Y70" s="251"/>
      <c r="Z70" s="251"/>
      <c r="AA70" s="251"/>
      <c r="AB70" s="251"/>
      <c r="AC70" s="251"/>
      <c r="AD70" s="251"/>
    </row>
    <row r="71" spans="1:30" thickBot="1">
      <c r="B71" s="240"/>
      <c r="C71" s="241" t="s">
        <v>32</v>
      </c>
      <c r="D71" s="242" t="s">
        <v>50</v>
      </c>
      <c r="E71" s="243" t="s">
        <v>1</v>
      </c>
      <c r="F71" s="244" t="s">
        <v>51</v>
      </c>
      <c r="G71" s="244" t="s">
        <v>52</v>
      </c>
      <c r="H71" s="244" t="s">
        <v>53</v>
      </c>
      <c r="I71" s="245" t="s">
        <v>4</v>
      </c>
      <c r="J71" s="16"/>
      <c r="K71" s="16"/>
      <c r="L71" s="16"/>
      <c r="M71" s="166"/>
      <c r="N71" s="166"/>
      <c r="O71" s="166"/>
      <c r="P71" s="233"/>
      <c r="Q71" s="233"/>
      <c r="R71" s="251"/>
      <c r="S71" s="251"/>
      <c r="T71" s="251"/>
      <c r="U71" s="251"/>
      <c r="V71" s="251"/>
      <c r="W71" s="251"/>
      <c r="X71" s="251"/>
    </row>
    <row r="72" spans="1:30" ht="14.5">
      <c r="B72" s="246" t="s">
        <v>37</v>
      </c>
      <c r="C72" s="18"/>
      <c r="D72" s="18"/>
      <c r="E72" s="18"/>
      <c r="F72" s="19"/>
      <c r="G72" s="19"/>
      <c r="H72" s="19"/>
      <c r="I72" s="40"/>
      <c r="J72" s="231"/>
      <c r="K72" s="231"/>
      <c r="L72" s="231"/>
      <c r="M72" s="17"/>
      <c r="N72" s="17"/>
      <c r="O72" s="17"/>
      <c r="P72" s="233"/>
      <c r="Q72" s="233"/>
      <c r="R72" s="251"/>
      <c r="S72" s="251"/>
      <c r="T72" s="251"/>
      <c r="U72" s="251"/>
      <c r="V72" s="251"/>
      <c r="W72" s="251"/>
      <c r="X72" s="251"/>
    </row>
    <row r="73" spans="1:30" ht="14.5">
      <c r="B73" s="247" t="s">
        <v>38</v>
      </c>
      <c r="C73" s="83"/>
      <c r="D73" s="83"/>
      <c r="E73" s="83"/>
      <c r="F73" s="84"/>
      <c r="G73" s="84"/>
      <c r="H73" s="84"/>
      <c r="I73" s="85"/>
      <c r="J73" s="231"/>
      <c r="K73" s="231"/>
      <c r="L73" s="231"/>
      <c r="M73" s="16"/>
      <c r="N73" s="16"/>
      <c r="O73" s="16"/>
      <c r="P73" s="248"/>
      <c r="Q73" s="233"/>
      <c r="R73" s="251"/>
      <c r="S73" s="251"/>
      <c r="T73" s="251"/>
      <c r="U73" s="251"/>
      <c r="V73" s="251"/>
      <c r="W73" s="251"/>
      <c r="X73" s="251"/>
    </row>
    <row r="74" spans="1:30" ht="14.5">
      <c r="B74" s="20" t="s">
        <v>20</v>
      </c>
      <c r="C74" s="21"/>
      <c r="D74" s="21"/>
      <c r="E74" s="21"/>
      <c r="F74" s="22"/>
      <c r="G74" s="22"/>
      <c r="H74" s="22"/>
      <c r="I74" s="41"/>
      <c r="J74" s="231"/>
      <c r="K74" s="231"/>
      <c r="L74" s="231"/>
      <c r="M74" s="231"/>
      <c r="N74" s="231"/>
      <c r="O74" s="231"/>
      <c r="P74" s="233"/>
      <c r="Q74" s="248"/>
      <c r="R74" s="251"/>
      <c r="S74" s="251"/>
      <c r="T74" s="251"/>
      <c r="U74" s="251"/>
      <c r="V74" s="251"/>
      <c r="W74" s="251"/>
      <c r="X74" s="251"/>
    </row>
    <row r="75" spans="1:30" ht="14.5">
      <c r="B75" s="23" t="s">
        <v>21</v>
      </c>
      <c r="C75" s="21"/>
      <c r="D75" s="21"/>
      <c r="E75" s="21"/>
      <c r="F75" s="22"/>
      <c r="G75" s="22"/>
      <c r="H75" s="22"/>
      <c r="I75" s="41"/>
      <c r="M75" s="231"/>
      <c r="N75" s="231"/>
      <c r="O75" s="231"/>
      <c r="P75" s="233"/>
      <c r="Q75" s="233"/>
      <c r="R75" s="251"/>
      <c r="S75" s="251"/>
      <c r="T75" s="251"/>
      <c r="U75" s="251"/>
      <c r="V75" s="251"/>
      <c r="W75" s="251"/>
      <c r="X75" s="251"/>
    </row>
    <row r="76" spans="1:30" ht="14.5">
      <c r="B76" s="23" t="s">
        <v>39</v>
      </c>
      <c r="C76" s="21"/>
      <c r="D76" s="21"/>
      <c r="E76" s="21"/>
      <c r="F76" s="22"/>
      <c r="G76" s="22"/>
      <c r="H76" s="22"/>
      <c r="I76" s="41"/>
      <c r="M76" s="231"/>
      <c r="N76" s="231"/>
      <c r="O76" s="231"/>
      <c r="P76" s="233"/>
      <c r="Q76" s="233"/>
      <c r="R76" s="251"/>
      <c r="S76" s="251"/>
      <c r="T76" s="251"/>
      <c r="U76" s="251"/>
      <c r="V76" s="251"/>
      <c r="W76" s="251"/>
      <c r="X76" s="251"/>
    </row>
    <row r="77" spans="1:30" thickBot="1">
      <c r="B77" s="23"/>
      <c r="C77" s="21"/>
      <c r="D77" s="21"/>
      <c r="E77" s="21"/>
      <c r="F77" s="22"/>
      <c r="G77" s="22"/>
      <c r="H77" s="22"/>
      <c r="I77" s="41"/>
      <c r="Q77" s="233"/>
      <c r="R77" s="251"/>
      <c r="S77" s="251"/>
      <c r="T77" s="251"/>
      <c r="U77" s="251"/>
      <c r="V77" s="251"/>
      <c r="W77" s="251"/>
      <c r="X77" s="251"/>
    </row>
    <row r="78" spans="1:30" thickBot="1">
      <c r="B78" s="249" t="s">
        <v>66</v>
      </c>
      <c r="C78" s="225">
        <f t="shared" ref="C78:D78" si="17">+C72-SUM(C74:C77)</f>
        <v>0</v>
      </c>
      <c r="D78" s="225">
        <f t="shared" si="17"/>
        <v>0</v>
      </c>
      <c r="E78" s="225">
        <f>+E72-SUM(E74:E77)</f>
        <v>0</v>
      </c>
      <c r="F78" s="225">
        <f>+F72-SUM(F74:F77)</f>
        <v>0</v>
      </c>
      <c r="G78" s="225">
        <f>+G72-SUM(G74:G77)</f>
        <v>0</v>
      </c>
      <c r="H78" s="225">
        <f>+H72-SUM(H74:H77)</f>
        <v>0</v>
      </c>
      <c r="I78" s="225">
        <f>+I72-SUM(I74:I77)</f>
        <v>0</v>
      </c>
      <c r="W78" s="251"/>
      <c r="X78" s="251"/>
    </row>
    <row r="79" spans="1:30" ht="14.5"/>
    <row r="80" spans="1:30" ht="14.5"/>
    <row r="81" ht="14.5"/>
    <row r="82" ht="14.5"/>
  </sheetData>
  <mergeCells count="27">
    <mergeCell ref="C70:I70"/>
    <mergeCell ref="K59:L59"/>
    <mergeCell ref="K60:L60"/>
    <mergeCell ref="K61:L61"/>
    <mergeCell ref="K62:L62"/>
    <mergeCell ref="K63:L63"/>
    <mergeCell ref="C69:D69"/>
    <mergeCell ref="E69:I69"/>
    <mergeCell ref="M56:Q56"/>
    <mergeCell ref="R56:V56"/>
    <mergeCell ref="C27:D27"/>
    <mergeCell ref="E27:I27"/>
    <mergeCell ref="K27:L27"/>
    <mergeCell ref="M27:Q27"/>
    <mergeCell ref="C39:I39"/>
    <mergeCell ref="K39:Q39"/>
    <mergeCell ref="C40:D40"/>
    <mergeCell ref="E40:I40"/>
    <mergeCell ref="K40:L40"/>
    <mergeCell ref="M40:Q40"/>
    <mergeCell ref="S46:T50"/>
    <mergeCell ref="B8:M8"/>
    <mergeCell ref="C13:L13"/>
    <mergeCell ref="M13:N13"/>
    <mergeCell ref="C26:D26"/>
    <mergeCell ref="E26:I26"/>
    <mergeCell ref="K26:Q26"/>
  </mergeCells>
  <conditionalFormatting sqref="G72:G77">
    <cfRule type="expression" dxfId="16" priority="8">
      <formula>(dms_FRCPlength_Num)&lt;3</formula>
    </cfRule>
  </conditionalFormatting>
  <conditionalFormatting sqref="H72:H77">
    <cfRule type="expression" dxfId="15" priority="6">
      <formula>(dms_FRCPlength_Num)&lt;4</formula>
    </cfRule>
    <cfRule type="expression" dxfId="14" priority="7">
      <formula>(dms_FRCPlength_Num)&lt;4</formula>
    </cfRule>
  </conditionalFormatting>
  <conditionalFormatting sqref="I72:I77">
    <cfRule type="expression" dxfId="13" priority="5">
      <formula>(dms_FRCPlength_Num)&lt;5</formula>
    </cfRule>
  </conditionalFormatting>
  <conditionalFormatting sqref="C31:I35 C42:H42 C44:H49">
    <cfRule type="expression" dxfId="12" priority="3">
      <formula>dms_TradingName = "Endeavour Energy"</formula>
    </cfRule>
    <cfRule type="expression" dxfId="11" priority="4">
      <formula>dms_TradingName = "TasNetworks (T)"</formula>
    </cfRule>
  </conditionalFormatting>
  <conditionalFormatting sqref="C29:I29">
    <cfRule type="expression" dxfId="10" priority="1">
      <formula>dms_TradingName = "Endeavour Energy"</formula>
    </cfRule>
    <cfRule type="expression" dxfId="9" priority="2">
      <formula>dms_TradingName = "TasNetworks (T)"</formula>
    </cfRule>
  </conditionalFormatting>
  <dataValidations count="5">
    <dataValidation type="custom" allowBlank="1" showInputMessage="1" showErrorMessage="1" error="Must be a number" promptTitle="Excluded costs" prompt="Enter value in $million." sqref="E74:I77" xr:uid="{3D2D7A54-539E-44B8-8C17-19861FA2D3D5}">
      <formula1>ISNUMBER(E74)</formula1>
    </dataValidation>
    <dataValidation type="textLength" operator="lessThanOrEqual" allowBlank="1" showInputMessage="1" showErrorMessage="1" prompt="Enter category proposed for exclusion." sqref="B75:B77" xr:uid="{486BC3AB-E5D0-4350-9587-0C2712EAD842}">
      <formula1>150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9:I29" xr:uid="{6524DF68-BF32-4ACC-BA02-76B3DA08EBFF}">
      <formula1>ISNUMBER(C29)</formula1>
    </dataValidation>
    <dataValidation type="list" allowBlank="1" showInputMessage="1" showErrorMessage="1" sqref="R50" xr:uid="{AF8EE4BC-B9D2-4DEF-BEA6-D8BB2AB92B47}">
      <formula1>$M$41:$P$41</formula1>
    </dataValidation>
    <dataValidation type="list" allowBlank="1" showInputMessage="1" showErrorMessage="1" sqref="C23" xr:uid="{6C9D562E-ABEA-47A0-8E28-C2278FE521CA}">
      <formula1>$E$14:$I$14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50" min="1" max="25" man="1"/>
  </rowBreaks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18DB-0572-4FF4-9648-F243B7BD8E07}">
  <sheetPr codeName="Sheet1">
    <tabColor theme="7" tint="0.79998168889431442"/>
  </sheetPr>
  <dimension ref="A1:JZ67"/>
  <sheetViews>
    <sheetView zoomScale="85" zoomScaleNormal="85" workbookViewId="0">
      <selection activeCell="E55" sqref="E55"/>
    </sheetView>
  </sheetViews>
  <sheetFormatPr defaultColWidth="9.1796875" defaultRowHeight="14.5"/>
  <cols>
    <col min="1" max="1" width="6.1796875" style="86" customWidth="1"/>
    <col min="2" max="2" width="65.7265625" style="2" customWidth="1"/>
    <col min="3" max="6" width="12.26953125" style="2" customWidth="1"/>
    <col min="7" max="7" width="14.7265625" style="2" customWidth="1"/>
    <col min="8" max="23" width="12.26953125" style="2" customWidth="1"/>
    <col min="24" max="16384" width="9.1796875" style="2"/>
  </cols>
  <sheetData>
    <row r="1" spans="1:286" ht="15" thickBot="1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86" s="251" customFormat="1" ht="16" thickBot="1">
      <c r="A2" s="86"/>
      <c r="B2" s="263" t="s">
        <v>8</v>
      </c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286" s="101" customFormat="1" ht="15.5">
      <c r="A3" s="86"/>
      <c r="B3" s="264"/>
      <c r="C3" s="493" t="s">
        <v>9</v>
      </c>
      <c r="D3" s="494"/>
      <c r="E3" s="494"/>
      <c r="F3" s="494"/>
      <c r="G3" s="494"/>
      <c r="H3" s="494"/>
      <c r="I3" s="494"/>
      <c r="J3" s="494"/>
      <c r="K3" s="494"/>
      <c r="L3" s="493" t="s">
        <v>10</v>
      </c>
      <c r="M3" s="495"/>
      <c r="N3" s="49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286" ht="16" thickBot="1">
      <c r="B4" s="264"/>
      <c r="C4" s="103" t="s">
        <v>41</v>
      </c>
      <c r="D4" s="103" t="s">
        <v>42</v>
      </c>
      <c r="E4" s="104" t="s">
        <v>43</v>
      </c>
      <c r="F4" s="104" t="s">
        <v>44</v>
      </c>
      <c r="G4" s="104" t="s">
        <v>45</v>
      </c>
      <c r="H4" s="104" t="s">
        <v>15</v>
      </c>
      <c r="I4" s="104" t="s">
        <v>46</v>
      </c>
      <c r="J4" s="104" t="s">
        <v>47</v>
      </c>
      <c r="K4" s="104" t="s">
        <v>48</v>
      </c>
      <c r="L4" s="104" t="s">
        <v>49</v>
      </c>
      <c r="M4" s="104" t="s">
        <v>32</v>
      </c>
      <c r="N4" s="105" t="s">
        <v>50</v>
      </c>
    </row>
    <row r="5" spans="1:286">
      <c r="B5" s="252" t="s">
        <v>67</v>
      </c>
      <c r="C5" s="265"/>
      <c r="D5" s="266"/>
      <c r="E5" s="267"/>
      <c r="F5" s="267"/>
      <c r="G5" s="268"/>
      <c r="H5" s="268"/>
      <c r="I5" s="268"/>
      <c r="J5" s="269"/>
      <c r="K5" s="269"/>
      <c r="L5" s="269"/>
      <c r="M5" s="270"/>
      <c r="N5" s="271"/>
    </row>
    <row r="6" spans="1:286">
      <c r="B6" s="106" t="s">
        <v>68</v>
      </c>
      <c r="C6" s="272"/>
      <c r="D6" s="273">
        <v>105.9</v>
      </c>
      <c r="E6" s="273">
        <v>107.5</v>
      </c>
      <c r="F6" s="273">
        <v>108.6</v>
      </c>
      <c r="G6" s="273">
        <v>110.7</v>
      </c>
      <c r="H6" s="273">
        <v>113</v>
      </c>
      <c r="I6" s="273">
        <v>114.8</v>
      </c>
      <c r="J6" s="273">
        <v>114.4</v>
      </c>
      <c r="K6" s="273">
        <v>118.8</v>
      </c>
      <c r="L6" s="273">
        <v>126.1</v>
      </c>
      <c r="M6" s="273">
        <v>133.69999999999999</v>
      </c>
      <c r="N6" s="274">
        <v>138.51319999999998</v>
      </c>
    </row>
    <row r="7" spans="1:286">
      <c r="B7" s="108" t="s">
        <v>12</v>
      </c>
      <c r="C7" s="109"/>
      <c r="D7" s="275"/>
      <c r="E7" s="4">
        <f t="shared" ref="E7:N7" si="0">+E6/D6-1</f>
        <v>1.5108593012275628E-2</v>
      </c>
      <c r="F7" s="4">
        <f t="shared" si="0"/>
        <v>1.0232558139534831E-2</v>
      </c>
      <c r="G7" s="4">
        <f t="shared" si="0"/>
        <v>1.9337016574585641E-2</v>
      </c>
      <c r="H7" s="4">
        <f t="shared" si="0"/>
        <v>2.0776874435411097E-2</v>
      </c>
      <c r="I7" s="4">
        <f t="shared" si="0"/>
        <v>1.5929203539823078E-2</v>
      </c>
      <c r="J7" s="4">
        <f t="shared" si="0"/>
        <v>-3.4843205574912606E-3</v>
      </c>
      <c r="K7" s="4">
        <f t="shared" si="0"/>
        <v>3.8461538461538325E-2</v>
      </c>
      <c r="L7" s="4">
        <f t="shared" si="0"/>
        <v>6.1447811447811418E-2</v>
      </c>
      <c r="M7" s="4">
        <f t="shared" si="0"/>
        <v>6.0269627279936566E-2</v>
      </c>
      <c r="N7" s="33">
        <f t="shared" si="0"/>
        <v>3.6000000000000032E-2</v>
      </c>
    </row>
    <row r="8" spans="1:286" ht="15" thickBot="1">
      <c r="B8" s="111" t="s">
        <v>56</v>
      </c>
      <c r="C8" s="112"/>
      <c r="D8" s="5">
        <f>E8/(1+E7)</f>
        <v>0.76454807195270913</v>
      </c>
      <c r="E8" s="6">
        <f t="shared" ref="E8:M8" si="1">F8/(1+F7)</f>
        <v>0.7760993176101626</v>
      </c>
      <c r="F8" s="6">
        <f t="shared" si="1"/>
        <v>0.78404079899966195</v>
      </c>
      <c r="G8" s="6">
        <f t="shared" si="1"/>
        <v>0.79920180892506976</v>
      </c>
      <c r="H8" s="6">
        <f t="shared" si="1"/>
        <v>0.81580672455765935</v>
      </c>
      <c r="I8" s="6">
        <f t="shared" si="1"/>
        <v>0.82880187592229471</v>
      </c>
      <c r="J8" s="6">
        <f t="shared" si="1"/>
        <v>0.82591406450793137</v>
      </c>
      <c r="K8" s="6">
        <f t="shared" si="1"/>
        <v>0.85767999006592865</v>
      </c>
      <c r="L8" s="6">
        <f t="shared" si="1"/>
        <v>0.91038254837806065</v>
      </c>
      <c r="M8" s="6">
        <f t="shared" si="1"/>
        <v>0.96525096525096521</v>
      </c>
      <c r="N8" s="34">
        <v>1</v>
      </c>
    </row>
    <row r="9" spans="1:286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86">
      <c r="B10" s="86"/>
      <c r="C10" s="86"/>
      <c r="D10" s="86"/>
      <c r="E10" s="86"/>
      <c r="F10" s="86"/>
      <c r="G10" s="86"/>
      <c r="H10" s="86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86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86" s="119" customFormat="1" ht="18.5">
      <c r="A12" s="86"/>
      <c r="B12" s="276" t="s">
        <v>13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</row>
    <row r="13" spans="1:286" ht="15" thickBo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86" s="251" customFormat="1" ht="15" thickBot="1">
      <c r="A14" s="86"/>
      <c r="B14" s="120" t="s">
        <v>69</v>
      </c>
      <c r="C14" s="278" t="s">
        <v>15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</row>
    <row r="15" spans="1:286" s="125" customFormat="1" ht="16" thickBot="1">
      <c r="A15" s="86"/>
      <c r="B15" s="279" t="s">
        <v>16</v>
      </c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1"/>
      <c r="N15" s="281"/>
      <c r="O15" s="281"/>
      <c r="P15" s="281"/>
      <c r="Q15" s="281"/>
      <c r="R15" s="281"/>
      <c r="S15" s="281"/>
      <c r="T15" s="282"/>
      <c r="U15" s="2"/>
      <c r="V15" s="2"/>
      <c r="W15" s="2"/>
      <c r="X15" s="2"/>
      <c r="Y15" s="2"/>
      <c r="Z15" s="2"/>
    </row>
    <row r="16" spans="1:286">
      <c r="B16" s="8"/>
      <c r="C16" s="444" t="s">
        <v>58</v>
      </c>
      <c r="D16" s="446"/>
      <c r="E16" s="446"/>
      <c r="F16" s="446"/>
      <c r="G16" s="445"/>
      <c r="H16" s="497" t="s">
        <v>59</v>
      </c>
      <c r="I16" s="446"/>
      <c r="J16" s="446"/>
      <c r="K16" s="446"/>
      <c r="L16" s="447"/>
      <c r="M16" s="8"/>
      <c r="N16" s="448" t="s">
        <v>60</v>
      </c>
      <c r="O16" s="449"/>
      <c r="P16" s="449"/>
      <c r="Q16" s="449"/>
      <c r="R16" s="449"/>
      <c r="S16" s="449"/>
      <c r="T16" s="450"/>
    </row>
    <row r="17" spans="1:29" ht="15" thickBot="1">
      <c r="B17" s="8"/>
      <c r="C17" s="482" t="s">
        <v>3</v>
      </c>
      <c r="D17" s="483"/>
      <c r="E17" s="483"/>
      <c r="F17" s="483"/>
      <c r="G17" s="484"/>
      <c r="H17" s="485" t="s">
        <v>17</v>
      </c>
      <c r="I17" s="486"/>
      <c r="J17" s="486"/>
      <c r="K17" s="486"/>
      <c r="L17" s="487"/>
      <c r="M17" s="8"/>
      <c r="N17" s="488" t="s">
        <v>3</v>
      </c>
      <c r="O17" s="489"/>
      <c r="P17" s="490" t="s">
        <v>17</v>
      </c>
      <c r="Q17" s="491"/>
      <c r="R17" s="491"/>
      <c r="S17" s="491"/>
      <c r="T17" s="492"/>
    </row>
    <row r="18" spans="1:29" ht="15" thickBot="1">
      <c r="B18" s="8"/>
      <c r="C18" s="126" t="str">
        <f t="shared" ref="C18:K18" si="2">E4</f>
        <v>2014-15</v>
      </c>
      <c r="D18" s="283" t="str">
        <f t="shared" si="2"/>
        <v>2015-16</v>
      </c>
      <c r="E18" s="283" t="str">
        <f t="shared" si="2"/>
        <v>2016-17</v>
      </c>
      <c r="F18" s="283" t="str">
        <f t="shared" si="2"/>
        <v>2017-18</v>
      </c>
      <c r="G18" s="127" t="str">
        <f t="shared" si="2"/>
        <v>2018-19</v>
      </c>
      <c r="H18" s="128" t="str">
        <f t="shared" si="2"/>
        <v>2019-20</v>
      </c>
      <c r="I18" s="129" t="str">
        <f t="shared" si="2"/>
        <v>2020-21</v>
      </c>
      <c r="J18" s="129" t="str">
        <f t="shared" si="2"/>
        <v>2021-22</v>
      </c>
      <c r="K18" s="129" t="str">
        <f t="shared" si="2"/>
        <v>2022-23</v>
      </c>
      <c r="L18" s="130" t="str">
        <f>N4</f>
        <v>2023-24</v>
      </c>
      <c r="M18" s="8"/>
      <c r="N18" s="284" t="str">
        <f>dms_PRCP_BaseYear</f>
        <v>2017-18</v>
      </c>
      <c r="O18" s="285" t="str">
        <f>G18</f>
        <v>2018-19</v>
      </c>
      <c r="P18" s="286" t="str">
        <f t="shared" ref="P18:T18" si="3">H18</f>
        <v>2019-20</v>
      </c>
      <c r="Q18" s="287" t="str">
        <f t="shared" si="3"/>
        <v>2020-21</v>
      </c>
      <c r="R18" s="287" t="str">
        <f t="shared" si="3"/>
        <v>2021-22</v>
      </c>
      <c r="S18" s="287" t="str">
        <f t="shared" si="3"/>
        <v>2022-23</v>
      </c>
      <c r="T18" s="288" t="str">
        <f t="shared" si="3"/>
        <v>2023-24</v>
      </c>
    </row>
    <row r="19" spans="1:29">
      <c r="B19" s="131" t="s">
        <v>18</v>
      </c>
      <c r="C19" s="289"/>
      <c r="D19" s="290"/>
      <c r="E19" s="290"/>
      <c r="F19" s="290">
        <v>330.21881004366264</v>
      </c>
      <c r="G19" s="291">
        <v>333.93405830722998</v>
      </c>
      <c r="H19" s="292">
        <v>386.62105415896849</v>
      </c>
      <c r="I19" s="293">
        <v>368.66351388854468</v>
      </c>
      <c r="J19" s="293">
        <v>357.43033025819386</v>
      </c>
      <c r="K19" s="293">
        <v>338.94776268037208</v>
      </c>
      <c r="L19" s="294">
        <v>307.07656864482209</v>
      </c>
      <c r="M19" s="8"/>
      <c r="N19" s="295">
        <f>+LOOKUP(dms_PRCP_BaseYear,C$18:G$18,C19:G19)/$D$8</f>
        <v>431.91373068309593</v>
      </c>
      <c r="O19" s="296">
        <f t="shared" ref="O19:O27" si="4">+G19/$D$8</f>
        <v>436.77313508140708</v>
      </c>
      <c r="P19" s="297">
        <f>+H19/$I$8</f>
        <v>466.4818762973174</v>
      </c>
      <c r="Q19" s="298">
        <f>+I19/$I$8</f>
        <v>444.81500898908337</v>
      </c>
      <c r="R19" s="298">
        <f>+J19/$I$8</f>
        <v>431.26148798884373</v>
      </c>
      <c r="S19" s="298">
        <f>+K19/$I$8</f>
        <v>408.96114322037386</v>
      </c>
      <c r="T19" s="299">
        <f>+L19/$I$8</f>
        <v>370.50660425099278</v>
      </c>
    </row>
    <row r="20" spans="1:29">
      <c r="B20" s="132" t="s">
        <v>19</v>
      </c>
      <c r="C20" s="300"/>
      <c r="D20" s="301"/>
      <c r="E20" s="301"/>
      <c r="F20" s="301"/>
      <c r="G20" s="302"/>
      <c r="H20" s="303"/>
      <c r="I20" s="304"/>
      <c r="J20" s="304"/>
      <c r="K20" s="304"/>
      <c r="L20" s="305"/>
      <c r="M20" s="8"/>
      <c r="N20" s="306"/>
      <c r="O20" s="307"/>
      <c r="P20" s="308"/>
      <c r="Q20" s="309"/>
      <c r="R20" s="309"/>
      <c r="S20" s="309"/>
      <c r="T20" s="310"/>
    </row>
    <row r="21" spans="1:29">
      <c r="B21" s="311" t="s">
        <v>20</v>
      </c>
      <c r="C21" s="312"/>
      <c r="D21" s="313"/>
      <c r="E21" s="313"/>
      <c r="F21" s="314">
        <v>-3.8305694267686392</v>
      </c>
      <c r="G21" s="315">
        <v>-3.9197986142542698</v>
      </c>
      <c r="H21" s="316">
        <v>-3.9926105620233887</v>
      </c>
      <c r="I21" s="317">
        <v>-4.1004788877014615</v>
      </c>
      <c r="J21" s="317">
        <v>-4.1491769318263225</v>
      </c>
      <c r="K21" s="317">
        <v>-4.1860621292065741</v>
      </c>
      <c r="L21" s="318">
        <v>-4.20513373891011</v>
      </c>
      <c r="M21" s="8"/>
      <c r="N21" s="319">
        <f t="shared" ref="N21:N26" si="5">+LOOKUP(dms_PRCP_BaseYear,C$18:G$18,C21:G21)/$D$8</f>
        <v>-5.0102401239271952</v>
      </c>
      <c r="O21" s="320">
        <f t="shared" si="4"/>
        <v>-5.1269485308397034</v>
      </c>
      <c r="P21" s="321">
        <f>H21/$I$8</f>
        <v>-4.8173280949447568</v>
      </c>
      <c r="Q21" s="321">
        <f t="shared" ref="Q21:T27" si="6">I21/$I$8</f>
        <v>-4.9474778072122829</v>
      </c>
      <c r="R21" s="321">
        <f t="shared" si="6"/>
        <v>-5.0062349668418626</v>
      </c>
      <c r="S21" s="321">
        <f t="shared" si="6"/>
        <v>-5.0507392065785375</v>
      </c>
      <c r="T21" s="322">
        <f t="shared" si="6"/>
        <v>-5.0737502665888838</v>
      </c>
    </row>
    <row r="22" spans="1:29">
      <c r="B22" s="311" t="s">
        <v>70</v>
      </c>
      <c r="C22" s="312"/>
      <c r="D22" s="313"/>
      <c r="E22" s="323"/>
      <c r="F22" s="313"/>
      <c r="G22" s="324"/>
      <c r="H22" s="316"/>
      <c r="I22" s="317"/>
      <c r="J22" s="317"/>
      <c r="K22" s="317"/>
      <c r="L22" s="318"/>
      <c r="M22" s="8"/>
      <c r="N22" s="319">
        <f t="shared" si="5"/>
        <v>0</v>
      </c>
      <c r="O22" s="320">
        <f t="shared" si="4"/>
        <v>0</v>
      </c>
      <c r="P22" s="321">
        <f t="shared" ref="P22:P27" si="7">H22/$I$8</f>
        <v>0</v>
      </c>
      <c r="Q22" s="321">
        <f t="shared" si="6"/>
        <v>0</v>
      </c>
      <c r="R22" s="321">
        <f t="shared" si="6"/>
        <v>0</v>
      </c>
      <c r="S22" s="321">
        <f t="shared" si="6"/>
        <v>0</v>
      </c>
      <c r="T22" s="322">
        <f t="shared" si="6"/>
        <v>0</v>
      </c>
    </row>
    <row r="23" spans="1:29">
      <c r="B23" s="325"/>
      <c r="C23" s="312"/>
      <c r="D23" s="313"/>
      <c r="E23" s="313"/>
      <c r="F23" s="290"/>
      <c r="G23" s="326"/>
      <c r="H23" s="316"/>
      <c r="I23" s="317"/>
      <c r="J23" s="317"/>
      <c r="K23" s="317"/>
      <c r="L23" s="318"/>
      <c r="M23" s="8"/>
      <c r="N23" s="319">
        <f t="shared" si="5"/>
        <v>0</v>
      </c>
      <c r="O23" s="320">
        <f t="shared" si="4"/>
        <v>0</v>
      </c>
      <c r="P23" s="321">
        <f t="shared" si="7"/>
        <v>0</v>
      </c>
      <c r="Q23" s="321">
        <f t="shared" si="6"/>
        <v>0</v>
      </c>
      <c r="R23" s="321">
        <f t="shared" si="6"/>
        <v>0</v>
      </c>
      <c r="S23" s="321">
        <f t="shared" si="6"/>
        <v>0</v>
      </c>
      <c r="T23" s="322">
        <f t="shared" si="6"/>
        <v>0</v>
      </c>
    </row>
    <row r="24" spans="1:29">
      <c r="B24" s="327" t="s">
        <v>71</v>
      </c>
      <c r="C24" s="312"/>
      <c r="D24" s="313"/>
      <c r="E24" s="313"/>
      <c r="F24" s="313">
        <v>0</v>
      </c>
      <c r="G24" s="324">
        <v>0</v>
      </c>
      <c r="H24" s="316">
        <v>0</v>
      </c>
      <c r="I24" s="317">
        <v>0</v>
      </c>
      <c r="J24" s="317">
        <v>0</v>
      </c>
      <c r="K24" s="317">
        <v>0</v>
      </c>
      <c r="L24" s="318">
        <v>0</v>
      </c>
      <c r="M24" s="8"/>
      <c r="N24" s="319">
        <f t="shared" si="5"/>
        <v>0</v>
      </c>
      <c r="O24" s="320">
        <f t="shared" si="4"/>
        <v>0</v>
      </c>
      <c r="P24" s="321">
        <f t="shared" si="7"/>
        <v>0</v>
      </c>
      <c r="Q24" s="321">
        <f t="shared" si="6"/>
        <v>0</v>
      </c>
      <c r="R24" s="321">
        <f t="shared" si="6"/>
        <v>0</v>
      </c>
      <c r="S24" s="321">
        <f t="shared" si="6"/>
        <v>0</v>
      </c>
      <c r="T24" s="322">
        <f t="shared" si="6"/>
        <v>0</v>
      </c>
    </row>
    <row r="25" spans="1:29">
      <c r="B25" s="328"/>
      <c r="C25" s="312"/>
      <c r="D25" s="313"/>
      <c r="E25" s="313"/>
      <c r="F25" s="313"/>
      <c r="G25" s="324"/>
      <c r="H25" s="316"/>
      <c r="I25" s="317"/>
      <c r="J25" s="317"/>
      <c r="K25" s="317"/>
      <c r="L25" s="318"/>
      <c r="M25" s="8"/>
      <c r="N25" s="319">
        <f t="shared" si="5"/>
        <v>0</v>
      </c>
      <c r="O25" s="320">
        <f t="shared" si="4"/>
        <v>0</v>
      </c>
      <c r="P25" s="321">
        <f t="shared" si="7"/>
        <v>0</v>
      </c>
      <c r="Q25" s="321">
        <f t="shared" si="6"/>
        <v>0</v>
      </c>
      <c r="R25" s="321">
        <f t="shared" si="6"/>
        <v>0</v>
      </c>
      <c r="S25" s="321">
        <f t="shared" si="6"/>
        <v>0</v>
      </c>
      <c r="T25" s="322">
        <f t="shared" si="6"/>
        <v>0</v>
      </c>
    </row>
    <row r="26" spans="1:29">
      <c r="B26" s="328"/>
      <c r="C26" s="312"/>
      <c r="D26" s="313"/>
      <c r="E26" s="313"/>
      <c r="F26" s="314"/>
      <c r="G26" s="315"/>
      <c r="H26" s="316"/>
      <c r="I26" s="317"/>
      <c r="J26" s="317"/>
      <c r="K26" s="317"/>
      <c r="L26" s="318"/>
      <c r="M26" s="8"/>
      <c r="N26" s="319">
        <f t="shared" si="5"/>
        <v>0</v>
      </c>
      <c r="O26" s="320">
        <f t="shared" si="4"/>
        <v>0</v>
      </c>
      <c r="P26" s="321">
        <f t="shared" si="7"/>
        <v>0</v>
      </c>
      <c r="Q26" s="321">
        <f t="shared" si="6"/>
        <v>0</v>
      </c>
      <c r="R26" s="321">
        <f t="shared" si="6"/>
        <v>0</v>
      </c>
      <c r="S26" s="321">
        <f t="shared" si="6"/>
        <v>0</v>
      </c>
      <c r="T26" s="322">
        <f t="shared" si="6"/>
        <v>0</v>
      </c>
    </row>
    <row r="27" spans="1:29" ht="15" thickBot="1">
      <c r="B27" s="327" t="s">
        <v>72</v>
      </c>
      <c r="C27" s="312"/>
      <c r="D27" s="313"/>
      <c r="E27" s="323"/>
      <c r="F27" s="290"/>
      <c r="G27" s="326"/>
      <c r="H27" s="329">
        <v>0</v>
      </c>
      <c r="I27" s="317">
        <v>0</v>
      </c>
      <c r="J27" s="317">
        <v>0</v>
      </c>
      <c r="K27" s="317">
        <v>0</v>
      </c>
      <c r="L27" s="318">
        <v>0</v>
      </c>
      <c r="M27" s="8"/>
      <c r="N27" s="330">
        <f t="shared" ref="N27" si="8">+LOOKUP(dms_PRCP_BaseYear,C$18:G$18,C27:G27)/$D$8</f>
        <v>0</v>
      </c>
      <c r="O27" s="331">
        <f t="shared" si="4"/>
        <v>0</v>
      </c>
      <c r="P27" s="332">
        <f t="shared" si="7"/>
        <v>0</v>
      </c>
      <c r="Q27" s="332">
        <f t="shared" si="6"/>
        <v>0</v>
      </c>
      <c r="R27" s="332">
        <f t="shared" si="6"/>
        <v>0</v>
      </c>
      <c r="S27" s="332">
        <f t="shared" si="6"/>
        <v>0</v>
      </c>
      <c r="T27" s="333">
        <f t="shared" si="6"/>
        <v>0</v>
      </c>
    </row>
    <row r="28" spans="1:29" ht="15" thickBot="1">
      <c r="B28" s="140" t="s">
        <v>24</v>
      </c>
      <c r="C28" s="334">
        <f t="shared" ref="C28:E28" si="9">SUM(C19:C26)</f>
        <v>0</v>
      </c>
      <c r="D28" s="335">
        <f t="shared" si="9"/>
        <v>0</v>
      </c>
      <c r="E28" s="335">
        <f t="shared" si="9"/>
        <v>0</v>
      </c>
      <c r="F28" s="335">
        <f>SUM(F19:F27)</f>
        <v>326.388240616894</v>
      </c>
      <c r="G28" s="335">
        <f t="shared" ref="G28:L28" si="10">SUM(G19:G27)</f>
        <v>330.01425969297571</v>
      </c>
      <c r="H28" s="336">
        <f t="shared" si="10"/>
        <v>382.62844359694509</v>
      </c>
      <c r="I28" s="335">
        <f t="shared" si="10"/>
        <v>364.56303500084323</v>
      </c>
      <c r="J28" s="335">
        <f t="shared" si="10"/>
        <v>353.28115332636753</v>
      </c>
      <c r="K28" s="335">
        <f t="shared" si="10"/>
        <v>334.76170055116552</v>
      </c>
      <c r="L28" s="337">
        <f t="shared" si="10"/>
        <v>302.871434905912</v>
      </c>
      <c r="M28" s="8"/>
      <c r="N28" s="338">
        <f>+SUM(N19:N27)</f>
        <v>426.90349055916874</v>
      </c>
      <c r="O28" s="336">
        <f t="shared" ref="O28:T28" si="11">+SUM(O19:O27)</f>
        <v>431.64618655056739</v>
      </c>
      <c r="P28" s="336">
        <f t="shared" si="11"/>
        <v>461.66454820237266</v>
      </c>
      <c r="Q28" s="336">
        <f t="shared" si="11"/>
        <v>439.86753118187107</v>
      </c>
      <c r="R28" s="336">
        <f t="shared" si="11"/>
        <v>426.25525302200185</v>
      </c>
      <c r="S28" s="336">
        <f t="shared" si="11"/>
        <v>403.9104040137953</v>
      </c>
      <c r="T28" s="339">
        <f t="shared" si="11"/>
        <v>365.43285398440389</v>
      </c>
    </row>
    <row r="29" spans="1:29" ht="15" thickBo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AA29" s="8"/>
      <c r="AB29" s="8"/>
      <c r="AC29" s="8"/>
    </row>
    <row r="30" spans="1:29" s="125" customFormat="1" ht="16" thickBot="1">
      <c r="A30" s="86"/>
      <c r="B30" s="279" t="s">
        <v>25</v>
      </c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2"/>
      <c r="U30" s="2"/>
      <c r="V30" s="2"/>
      <c r="W30" s="2"/>
      <c r="X30" s="2"/>
      <c r="Y30" s="2"/>
      <c r="Z30" s="2"/>
    </row>
    <row r="31" spans="1:29">
      <c r="B31" s="145"/>
      <c r="C31" s="460" t="s">
        <v>26</v>
      </c>
      <c r="D31" s="461"/>
      <c r="E31" s="461"/>
      <c r="F31" s="461"/>
      <c r="G31" s="461"/>
      <c r="H31" s="461"/>
      <c r="I31" s="461"/>
      <c r="J31" s="461"/>
      <c r="K31" s="461"/>
      <c r="L31" s="462"/>
      <c r="M31" s="8"/>
      <c r="N31" s="448" t="s">
        <v>60</v>
      </c>
      <c r="O31" s="449"/>
      <c r="P31" s="449"/>
      <c r="Q31" s="449"/>
      <c r="R31" s="449"/>
      <c r="S31" s="449"/>
      <c r="T31" s="450"/>
    </row>
    <row r="32" spans="1:29" ht="15" thickBot="1">
      <c r="B32" s="145"/>
      <c r="C32" s="482" t="s">
        <v>3</v>
      </c>
      <c r="D32" s="483"/>
      <c r="E32" s="483"/>
      <c r="F32" s="483"/>
      <c r="G32" s="484"/>
      <c r="H32" s="485" t="s">
        <v>17</v>
      </c>
      <c r="I32" s="486"/>
      <c r="J32" s="486"/>
      <c r="K32" s="486"/>
      <c r="L32" s="487"/>
      <c r="M32" s="8"/>
      <c r="N32" s="488" t="s">
        <v>3</v>
      </c>
      <c r="O32" s="489"/>
      <c r="P32" s="490" t="s">
        <v>17</v>
      </c>
      <c r="Q32" s="491"/>
      <c r="R32" s="491"/>
      <c r="S32" s="491"/>
      <c r="T32" s="492"/>
    </row>
    <row r="33" spans="1:286" ht="15" thickBot="1">
      <c r="B33" s="147"/>
      <c r="C33" s="126" t="str">
        <f>C18</f>
        <v>2014-15</v>
      </c>
      <c r="D33" s="283" t="str">
        <f t="shared" ref="D33:L33" si="12">D18</f>
        <v>2015-16</v>
      </c>
      <c r="E33" s="283" t="str">
        <f t="shared" si="12"/>
        <v>2016-17</v>
      </c>
      <c r="F33" s="283" t="str">
        <f t="shared" si="12"/>
        <v>2017-18</v>
      </c>
      <c r="G33" s="127" t="str">
        <f t="shared" si="12"/>
        <v>2018-19</v>
      </c>
      <c r="H33" s="128" t="str">
        <f t="shared" si="12"/>
        <v>2019-20</v>
      </c>
      <c r="I33" s="129" t="str">
        <f t="shared" si="12"/>
        <v>2020-21</v>
      </c>
      <c r="J33" s="129" t="str">
        <f t="shared" si="12"/>
        <v>2021-22</v>
      </c>
      <c r="K33" s="129" t="str">
        <f t="shared" si="12"/>
        <v>2022-23</v>
      </c>
      <c r="L33" s="130" t="str">
        <f t="shared" si="12"/>
        <v>2023-24</v>
      </c>
      <c r="M33" s="8"/>
      <c r="N33" s="284" t="str">
        <f>dms_PRCP_BaseYear</f>
        <v>2017-18</v>
      </c>
      <c r="O33" s="285" t="str">
        <f>O18</f>
        <v>2018-19</v>
      </c>
      <c r="P33" s="286" t="str">
        <f t="shared" ref="P33:T33" si="13">P18</f>
        <v>2019-20</v>
      </c>
      <c r="Q33" s="287" t="str">
        <f t="shared" si="13"/>
        <v>2020-21</v>
      </c>
      <c r="R33" s="287" t="str">
        <f t="shared" si="13"/>
        <v>2021-22</v>
      </c>
      <c r="S33" s="287" t="str">
        <f t="shared" si="13"/>
        <v>2022-23</v>
      </c>
      <c r="T33" s="288" t="str">
        <f t="shared" si="13"/>
        <v>2023-24</v>
      </c>
    </row>
    <row r="34" spans="1:286">
      <c r="B34" s="252" t="s">
        <v>27</v>
      </c>
      <c r="C34" s="340"/>
      <c r="D34" s="290"/>
      <c r="E34" s="290"/>
      <c r="F34" s="290">
        <v>345.390715</v>
      </c>
      <c r="G34" s="326">
        <v>401.766886</v>
      </c>
      <c r="H34" s="329">
        <v>394.65359000000001</v>
      </c>
      <c r="I34" s="341">
        <v>385.62245291999938</v>
      </c>
      <c r="J34" s="341">
        <v>360.87169299999999</v>
      </c>
      <c r="K34" s="342">
        <v>401.69005572409037</v>
      </c>
      <c r="L34" s="343"/>
      <c r="M34" s="8"/>
      <c r="N34" s="344">
        <f>+LOOKUP(dms_PRCP_BaseYear,C$33:G$33,C34:G34)/LOOKUP(dms_PRCP_BaseYear,C$4:N$4,C$8:N$8)*(1+LOOKUP(dms_PRCP_BaseYear,C$4:N$4,C$7:N$7))^0.5</f>
        <v>427.74878922735888</v>
      </c>
      <c r="O34" s="345">
        <f>G34/I$8*(1+I$7)^0.5</f>
        <v>488.60188241860914</v>
      </c>
      <c r="P34" s="346">
        <f>+H34/J$8*(1+J$7)^0.5</f>
        <v>477.00536552758359</v>
      </c>
      <c r="Q34" s="347">
        <f>+I34/K$8*(1+K$7)^0.5</f>
        <v>458.17590140167761</v>
      </c>
      <c r="R34" s="347">
        <f>+J34/L$8*(1+L$7)^0.5</f>
        <v>408.39293098724283</v>
      </c>
      <c r="S34" s="348">
        <f>+K34/M$8*(1+M$7)^0.5</f>
        <v>428.50806099545139</v>
      </c>
      <c r="T34" s="349"/>
    </row>
    <row r="35" spans="1:286">
      <c r="B35" s="253" t="s">
        <v>28</v>
      </c>
      <c r="C35" s="350"/>
      <c r="D35" s="301"/>
      <c r="E35" s="301"/>
      <c r="F35" s="301"/>
      <c r="G35" s="351"/>
      <c r="H35" s="350"/>
      <c r="I35" s="301"/>
      <c r="J35" s="301"/>
      <c r="K35" s="351"/>
      <c r="L35" s="343"/>
      <c r="M35" s="8"/>
      <c r="N35" s="306"/>
      <c r="O35" s="307"/>
      <c r="P35" s="308"/>
      <c r="Q35" s="309"/>
      <c r="R35" s="309"/>
      <c r="S35" s="307"/>
      <c r="T35" s="352"/>
    </row>
    <row r="36" spans="1:286">
      <c r="B36" s="353" t="str">
        <f>B21</f>
        <v>Debt raising costs</v>
      </c>
      <c r="C36" s="354"/>
      <c r="D36" s="313"/>
      <c r="E36" s="313"/>
      <c r="F36" s="314"/>
      <c r="G36" s="315"/>
      <c r="H36" s="316"/>
      <c r="I36" s="317"/>
      <c r="J36" s="317"/>
      <c r="K36" s="324"/>
      <c r="L36" s="343"/>
      <c r="M36" s="8"/>
      <c r="N36" s="355">
        <f t="shared" ref="N36:N42" si="14">+LOOKUP(dms_PRCP_BaseYear,C$33:G$33,C36:G36)/LOOKUP(dms_PRCP_BaseYear,C$4:N$4,C$8:N$8)*(1+LOOKUP(dms_PRCP_BaseYear,C$4:N$4,C$7:N$7))^0.5</f>
        <v>0</v>
      </c>
      <c r="O36" s="356">
        <f t="shared" ref="O36:S42" si="15">G36/I$8*(1+I$7)^0.5</f>
        <v>0</v>
      </c>
      <c r="P36" s="357">
        <f t="shared" si="15"/>
        <v>0</v>
      </c>
      <c r="Q36" s="357">
        <f t="shared" si="15"/>
        <v>0</v>
      </c>
      <c r="R36" s="357">
        <f t="shared" si="15"/>
        <v>0</v>
      </c>
      <c r="S36" s="358">
        <f t="shared" si="15"/>
        <v>0</v>
      </c>
      <c r="T36" s="352"/>
    </row>
    <row r="37" spans="1:286">
      <c r="B37" s="353"/>
      <c r="C37" s="354"/>
      <c r="D37" s="313"/>
      <c r="E37" s="323"/>
      <c r="F37" s="313"/>
      <c r="G37" s="324"/>
      <c r="H37" s="316"/>
      <c r="I37" s="317"/>
      <c r="J37" s="317"/>
      <c r="K37" s="324"/>
      <c r="L37" s="343"/>
      <c r="M37" s="8"/>
      <c r="N37" s="355">
        <f t="shared" si="14"/>
        <v>0</v>
      </c>
      <c r="O37" s="356">
        <f t="shared" si="15"/>
        <v>0</v>
      </c>
      <c r="P37" s="357">
        <f t="shared" si="15"/>
        <v>0</v>
      </c>
      <c r="Q37" s="357">
        <f t="shared" si="15"/>
        <v>0</v>
      </c>
      <c r="R37" s="357">
        <f t="shared" si="15"/>
        <v>0</v>
      </c>
      <c r="S37" s="358">
        <f t="shared" si="15"/>
        <v>0</v>
      </c>
      <c r="T37" s="352"/>
    </row>
    <row r="38" spans="1:286" ht="15" customHeight="1">
      <c r="B38" s="359"/>
      <c r="C38" s="354"/>
      <c r="D38" s="313"/>
      <c r="E38" s="313"/>
      <c r="F38" s="290"/>
      <c r="G38" s="326"/>
      <c r="H38" s="316"/>
      <c r="I38" s="317"/>
      <c r="J38" s="317"/>
      <c r="K38" s="324"/>
      <c r="L38" s="343"/>
      <c r="M38" s="8"/>
      <c r="N38" s="355">
        <f t="shared" si="14"/>
        <v>0</v>
      </c>
      <c r="O38" s="356">
        <f t="shared" si="15"/>
        <v>0</v>
      </c>
      <c r="P38" s="357">
        <f t="shared" si="15"/>
        <v>0</v>
      </c>
      <c r="Q38" s="357">
        <f t="shared" si="15"/>
        <v>0</v>
      </c>
      <c r="R38" s="357">
        <f t="shared" si="15"/>
        <v>0</v>
      </c>
      <c r="S38" s="358">
        <f t="shared" si="15"/>
        <v>0</v>
      </c>
      <c r="T38" s="352"/>
      <c r="V38" s="463" t="s">
        <v>73</v>
      </c>
      <c r="W38" s="464"/>
    </row>
    <row r="39" spans="1:286" ht="15" customHeight="1">
      <c r="B39" s="353" t="s">
        <v>21</v>
      </c>
      <c r="C39" s="354"/>
      <c r="D39" s="313"/>
      <c r="E39" s="313"/>
      <c r="F39" s="313">
        <v>-0.64022662889518411</v>
      </c>
      <c r="G39" s="324">
        <v>-0.65042492917847017</v>
      </c>
      <c r="H39" s="316">
        <v>0</v>
      </c>
      <c r="I39" s="317">
        <v>0</v>
      </c>
      <c r="J39" s="324">
        <v>-0.25</v>
      </c>
      <c r="K39" s="360">
        <v>-2.4669535099999997</v>
      </c>
      <c r="L39" s="343"/>
      <c r="M39" s="8"/>
      <c r="N39" s="355">
        <f t="shared" si="14"/>
        <v>-0.792888035050475</v>
      </c>
      <c r="O39" s="356">
        <f t="shared" si="15"/>
        <v>-0.79100308124595198</v>
      </c>
      <c r="P39" s="357">
        <f t="shared" si="15"/>
        <v>0</v>
      </c>
      <c r="Q39" s="357">
        <f t="shared" si="15"/>
        <v>0</v>
      </c>
      <c r="R39" s="357">
        <f t="shared" si="15"/>
        <v>-0.28292114545767577</v>
      </c>
      <c r="S39" s="358">
        <f t="shared" si="15"/>
        <v>-2.6316545557257252</v>
      </c>
      <c r="T39" s="352"/>
      <c r="V39" s="465"/>
      <c r="W39" s="466"/>
    </row>
    <row r="40" spans="1:286" ht="15" customHeight="1">
      <c r="B40" s="106"/>
      <c r="C40" s="354"/>
      <c r="D40" s="313"/>
      <c r="E40" s="313"/>
      <c r="F40" s="313"/>
      <c r="G40" s="324"/>
      <c r="H40" s="361"/>
      <c r="I40" s="362"/>
      <c r="J40" s="362"/>
      <c r="K40" s="324"/>
      <c r="L40" s="343"/>
      <c r="M40" s="8"/>
      <c r="N40" s="355">
        <f t="shared" si="14"/>
        <v>0</v>
      </c>
      <c r="O40" s="356">
        <f t="shared" si="15"/>
        <v>0</v>
      </c>
      <c r="P40" s="357">
        <f t="shared" si="15"/>
        <v>0</v>
      </c>
      <c r="Q40" s="357">
        <f t="shared" si="15"/>
        <v>0</v>
      </c>
      <c r="R40" s="357">
        <f t="shared" si="15"/>
        <v>0</v>
      </c>
      <c r="S40" s="358">
        <f t="shared" si="15"/>
        <v>0</v>
      </c>
      <c r="T40" s="352"/>
      <c r="V40" s="465"/>
      <c r="W40" s="466"/>
    </row>
    <row r="41" spans="1:286" ht="15" customHeight="1">
      <c r="B41" s="106" t="s">
        <v>74</v>
      </c>
      <c r="C41" s="354"/>
      <c r="D41" s="313"/>
      <c r="E41" s="323"/>
      <c r="F41" s="290">
        <v>18.768025999999999</v>
      </c>
      <c r="G41" s="326">
        <v>-27.7634560477</v>
      </c>
      <c r="H41" s="316">
        <v>-12.072732999999999</v>
      </c>
      <c r="I41" s="317">
        <v>-1.733862</v>
      </c>
      <c r="J41" s="317">
        <v>7.2076130000000003</v>
      </c>
      <c r="K41" s="363">
        <v>3.509169</v>
      </c>
      <c r="L41" s="343"/>
      <c r="M41" s="8"/>
      <c r="N41" s="355">
        <f t="shared" si="14"/>
        <v>23.243243228723131</v>
      </c>
      <c r="O41" s="356">
        <f t="shared" si="15"/>
        <v>-33.764049153997576</v>
      </c>
      <c r="P41" s="357">
        <f t="shared" si="15"/>
        <v>-14.591932174193374</v>
      </c>
      <c r="Q41" s="357">
        <f t="shared" si="15"/>
        <v>-2.06008176842577</v>
      </c>
      <c r="R41" s="357">
        <f t="shared" si="15"/>
        <v>8.156744503902539</v>
      </c>
      <c r="S41" s="358">
        <f t="shared" si="15"/>
        <v>3.7434514060467592</v>
      </c>
      <c r="T41" s="352"/>
      <c r="V41" s="465"/>
      <c r="W41" s="466"/>
    </row>
    <row r="42" spans="1:286" ht="15.75" customHeight="1" thickBot="1">
      <c r="B42" s="364"/>
      <c r="C42" s="354"/>
      <c r="D42" s="313"/>
      <c r="E42" s="313"/>
      <c r="F42" s="290"/>
      <c r="G42" s="326"/>
      <c r="H42" s="329"/>
      <c r="I42" s="341"/>
      <c r="J42" s="341"/>
      <c r="K42" s="365"/>
      <c r="L42" s="343"/>
      <c r="M42" s="8"/>
      <c r="N42" s="366">
        <f t="shared" si="14"/>
        <v>0</v>
      </c>
      <c r="O42" s="367">
        <f t="shared" si="15"/>
        <v>0</v>
      </c>
      <c r="P42" s="368"/>
      <c r="Q42" s="368"/>
      <c r="R42" s="368"/>
      <c r="S42" s="369"/>
      <c r="T42" s="370"/>
      <c r="V42" s="465"/>
      <c r="W42" s="466"/>
    </row>
    <row r="43" spans="1:286" ht="15.75" customHeight="1" thickBot="1">
      <c r="B43" s="371" t="s">
        <v>31</v>
      </c>
      <c r="C43" s="335">
        <f t="shared" ref="C43:K43" si="16">SUM(C34:C42)</f>
        <v>0</v>
      </c>
      <c r="D43" s="335">
        <f t="shared" si="16"/>
        <v>0</v>
      </c>
      <c r="E43" s="335">
        <f t="shared" si="16"/>
        <v>0</v>
      </c>
      <c r="F43" s="335">
        <f t="shared" si="16"/>
        <v>363.51851437110486</v>
      </c>
      <c r="G43" s="335">
        <f t="shared" si="16"/>
        <v>373.35300502312151</v>
      </c>
      <c r="H43" s="336">
        <f t="shared" si="16"/>
        <v>382.58085700000004</v>
      </c>
      <c r="I43" s="336">
        <f t="shared" si="16"/>
        <v>383.88859091999939</v>
      </c>
      <c r="J43" s="336">
        <f t="shared" si="16"/>
        <v>367.82930599999997</v>
      </c>
      <c r="K43" s="336">
        <f t="shared" si="16"/>
        <v>402.73227121409036</v>
      </c>
      <c r="L43" s="372"/>
      <c r="M43" s="8"/>
      <c r="N43" s="373">
        <f t="shared" ref="N43:S43" si="17">N34+SUM(N36:N42)</f>
        <v>450.19914442103152</v>
      </c>
      <c r="O43" s="374">
        <f t="shared" si="17"/>
        <v>454.04683018336561</v>
      </c>
      <c r="P43" s="374">
        <f t="shared" si="17"/>
        <v>462.41343335339025</v>
      </c>
      <c r="Q43" s="374">
        <f t="shared" si="17"/>
        <v>456.11581963325182</v>
      </c>
      <c r="R43" s="374">
        <f t="shared" si="17"/>
        <v>416.26675434568767</v>
      </c>
      <c r="S43" s="374">
        <f t="shared" si="17"/>
        <v>429.6198578457724</v>
      </c>
      <c r="T43" s="375">
        <f>(T28-(LOOKUP(U43,P18:T18,P28:T28)-LOOKUP(U43,P33:T33,P43:T43)))+U44</f>
        <v>431.17803819873058</v>
      </c>
      <c r="U43" s="376" t="s">
        <v>32</v>
      </c>
      <c r="V43" s="467"/>
      <c r="W43" s="46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</row>
    <row r="44" spans="1:286" s="251" customFormat="1" ht="15" thickBo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377">
        <v>40.035730382349563</v>
      </c>
      <c r="V44" s="172" t="s">
        <v>75</v>
      </c>
      <c r="X44" s="2"/>
      <c r="Y44" s="2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</row>
    <row r="45" spans="1:286" s="251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378">
        <v>0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</row>
    <row r="46" spans="1:286" s="251" customFormat="1" ht="15" thickBot="1">
      <c r="A46" s="8"/>
      <c r="B46" s="8"/>
      <c r="C46" s="8"/>
      <c r="D46" s="8"/>
      <c r="E46" s="8"/>
      <c r="F46" s="8"/>
      <c r="G46" s="37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</row>
    <row r="47" spans="1:286" s="1" customFormat="1" ht="18.5" thickBo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175" t="s">
        <v>61</v>
      </c>
      <c r="O47" s="176"/>
      <c r="P47" s="177"/>
      <c r="Q47" s="176"/>
      <c r="R47" s="176"/>
      <c r="S47" s="176"/>
      <c r="T47" s="17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</row>
    <row r="48" spans="1:286" ht="15" thickBo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4"/>
      <c r="O48" s="35"/>
      <c r="P48" s="380">
        <f>(P28-P43)-(O28-O43)+IF(N18=O18,O28-O43,N28-N43)</f>
        <v>-1.6438953800821423</v>
      </c>
      <c r="Q48" s="381">
        <f>(Q28-Q43)-(P28-P43)</f>
        <v>-15.499403300363156</v>
      </c>
      <c r="R48" s="381">
        <f>(R28-R43)-(Q28-Q43)</f>
        <v>26.236787127694924</v>
      </c>
      <c r="S48" s="381">
        <f>(S28-S43)-(R28-R43)</f>
        <v>-35.69795250829128</v>
      </c>
      <c r="T48" s="382">
        <f>(T28-T43)-(S28-S43)</f>
        <v>-40.035730382349584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</row>
    <row r="49" spans="1:286" ht="23.25" customHeight="1" thickBot="1">
      <c r="A49" s="8"/>
      <c r="B49" s="8"/>
      <c r="C49" s="8"/>
      <c r="D49" s="8"/>
      <c r="E49" s="8"/>
      <c r="F49" s="383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86" s="1" customFormat="1" ht="18.5" thickBot="1">
      <c r="A50" s="8"/>
      <c r="B50" s="8"/>
      <c r="C50" s="8"/>
      <c r="D50" s="8"/>
      <c r="E50" s="8"/>
      <c r="F50" s="384"/>
      <c r="G50" s="384"/>
      <c r="H50" s="384"/>
      <c r="I50" s="384"/>
      <c r="J50" s="384"/>
      <c r="K50" s="8"/>
      <c r="L50" s="8"/>
      <c r="M50" s="8"/>
      <c r="N50" s="183" t="s">
        <v>33</v>
      </c>
      <c r="O50" s="184"/>
      <c r="P50" s="176"/>
      <c r="Q50" s="176"/>
      <c r="R50" s="176"/>
      <c r="S50" s="176"/>
      <c r="T50" s="176"/>
      <c r="U50" s="176"/>
      <c r="V50" s="176"/>
      <c r="W50" s="176"/>
      <c r="X50" s="176"/>
      <c r="Y50" s="185"/>
      <c r="Z50" s="186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</row>
    <row r="51" spans="1:286" ht="30" customHeight="1">
      <c r="C51" s="385"/>
      <c r="D51" s="385"/>
      <c r="E51" s="385"/>
      <c r="F51" s="386"/>
      <c r="G51" s="386"/>
      <c r="H51" s="8"/>
      <c r="I51" s="8"/>
      <c r="J51" s="387"/>
      <c r="K51" s="8"/>
      <c r="L51" s="8"/>
      <c r="M51" s="8"/>
      <c r="N51" s="187"/>
      <c r="O51" s="188"/>
      <c r="P51" s="451" t="s">
        <v>17</v>
      </c>
      <c r="Q51" s="452"/>
      <c r="R51" s="452"/>
      <c r="S51" s="452"/>
      <c r="T51" s="452"/>
      <c r="U51" s="453" t="s">
        <v>34</v>
      </c>
      <c r="V51" s="454"/>
      <c r="W51" s="454"/>
      <c r="X51" s="454"/>
      <c r="Y51" s="454"/>
      <c r="Z51" s="189"/>
    </row>
    <row r="52" spans="1:286">
      <c r="C52" s="385"/>
      <c r="D52" s="385"/>
      <c r="E52" s="385"/>
      <c r="F52" s="386"/>
      <c r="G52" s="386"/>
      <c r="H52" s="8"/>
      <c r="I52" s="8"/>
      <c r="J52" s="8"/>
      <c r="K52" s="8"/>
      <c r="L52" s="8"/>
      <c r="M52" s="8"/>
      <c r="N52" s="190"/>
      <c r="O52" s="191"/>
      <c r="P52" s="192" t="s">
        <v>76</v>
      </c>
      <c r="Q52" s="193"/>
      <c r="R52" s="193"/>
      <c r="S52" s="193"/>
      <c r="T52" s="193"/>
      <c r="U52" s="193"/>
      <c r="V52" s="193"/>
      <c r="W52" s="194"/>
      <c r="X52" s="195"/>
      <c r="Y52" s="196"/>
      <c r="Z52" s="197"/>
    </row>
    <row r="53" spans="1:286" ht="15" thickBot="1">
      <c r="C53" s="385"/>
      <c r="D53" s="385"/>
      <c r="E53" s="385"/>
      <c r="F53" s="385"/>
      <c r="G53" s="8"/>
      <c r="H53" s="8"/>
      <c r="I53" s="8"/>
      <c r="J53" s="8"/>
      <c r="K53" s="8"/>
      <c r="L53" s="8"/>
      <c r="M53" s="8"/>
      <c r="N53" s="190"/>
      <c r="O53" s="191"/>
      <c r="P53" s="198" t="str">
        <f>P33</f>
        <v>2019-20</v>
      </c>
      <c r="Q53" s="199" t="str">
        <f t="shared" ref="Q53:T53" si="18">Q33</f>
        <v>2020-21</v>
      </c>
      <c r="R53" s="199" t="str">
        <f t="shared" si="18"/>
        <v>2021-22</v>
      </c>
      <c r="S53" s="199" t="str">
        <f t="shared" si="18"/>
        <v>2022-23</v>
      </c>
      <c r="T53" s="199" t="str">
        <f t="shared" si="18"/>
        <v>2023-24</v>
      </c>
      <c r="U53" s="200" t="s">
        <v>1</v>
      </c>
      <c r="V53" s="200" t="s">
        <v>51</v>
      </c>
      <c r="W53" s="200" t="s">
        <v>52</v>
      </c>
      <c r="X53" s="200" t="s">
        <v>53</v>
      </c>
      <c r="Y53" s="200" t="s">
        <v>4</v>
      </c>
      <c r="Z53" s="388" t="s">
        <v>35</v>
      </c>
    </row>
    <row r="54" spans="1:286" ht="15" thickBo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472" t="s">
        <v>47</v>
      </c>
      <c r="O54" s="473"/>
      <c r="P54" s="202"/>
      <c r="Q54" s="203">
        <f>$P$48</f>
        <v>-1.6438953800821423</v>
      </c>
      <c r="R54" s="204">
        <f>$P$48</f>
        <v>-1.6438953800821423</v>
      </c>
      <c r="S54" s="205">
        <f>$P$48</f>
        <v>-1.6438953800821423</v>
      </c>
      <c r="T54" s="204">
        <f>$P$48</f>
        <v>-1.6438953800821423</v>
      </c>
      <c r="U54" s="206">
        <f>$P$48</f>
        <v>-1.6438953800821423</v>
      </c>
      <c r="V54" s="207"/>
      <c r="W54" s="207"/>
      <c r="X54" s="207"/>
      <c r="Y54" s="207"/>
      <c r="Z54" s="208"/>
    </row>
    <row r="55" spans="1:286" ht="15" thickBo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474" t="s">
        <v>48</v>
      </c>
      <c r="O55" s="475"/>
      <c r="P55" s="202"/>
      <c r="Q55" s="202"/>
      <c r="R55" s="209">
        <f>$Q$48</f>
        <v>-15.499403300363156</v>
      </c>
      <c r="S55" s="210">
        <f>$Q$48</f>
        <v>-15.499403300363156</v>
      </c>
      <c r="T55" s="211">
        <f>$Q$48</f>
        <v>-15.499403300363156</v>
      </c>
      <c r="U55" s="210">
        <f>$Q$48</f>
        <v>-15.499403300363156</v>
      </c>
      <c r="V55" s="206">
        <f>$Q$48</f>
        <v>-15.499403300363156</v>
      </c>
      <c r="W55" s="207"/>
      <c r="X55" s="207"/>
      <c r="Y55" s="207"/>
      <c r="Z55" s="208"/>
    </row>
    <row r="56" spans="1:286" ht="15" thickBo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474" t="s">
        <v>49</v>
      </c>
      <c r="O56" s="475"/>
      <c r="P56" s="207"/>
      <c r="Q56" s="207"/>
      <c r="R56" s="202"/>
      <c r="S56" s="212">
        <f>$R$48</f>
        <v>26.236787127694924</v>
      </c>
      <c r="T56" s="211">
        <f>$R$48</f>
        <v>26.236787127694924</v>
      </c>
      <c r="U56" s="210">
        <f>$R$48</f>
        <v>26.236787127694924</v>
      </c>
      <c r="V56" s="211">
        <f>$R$48</f>
        <v>26.236787127694924</v>
      </c>
      <c r="W56" s="213">
        <f>$R$48</f>
        <v>26.236787127694924</v>
      </c>
      <c r="X56" s="214"/>
      <c r="Y56" s="207"/>
      <c r="Z56" s="208"/>
    </row>
    <row r="57" spans="1:286" ht="15" thickBo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474" t="s">
        <v>32</v>
      </c>
      <c r="O57" s="475"/>
      <c r="P57" s="207"/>
      <c r="Q57" s="207"/>
      <c r="R57" s="207"/>
      <c r="S57" s="202"/>
      <c r="T57" s="209">
        <f>$S$48</f>
        <v>-35.69795250829128</v>
      </c>
      <c r="U57" s="211">
        <f>$S$48</f>
        <v>-35.69795250829128</v>
      </c>
      <c r="V57" s="215">
        <f>$S$48</f>
        <v>-35.69795250829128</v>
      </c>
      <c r="W57" s="210">
        <f>$S$48</f>
        <v>-35.69795250829128</v>
      </c>
      <c r="X57" s="216">
        <f>$S$48</f>
        <v>-35.69795250829128</v>
      </c>
      <c r="Y57" s="214"/>
      <c r="Z57" s="208"/>
    </row>
    <row r="58" spans="1:286" ht="15" thickBo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476" t="s">
        <v>50</v>
      </c>
      <c r="O58" s="477"/>
      <c r="P58" s="217"/>
      <c r="Q58" s="217"/>
      <c r="R58" s="207"/>
      <c r="S58" s="217"/>
      <c r="T58" s="202"/>
      <c r="U58" s="212">
        <f>+$T$48</f>
        <v>-40.035730382349584</v>
      </c>
      <c r="V58" s="389">
        <f>+$T$48</f>
        <v>-40.035730382349584</v>
      </c>
      <c r="W58" s="390">
        <f>+$T$48</f>
        <v>-40.035730382349584</v>
      </c>
      <c r="X58" s="391">
        <f>+$T$48</f>
        <v>-40.035730382349584</v>
      </c>
      <c r="Y58" s="392">
        <f>+$T$48</f>
        <v>-40.035730382349584</v>
      </c>
      <c r="Z58" s="208"/>
    </row>
    <row r="59" spans="1:286" ht="15" thickBo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222" t="s">
        <v>64</v>
      </c>
      <c r="O59" s="223"/>
      <c r="P59" s="224"/>
      <c r="Q59" s="224"/>
      <c r="R59" s="224"/>
      <c r="S59" s="224"/>
      <c r="T59" s="393"/>
      <c r="U59" s="394">
        <f>+SUM(U54:U58)</f>
        <v>-66.640194443391238</v>
      </c>
      <c r="V59" s="395">
        <f>+SUM(V55:V58)</f>
        <v>-64.996299063309095</v>
      </c>
      <c r="W59" s="396">
        <f>+SUM(W56:W58)</f>
        <v>-49.49689576294594</v>
      </c>
      <c r="X59" s="397">
        <f>+SUM(X57:X58)</f>
        <v>-75.733682890640864</v>
      </c>
      <c r="Y59" s="398">
        <f>+SUM(Y58)</f>
        <v>-40.035730382349584</v>
      </c>
      <c r="Z59" s="399">
        <f>+SUM(U59:Y59)</f>
        <v>-296.90280254263672</v>
      </c>
    </row>
    <row r="60" spans="1:286" ht="15" thickBo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226"/>
      <c r="O60" s="226"/>
      <c r="P60" s="226"/>
      <c r="Q60" s="226"/>
      <c r="R60" s="226"/>
      <c r="S60" s="226"/>
      <c r="T60" s="226"/>
      <c r="U60" s="400"/>
      <c r="V60" s="400"/>
      <c r="W60" s="400"/>
      <c r="X60" s="400"/>
      <c r="Y60" s="400"/>
      <c r="Z60" s="251"/>
    </row>
    <row r="61" spans="1:286" ht="15" thickBo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228" t="s">
        <v>65</v>
      </c>
      <c r="O61" s="229"/>
      <c r="P61" s="230"/>
      <c r="Q61" s="230"/>
      <c r="R61" s="230"/>
      <c r="S61" s="230"/>
      <c r="T61" s="401"/>
      <c r="U61" s="402">
        <f>U59</f>
        <v>-66.640194443391238</v>
      </c>
      <c r="V61" s="402">
        <f>V59</f>
        <v>-64.996299063309095</v>
      </c>
      <c r="W61" s="402">
        <f>W59</f>
        <v>-49.49689576294594</v>
      </c>
      <c r="X61" s="403">
        <f>X59</f>
        <v>-75.733682890640864</v>
      </c>
      <c r="Y61" s="404">
        <f>Y59</f>
        <v>-40.035730382349584</v>
      </c>
      <c r="Z61" s="399">
        <f>+SUM(U61:Y61)</f>
        <v>-296.90280254263672</v>
      </c>
    </row>
    <row r="62" spans="1:286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286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U63" s="405"/>
      <c r="V63" s="405"/>
      <c r="W63" s="405"/>
      <c r="X63" s="405"/>
      <c r="Y63" s="405"/>
      <c r="Z63" s="405"/>
    </row>
    <row r="64" spans="1:286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</sheetData>
  <mergeCells count="23">
    <mergeCell ref="N57:O57"/>
    <mergeCell ref="N58:O58"/>
    <mergeCell ref="V38:W43"/>
    <mergeCell ref="P51:T51"/>
    <mergeCell ref="U51:Y51"/>
    <mergeCell ref="N54:O54"/>
    <mergeCell ref="N55:O55"/>
    <mergeCell ref="N56:O56"/>
    <mergeCell ref="C31:L31"/>
    <mergeCell ref="N31:T31"/>
    <mergeCell ref="C32:G32"/>
    <mergeCell ref="H32:L32"/>
    <mergeCell ref="N32:O32"/>
    <mergeCell ref="P32:T32"/>
    <mergeCell ref="C17:G17"/>
    <mergeCell ref="H17:L17"/>
    <mergeCell ref="N17:O17"/>
    <mergeCell ref="P17:T17"/>
    <mergeCell ref="C3:K3"/>
    <mergeCell ref="L3:N3"/>
    <mergeCell ref="C16:G16"/>
    <mergeCell ref="H16:L16"/>
    <mergeCell ref="N16:T16"/>
  </mergeCells>
  <conditionalFormatting sqref="C19 C34 C36:C42">
    <cfRule type="expression" dxfId="8" priority="6">
      <formula>dms_PRCP_BaseYear=PRCP_y1</formula>
    </cfRule>
  </conditionalFormatting>
  <conditionalFormatting sqref="C21:C27">
    <cfRule type="expression" dxfId="7" priority="3">
      <formula>dms_PRCP_BaseYear=PRCP_y1</formula>
    </cfRule>
  </conditionalFormatting>
  <conditionalFormatting sqref="D19 D34 D36:D42">
    <cfRule type="expression" dxfId="6" priority="7">
      <formula>dms_PRCP_BaseYear=PRCP_y2</formula>
    </cfRule>
  </conditionalFormatting>
  <conditionalFormatting sqref="D21:D27">
    <cfRule type="expression" dxfId="5" priority="4">
      <formula>dms_PRCP_BaseYear=PRCP_y2</formula>
    </cfRule>
  </conditionalFormatting>
  <conditionalFormatting sqref="E19 E34 E36:E42">
    <cfRule type="expression" dxfId="4" priority="8">
      <formula>dms_PRCP_BaseYear=PRCP_y3</formula>
    </cfRule>
  </conditionalFormatting>
  <conditionalFormatting sqref="E21:E27">
    <cfRule type="expression" dxfId="3" priority="5">
      <formula>dms_PRCP_BaseYear=PRCP_y3</formula>
    </cfRule>
  </conditionalFormatting>
  <conditionalFormatting sqref="F19 F34">
    <cfRule type="expression" dxfId="2" priority="9">
      <formula>dms_PRCP_BaseYear=PRCP_y4</formula>
    </cfRule>
  </conditionalFormatting>
  <conditionalFormatting sqref="F21:F27">
    <cfRule type="expression" dxfId="1" priority="2">
      <formula>dms_PRCP_BaseYear=PRCP_y4</formula>
    </cfRule>
  </conditionalFormatting>
  <conditionalFormatting sqref="F36:F42">
    <cfRule type="expression" dxfId="0" priority="1">
      <formula>dms_PRCP_BaseYear=PRCP_y4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AER - Final decision</vt:lpstr>
      <vt:lpstr>Difference</vt:lpstr>
      <vt:lpstr>Revised proposal</vt:lpstr>
      <vt:lpstr>'AER - Final decision'!dms_PRCP_BaseYear</vt:lpstr>
      <vt:lpstr>Difference!dms_PRCP_BaseYear</vt:lpstr>
      <vt:lpstr>'Revised proposal'!dms_PRCP_BaseYear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2024-04-22T01:31:40Z</dcterms:created>
  <dcterms:modified xsi:type="dcterms:W3CDTF">2024-04-22T01:32:48Z</dcterms:modified>
  <cp:category/>
  <cp:contentStatus/>
</cp:coreProperties>
</file>