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pamscloud.sharepoint.com/teams/RegAndPolicy/Shared Documents/RBP/Annual Reference Tariff Update/Tariff for FY25/"/>
    </mc:Choice>
  </mc:AlternateContent>
  <xr:revisionPtr revIDLastSave="58" documentId="8_{4ED9AA56-EC93-4B39-9D45-794443EA7BCE}" xr6:coauthVersionLast="47" xr6:coauthVersionMax="47" xr10:uidLastSave="{1696E1F1-5B6E-411B-B70D-E92AB91C2E75}"/>
  <bookViews>
    <workbookView xWindow="28680" yWindow="-120" windowWidth="29040" windowHeight="15840" xr2:uid="{00000000-000D-0000-FFFF-FFFF00000000}"/>
  </bookViews>
  <sheets>
    <sheet name="RBP tariff" sheetId="1" r:id="rId1"/>
    <sheet name="CPI 2020422" sheetId="2" r:id="rId2"/>
  </sheets>
  <externalReferences>
    <externalReference r:id="rId3"/>
  </externalReferences>
  <definedNames>
    <definedName name="Base_CPI">[1]Calculations!$B$9</definedName>
    <definedName name="Base_Reference_Tariff_Firm">[1]Calculations!$B$8</definedName>
    <definedName name="Base_Reference_Tariff_Interuptible">[1]Calculations!$B$28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7" i="1" l="1"/>
  <c r="G96" i="1" s="1"/>
  <c r="F69" i="1"/>
  <c r="G69" i="1"/>
  <c r="H69" i="1"/>
  <c r="I69" i="1"/>
  <c r="F43" i="1"/>
  <c r="E69" i="1"/>
  <c r="E70" i="1" s="1"/>
  <c r="H87" i="1"/>
  <c r="H57" i="1" s="1"/>
  <c r="J100" i="1"/>
  <c r="H103" i="1"/>
  <c r="I103" i="1"/>
  <c r="J103" i="1"/>
  <c r="G103" i="1"/>
  <c r="H101" i="1"/>
  <c r="I101" i="1"/>
  <c r="J101" i="1"/>
  <c r="G101" i="1"/>
  <c r="H34" i="1"/>
  <c r="I34" i="1"/>
  <c r="J34" i="1"/>
  <c r="I87" i="1" l="1"/>
  <c r="I57" i="1" s="1"/>
  <c r="J87" i="1"/>
  <c r="J57" i="1" s="1"/>
  <c r="D67" i="1" l="1"/>
  <c r="D74" i="1" s="1"/>
  <c r="E43" i="1" l="1"/>
  <c r="D43" i="1"/>
  <c r="G35" i="1" l="1"/>
  <c r="H35" i="1"/>
  <c r="I35" i="1"/>
  <c r="J35" i="1"/>
  <c r="G36" i="1"/>
  <c r="H36" i="1"/>
  <c r="I36" i="1"/>
  <c r="J36" i="1"/>
  <c r="F36" i="1"/>
  <c r="F35" i="1"/>
  <c r="H37" i="1" l="1"/>
  <c r="H76" i="1" s="1"/>
  <c r="H77" i="1" s="1"/>
  <c r="J37" i="1"/>
  <c r="J76" i="1" s="1"/>
  <c r="J77" i="1" s="1"/>
  <c r="I37" i="1"/>
  <c r="I76" i="1" s="1"/>
  <c r="I77" i="1" s="1"/>
  <c r="F37" i="1"/>
  <c r="F76" i="1" s="1"/>
  <c r="I58" i="1" l="1"/>
  <c r="I98" i="1"/>
  <c r="J58" i="1"/>
  <c r="J98" i="1"/>
  <c r="H58" i="1"/>
  <c r="H98" i="1"/>
  <c r="F87" i="1"/>
  <c r="E30" i="1"/>
  <c r="E31" i="1"/>
  <c r="E55" i="1" s="1"/>
  <c r="B61" i="1"/>
  <c r="C61" i="1"/>
  <c r="A61" i="1"/>
  <c r="J96" i="1" l="1"/>
  <c r="J99" i="1" s="1"/>
  <c r="J102" i="1" s="1"/>
  <c r="I96" i="1"/>
  <c r="I99" i="1" s="1"/>
  <c r="H96" i="1"/>
  <c r="H99" i="1" s="1"/>
  <c r="G57" i="1"/>
  <c r="F57" i="1"/>
  <c r="F96" i="1"/>
  <c r="E54" i="1"/>
  <c r="E42" i="1"/>
  <c r="E67" i="1" l="1"/>
  <c r="E74" i="1" s="1"/>
  <c r="A17" i="1"/>
  <c r="B17" i="1"/>
  <c r="C17" i="1" l="1"/>
  <c r="C20" i="1"/>
  <c r="A9" i="1"/>
  <c r="A2" i="1"/>
  <c r="F15" i="1"/>
  <c r="G15" i="1" l="1"/>
  <c r="F31" i="1"/>
  <c r="F55" i="1" s="1"/>
  <c r="A24" i="1"/>
  <c r="C38" i="1"/>
  <c r="I59" i="1" l="1"/>
  <c r="J59" i="1"/>
  <c r="H15" i="1"/>
  <c r="G31" i="1"/>
  <c r="G55" i="1" s="1"/>
  <c r="I15" i="1" l="1"/>
  <c r="H31" i="1"/>
  <c r="H55" i="1" s="1"/>
  <c r="G34" i="1"/>
  <c r="J15" i="1" l="1"/>
  <c r="J31" i="1" s="1"/>
  <c r="J55" i="1" s="1"/>
  <c r="I31" i="1"/>
  <c r="I55" i="1" s="1"/>
  <c r="F34" i="1"/>
  <c r="F14" i="1" l="1"/>
  <c r="G14" i="1" l="1"/>
  <c r="F30" i="1"/>
  <c r="F77" i="1"/>
  <c r="F38" i="1"/>
  <c r="G37" i="1"/>
  <c r="G76" i="1" s="1"/>
  <c r="G77" i="1" s="1"/>
  <c r="F98" i="1" l="1"/>
  <c r="F99" i="1" s="1"/>
  <c r="G58" i="1"/>
  <c r="G59" i="1" s="1"/>
  <c r="G98" i="1"/>
  <c r="G99" i="1" s="1"/>
  <c r="F17" i="1"/>
  <c r="F60" i="1"/>
  <c r="H59" i="1"/>
  <c r="F54" i="1"/>
  <c r="F42" i="1"/>
  <c r="G38" i="1"/>
  <c r="F58" i="1"/>
  <c r="H14" i="1"/>
  <c r="G30" i="1"/>
  <c r="G60" i="1" l="1"/>
  <c r="F81" i="1"/>
  <c r="F95" i="1" s="1"/>
  <c r="F67" i="1"/>
  <c r="F74" i="1" s="1"/>
  <c r="F59" i="1"/>
  <c r="F70" i="1"/>
  <c r="H38" i="1"/>
  <c r="G17" i="1"/>
  <c r="G54" i="1"/>
  <c r="G67" i="1" s="1"/>
  <c r="G74" i="1" s="1"/>
  <c r="G42" i="1"/>
  <c r="I14" i="1"/>
  <c r="H30" i="1"/>
  <c r="H60" i="1" l="1"/>
  <c r="G70" i="1"/>
  <c r="G100" i="1" s="1"/>
  <c r="G102" i="1" s="1"/>
  <c r="G81" i="1"/>
  <c r="G95" i="1" s="1"/>
  <c r="F61" i="1"/>
  <c r="F62" i="1" s="1"/>
  <c r="F100" i="1"/>
  <c r="F102" i="1" s="1"/>
  <c r="I38" i="1"/>
  <c r="H17" i="1"/>
  <c r="H54" i="1"/>
  <c r="H67" i="1" s="1"/>
  <c r="H74" i="1" s="1"/>
  <c r="H42" i="1"/>
  <c r="J14" i="1"/>
  <c r="J30" i="1" s="1"/>
  <c r="I30" i="1"/>
  <c r="G110" i="1" l="1"/>
  <c r="F110" i="1"/>
  <c r="F63" i="1"/>
  <c r="F18" i="1" s="1"/>
  <c r="F19" i="1" s="1"/>
  <c r="F20" i="1" s="1"/>
  <c r="I60" i="1"/>
  <c r="F105" i="1"/>
  <c r="H70" i="1"/>
  <c r="H100" i="1" s="1"/>
  <c r="H102" i="1" s="1"/>
  <c r="H110" i="1" s="1"/>
  <c r="H81" i="1"/>
  <c r="H95" i="1" s="1"/>
  <c r="G61" i="1"/>
  <c r="G62" i="1" s="1"/>
  <c r="G63" i="1" s="1"/>
  <c r="J38" i="1"/>
  <c r="J110" i="1" s="1"/>
  <c r="I17" i="1"/>
  <c r="I54" i="1"/>
  <c r="I42" i="1"/>
  <c r="J54" i="1"/>
  <c r="J74" i="1" s="1"/>
  <c r="J42" i="1"/>
  <c r="F111" i="1" l="1"/>
  <c r="F106" i="1"/>
  <c r="F107" i="1" s="1"/>
  <c r="G18" i="1"/>
  <c r="G19" i="1" s="1"/>
  <c r="G20" i="1" s="1"/>
  <c r="G111" i="1" s="1"/>
  <c r="G105" i="1"/>
  <c r="J17" i="1"/>
  <c r="J60" i="1"/>
  <c r="H61" i="1"/>
  <c r="H62" i="1" s="1"/>
  <c r="H63" i="1" s="1"/>
  <c r="I81" i="1"/>
  <c r="I95" i="1" s="1"/>
  <c r="I67" i="1"/>
  <c r="I74" i="1" s="1"/>
  <c r="J81" i="1"/>
  <c r="J95" i="1" s="1"/>
  <c r="I70" i="1"/>
  <c r="I100" i="1" s="1"/>
  <c r="I102" i="1" s="1"/>
  <c r="I110" i="1" s="1"/>
  <c r="H18" i="1" l="1"/>
  <c r="H19" i="1" s="1"/>
  <c r="H20" i="1" s="1"/>
  <c r="H111" i="1" s="1"/>
  <c r="H105" i="1"/>
  <c r="G106" i="1"/>
  <c r="G107" i="1" s="1"/>
  <c r="J61" i="1"/>
  <c r="J62" i="1" s="1"/>
  <c r="J63" i="1" s="1"/>
  <c r="I61" i="1"/>
  <c r="I62" i="1" s="1"/>
  <c r="J18" i="1" l="1"/>
  <c r="J19" i="1" s="1"/>
  <c r="J20" i="1" s="1"/>
  <c r="J111" i="1" s="1"/>
  <c r="J105" i="1"/>
  <c r="H106" i="1"/>
  <c r="H107" i="1" s="1"/>
  <c r="I63" i="1"/>
  <c r="I18" i="1" l="1"/>
  <c r="I19" i="1" s="1"/>
  <c r="I20" i="1" s="1"/>
  <c r="I111" i="1" s="1"/>
  <c r="I105" i="1"/>
  <c r="J106" i="1"/>
  <c r="J107" i="1" s="1"/>
  <c r="I106" i="1" l="1"/>
  <c r="I10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Chin, Ignatius</author>
  </authors>
  <commentList>
    <comment ref="C76" authorId="0" shapeId="0" xr:uid="{500EA06D-ADFE-43DE-9F89-0C4BA38565A5}">
      <text>
        <r>
          <rPr>
            <b/>
            <sz val="9"/>
            <color indexed="81"/>
            <rFont val="Tahoma"/>
            <family val="2"/>
          </rPr>
          <t>Chin, Ignatius:</t>
        </r>
        <r>
          <rPr>
            <sz val="9"/>
            <color indexed="81"/>
            <rFont val="Tahoma"/>
            <family val="2"/>
          </rPr>
          <t xml:space="preserve">
See "Note" tab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B1" authorId="0" shapeId="0" xr:uid="{DFBE936B-47EC-46FD-821D-A8940F937F50}">
      <text>
        <r>
          <rPr>
            <sz val="9"/>
            <color indexed="81"/>
            <rFont val="Tahoma"/>
            <family val="2"/>
          </rPr>
          <t>Unless otherwise specified, reference period of each index: 2011–12 = 100.0.</t>
        </r>
      </text>
    </comment>
    <comment ref="A6" authorId="0" shapeId="0" xr:uid="{C3108D7C-1719-446B-8508-4768A8625336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<sst xmlns="http://schemas.openxmlformats.org/spreadsheetml/2006/main" count="130" uniqueCount="98">
  <si>
    <t>1-X</t>
  </si>
  <si>
    <t>X</t>
  </si>
  <si>
    <t>Capacity</t>
  </si>
  <si>
    <t>Nominal Vanilla WACC</t>
  </si>
  <si>
    <t>Real Vanilla WACC</t>
  </si>
  <si>
    <t>Forecast volume</t>
  </si>
  <si>
    <t>Check</t>
  </si>
  <si>
    <t>Annual Tariff Variation - Roma to Brisbane Pipeline (RBP) Access Arrangement 2022 - 2027</t>
  </si>
  <si>
    <t>n</t>
  </si>
  <si>
    <t>Direction</t>
  </si>
  <si>
    <t>RB(n)</t>
  </si>
  <si>
    <t>1-RB(n)</t>
  </si>
  <si>
    <t>CPI(n-1)</t>
  </si>
  <si>
    <t>CPI(n-2)</t>
  </si>
  <si>
    <t>1+[CPI(n-1)-CPI(n-2)]/CPI(n-2)</t>
  </si>
  <si>
    <t>Rebateable services adjustment factor - RB(n)</t>
  </si>
  <si>
    <t>WACC(n)</t>
  </si>
  <si>
    <t>RealVanillaWACC(n)</t>
  </si>
  <si>
    <t>CPI(n)</t>
  </si>
  <si>
    <t>NominalVanillaWACC(n)</t>
  </si>
  <si>
    <t>R(n-2)</t>
  </si>
  <si>
    <t>R(n-2) x [1+WACC(n)]</t>
  </si>
  <si>
    <t>RT'(n)</t>
  </si>
  <si>
    <t>Q(n)</t>
  </si>
  <si>
    <t>RT'(n)Q(n)</t>
  </si>
  <si>
    <t>Quantity - Q(n)</t>
  </si>
  <si>
    <t>Capacity tariff</t>
  </si>
  <si>
    <t>Parameter</t>
  </si>
  <si>
    <t>Unit</t>
  </si>
  <si>
    <t>Symbol</t>
  </si>
  <si>
    <t>Rebate service adjustment factor</t>
  </si>
  <si>
    <t>Capacity tariff unadjusted</t>
  </si>
  <si>
    <t>X factor</t>
  </si>
  <si>
    <t>Inflation adjustment</t>
  </si>
  <si>
    <t>Rebates services revenue (CY n-2)</t>
  </si>
  <si>
    <t>$</t>
  </si>
  <si>
    <t>Forecast reference tariff</t>
  </si>
  <si>
    <t>Forecast revenue from reference service</t>
  </si>
  <si>
    <t>$/GJ/day</t>
  </si>
  <si>
    <t>GJ</t>
  </si>
  <si>
    <t>TJ</t>
  </si>
  <si>
    <t>Days per year</t>
  </si>
  <si>
    <t>days</t>
  </si>
  <si>
    <t>Nominal Vaninna WACC</t>
  </si>
  <si>
    <t>Rebateable service revenue - RB(n-2)</t>
  </si>
  <si>
    <t>Rebateable service revenue (CY n-2)</t>
  </si>
  <si>
    <t>RB(n-2)</t>
  </si>
  <si>
    <t>Revenue - Park and loan (CY n-2)</t>
  </si>
  <si>
    <t>Revenue - Interruptible Park / Park &amp; Loan(CY n-2)</t>
  </si>
  <si>
    <t>Revenue - In pipeline trading (CY n-2)</t>
  </si>
  <si>
    <t>Revenue - Capacity trading (CY n-2)</t>
  </si>
  <si>
    <t xml:space="preserve">Rebateable services adjustment factor </t>
  </si>
  <si>
    <t>Calender Year</t>
  </si>
  <si>
    <t>CPI</t>
  </si>
  <si>
    <t>d</t>
  </si>
  <si>
    <t>d: e (eastbound)  or w (westbound)</t>
  </si>
  <si>
    <t>Eastbound and Westbound</t>
  </si>
  <si>
    <t xml:space="preserve">Note: </t>
  </si>
  <si>
    <t>Index Numbers ;  All groups CPI ;  Australia ;</t>
  </si>
  <si>
    <t>Index Numbers</t>
  </si>
  <si>
    <t>Source:</t>
  </si>
  <si>
    <t>Series Type</t>
  </si>
  <si>
    <t>Original</t>
  </si>
  <si>
    <t>Download date</t>
  </si>
  <si>
    <t>Data Type</t>
  </si>
  <si>
    <t>INDEX</t>
  </si>
  <si>
    <t>Frequency</t>
  </si>
  <si>
    <t>Quarter</t>
  </si>
  <si>
    <t>Collection Month</t>
  </si>
  <si>
    <t>Series Start</t>
  </si>
  <si>
    <t>Series End</t>
  </si>
  <si>
    <t>No. Obs</t>
  </si>
  <si>
    <t>Series ID</t>
  </si>
  <si>
    <t>A2325846C</t>
  </si>
  <si>
    <t>Source: Final Decision RBP Attachment 12 - Table 12.1</t>
  </si>
  <si>
    <t>Rebateable services revenue ($)</t>
  </si>
  <si>
    <t>Rebate proportion (%)</t>
  </si>
  <si>
    <t>WACC adjustment (%)</t>
  </si>
  <si>
    <t>Rebateable services tariff impact ($/ GJMDQ/day)</t>
  </si>
  <si>
    <t>Forecast volume (GJ)</t>
  </si>
  <si>
    <t>Forecast volume FY</t>
  </si>
  <si>
    <t>FY 2023-2024</t>
  </si>
  <si>
    <t>FY beginning</t>
  </si>
  <si>
    <t>Inflation last December</t>
  </si>
  <si>
    <t>FY rebateable service revenue applicable to</t>
  </si>
  <si>
    <t>Rebateable amount ($) calc 1</t>
  </si>
  <si>
    <t>Rebatable amount ($) calc 2</t>
  </si>
  <si>
    <t>Rebatable amount ($) calc 3</t>
  </si>
  <si>
    <t>Reconciliation table</t>
  </si>
  <si>
    <t>Source: PTRM</t>
  </si>
  <si>
    <t>Source: PTRM and advised by AER</t>
  </si>
  <si>
    <t>Capacity tariff ($/GJ/d)</t>
  </si>
  <si>
    <t>Colour coding note</t>
  </si>
  <si>
    <t>Result</t>
  </si>
  <si>
    <t>To be updated in future</t>
  </si>
  <si>
    <t>December CPI (n-1)</t>
  </si>
  <si>
    <t>December CPI (n-2)</t>
  </si>
  <si>
    <t>https://www.abs.gov.au/statistics/economy/price-indexes-and-inflation/consumer-price-index-australia/dec-quarter-2023/640101.xlsx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</si>
</sst>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"/>
    <numFmt numFmtId="165" formatCode="_-* #,##0.0000_-;\-* #,##0.0000_-;_-* &quot;-&quot;??_-;_-@_-"/>
    <numFmt numFmtId="166" formatCode="_-&quot;$&quot;* #,##0_-;\-&quot;$&quot;* #,##0_-;_-&quot;$&quot;* &quot;-&quot;??_-;_-@_-"/>
    <numFmt numFmtId="167" formatCode="_-* #,##0_-;\-* #,##0_-;_-* &quot;-&quot;??_-;_-@_-"/>
    <numFmt numFmtId="168" formatCode="mmm\-yyyy"/>
    <numFmt numFmtId="169" formatCode="0.0;\-0.0;0.0;@"/>
    <numFmt numFmtId="170" formatCode="_-&quot;$&quot;* #,##0.0000_-;\-&quot;$&quot;* #,##0.0000_-;_-&quot;$&quot;* &quot;-&quot;??_-;_-@_-"/>
    <numFmt numFmtId="171" formatCode="_-* #,##0.000000_-;\-* #,##0.000000_-;_-* &quot;-&quot;??_-;_-@_-"/>
    <numFmt numFmtId="172" formatCode="_-&quot;$&quot;* #,##0.00000000000000000_-;\-&quot;$&quot;* #,##0.00000000000000000_-;_-&quot;$&quot;* &quot;-&quot;??_-;_-@_-"/>
    <numFmt numFmtId="173" formatCode="_-* #,##0.00000000_-;\-* #,##0.000000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entury Gothic"/>
      <family val="2"/>
    </font>
    <font>
      <b/>
      <sz val="10.5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22"/>
      <color theme="1"/>
      <name val="Century Gothic"/>
      <family val="2"/>
    </font>
    <font>
      <sz val="10.5"/>
      <color rgb="FF0070C0"/>
      <name val="Century Gothic"/>
      <family val="2"/>
    </font>
    <font>
      <sz val="10.5"/>
      <name val="Century Gothic"/>
      <family val="2"/>
    </font>
    <font>
      <b/>
      <sz val="10.5"/>
      <color rgb="FF0070C0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4"/>
      <name val="Calibri"/>
      <family val="2"/>
      <scheme val="minor"/>
    </font>
    <font>
      <sz val="9"/>
      <color indexed="81"/>
      <name val="Tahoma"/>
      <family val="2"/>
    </font>
    <font>
      <sz val="10.5"/>
      <color theme="4" tint="-0.499984740745262"/>
      <name val="Century Gothic"/>
      <family val="2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10.5"/>
      <color theme="0"/>
      <name val="Century Gothic"/>
      <family val="2"/>
    </font>
    <font>
      <sz val="10.5"/>
      <color theme="8" tint="-0.249977111117893"/>
      <name val="Century Gothic"/>
      <family val="2"/>
    </font>
    <font>
      <b/>
      <sz val="14"/>
      <color theme="0"/>
      <name val="Century Gothic"/>
      <family val="2"/>
    </font>
    <font>
      <sz val="14"/>
      <color theme="4" tint="-0.499984740745262"/>
      <name val="Century Gothic"/>
      <family val="2"/>
    </font>
    <font>
      <b/>
      <sz val="14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8" xfId="0" applyFont="1" applyBorder="1"/>
    <xf numFmtId="0" fontId="6" fillId="0" borderId="0" xfId="0" applyFont="1"/>
    <xf numFmtId="164" fontId="2" fillId="0" borderId="0" xfId="0" applyNumberFormat="1" applyFont="1" applyBorder="1"/>
    <xf numFmtId="164" fontId="2" fillId="0" borderId="0" xfId="1" applyNumberFormat="1" applyFont="1" applyBorder="1"/>
    <xf numFmtId="0" fontId="2" fillId="0" borderId="0" xfId="0" applyFont="1" applyBorder="1"/>
    <xf numFmtId="43" fontId="2" fillId="0" borderId="0" xfId="1" applyFont="1" applyFill="1" applyBorder="1"/>
    <xf numFmtId="165" fontId="2" fillId="0" borderId="0" xfId="1" applyNumberFormat="1" applyFont="1" applyBorder="1"/>
    <xf numFmtId="3" fontId="2" fillId="0" borderId="0" xfId="0" applyNumberFormat="1" applyFont="1" applyBorder="1"/>
    <xf numFmtId="10" fontId="2" fillId="0" borderId="0" xfId="2" applyNumberFormat="1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5" fontId="2" fillId="0" borderId="0" xfId="1" applyNumberFormat="1" applyFont="1" applyFill="1" applyBorder="1"/>
    <xf numFmtId="10" fontId="2" fillId="0" borderId="0" xfId="0" applyNumberFormat="1" applyFont="1" applyFill="1" applyBorder="1"/>
    <xf numFmtId="3" fontId="2" fillId="0" borderId="0" xfId="0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Fill="1" applyBorder="1"/>
    <xf numFmtId="166" fontId="7" fillId="0" borderId="9" xfId="3" applyNumberFormat="1" applyFont="1" applyBorder="1"/>
    <xf numFmtId="0" fontId="3" fillId="0" borderId="0" xfId="0" applyFont="1" applyFill="1" applyBorder="1"/>
    <xf numFmtId="166" fontId="7" fillId="0" borderId="0" xfId="3" applyNumberFormat="1" applyFont="1" applyBorder="1"/>
    <xf numFmtId="0" fontId="2" fillId="0" borderId="12" xfId="0" applyFont="1" applyBorder="1"/>
    <xf numFmtId="0" fontId="3" fillId="0" borderId="12" xfId="0" applyFont="1" applyFill="1" applyBorder="1"/>
    <xf numFmtId="166" fontId="7" fillId="0" borderId="12" xfId="3" applyNumberFormat="1" applyFont="1" applyBorder="1"/>
    <xf numFmtId="0" fontId="2" fillId="4" borderId="9" xfId="0" applyFont="1" applyFill="1" applyBorder="1"/>
    <xf numFmtId="0" fontId="3" fillId="4" borderId="9" xfId="0" applyFont="1" applyFill="1" applyBorder="1"/>
    <xf numFmtId="0" fontId="3" fillId="4" borderId="12" xfId="0" applyFont="1" applyFill="1" applyBorder="1"/>
    <xf numFmtId="0" fontId="2" fillId="4" borderId="12" xfId="0" applyFont="1" applyFill="1" applyBorder="1"/>
    <xf numFmtId="0" fontId="3" fillId="0" borderId="10" xfId="0" applyFont="1" applyBorder="1"/>
    <xf numFmtId="166" fontId="3" fillId="0" borderId="10" xfId="0" applyNumberFormat="1" applyFont="1" applyBorder="1"/>
    <xf numFmtId="0" fontId="2" fillId="0" borderId="6" xfId="0" applyFont="1" applyFill="1" applyBorder="1"/>
    <xf numFmtId="0" fontId="2" fillId="0" borderId="5" xfId="0" applyFont="1" applyBorder="1"/>
    <xf numFmtId="0" fontId="2" fillId="0" borderId="6" xfId="0" applyFont="1" applyBorder="1"/>
    <xf numFmtId="3" fontId="2" fillId="0" borderId="6" xfId="0" applyNumberFormat="1" applyFont="1" applyFill="1" applyBorder="1"/>
    <xf numFmtId="0" fontId="2" fillId="2" borderId="0" xfId="0" applyFont="1" applyFill="1" applyBorder="1"/>
    <xf numFmtId="10" fontId="2" fillId="0" borderId="6" xfId="2" applyNumberFormat="1" applyFont="1" applyFill="1" applyBorder="1"/>
    <xf numFmtId="0" fontId="5" fillId="0" borderId="5" xfId="0" applyFont="1" applyFill="1" applyBorder="1"/>
    <xf numFmtId="0" fontId="5" fillId="0" borderId="0" xfId="0" applyFont="1" applyFill="1" applyBorder="1"/>
    <xf numFmtId="0" fontId="3" fillId="0" borderId="5" xfId="0" applyFont="1" applyBorder="1"/>
    <xf numFmtId="10" fontId="2" fillId="0" borderId="6" xfId="0" applyNumberFormat="1" applyFont="1" applyFill="1" applyBorder="1"/>
    <xf numFmtId="10" fontId="7" fillId="0" borderId="0" xfId="0" applyNumberFormat="1" applyFont="1" applyBorder="1"/>
    <xf numFmtId="10" fontId="7" fillId="0" borderId="0" xfId="2" applyNumberFormat="1" applyFont="1" applyBorder="1"/>
    <xf numFmtId="0" fontId="2" fillId="4" borderId="13" xfId="0" applyFont="1" applyFill="1" applyBorder="1"/>
    <xf numFmtId="0" fontId="3" fillId="4" borderId="14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3" fillId="0" borderId="15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15" xfId="0" applyFont="1" applyBorder="1"/>
    <xf numFmtId="10" fontId="3" fillId="0" borderId="10" xfId="2" applyNumberFormat="1" applyFont="1" applyBorder="1"/>
    <xf numFmtId="0" fontId="3" fillId="4" borderId="16" xfId="0" applyFont="1" applyFill="1" applyBorder="1"/>
    <xf numFmtId="0" fontId="3" fillId="4" borderId="11" xfId="0" applyFont="1" applyFill="1" applyBorder="1"/>
    <xf numFmtId="0" fontId="2" fillId="4" borderId="11" xfId="0" applyFont="1" applyFill="1" applyBorder="1"/>
    <xf numFmtId="166" fontId="2" fillId="0" borderId="0" xfId="3" applyNumberFormat="1" applyFont="1" applyBorder="1"/>
    <xf numFmtId="15" fontId="3" fillId="4" borderId="9" xfId="0" applyNumberFormat="1" applyFont="1" applyFill="1" applyBorder="1" applyAlignment="1">
      <alignment horizontal="center"/>
    </xf>
    <xf numFmtId="0" fontId="2" fillId="4" borderId="5" xfId="0" applyFont="1" applyFill="1" applyBorder="1"/>
    <xf numFmtId="0" fontId="2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2" fillId="2" borderId="9" xfId="0" applyFont="1" applyFill="1" applyBorder="1"/>
    <xf numFmtId="3" fontId="2" fillId="0" borderId="9" xfId="0" applyNumberFormat="1" applyFont="1" applyBorder="1"/>
    <xf numFmtId="166" fontId="2" fillId="0" borderId="9" xfId="3" applyNumberFormat="1" applyFont="1" applyBorder="1"/>
    <xf numFmtId="167" fontId="2" fillId="0" borderId="0" xfId="0" applyNumberFormat="1" applyFont="1" applyBorder="1"/>
    <xf numFmtId="3" fontId="2" fillId="0" borderId="12" xfId="0" applyNumberFormat="1" applyFont="1" applyBorder="1"/>
    <xf numFmtId="10" fontId="7" fillId="0" borderId="9" xfId="0" applyNumberFormat="1" applyFont="1" applyFill="1" applyBorder="1"/>
    <xf numFmtId="43" fontId="8" fillId="0" borderId="0" xfId="1" applyFont="1" applyFill="1" applyBorder="1"/>
    <xf numFmtId="0" fontId="7" fillId="0" borderId="0" xfId="0" applyFont="1" applyFill="1" applyBorder="1"/>
    <xf numFmtId="164" fontId="2" fillId="0" borderId="10" xfId="0" applyNumberFormat="1" applyFont="1" applyBorder="1"/>
    <xf numFmtId="164" fontId="9" fillId="0" borderId="10" xfId="0" applyNumberFormat="1" applyFont="1" applyBorder="1"/>
    <xf numFmtId="164" fontId="3" fillId="0" borderId="10" xfId="0" applyNumberFormat="1" applyFont="1" applyBorder="1"/>
    <xf numFmtId="165" fontId="2" fillId="0" borderId="6" xfId="1" applyNumberFormat="1" applyFont="1" applyFill="1" applyBorder="1"/>
    <xf numFmtId="43" fontId="2" fillId="0" borderId="6" xfId="1" applyFont="1" applyFill="1" applyBorder="1"/>
    <xf numFmtId="0" fontId="2" fillId="4" borderId="16" xfId="0" applyFont="1" applyFill="1" applyBorder="1"/>
    <xf numFmtId="164" fontId="2" fillId="0" borderId="12" xfId="1" applyNumberFormat="1" applyFont="1" applyBorder="1"/>
    <xf numFmtId="0" fontId="2" fillId="0" borderId="5" xfId="0" applyFont="1" applyFill="1" applyBorder="1"/>
    <xf numFmtId="164" fontId="2" fillId="0" borderId="6" xfId="0" applyNumberFormat="1" applyFont="1" applyFill="1" applyBorder="1"/>
    <xf numFmtId="164" fontId="2" fillId="0" borderId="6" xfId="1" applyNumberFormat="1" applyFont="1" applyFill="1" applyBorder="1"/>
    <xf numFmtId="0" fontId="2" fillId="0" borderId="1" xfId="0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0" fontId="2" fillId="5" borderId="6" xfId="0" applyFont="1" applyFill="1" applyBorder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5" borderId="1" xfId="0" applyFont="1" applyFill="1" applyBorder="1"/>
    <xf numFmtId="0" fontId="5" fillId="5" borderId="2" xfId="0" applyFont="1" applyFill="1" applyBorder="1"/>
    <xf numFmtId="0" fontId="4" fillId="5" borderId="0" xfId="0" applyFont="1" applyFill="1" applyBorder="1"/>
    <xf numFmtId="0" fontId="2" fillId="5" borderId="2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17" fontId="3" fillId="4" borderId="11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2" fillId="0" borderId="0" xfId="0" applyFont="1"/>
    <xf numFmtId="0" fontId="11" fillId="0" borderId="0" xfId="0" applyFont="1" applyAlignment="1">
      <alignment horizontal="right"/>
    </xf>
    <xf numFmtId="0" fontId="10" fillId="0" borderId="0" xfId="4"/>
    <xf numFmtId="15" fontId="13" fillId="0" borderId="0" xfId="0" applyNumberFormat="1" applyFont="1"/>
    <xf numFmtId="0" fontId="11" fillId="0" borderId="0" xfId="0" applyFont="1"/>
    <xf numFmtId="168" fontId="12" fillId="0" borderId="0" xfId="0" applyNumberFormat="1" applyFont="1"/>
    <xf numFmtId="168" fontId="11" fillId="0" borderId="0" xfId="0" applyNumberFormat="1" applyFont="1"/>
    <xf numFmtId="168" fontId="11" fillId="0" borderId="0" xfId="0" applyNumberFormat="1" applyFont="1" applyAlignment="1">
      <alignment horizontal="left"/>
    </xf>
    <xf numFmtId="169" fontId="11" fillId="0" borderId="0" xfId="0" applyNumberFormat="1" applyFont="1"/>
    <xf numFmtId="169" fontId="11" fillId="6" borderId="0" xfId="0" applyNumberFormat="1" applyFont="1" applyFill="1"/>
    <xf numFmtId="10" fontId="15" fillId="0" borderId="9" xfId="0" applyNumberFormat="1" applyFont="1" applyFill="1" applyBorder="1"/>
    <xf numFmtId="0" fontId="15" fillId="0" borderId="10" xfId="0" applyFont="1" applyFill="1" applyBorder="1"/>
    <xf numFmtId="0" fontId="15" fillId="3" borderId="10" xfId="0" applyFont="1" applyFill="1" applyBorder="1"/>
    <xf numFmtId="43" fontId="2" fillId="0" borderId="12" xfId="1" applyFont="1" applyBorder="1"/>
    <xf numFmtId="0" fontId="10" fillId="0" borderId="6" xfId="4" applyFill="1" applyBorder="1"/>
    <xf numFmtId="10" fontId="7" fillId="0" borderId="0" xfId="2" applyNumberFormat="1" applyFont="1" applyFill="1" applyBorder="1"/>
    <xf numFmtId="15" fontId="3" fillId="4" borderId="11" xfId="0" applyNumberFormat="1" applyFont="1" applyFill="1" applyBorder="1"/>
    <xf numFmtId="0" fontId="3" fillId="4" borderId="11" xfId="0" applyFont="1" applyFill="1" applyBorder="1" applyAlignment="1">
      <alignment horizontal="right"/>
    </xf>
    <xf numFmtId="167" fontId="3" fillId="0" borderId="10" xfId="1" applyNumberFormat="1" applyFont="1" applyBorder="1"/>
    <xf numFmtId="0" fontId="5" fillId="0" borderId="0" xfId="0" applyFont="1"/>
    <xf numFmtId="10" fontId="2" fillId="0" borderId="0" xfId="0" applyNumberFormat="1" applyFont="1" applyBorder="1"/>
    <xf numFmtId="4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170" fontId="2" fillId="0" borderId="0" xfId="3" applyNumberFormat="1" applyFont="1" applyBorder="1"/>
    <xf numFmtId="0" fontId="2" fillId="0" borderId="12" xfId="0" applyFont="1" applyBorder="1" applyAlignment="1">
      <alignment horizontal="right"/>
    </xf>
    <xf numFmtId="166" fontId="2" fillId="0" borderId="9" xfId="0" applyNumberFormat="1" applyFont="1" applyBorder="1"/>
    <xf numFmtId="43" fontId="2" fillId="0" borderId="9" xfId="0" applyNumberFormat="1" applyFont="1" applyBorder="1"/>
    <xf numFmtId="44" fontId="2" fillId="0" borderId="0" xfId="3" applyFont="1" applyBorder="1"/>
    <xf numFmtId="0" fontId="7" fillId="0" borderId="0" xfId="0" applyFont="1" applyBorder="1" applyAlignment="1">
      <alignment horizontal="right"/>
    </xf>
    <xf numFmtId="170" fontId="7" fillId="0" borderId="12" xfId="3" applyNumberFormat="1" applyFont="1" applyBorder="1" applyAlignment="1">
      <alignment horizontal="right"/>
    </xf>
    <xf numFmtId="165" fontId="3" fillId="0" borderId="10" xfId="1" applyNumberFormat="1" applyFont="1" applyBorder="1"/>
    <xf numFmtId="44" fontId="2" fillId="0" borderId="0" xfId="0" applyNumberFormat="1" applyFont="1"/>
    <xf numFmtId="170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167" fontId="2" fillId="0" borderId="0" xfId="0" applyNumberFormat="1" applyFont="1"/>
    <xf numFmtId="167" fontId="2" fillId="0" borderId="0" xfId="1" applyNumberFormat="1" applyFont="1"/>
    <xf numFmtId="171" fontId="2" fillId="0" borderId="0" xfId="0" applyNumberFormat="1" applyFont="1"/>
    <xf numFmtId="44" fontId="2" fillId="0" borderId="0" xfId="3" applyFont="1"/>
    <xf numFmtId="166" fontId="2" fillId="0" borderId="0" xfId="3" applyNumberFormat="1" applyFont="1"/>
    <xf numFmtId="166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44" fontId="2" fillId="0" borderId="0" xfId="0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173" fontId="2" fillId="0" borderId="0" xfId="0" applyNumberFormat="1" applyFont="1"/>
    <xf numFmtId="170" fontId="2" fillId="0" borderId="0" xfId="0" applyNumberFormat="1" applyFont="1" applyBorder="1"/>
    <xf numFmtId="164" fontId="8" fillId="0" borderId="0" xfId="0" applyNumberFormat="1" applyFont="1" applyFill="1" applyBorder="1"/>
    <xf numFmtId="43" fontId="2" fillId="0" borderId="12" xfId="1" applyFont="1" applyFill="1" applyBorder="1"/>
    <xf numFmtId="43" fontId="2" fillId="0" borderId="10" xfId="1" applyFont="1" applyFill="1" applyBorder="1"/>
    <xf numFmtId="165" fontId="2" fillId="0" borderId="9" xfId="1" applyNumberFormat="1" applyFont="1" applyFill="1" applyBorder="1"/>
    <xf numFmtId="165" fontId="2" fillId="0" borderId="12" xfId="1" applyNumberFormat="1" applyFont="1" applyFill="1" applyBorder="1"/>
    <xf numFmtId="165" fontId="2" fillId="0" borderId="10" xfId="1" applyNumberFormat="1" applyFont="1" applyFill="1" applyBorder="1"/>
    <xf numFmtId="166" fontId="2" fillId="0" borderId="0" xfId="3" applyNumberFormat="1" applyFont="1" applyFill="1" applyBorder="1"/>
    <xf numFmtId="167" fontId="2" fillId="0" borderId="0" xfId="1" applyNumberFormat="1" applyFont="1" applyFill="1" applyBorder="1"/>
    <xf numFmtId="14" fontId="2" fillId="0" borderId="0" xfId="0" applyNumberFormat="1" applyFont="1"/>
    <xf numFmtId="9" fontId="19" fillId="0" borderId="0" xfId="0" applyNumberFormat="1" applyFont="1" applyBorder="1"/>
    <xf numFmtId="10" fontId="15" fillId="7" borderId="9" xfId="0" applyNumberFormat="1" applyFont="1" applyFill="1" applyBorder="1"/>
    <xf numFmtId="10" fontId="7" fillId="7" borderId="0" xfId="0" applyNumberFormat="1" applyFont="1" applyFill="1" applyBorder="1"/>
    <xf numFmtId="166" fontId="2" fillId="7" borderId="9" xfId="3" applyNumberFormat="1" applyFont="1" applyFill="1" applyBorder="1"/>
    <xf numFmtId="166" fontId="2" fillId="7" borderId="0" xfId="3" applyNumberFormat="1" applyFont="1" applyFill="1" applyBorder="1"/>
    <xf numFmtId="166" fontId="2" fillId="7" borderId="12" xfId="3" applyNumberFormat="1" applyFont="1" applyFill="1" applyBorder="1"/>
    <xf numFmtId="172" fontId="2" fillId="0" borderId="0" xfId="0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Continuous"/>
    </xf>
    <xf numFmtId="0" fontId="18" fillId="8" borderId="0" xfId="0" applyFont="1" applyFill="1" applyAlignment="1">
      <alignment horizontal="centerContinuous"/>
    </xf>
    <xf numFmtId="10" fontId="21" fillId="7" borderId="9" xfId="0" applyNumberFormat="1" applyFont="1" applyFill="1" applyBorder="1" applyAlignment="1">
      <alignment horizontal="centerContinuous"/>
    </xf>
    <xf numFmtId="0" fontId="22" fillId="0" borderId="0" xfId="0" applyFont="1"/>
    <xf numFmtId="165" fontId="2" fillId="0" borderId="10" xfId="1" applyNumberFormat="1" applyFont="1" applyFill="1" applyBorder="1" applyAlignment="1">
      <alignment horizontal="center"/>
    </xf>
    <xf numFmtId="164" fontId="2" fillId="0" borderId="9" xfId="0" applyNumberFormat="1" applyFont="1" applyBorder="1" applyAlignment="1"/>
    <xf numFmtId="164" fontId="2" fillId="0" borderId="0" xfId="1" applyNumberFormat="1" applyFont="1" applyBorder="1" applyAlignment="1"/>
    <xf numFmtId="164" fontId="2" fillId="0" borderId="12" xfId="1" applyNumberFormat="1" applyFont="1" applyBorder="1" applyAlignment="1"/>
    <xf numFmtId="15" fontId="3" fillId="0" borderId="0" xfId="0" applyNumberFormat="1" applyFont="1" applyFill="1" applyBorder="1"/>
    <xf numFmtId="167" fontId="3" fillId="0" borderId="0" xfId="1" applyNumberFormat="1" applyFont="1" applyFill="1" applyBorder="1"/>
    <xf numFmtId="166" fontId="2" fillId="0" borderId="0" xfId="0" applyNumberFormat="1" applyFont="1"/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4" borderId="9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 cent" xfId="2" builtinId="5"/>
  </cellStyles>
  <dxfs count="26">
    <dxf>
      <font>
        <b/>
        <i val="0"/>
        <color theme="0"/>
      </font>
      <fill>
        <patternFill>
          <bgColor theme="8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9" tint="-0.24994659260841701"/>
      </font>
    </dxf>
    <dxf>
      <font>
        <color rgb="FFFF0000"/>
      </font>
    </dxf>
    <dxf>
      <font>
        <strike val="0"/>
        <color theme="9" tint="-0.2499465926084170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260349</xdr:colOff>
      <xdr:row>8</xdr:row>
      <xdr:rowOff>12700</xdr:rowOff>
    </xdr:from>
    <xdr:to>
      <xdr:col>5</xdr:col>
      <xdr:colOff>838200</xdr:colOff>
      <xdr:row>11</xdr:row>
      <xdr:rowOff>55407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D72383-C636-1B7D-5FBE-FD85F1228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/>
        </a:blip>
        <a:stretch>
          <a:fillRect/>
        </a:stretch>
      </xdr:blipFill>
      <xdr:spPr>
        <a:xfrm>
          <a:off x="7404099" y="1543050"/>
          <a:ext cx="3003551" cy="559597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24</xdr:row>
      <xdr:rowOff>12700</xdr:rowOff>
    </xdr:from>
    <xdr:to>
      <xdr:col>6</xdr:col>
      <xdr:colOff>768</xdr:colOff>
      <xdr:row>27</xdr:row>
      <xdr:rowOff>92639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11984E-9138-5124-13B4-9F3EFFDAE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219950" y="4140200"/>
          <a:ext cx="4019048" cy="571429"/>
        </a:xfrm>
        <a:prstGeom prst="rect">
          <a:avLst/>
        </a:prstGeom>
      </xdr:spPr>
    </xdr:pic>
    <xdr:clientData/>
  </xdr:twoCellAnchor>
  <xdr:twoCellAnchor editAs="oneCell">
    <xdr:from>
      <xdr:col>3</xdr:col>
      <xdr:colOff>374650</xdr:colOff>
      <xdr:row>46</xdr:row>
      <xdr:rowOff>120650</xdr:rowOff>
    </xdr:from>
    <xdr:to>
      <xdr:col>5</xdr:col>
      <xdr:colOff>781331</xdr:colOff>
      <xdr:row>50</xdr:row>
      <xdr:rowOff>19584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C6B294-CDE4-9D6A-E15C-C69E3D3BC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518400" y="7950200"/>
          <a:ext cx="2828571" cy="809524"/>
        </a:xfrm>
        <a:prstGeom prst="rect">
          <a:avLst/>
        </a:prstGeom>
      </xdr:spPr>
    </xdr:pic>
    <xdr:clientData/>
  </xdr:twoCellAnchor>
  <xdr:twoCellAnchor editAs="oneCell">
    <xdr:from>
      <xdr:col>6</xdr:col>
      <xdr:colOff>1308099</xdr:colOff>
      <xdr:row>8</xdr:row>
      <xdr:rowOff>19050</xdr:rowOff>
    </xdr:from>
    <xdr:to>
      <xdr:col>9</xdr:col>
      <xdr:colOff>396240</xdr:colOff>
      <xdr:row>11</xdr:row>
      <xdr:rowOff>58985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3DBD40D-39C9-5B42-63D7-DA8B4B802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823699" y="1549400"/>
          <a:ext cx="2857501" cy="56444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10</xdr:col>
      <xdr:colOff>171604</xdr:colOff>
      <xdr:row>27</xdr:row>
      <xdr:rowOff>131368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42D8952-566D-7CD1-D631-09D406DE8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842750" y="4286250"/>
          <a:ext cx="3847619" cy="6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1162050</xdr:colOff>
      <xdr:row>65</xdr:row>
      <xdr:rowOff>57150</xdr:rowOff>
    </xdr:from>
    <xdr:to>
      <xdr:col>18</xdr:col>
      <xdr:colOff>175120</xdr:colOff>
      <xdr:row>75</xdr:row>
      <xdr:rowOff>98839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C9E0B7-A120-31F3-678F-B9B6809D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269200" y="11499850"/>
          <a:ext cx="6200000" cy="1771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teams/RegAndPolicy/Shared%20Documents/Amadeus%20AA/Tariff%20updates/Annual%20Tariff%20Variations/2023%20tariff%20adjustment/03%20Tariff%20variation/AGP%20-%20Annual%20Tariff%20Calculations%20v01%20(working%20version).xlsx?F7DA056C" TargetMode="External"/><Relationship Id="rId1" Type="http://schemas.openxmlformats.org/officeDocument/2006/relationships/externalLinkPath" Target="file:///\\F7DA056C\AGP%20-%20Annual%20Tariff%20Calculations%20v01%20(working%20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CPI 20220412"/>
      <sheetName val="CPI 20230411"/>
    </sheetNames>
    <sheetDataSet>
      <sheetData sheetId="0">
        <row r="8">
          <cell r="B8">
            <v>0.34</v>
          </cell>
        </row>
        <row r="9">
          <cell r="B9">
            <v>117.2</v>
          </cell>
        </row>
        <row r="28">
          <cell r="B28">
            <v>0.34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er.gov.au/system/files/AER%20-%20Final%20decision%20-%20RBP%20access%20arrangement%202022-27%20-%20Attachment%2012%20-%20Demand%20%20-%20May%20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8"/>
  <sheetViews>
    <sheetView showGridLines="0" tabSelected="1" topLeftCell="A71" zoomScaleNormal="100" workbookViewId="0">
      <selection activeCell="H99" sqref="H99"/>
    </sheetView>
  </sheetViews>
  <sheetFormatPr defaultColWidth="0" defaultRowHeight="13.8" zeroHeight="1" x14ac:dyDescent="0.25"/>
  <cols>
    <col min="1" max="1" width="49.44140625" style="1" customWidth="1"/>
    <col min="2" max="2" width="11.109375" style="1" customWidth="1"/>
    <col min="3" max="3" width="41.77734375" style="1" customWidth="1"/>
    <col min="4" max="4" width="13.44140625" style="1" customWidth="1"/>
    <col min="5" max="5" width="21.21875" style="1" customWidth="1"/>
    <col min="6" max="6" width="24.33203125" style="1" bestFit="1" customWidth="1"/>
    <col min="7" max="7" width="19" style="1" customWidth="1"/>
    <col min="8" max="8" width="17.77734375" style="1" customWidth="1"/>
    <col min="9" max="9" width="17.109375" style="1" customWidth="1"/>
    <col min="10" max="10" width="17.88671875" style="1" customWidth="1"/>
    <col min="11" max="11" width="51.21875" style="1" customWidth="1"/>
    <col min="12" max="12" width="26.21875" style="1" customWidth="1"/>
    <col min="13" max="13" width="19.21875" style="1" customWidth="1"/>
    <col min="14" max="14" width="20.44140625" style="1" customWidth="1"/>
    <col min="15" max="19" width="9.21875" style="1" customWidth="1"/>
    <col min="20" max="16384" width="9.21875" style="1" hidden="1"/>
  </cols>
  <sheetData>
    <row r="1" spans="1:14" ht="27.6" x14ac:dyDescent="0.45">
      <c r="A1" s="4" t="s">
        <v>7</v>
      </c>
    </row>
    <row r="2" spans="1:14" ht="27.6" x14ac:dyDescent="0.45">
      <c r="A2" s="4" t="str">
        <f>$B$3 &amp; " Tariff"</f>
        <v>Eastbound and Westbound Tariff</v>
      </c>
      <c r="I2" s="169" t="s">
        <v>92</v>
      </c>
    </row>
    <row r="3" spans="1:14" hidden="1" x14ac:dyDescent="0.25">
      <c r="A3" s="2" t="s">
        <v>9</v>
      </c>
      <c r="B3" s="21" t="s">
        <v>56</v>
      </c>
      <c r="C3" s="22" t="s">
        <v>54</v>
      </c>
    </row>
    <row r="4" spans="1:14" ht="17.399999999999999" x14ac:dyDescent="0.3">
      <c r="I4" s="166" t="s">
        <v>93</v>
      </c>
      <c r="J4" s="167"/>
    </row>
    <row r="5" spans="1:14" ht="16.8" x14ac:dyDescent="0.25">
      <c r="A5" s="2" t="s">
        <v>57</v>
      </c>
      <c r="F5" s="139"/>
      <c r="G5" s="158"/>
      <c r="I5" s="168" t="s">
        <v>94</v>
      </c>
      <c r="J5" s="168"/>
    </row>
    <row r="6" spans="1:14" x14ac:dyDescent="0.25">
      <c r="A6" s="2" t="s">
        <v>55</v>
      </c>
    </row>
    <row r="7" spans="1:14" ht="14.4" thickBot="1" x14ac:dyDescent="0.3"/>
    <row r="8" spans="1:14" s="20" customFormat="1" x14ac:dyDescent="0.25">
      <c r="A8" s="96"/>
      <c r="B8" s="86"/>
      <c r="C8" s="86"/>
      <c r="D8" s="86"/>
      <c r="E8" s="86"/>
      <c r="F8" s="86"/>
      <c r="G8" s="86"/>
      <c r="H8" s="86"/>
      <c r="I8" s="86"/>
      <c r="J8" s="86"/>
      <c r="K8" s="87"/>
      <c r="L8" s="12"/>
      <c r="M8" s="12"/>
      <c r="N8" s="12"/>
    </row>
    <row r="9" spans="1:14" s="20" customFormat="1" ht="15" x14ac:dyDescent="0.25">
      <c r="A9" s="97" t="str">
        <f>"Capacity Tariff - RT(" &amp; $C$3 &amp; ",n)"</f>
        <v>Capacity Tariff - RT(d,n)</v>
      </c>
      <c r="B9" s="88"/>
      <c r="C9" s="88"/>
      <c r="D9" s="88"/>
      <c r="E9" s="88"/>
      <c r="F9" s="88"/>
      <c r="G9" s="88"/>
      <c r="H9" s="88"/>
      <c r="I9" s="88"/>
      <c r="J9" s="88"/>
      <c r="K9" s="89"/>
      <c r="L9" s="12"/>
      <c r="M9" s="12"/>
      <c r="N9" s="12"/>
    </row>
    <row r="10" spans="1:14" x14ac:dyDescent="0.25">
      <c r="A10" s="98"/>
      <c r="B10" s="88"/>
      <c r="C10" s="88"/>
      <c r="D10" s="88"/>
      <c r="E10" s="88"/>
      <c r="F10" s="88"/>
      <c r="G10" s="88"/>
      <c r="H10" s="88"/>
      <c r="I10" s="88"/>
      <c r="J10" s="88"/>
      <c r="K10" s="89"/>
      <c r="L10" s="12"/>
      <c r="M10" s="12"/>
      <c r="N10" s="12"/>
    </row>
    <row r="11" spans="1:14" x14ac:dyDescent="0.25">
      <c r="A11" s="98"/>
      <c r="B11" s="88"/>
      <c r="C11" s="88"/>
      <c r="D11" s="88"/>
      <c r="E11" s="88"/>
      <c r="F11" s="88"/>
      <c r="G11" s="88"/>
      <c r="H11" s="88"/>
      <c r="I11" s="88"/>
      <c r="J11" s="88"/>
      <c r="K11" s="89"/>
      <c r="L11" s="12"/>
      <c r="M11" s="12"/>
      <c r="N11" s="12"/>
    </row>
    <row r="12" spans="1:14" ht="14.4" thickBot="1" x14ac:dyDescent="0.3">
      <c r="A12" s="99"/>
      <c r="B12" s="92"/>
      <c r="C12" s="92"/>
      <c r="D12" s="92"/>
      <c r="E12" s="92"/>
      <c r="F12" s="92"/>
      <c r="G12" s="92"/>
      <c r="H12" s="92"/>
      <c r="I12" s="92"/>
      <c r="J12" s="92"/>
      <c r="K12" s="93"/>
      <c r="L12" s="12"/>
      <c r="M12" s="12"/>
      <c r="N12" s="12"/>
    </row>
    <row r="13" spans="1:14" s="20" customFormat="1" ht="15" x14ac:dyDescent="0.25">
      <c r="A13" s="82"/>
      <c r="B13" s="12"/>
      <c r="C13" s="45"/>
      <c r="D13" s="12"/>
      <c r="E13" s="12"/>
      <c r="F13" s="12"/>
      <c r="G13" s="12"/>
      <c r="H13" s="12"/>
      <c r="I13" s="12"/>
      <c r="J13" s="12"/>
      <c r="K13" s="38"/>
      <c r="L13" s="12"/>
      <c r="M13" s="12"/>
      <c r="N13" s="12"/>
    </row>
    <row r="14" spans="1:14" s="20" customFormat="1" x14ac:dyDescent="0.25">
      <c r="A14" s="50"/>
      <c r="B14" s="32"/>
      <c r="C14" s="179" t="s">
        <v>82</v>
      </c>
      <c r="D14" s="179"/>
      <c r="E14" s="63">
        <v>44743</v>
      </c>
      <c r="F14" s="63">
        <f>DATE(YEAR(E14)+1,MONTH(E14),DAY(E14))</f>
        <v>45108</v>
      </c>
      <c r="G14" s="63">
        <f t="shared" ref="G14:J14" si="0">DATE(YEAR(F14)+1,MONTH(F14),DAY(F14))</f>
        <v>45474</v>
      </c>
      <c r="H14" s="63">
        <f t="shared" si="0"/>
        <v>45839</v>
      </c>
      <c r="I14" s="63">
        <f t="shared" si="0"/>
        <v>46204</v>
      </c>
      <c r="J14" s="63">
        <f t="shared" si="0"/>
        <v>46569</v>
      </c>
      <c r="K14" s="38"/>
      <c r="L14" s="12"/>
      <c r="M14" s="12"/>
      <c r="N14" s="12"/>
    </row>
    <row r="15" spans="1:14" s="20" customFormat="1" x14ac:dyDescent="0.25">
      <c r="A15" s="64"/>
      <c r="B15" s="65"/>
      <c r="C15" s="180" t="s">
        <v>8</v>
      </c>
      <c r="D15" s="180"/>
      <c r="E15" s="66">
        <v>2023</v>
      </c>
      <c r="F15" s="66">
        <f>E15+1</f>
        <v>2024</v>
      </c>
      <c r="G15" s="66">
        <f t="shared" ref="G15:J15" si="1">F15+1</f>
        <v>2025</v>
      </c>
      <c r="H15" s="66">
        <f t="shared" si="1"/>
        <v>2026</v>
      </c>
      <c r="I15" s="66">
        <f t="shared" si="1"/>
        <v>2027</v>
      </c>
      <c r="J15" s="66">
        <f t="shared" si="1"/>
        <v>2028</v>
      </c>
      <c r="K15" s="38"/>
      <c r="L15" s="12"/>
      <c r="M15" s="12"/>
      <c r="N15" s="12"/>
    </row>
    <row r="16" spans="1:14" s="20" customFormat="1" x14ac:dyDescent="0.25">
      <c r="A16" s="51" t="s">
        <v>27</v>
      </c>
      <c r="B16" s="34" t="s">
        <v>28</v>
      </c>
      <c r="C16" s="34" t="s">
        <v>29</v>
      </c>
      <c r="D16" s="35"/>
      <c r="E16" s="35"/>
      <c r="F16" s="35"/>
      <c r="G16" s="35"/>
      <c r="H16" s="35"/>
      <c r="I16" s="35"/>
      <c r="J16" s="35"/>
      <c r="K16" s="38"/>
      <c r="L16" s="12"/>
      <c r="M16" s="12"/>
      <c r="N16" s="12"/>
    </row>
    <row r="17" spans="1:14" x14ac:dyDescent="0.25">
      <c r="A17" s="52" t="str">
        <f t="shared" ref="A17:B17" si="2">A38</f>
        <v>Capacity tariff unadjusted</v>
      </c>
      <c r="B17" s="23" t="str">
        <f t="shared" si="2"/>
        <v>$/GJ/day</v>
      </c>
      <c r="C17" s="23" t="str">
        <f>"RT'(" &amp; $C$3 &amp; ",n)"</f>
        <v>RT'(d,n)</v>
      </c>
      <c r="D17" s="23"/>
      <c r="E17" s="23"/>
      <c r="F17" s="171">
        <f>F38</f>
        <v>0.6778217381100049</v>
      </c>
      <c r="G17" s="153">
        <f t="shared" ref="G17:J17" si="3">G38</f>
        <v>0.71204892103245365</v>
      </c>
      <c r="H17" s="153">
        <f t="shared" si="3"/>
        <v>0</v>
      </c>
      <c r="I17" s="153" t="e">
        <f t="shared" si="3"/>
        <v>#DIV/0!</v>
      </c>
      <c r="J17" s="153" t="e">
        <f t="shared" si="3"/>
        <v>#DIV/0!</v>
      </c>
      <c r="K17" s="83"/>
      <c r="L17" s="13"/>
      <c r="M17" s="13"/>
      <c r="N17" s="13"/>
    </row>
    <row r="18" spans="1:14" x14ac:dyDescent="0.25">
      <c r="A18" s="39" t="s">
        <v>30</v>
      </c>
      <c r="B18" s="7"/>
      <c r="C18" s="7" t="s">
        <v>10</v>
      </c>
      <c r="D18" s="7"/>
      <c r="E18" s="6"/>
      <c r="F18" s="172">
        <f>F63</f>
        <v>5.9794446153795623E-2</v>
      </c>
      <c r="G18" s="15">
        <f t="shared" ref="G18:J18" si="4">G63</f>
        <v>5.1351795411826641E-2</v>
      </c>
      <c r="H18" s="15" t="e">
        <f t="shared" si="4"/>
        <v>#DIV/0!</v>
      </c>
      <c r="I18" s="15" t="e">
        <f t="shared" si="4"/>
        <v>#DIV/0!</v>
      </c>
      <c r="J18" s="15" t="e">
        <f t="shared" si="4"/>
        <v>#DIV/0!</v>
      </c>
      <c r="K18" s="84"/>
      <c r="L18" s="14"/>
      <c r="M18" s="14"/>
      <c r="N18" s="14"/>
    </row>
    <row r="19" spans="1:14" x14ac:dyDescent="0.25">
      <c r="A19" s="53"/>
      <c r="B19" s="29"/>
      <c r="C19" s="29" t="s">
        <v>11</v>
      </c>
      <c r="D19" s="29"/>
      <c r="E19" s="81"/>
      <c r="F19" s="173">
        <f>1-F18</f>
        <v>0.94020555384620441</v>
      </c>
      <c r="G19" s="154">
        <f t="shared" ref="G19:J19" si="5">1-G18</f>
        <v>0.94864820458817334</v>
      </c>
      <c r="H19" s="151" t="e">
        <f t="shared" si="5"/>
        <v>#DIV/0!</v>
      </c>
      <c r="I19" s="151" t="e">
        <f t="shared" si="5"/>
        <v>#DIV/0!</v>
      </c>
      <c r="J19" s="151" t="e">
        <f t="shared" si="5"/>
        <v>#DIV/0!</v>
      </c>
      <c r="K19" s="84"/>
      <c r="L19" s="14"/>
      <c r="M19" s="14"/>
      <c r="N19" s="12"/>
    </row>
    <row r="20" spans="1:14" ht="14.4" thickBot="1" x14ac:dyDescent="0.3">
      <c r="A20" s="57" t="s">
        <v>26</v>
      </c>
      <c r="B20" s="24" t="s">
        <v>38</v>
      </c>
      <c r="C20" s="24" t="str">
        <f>"RT(" &amp; $C$3 &amp; ",n)"</f>
        <v>RT(d,n)</v>
      </c>
      <c r="D20" s="24"/>
      <c r="E20" s="75"/>
      <c r="F20" s="170">
        <f t="shared" ref="F20:J20" si="6">F17*F19</f>
        <v>0.63729176268871413</v>
      </c>
      <c r="G20" s="155">
        <f t="shared" si="6"/>
        <v>0.67548393051638322</v>
      </c>
      <c r="H20" s="155" t="e">
        <f t="shared" si="6"/>
        <v>#DIV/0!</v>
      </c>
      <c r="I20" s="155" t="e">
        <f t="shared" si="6"/>
        <v>#DIV/0!</v>
      </c>
      <c r="J20" s="155" t="e">
        <f t="shared" si="6"/>
        <v>#DIV/0!</v>
      </c>
      <c r="K20" s="83"/>
      <c r="L20" s="13"/>
      <c r="M20" s="13"/>
      <c r="N20" s="13"/>
    </row>
    <row r="21" spans="1:14" ht="15" thickTop="1" thickBot="1" x14ac:dyDescent="0.3">
      <c r="A21" s="55"/>
      <c r="B21" s="3"/>
      <c r="C21" s="3"/>
      <c r="D21" s="3"/>
      <c r="E21" s="3"/>
      <c r="F21" s="3"/>
      <c r="G21" s="3"/>
      <c r="H21" s="3"/>
      <c r="I21" s="3"/>
      <c r="J21" s="3"/>
      <c r="K21" s="85"/>
      <c r="L21" s="12"/>
      <c r="M21" s="12"/>
      <c r="N21" s="12"/>
    </row>
    <row r="22" spans="1:14" x14ac:dyDescent="0.25"/>
    <row r="23" spans="1:14" ht="14.4" thickBot="1" x14ac:dyDescent="0.3">
      <c r="K23" s="12"/>
      <c r="L23" s="12"/>
      <c r="M23" s="12"/>
      <c r="N23" s="12"/>
    </row>
    <row r="24" spans="1:14" ht="15" x14ac:dyDescent="0.25">
      <c r="A24" s="94" t="str">
        <f>"Capacity Tariff before rebatable services revenues adjustment - " &amp; $C$17</f>
        <v>Capacity Tariff before rebatable services revenues adjustment - RT'(d,n)</v>
      </c>
      <c r="B24" s="86"/>
      <c r="C24" s="86"/>
      <c r="D24" s="86"/>
      <c r="E24" s="86"/>
      <c r="F24" s="86"/>
      <c r="G24" s="86"/>
      <c r="H24" s="86"/>
      <c r="I24" s="86"/>
      <c r="J24" s="86"/>
      <c r="K24" s="87"/>
      <c r="L24" s="12"/>
      <c r="M24" s="12"/>
      <c r="N24" s="12"/>
    </row>
    <row r="25" spans="1:14" x14ac:dyDescent="0.25">
      <c r="A25" s="90"/>
      <c r="B25" s="88"/>
      <c r="C25" s="88"/>
      <c r="D25" s="88"/>
      <c r="E25" s="88"/>
      <c r="F25" s="88"/>
      <c r="G25" s="88"/>
      <c r="H25" s="88"/>
      <c r="I25" s="88"/>
      <c r="J25" s="88"/>
      <c r="K25" s="89"/>
      <c r="L25" s="12"/>
      <c r="M25" s="12"/>
      <c r="N25" s="12"/>
    </row>
    <row r="26" spans="1:14" x14ac:dyDescent="0.25">
      <c r="A26" s="90"/>
      <c r="B26" s="88"/>
      <c r="C26" s="88"/>
      <c r="D26" s="88"/>
      <c r="E26" s="88"/>
      <c r="F26" s="88"/>
      <c r="G26" s="88"/>
      <c r="H26" s="88"/>
      <c r="I26" s="88"/>
      <c r="J26" s="88"/>
      <c r="K26" s="89"/>
      <c r="L26" s="12"/>
      <c r="M26" s="12"/>
      <c r="N26" s="12"/>
    </row>
    <row r="27" spans="1:14" x14ac:dyDescent="0.25">
      <c r="A27" s="90"/>
      <c r="B27" s="88"/>
      <c r="C27" s="88"/>
      <c r="D27" s="88"/>
      <c r="E27" s="88"/>
      <c r="F27" s="88"/>
      <c r="G27" s="88"/>
      <c r="H27" s="88"/>
      <c r="I27" s="88"/>
      <c r="J27" s="88"/>
      <c r="K27" s="89"/>
      <c r="L27" s="12"/>
      <c r="M27" s="12"/>
      <c r="N27" s="12"/>
    </row>
    <row r="28" spans="1:14" ht="14.4" thickBot="1" x14ac:dyDescent="0.3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3"/>
      <c r="L28" s="12"/>
      <c r="M28" s="12"/>
      <c r="N28" s="12"/>
    </row>
    <row r="29" spans="1:14" x14ac:dyDescent="0.25">
      <c r="A29" s="39"/>
      <c r="B29" s="7"/>
      <c r="C29" s="7"/>
      <c r="D29" s="7"/>
      <c r="E29" s="7"/>
      <c r="F29" s="9"/>
      <c r="G29" s="9"/>
      <c r="H29" s="9"/>
      <c r="I29" s="9"/>
      <c r="J29" s="9"/>
      <c r="K29" s="78"/>
      <c r="L29" s="15"/>
      <c r="M29" s="15"/>
      <c r="N29" s="12"/>
    </row>
    <row r="30" spans="1:14" x14ac:dyDescent="0.25">
      <c r="A30" s="50"/>
      <c r="B30" s="32"/>
      <c r="C30" s="179" t="s">
        <v>82</v>
      </c>
      <c r="D30" s="179"/>
      <c r="E30" s="63">
        <f t="shared" ref="E30:J31" si="7">E14</f>
        <v>44743</v>
      </c>
      <c r="F30" s="63">
        <f t="shared" si="7"/>
        <v>45108</v>
      </c>
      <c r="G30" s="63">
        <f t="shared" si="7"/>
        <v>45474</v>
      </c>
      <c r="H30" s="63">
        <f t="shared" si="7"/>
        <v>45839</v>
      </c>
      <c r="I30" s="63">
        <f t="shared" si="7"/>
        <v>46204</v>
      </c>
      <c r="J30" s="63">
        <f t="shared" si="7"/>
        <v>46569</v>
      </c>
      <c r="K30" s="78"/>
      <c r="L30" s="15"/>
      <c r="M30" s="15"/>
      <c r="N30" s="12"/>
    </row>
    <row r="31" spans="1:14" x14ac:dyDescent="0.25">
      <c r="A31" s="64"/>
      <c r="B31" s="65"/>
      <c r="C31" s="180" t="s">
        <v>8</v>
      </c>
      <c r="D31" s="180"/>
      <c r="E31" s="66">
        <f t="shared" si="7"/>
        <v>2023</v>
      </c>
      <c r="F31" s="66">
        <f t="shared" si="7"/>
        <v>2024</v>
      </c>
      <c r="G31" s="66">
        <f t="shared" si="7"/>
        <v>2025</v>
      </c>
      <c r="H31" s="66">
        <f t="shared" si="7"/>
        <v>2026</v>
      </c>
      <c r="I31" s="66">
        <f t="shared" si="7"/>
        <v>2027</v>
      </c>
      <c r="J31" s="66">
        <f t="shared" si="7"/>
        <v>2028</v>
      </c>
      <c r="K31" s="78"/>
      <c r="L31" s="15"/>
      <c r="M31" s="15"/>
      <c r="N31" s="12"/>
    </row>
    <row r="32" spans="1:14" x14ac:dyDescent="0.25">
      <c r="A32" s="51" t="s">
        <v>27</v>
      </c>
      <c r="B32" s="34" t="s">
        <v>28</v>
      </c>
      <c r="C32" s="34" t="s">
        <v>29</v>
      </c>
      <c r="D32" s="35"/>
      <c r="E32" s="35"/>
      <c r="F32" s="35"/>
      <c r="G32" s="35"/>
      <c r="H32" s="35"/>
      <c r="I32" s="35"/>
      <c r="J32" s="35"/>
      <c r="K32" s="78"/>
      <c r="L32" s="15"/>
      <c r="M32" s="15"/>
      <c r="N32" s="12"/>
    </row>
    <row r="33" spans="1:14" x14ac:dyDescent="0.25">
      <c r="A33" s="52" t="s">
        <v>32</v>
      </c>
      <c r="B33" s="23"/>
      <c r="C33" s="23" t="s">
        <v>1</v>
      </c>
      <c r="D33" s="23"/>
      <c r="E33" s="72"/>
      <c r="F33" s="113">
        <v>-4.1398817884484643E-3</v>
      </c>
      <c r="G33" s="113">
        <v>-9.5874857819198394E-3</v>
      </c>
      <c r="H33" s="160"/>
      <c r="I33" s="160"/>
      <c r="J33" s="160"/>
      <c r="K33" s="79" t="s">
        <v>90</v>
      </c>
      <c r="L33" s="8"/>
      <c r="M33" s="8"/>
      <c r="N33" s="12"/>
    </row>
    <row r="34" spans="1:14" x14ac:dyDescent="0.25">
      <c r="A34" s="39"/>
      <c r="B34" s="7"/>
      <c r="C34" s="7" t="s">
        <v>0</v>
      </c>
      <c r="D34" s="7"/>
      <c r="E34" s="73"/>
      <c r="F34" s="15">
        <f>1-F33</f>
        <v>1.0041398817884484</v>
      </c>
      <c r="G34" s="8">
        <f>1-G33</f>
        <v>1.0095874857819198</v>
      </c>
      <c r="H34" s="8">
        <f t="shared" ref="H34:J34" si="8">1-H33</f>
        <v>1</v>
      </c>
      <c r="I34" s="8">
        <f t="shared" si="8"/>
        <v>1</v>
      </c>
      <c r="J34" s="8">
        <f t="shared" si="8"/>
        <v>1</v>
      </c>
      <c r="K34" s="38"/>
      <c r="L34" s="12"/>
      <c r="M34" s="12"/>
      <c r="N34" s="12"/>
    </row>
    <row r="35" spans="1:14" x14ac:dyDescent="0.25">
      <c r="A35" s="39" t="s">
        <v>95</v>
      </c>
      <c r="B35" s="7"/>
      <c r="C35" s="7" t="s">
        <v>12</v>
      </c>
      <c r="D35" s="7"/>
      <c r="E35" s="74"/>
      <c r="F35" s="7">
        <f>E43</f>
        <v>130.80000000000001</v>
      </c>
      <c r="G35" s="8">
        <f t="shared" ref="G35:J35" si="9">F43</f>
        <v>136.1</v>
      </c>
      <c r="H35" s="8">
        <f t="shared" si="9"/>
        <v>0</v>
      </c>
      <c r="I35" s="8">
        <f t="shared" si="9"/>
        <v>0</v>
      </c>
      <c r="J35" s="8">
        <f t="shared" si="9"/>
        <v>0</v>
      </c>
      <c r="K35" s="38"/>
      <c r="L35" s="12"/>
      <c r="M35" s="12"/>
      <c r="N35" s="12"/>
    </row>
    <row r="36" spans="1:14" x14ac:dyDescent="0.25">
      <c r="A36" s="39" t="s">
        <v>96</v>
      </c>
      <c r="B36" s="7"/>
      <c r="C36" s="7" t="s">
        <v>13</v>
      </c>
      <c r="D36" s="7"/>
      <c r="E36" s="74"/>
      <c r="F36" s="7">
        <f>D43</f>
        <v>121.3</v>
      </c>
      <c r="G36" s="8">
        <f t="shared" ref="G36:J36" si="10">E43</f>
        <v>130.80000000000001</v>
      </c>
      <c r="H36" s="8">
        <f t="shared" si="10"/>
        <v>136.1</v>
      </c>
      <c r="I36" s="8">
        <f t="shared" si="10"/>
        <v>0</v>
      </c>
      <c r="J36" s="8">
        <f t="shared" si="10"/>
        <v>0</v>
      </c>
      <c r="K36" s="38"/>
      <c r="L36" s="12"/>
      <c r="M36" s="12"/>
      <c r="N36" s="12"/>
    </row>
    <row r="37" spans="1:14" x14ac:dyDescent="0.25">
      <c r="A37" s="53" t="s">
        <v>33</v>
      </c>
      <c r="B37" s="29"/>
      <c r="C37" s="29" t="s">
        <v>14</v>
      </c>
      <c r="D37" s="29"/>
      <c r="E37" s="29"/>
      <c r="F37" s="116">
        <f>1+(F35-F36)/F36</f>
        <v>1.0783182192910141</v>
      </c>
      <c r="G37" s="151">
        <f>1+(G35-G36)/G36</f>
        <v>1.0405198776758409</v>
      </c>
      <c r="H37" s="151">
        <f t="shared" ref="H37:J37" si="11">1+(H35-H36)/H36</f>
        <v>0</v>
      </c>
      <c r="I37" s="151" t="e">
        <f t="shared" si="11"/>
        <v>#DIV/0!</v>
      </c>
      <c r="J37" s="151" t="e">
        <f t="shared" si="11"/>
        <v>#DIV/0!</v>
      </c>
      <c r="K37" s="78"/>
      <c r="L37" s="15"/>
      <c r="M37" s="15"/>
      <c r="N37" s="12"/>
    </row>
    <row r="38" spans="1:14" ht="14.4" thickBot="1" x14ac:dyDescent="0.3">
      <c r="A38" s="54" t="s">
        <v>31</v>
      </c>
      <c r="B38" s="36" t="s">
        <v>38</v>
      </c>
      <c r="C38" s="36" t="str">
        <f>C17</f>
        <v>RT'(d,n)</v>
      </c>
      <c r="D38" s="36"/>
      <c r="E38" s="76">
        <v>0.626</v>
      </c>
      <c r="F38" s="77">
        <f>E38*F37*F34</f>
        <v>0.6778217381100049</v>
      </c>
      <c r="G38" s="155">
        <f t="shared" ref="G38:J38" si="12">F38*G37*G34</f>
        <v>0.71204892103245365</v>
      </c>
      <c r="H38" s="152">
        <f t="shared" si="12"/>
        <v>0</v>
      </c>
      <c r="I38" s="152" t="e">
        <f t="shared" si="12"/>
        <v>#DIV/0!</v>
      </c>
      <c r="J38" s="152" t="e">
        <f t="shared" si="12"/>
        <v>#DIV/0!</v>
      </c>
      <c r="K38" s="40"/>
    </row>
    <row r="39" spans="1:14" ht="14.4" thickTop="1" x14ac:dyDescent="0.25">
      <c r="A39" s="39"/>
      <c r="B39" s="7"/>
      <c r="C39" s="7"/>
      <c r="D39" s="7"/>
      <c r="E39" s="7"/>
      <c r="F39" s="7"/>
      <c r="G39" s="7"/>
      <c r="H39" s="7"/>
      <c r="I39" s="7"/>
      <c r="J39" s="7"/>
      <c r="K39" s="38"/>
      <c r="L39" s="12"/>
      <c r="M39" s="12"/>
      <c r="N39" s="12"/>
    </row>
    <row r="40" spans="1:14" x14ac:dyDescent="0.25">
      <c r="A40" s="39"/>
      <c r="B40" s="7"/>
      <c r="C40" s="7"/>
      <c r="D40" s="7"/>
      <c r="E40" s="7"/>
      <c r="F40" s="7"/>
      <c r="G40" s="7"/>
      <c r="H40" s="7"/>
      <c r="I40" s="7"/>
      <c r="J40" s="7"/>
      <c r="K40" s="38"/>
      <c r="L40" s="12"/>
      <c r="M40" s="12"/>
      <c r="N40" s="12"/>
    </row>
    <row r="41" spans="1:14" x14ac:dyDescent="0.25">
      <c r="A41" s="39"/>
      <c r="B41" s="7"/>
      <c r="C41" s="7"/>
      <c r="D41" s="7"/>
      <c r="E41" s="7"/>
      <c r="F41" s="7"/>
      <c r="G41" s="7"/>
      <c r="H41" s="7"/>
      <c r="I41" s="7"/>
      <c r="J41" s="7"/>
      <c r="K41" s="40"/>
    </row>
    <row r="42" spans="1:14" x14ac:dyDescent="0.25">
      <c r="A42" s="80"/>
      <c r="B42" s="61"/>
      <c r="C42" s="61"/>
      <c r="D42" s="100">
        <v>44531</v>
      </c>
      <c r="E42" s="100">
        <f>DATE(YEAR(E30),12,31)</f>
        <v>44926</v>
      </c>
      <c r="F42" s="100">
        <f t="shared" ref="F42:J42" si="13">DATE(YEAR(F30),12,31)</f>
        <v>45291</v>
      </c>
      <c r="G42" s="100">
        <f t="shared" si="13"/>
        <v>45657</v>
      </c>
      <c r="H42" s="100">
        <f t="shared" si="13"/>
        <v>46022</v>
      </c>
      <c r="I42" s="100">
        <f t="shared" si="13"/>
        <v>46387</v>
      </c>
      <c r="J42" s="100">
        <f t="shared" si="13"/>
        <v>46752</v>
      </c>
      <c r="K42" s="40"/>
    </row>
    <row r="43" spans="1:14" ht="14.4" thickBot="1" x14ac:dyDescent="0.3">
      <c r="A43" s="57" t="s">
        <v>53</v>
      </c>
      <c r="B43" s="24"/>
      <c r="C43" s="24"/>
      <c r="D43" s="114">
        <f>'CPI 2020422'!B304</f>
        <v>121.3</v>
      </c>
      <c r="E43" s="114">
        <f>'CPI 2020422'!B308</f>
        <v>130.80000000000001</v>
      </c>
      <c r="F43" s="114">
        <f>'CPI 2020422'!B312</f>
        <v>136.1</v>
      </c>
      <c r="G43" s="115"/>
      <c r="H43" s="115"/>
      <c r="I43" s="115"/>
      <c r="J43" s="115"/>
      <c r="K43" s="40"/>
    </row>
    <row r="44" spans="1:14" ht="15" thickTop="1" thickBot="1" x14ac:dyDescent="0.3">
      <c r="A44" s="55"/>
      <c r="B44" s="3"/>
      <c r="C44" s="3"/>
      <c r="D44" s="3"/>
      <c r="E44" s="3"/>
      <c r="F44" s="3"/>
      <c r="G44" s="3"/>
      <c r="H44" s="3"/>
      <c r="I44" s="3"/>
      <c r="J44" s="3"/>
      <c r="K44" s="56"/>
    </row>
    <row r="45" spans="1:14" x14ac:dyDescent="0.25"/>
    <row r="46" spans="1:14" ht="14.4" thickBot="1" x14ac:dyDescent="0.3"/>
    <row r="47" spans="1:14" ht="15" x14ac:dyDescent="0.25">
      <c r="A47" s="94" t="s">
        <v>15</v>
      </c>
      <c r="B47" s="86"/>
      <c r="C47" s="86"/>
      <c r="D47" s="86"/>
      <c r="E47" s="86"/>
      <c r="F47" s="86"/>
      <c r="G47" s="86"/>
      <c r="H47" s="86"/>
      <c r="I47" s="86"/>
      <c r="J47" s="86"/>
      <c r="K47" s="87"/>
      <c r="L47" s="12"/>
      <c r="M47" s="12"/>
      <c r="N47" s="12"/>
    </row>
    <row r="48" spans="1:14" ht="26.25" customHeight="1" x14ac:dyDescent="0.25">
      <c r="A48" s="90"/>
      <c r="B48" s="88"/>
      <c r="C48" s="88"/>
      <c r="D48" s="88"/>
      <c r="E48" s="88"/>
      <c r="F48" s="88"/>
      <c r="G48" s="88"/>
      <c r="H48" s="88"/>
      <c r="I48" s="88"/>
      <c r="J48" s="88"/>
      <c r="K48" s="89"/>
      <c r="L48" s="12"/>
      <c r="M48" s="12"/>
      <c r="N48" s="12"/>
    </row>
    <row r="49" spans="1:14" ht="16.8" x14ac:dyDescent="0.25">
      <c r="A49" s="90"/>
      <c r="B49" s="88"/>
      <c r="C49" s="95"/>
      <c r="D49" s="88"/>
      <c r="E49" s="88"/>
      <c r="F49" s="88"/>
      <c r="G49" s="88"/>
      <c r="H49" s="88"/>
      <c r="I49" s="88"/>
      <c r="J49" s="88"/>
      <c r="K49" s="89"/>
      <c r="L49" s="12"/>
      <c r="M49" s="12"/>
      <c r="N49" s="12"/>
    </row>
    <row r="50" spans="1:14" x14ac:dyDescent="0.25">
      <c r="A50" s="90"/>
      <c r="B50" s="88"/>
      <c r="C50" s="88"/>
      <c r="D50" s="88"/>
      <c r="E50" s="88"/>
      <c r="F50" s="88"/>
      <c r="G50" s="88"/>
      <c r="H50" s="88"/>
      <c r="I50" s="88"/>
      <c r="J50" s="88"/>
      <c r="K50" s="89"/>
      <c r="L50" s="12"/>
      <c r="M50" s="12"/>
      <c r="N50" s="12"/>
    </row>
    <row r="51" spans="1:14" ht="14.4" thickBot="1" x14ac:dyDescent="0.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3"/>
      <c r="L51" s="12"/>
      <c r="M51" s="12"/>
      <c r="N51" s="12"/>
    </row>
    <row r="52" spans="1:14" x14ac:dyDescent="0.25">
      <c r="A52" s="39"/>
      <c r="B52" s="7"/>
      <c r="C52" s="7"/>
      <c r="D52" s="7"/>
      <c r="E52" s="7"/>
      <c r="F52" s="7"/>
      <c r="G52" s="7"/>
      <c r="H52" s="7"/>
      <c r="I52" s="7"/>
      <c r="J52" s="7"/>
      <c r="K52" s="40"/>
    </row>
    <row r="53" spans="1:14" x14ac:dyDescent="0.25">
      <c r="A53" s="39"/>
      <c r="B53" s="7"/>
      <c r="C53" s="7"/>
      <c r="D53" s="7"/>
      <c r="E53" s="7"/>
      <c r="F53" s="7"/>
      <c r="G53" s="7"/>
      <c r="H53" s="7"/>
      <c r="I53" s="7"/>
      <c r="J53" s="7"/>
      <c r="K53" s="41"/>
      <c r="L53" s="17"/>
      <c r="M53" s="17"/>
      <c r="N53" s="17"/>
    </row>
    <row r="54" spans="1:14" x14ac:dyDescent="0.25">
      <c r="A54" s="50"/>
      <c r="B54" s="32"/>
      <c r="C54" s="179" t="s">
        <v>82</v>
      </c>
      <c r="D54" s="179"/>
      <c r="E54" s="63">
        <f t="shared" ref="E54:J55" si="14">E30</f>
        <v>44743</v>
      </c>
      <c r="F54" s="63">
        <f t="shared" si="14"/>
        <v>45108</v>
      </c>
      <c r="G54" s="63">
        <f t="shared" si="14"/>
        <v>45474</v>
      </c>
      <c r="H54" s="63">
        <f t="shared" si="14"/>
        <v>45839</v>
      </c>
      <c r="I54" s="63">
        <f t="shared" si="14"/>
        <v>46204</v>
      </c>
      <c r="J54" s="63">
        <f t="shared" si="14"/>
        <v>46569</v>
      </c>
      <c r="K54" s="41"/>
      <c r="L54" s="17"/>
      <c r="M54" s="17"/>
      <c r="N54" s="17"/>
    </row>
    <row r="55" spans="1:14" x14ac:dyDescent="0.25">
      <c r="A55" s="64"/>
      <c r="B55" s="65"/>
      <c r="C55" s="180" t="s">
        <v>8</v>
      </c>
      <c r="D55" s="180"/>
      <c r="E55" s="66">
        <f t="shared" si="14"/>
        <v>2023</v>
      </c>
      <c r="F55" s="66">
        <f t="shared" si="14"/>
        <v>2024</v>
      </c>
      <c r="G55" s="66">
        <f t="shared" si="14"/>
        <v>2025</v>
      </c>
      <c r="H55" s="66">
        <f t="shared" si="14"/>
        <v>2026</v>
      </c>
      <c r="I55" s="66">
        <f t="shared" si="14"/>
        <v>2027</v>
      </c>
      <c r="J55" s="66">
        <f t="shared" si="14"/>
        <v>2028</v>
      </c>
      <c r="K55" s="41"/>
      <c r="L55" s="17"/>
      <c r="M55" s="17"/>
      <c r="N55" s="17"/>
    </row>
    <row r="56" spans="1:14" x14ac:dyDescent="0.25">
      <c r="A56" s="51" t="s">
        <v>27</v>
      </c>
      <c r="B56" s="34" t="s">
        <v>28</v>
      </c>
      <c r="C56" s="34" t="s">
        <v>29</v>
      </c>
      <c r="D56" s="35"/>
      <c r="E56" s="35"/>
      <c r="F56" s="35"/>
      <c r="G56" s="35"/>
      <c r="H56" s="35"/>
      <c r="I56" s="35"/>
      <c r="J56" s="35"/>
      <c r="K56" s="41"/>
      <c r="L56" s="17"/>
      <c r="M56" s="17"/>
      <c r="N56" s="17"/>
    </row>
    <row r="57" spans="1:14" x14ac:dyDescent="0.25">
      <c r="A57" s="52" t="s">
        <v>34</v>
      </c>
      <c r="B57" s="23" t="s">
        <v>35</v>
      </c>
      <c r="C57" s="67" t="s">
        <v>20</v>
      </c>
      <c r="D57" s="23"/>
      <c r="E57" s="68"/>
      <c r="F57" s="69">
        <f>F87</f>
        <v>3833930.09</v>
      </c>
      <c r="G57" s="69">
        <f t="shared" ref="G57:J57" si="15">G87</f>
        <v>3527488.28</v>
      </c>
      <c r="H57" s="69">
        <f t="shared" si="15"/>
        <v>0</v>
      </c>
      <c r="I57" s="69">
        <f t="shared" si="15"/>
        <v>0</v>
      </c>
      <c r="J57" s="69">
        <f t="shared" si="15"/>
        <v>0</v>
      </c>
      <c r="K57" s="43"/>
      <c r="L57" s="18"/>
      <c r="M57" s="18"/>
      <c r="N57" s="18"/>
    </row>
    <row r="58" spans="1:14" x14ac:dyDescent="0.25">
      <c r="A58" s="39" t="s">
        <v>3</v>
      </c>
      <c r="B58" s="7"/>
      <c r="C58" s="7" t="s">
        <v>16</v>
      </c>
      <c r="D58" s="7"/>
      <c r="E58" s="11"/>
      <c r="F58" s="11">
        <f>F77</f>
        <v>0.10214909982356124</v>
      </c>
      <c r="G58" s="18">
        <f t="shared" ref="G58:J58" si="16">G77</f>
        <v>6.4242078342096276E-2</v>
      </c>
      <c r="H58" s="18">
        <f t="shared" si="16"/>
        <v>-1</v>
      </c>
      <c r="I58" s="18" t="e">
        <f t="shared" si="16"/>
        <v>#DIV/0!</v>
      </c>
      <c r="J58" s="18" t="e">
        <f t="shared" si="16"/>
        <v>#DIV/0!</v>
      </c>
      <c r="K58" s="43"/>
      <c r="L58" s="18"/>
      <c r="M58" s="18"/>
      <c r="N58" s="18"/>
    </row>
    <row r="59" spans="1:14" hidden="1" x14ac:dyDescent="0.25">
      <c r="A59" s="39"/>
      <c r="B59" s="7"/>
      <c r="C59" s="42" t="s">
        <v>21</v>
      </c>
      <c r="D59" s="7"/>
      <c r="E59" s="10"/>
      <c r="F59" s="62">
        <f>F57*(1+F58)</f>
        <v>4225562.5974799646</v>
      </c>
      <c r="G59" s="156">
        <f t="shared" ref="G59:J59" si="17">G57*(1+G58)</f>
        <v>3754101.4584345864</v>
      </c>
      <c r="H59" s="156">
        <f t="shared" si="17"/>
        <v>0</v>
      </c>
      <c r="I59" s="156" t="e">
        <f t="shared" si="17"/>
        <v>#DIV/0!</v>
      </c>
      <c r="J59" s="156" t="e">
        <f t="shared" si="17"/>
        <v>#DIV/0!</v>
      </c>
      <c r="K59" s="38"/>
      <c r="L59" s="12"/>
      <c r="M59" s="12"/>
      <c r="N59" s="12"/>
    </row>
    <row r="60" spans="1:14" x14ac:dyDescent="0.25">
      <c r="A60" s="39" t="s">
        <v>36</v>
      </c>
      <c r="B60" s="7" t="s">
        <v>38</v>
      </c>
      <c r="C60" s="7" t="s">
        <v>22</v>
      </c>
      <c r="D60" s="7"/>
      <c r="E60" s="5"/>
      <c r="F60" s="150">
        <f>F38</f>
        <v>0.6778217381100049</v>
      </c>
      <c r="G60" s="15">
        <f t="shared" ref="G60:J60" si="18">G38</f>
        <v>0.71204892103245365</v>
      </c>
      <c r="H60" s="15">
        <f t="shared" si="18"/>
        <v>0</v>
      </c>
      <c r="I60" s="15" t="e">
        <f t="shared" si="18"/>
        <v>#DIV/0!</v>
      </c>
      <c r="J60" s="15" t="e">
        <f t="shared" si="18"/>
        <v>#DIV/0!</v>
      </c>
      <c r="K60" s="38"/>
      <c r="L60" s="12"/>
      <c r="M60" s="12"/>
      <c r="N60" s="12"/>
    </row>
    <row r="61" spans="1:14" x14ac:dyDescent="0.25">
      <c r="A61" s="39" t="str">
        <f>A70</f>
        <v>Forecast volume</v>
      </c>
      <c r="B61" s="7" t="str">
        <f t="shared" ref="B61:C61" si="19">B70</f>
        <v>GJ</v>
      </c>
      <c r="C61" s="7" t="str">
        <f t="shared" si="19"/>
        <v>Q(n)</v>
      </c>
      <c r="D61" s="7"/>
      <c r="E61" s="70"/>
      <c r="F61" s="70">
        <f>F70</f>
        <v>72980400.000000015</v>
      </c>
      <c r="G61" s="70">
        <f t="shared" ref="G61:J61" si="20">G70</f>
        <v>71868500</v>
      </c>
      <c r="H61" s="70">
        <f t="shared" si="20"/>
        <v>70043500</v>
      </c>
      <c r="I61" s="70">
        <f t="shared" si="20"/>
        <v>70043500</v>
      </c>
      <c r="J61" s="70">
        <f t="shared" si="20"/>
        <v>0</v>
      </c>
      <c r="K61" s="41"/>
      <c r="L61" s="17"/>
      <c r="M61" s="17"/>
      <c r="N61" s="17"/>
    </row>
    <row r="62" spans="1:14" x14ac:dyDescent="0.25">
      <c r="A62" s="53" t="s">
        <v>37</v>
      </c>
      <c r="B62" s="29" t="s">
        <v>35</v>
      </c>
      <c r="C62" s="29" t="s">
        <v>24</v>
      </c>
      <c r="D62" s="29"/>
      <c r="E62" s="71"/>
      <c r="F62" s="71">
        <f>F60*F61</f>
        <v>49467701.575963415</v>
      </c>
      <c r="G62" s="157">
        <f t="shared" ref="G62:J62" si="21">G60*G61</f>
        <v>51173887.881220892</v>
      </c>
      <c r="H62" s="157">
        <f t="shared" si="21"/>
        <v>0</v>
      </c>
      <c r="I62" s="157" t="e">
        <f t="shared" si="21"/>
        <v>#DIV/0!</v>
      </c>
      <c r="J62" s="157" t="e">
        <f t="shared" si="21"/>
        <v>#DIV/0!</v>
      </c>
      <c r="K62" s="38"/>
      <c r="L62" s="12"/>
      <c r="M62" s="12"/>
      <c r="N62" s="12"/>
    </row>
    <row r="63" spans="1:14" ht="14.4" thickBot="1" x14ac:dyDescent="0.3">
      <c r="A63" s="54" t="s">
        <v>51</v>
      </c>
      <c r="B63" s="36"/>
      <c r="C63" s="36" t="s">
        <v>10</v>
      </c>
      <c r="D63" s="36"/>
      <c r="E63" s="36"/>
      <c r="F63" s="133">
        <f>0.7*F57*(1+F58)/F62</f>
        <v>5.9794446153795623E-2</v>
      </c>
      <c r="G63" s="155">
        <f t="shared" ref="G63:J63" si="22">0.7*G57*(1+G58)/G62</f>
        <v>5.1351795411826641E-2</v>
      </c>
      <c r="H63" s="152" t="e">
        <f t="shared" si="22"/>
        <v>#DIV/0!</v>
      </c>
      <c r="I63" s="152" t="e">
        <f t="shared" si="22"/>
        <v>#DIV/0!</v>
      </c>
      <c r="J63" s="152" t="e">
        <f t="shared" si="22"/>
        <v>#DIV/0!</v>
      </c>
      <c r="K63" s="40"/>
    </row>
    <row r="64" spans="1:14" ht="14.4" thickTop="1" x14ac:dyDescent="0.25">
      <c r="A64" s="39"/>
      <c r="B64" s="7"/>
      <c r="C64" s="7"/>
      <c r="D64" s="7"/>
      <c r="E64" s="7"/>
      <c r="F64" s="124"/>
      <c r="G64" s="7"/>
      <c r="H64" s="7"/>
      <c r="I64" s="7"/>
      <c r="J64" s="7"/>
      <c r="K64" s="38"/>
      <c r="L64" s="12"/>
      <c r="M64" s="12"/>
      <c r="N64" s="12"/>
    </row>
    <row r="65" spans="1:14" x14ac:dyDescent="0.25">
      <c r="A65" s="39"/>
      <c r="B65" s="7"/>
      <c r="C65" s="7"/>
      <c r="D65" s="7"/>
      <c r="E65" s="7"/>
      <c r="F65" s="7"/>
      <c r="G65" s="7"/>
      <c r="H65" s="7"/>
      <c r="I65" s="7"/>
      <c r="J65" s="7"/>
      <c r="K65" s="40"/>
    </row>
    <row r="66" spans="1:14" ht="15" x14ac:dyDescent="0.25">
      <c r="A66" s="44" t="s">
        <v>25</v>
      </c>
      <c r="B66" s="7"/>
      <c r="C66" s="7"/>
      <c r="D66" s="7"/>
      <c r="E66" s="7"/>
      <c r="F66" s="7"/>
      <c r="G66" s="7"/>
      <c r="H66" s="7"/>
      <c r="I66" s="7"/>
      <c r="J66" s="7"/>
      <c r="K66" s="38"/>
      <c r="L66" s="12"/>
      <c r="M66" s="12"/>
      <c r="N66" s="12"/>
    </row>
    <row r="67" spans="1:14" x14ac:dyDescent="0.25">
      <c r="A67" s="59" t="s">
        <v>27</v>
      </c>
      <c r="B67" s="60" t="s">
        <v>28</v>
      </c>
      <c r="C67" s="60" t="s">
        <v>29</v>
      </c>
      <c r="D67" s="120" t="str">
        <f>C54</f>
        <v>FY beginning</v>
      </c>
      <c r="E67" s="119">
        <f>E54</f>
        <v>44743</v>
      </c>
      <c r="F67" s="119">
        <f t="shared" ref="F67:I67" si="23">F54</f>
        <v>45108</v>
      </c>
      <c r="G67" s="119">
        <f t="shared" si="23"/>
        <v>45474</v>
      </c>
      <c r="H67" s="119">
        <f t="shared" si="23"/>
        <v>45839</v>
      </c>
      <c r="I67" s="119">
        <f t="shared" si="23"/>
        <v>46204</v>
      </c>
      <c r="J67" s="174"/>
      <c r="K67" s="38"/>
      <c r="L67" s="12"/>
      <c r="M67" s="12"/>
      <c r="N67" s="12"/>
    </row>
    <row r="68" spans="1:14" ht="14.4" x14ac:dyDescent="0.3">
      <c r="A68" s="39" t="s">
        <v>2</v>
      </c>
      <c r="B68" s="7" t="s">
        <v>40</v>
      </c>
      <c r="C68" s="7"/>
      <c r="D68" s="7"/>
      <c r="E68" s="74">
        <v>219.9</v>
      </c>
      <c r="F68" s="74">
        <v>199.4</v>
      </c>
      <c r="G68" s="74">
        <v>196.9</v>
      </c>
      <c r="H68" s="74">
        <v>191.9</v>
      </c>
      <c r="I68" s="74">
        <v>191.9</v>
      </c>
      <c r="J68" s="74"/>
      <c r="K68" s="117" t="s">
        <v>74</v>
      </c>
      <c r="L68" s="12"/>
      <c r="M68" s="12"/>
      <c r="N68" s="12"/>
    </row>
    <row r="69" spans="1:14" x14ac:dyDescent="0.25">
      <c r="A69" s="39" t="s">
        <v>41</v>
      </c>
      <c r="B69" s="7" t="s">
        <v>42</v>
      </c>
      <c r="C69" s="7"/>
      <c r="D69" s="7"/>
      <c r="E69" s="10">
        <f>DATE(YEAR(E54)+1,6,30)-DATE(YEAR(E54),7,1)+1</f>
        <v>365</v>
      </c>
      <c r="F69" s="10">
        <f t="shared" ref="F69:I69" si="24">DATE(YEAR(F54)+1,6,30)-DATE(YEAR(F54),7,1)+1</f>
        <v>366</v>
      </c>
      <c r="G69" s="10">
        <f t="shared" si="24"/>
        <v>365</v>
      </c>
      <c r="H69" s="10">
        <f t="shared" si="24"/>
        <v>365</v>
      </c>
      <c r="I69" s="10">
        <f t="shared" si="24"/>
        <v>365</v>
      </c>
      <c r="J69" s="17"/>
      <c r="K69" s="38"/>
      <c r="L69" s="12"/>
      <c r="M69" s="12"/>
      <c r="N69" s="12"/>
    </row>
    <row r="70" spans="1:14" ht="14.4" thickBot="1" x14ac:dyDescent="0.3">
      <c r="A70" s="54" t="s">
        <v>5</v>
      </c>
      <c r="B70" s="36" t="s">
        <v>39</v>
      </c>
      <c r="C70" s="36" t="s">
        <v>23</v>
      </c>
      <c r="D70" s="36"/>
      <c r="E70" s="121">
        <f>E68*E69*1000</f>
        <v>80263500</v>
      </c>
      <c r="F70" s="121">
        <f>F68*F69*1000</f>
        <v>72980400.000000015</v>
      </c>
      <c r="G70" s="121">
        <f>G68*G69*1000</f>
        <v>71868500</v>
      </c>
      <c r="H70" s="121">
        <f>H68*H69*1000</f>
        <v>70043500</v>
      </c>
      <c r="I70" s="121">
        <f>I68*I69*1000</f>
        <v>70043500</v>
      </c>
      <c r="J70" s="175"/>
      <c r="K70" s="40"/>
    </row>
    <row r="71" spans="1:14" ht="14.4" thickTop="1" x14ac:dyDescent="0.25">
      <c r="A71" s="39"/>
      <c r="B71" s="7"/>
      <c r="C71" s="7"/>
      <c r="D71" s="7"/>
      <c r="E71" s="7"/>
      <c r="F71" s="7"/>
      <c r="G71" s="7"/>
      <c r="H71" s="7"/>
      <c r="I71" s="7"/>
      <c r="J71" s="7"/>
      <c r="K71" s="38"/>
      <c r="L71" s="12"/>
      <c r="M71" s="12"/>
      <c r="N71" s="12"/>
    </row>
    <row r="72" spans="1:14" x14ac:dyDescent="0.25">
      <c r="A72" s="39"/>
      <c r="B72" s="7"/>
      <c r="C72" s="7"/>
      <c r="D72" s="7"/>
      <c r="E72" s="7"/>
      <c r="F72" s="7"/>
      <c r="G72" s="7"/>
      <c r="H72" s="7"/>
      <c r="I72" s="7"/>
      <c r="J72" s="7"/>
      <c r="K72" s="38"/>
      <c r="L72" s="12"/>
      <c r="M72" s="12"/>
      <c r="N72" s="12"/>
    </row>
    <row r="73" spans="1:14" x14ac:dyDescent="0.25">
      <c r="A73" s="46" t="s">
        <v>16</v>
      </c>
      <c r="B73" s="7"/>
      <c r="C73" s="7"/>
      <c r="D73" s="7"/>
      <c r="E73" s="7"/>
      <c r="F73" s="7"/>
      <c r="G73" s="7"/>
      <c r="H73" s="7"/>
      <c r="I73" s="7"/>
      <c r="J73" s="7"/>
      <c r="K73" s="38"/>
      <c r="L73" s="12"/>
      <c r="M73" s="12"/>
      <c r="N73" s="12"/>
    </row>
    <row r="74" spans="1:14" x14ac:dyDescent="0.25">
      <c r="A74" s="59" t="s">
        <v>27</v>
      </c>
      <c r="B74" s="60" t="s">
        <v>28</v>
      </c>
      <c r="C74" s="60" t="s">
        <v>29</v>
      </c>
      <c r="D74" s="60" t="str">
        <f t="shared" ref="D74:J74" si="25">D67</f>
        <v>FY beginning</v>
      </c>
      <c r="E74" s="119">
        <f t="shared" si="25"/>
        <v>44743</v>
      </c>
      <c r="F74" s="119">
        <f t="shared" si="25"/>
        <v>45108</v>
      </c>
      <c r="G74" s="119">
        <f t="shared" si="25"/>
        <v>45474</v>
      </c>
      <c r="H74" s="119">
        <f t="shared" si="25"/>
        <v>45839</v>
      </c>
      <c r="I74" s="119">
        <f t="shared" si="25"/>
        <v>46204</v>
      </c>
      <c r="J74" s="119">
        <f t="shared" si="25"/>
        <v>0</v>
      </c>
      <c r="K74" s="47"/>
      <c r="L74" s="16"/>
      <c r="M74" s="16"/>
      <c r="N74" s="16"/>
    </row>
    <row r="75" spans="1:14" x14ac:dyDescent="0.25">
      <c r="A75" s="39" t="s">
        <v>4</v>
      </c>
      <c r="B75" s="7"/>
      <c r="C75" s="7" t="s">
        <v>17</v>
      </c>
      <c r="D75" s="7"/>
      <c r="E75" s="48"/>
      <c r="F75" s="48">
        <v>2.2100044408241225E-2</v>
      </c>
      <c r="G75" s="48">
        <v>2.2798411808568765E-2</v>
      </c>
      <c r="H75" s="161"/>
      <c r="I75" s="161"/>
      <c r="J75" s="161"/>
      <c r="K75" s="43" t="s">
        <v>89</v>
      </c>
      <c r="L75" s="18"/>
      <c r="M75" s="18"/>
      <c r="N75" s="18"/>
    </row>
    <row r="76" spans="1:14" x14ac:dyDescent="0.25">
      <c r="A76" s="39" t="s">
        <v>83</v>
      </c>
      <c r="B76" s="7"/>
      <c r="C76" s="7" t="s">
        <v>18</v>
      </c>
      <c r="D76" s="7"/>
      <c r="E76" s="49"/>
      <c r="F76" s="118">
        <f>F37-1</f>
        <v>7.8318219291014124E-2</v>
      </c>
      <c r="G76" s="118">
        <f t="shared" ref="G76" si="26">G37-1</f>
        <v>4.0519877675840865E-2</v>
      </c>
      <c r="H76" s="118">
        <f t="shared" ref="H76:J76" si="27">H37-1</f>
        <v>-1</v>
      </c>
      <c r="I76" s="118" t="e">
        <f t="shared" si="27"/>
        <v>#DIV/0!</v>
      </c>
      <c r="J76" s="118" t="e">
        <f t="shared" si="27"/>
        <v>#DIV/0!</v>
      </c>
      <c r="K76" s="43"/>
      <c r="L76" s="18"/>
      <c r="M76" s="18"/>
      <c r="N76" s="18"/>
    </row>
    <row r="77" spans="1:14" ht="14.4" thickBot="1" x14ac:dyDescent="0.3">
      <c r="A77" s="54" t="s">
        <v>43</v>
      </c>
      <c r="B77" s="36"/>
      <c r="C77" s="36" t="s">
        <v>19</v>
      </c>
      <c r="D77" s="36"/>
      <c r="E77" s="58"/>
      <c r="F77" s="58">
        <f>(1+F75)*(1+F76)-1</f>
        <v>0.10214909982356124</v>
      </c>
      <c r="G77" s="58">
        <f>(1+G75)*(1+G76)-1</f>
        <v>6.4242078342096276E-2</v>
      </c>
      <c r="H77" s="58">
        <f t="shared" ref="H77:J77" si="28">(1+H75)*(1+H76)-1</f>
        <v>-1</v>
      </c>
      <c r="I77" s="58" t="e">
        <f t="shared" si="28"/>
        <v>#DIV/0!</v>
      </c>
      <c r="J77" s="58" t="e">
        <f t="shared" si="28"/>
        <v>#DIV/0!</v>
      </c>
      <c r="K77" s="38"/>
      <c r="L77" s="12"/>
      <c r="M77" s="12"/>
      <c r="N77" s="12"/>
    </row>
    <row r="78" spans="1:14" ht="14.4" thickTop="1" x14ac:dyDescent="0.25">
      <c r="A78" s="39"/>
      <c r="B78" s="7"/>
      <c r="C78" s="7"/>
      <c r="D78" s="7"/>
      <c r="E78" s="7"/>
      <c r="F78" s="7"/>
      <c r="G78" s="7"/>
      <c r="H78" s="7"/>
      <c r="I78" s="7"/>
      <c r="J78" s="7"/>
      <c r="K78" s="40"/>
    </row>
    <row r="79" spans="1:14" x14ac:dyDescent="0.25">
      <c r="A79" s="39"/>
      <c r="B79" s="7"/>
      <c r="C79" s="7"/>
      <c r="D79" s="7"/>
      <c r="E79" s="7"/>
      <c r="F79" s="7"/>
      <c r="G79" s="7"/>
      <c r="H79" s="7"/>
      <c r="I79" s="7"/>
      <c r="J79" s="7"/>
      <c r="K79" s="38"/>
      <c r="L79" s="12"/>
      <c r="M79" s="12"/>
      <c r="N79" s="12"/>
    </row>
    <row r="80" spans="1:14" ht="15" x14ac:dyDescent="0.25">
      <c r="A80" s="44" t="s">
        <v>44</v>
      </c>
      <c r="B80" s="7"/>
      <c r="C80" s="7"/>
      <c r="D80" s="7"/>
      <c r="E80" s="7"/>
      <c r="F80" s="7"/>
      <c r="G80" s="7"/>
      <c r="H80" s="7"/>
      <c r="I80" s="7"/>
      <c r="J80" s="7"/>
      <c r="K80" s="40"/>
    </row>
    <row r="81" spans="1:14" x14ac:dyDescent="0.25">
      <c r="A81" s="50"/>
      <c r="B81" s="32"/>
      <c r="C81" s="179" t="s">
        <v>52</v>
      </c>
      <c r="D81" s="179"/>
      <c r="E81" s="32"/>
      <c r="F81" s="33" t="str">
        <f>"CY " &amp;YEAR(F54)+1-2</f>
        <v>CY 2022</v>
      </c>
      <c r="G81" s="33" t="str">
        <f>"CY " &amp;YEAR(G54)+1-2</f>
        <v>CY 2023</v>
      </c>
      <c r="H81" s="33" t="str">
        <f>"CY " &amp;YEAR(H54)+1-2</f>
        <v>CY 2024</v>
      </c>
      <c r="I81" s="33" t="str">
        <f>"CY " &amp;YEAR(I54)+1-2</f>
        <v>CY 2025</v>
      </c>
      <c r="J81" s="33" t="str">
        <f>"CY " &amp;YEAR(J54)+1-2</f>
        <v>CY 2026</v>
      </c>
      <c r="K81" s="40"/>
    </row>
    <row r="82" spans="1:14" x14ac:dyDescent="0.25">
      <c r="A82" s="51" t="s">
        <v>27</v>
      </c>
      <c r="B82" s="34" t="s">
        <v>28</v>
      </c>
      <c r="C82" s="34" t="s">
        <v>29</v>
      </c>
      <c r="D82" s="35"/>
      <c r="E82" s="35"/>
      <c r="F82" s="35"/>
      <c r="G82" s="35"/>
      <c r="H82" s="35"/>
      <c r="I82" s="35"/>
      <c r="J82" s="35"/>
      <c r="K82" s="40"/>
    </row>
    <row r="83" spans="1:14" x14ac:dyDescent="0.25">
      <c r="A83" s="52" t="s">
        <v>47</v>
      </c>
      <c r="B83" s="23" t="s">
        <v>35</v>
      </c>
      <c r="C83" s="25"/>
      <c r="D83" s="23"/>
      <c r="E83" s="23"/>
      <c r="F83" s="26">
        <v>1715316.48</v>
      </c>
      <c r="G83" s="26">
        <v>1877326.07</v>
      </c>
      <c r="H83" s="162"/>
      <c r="I83" s="162"/>
      <c r="J83" s="162"/>
      <c r="K83" s="40"/>
    </row>
    <row r="84" spans="1:14" x14ac:dyDescent="0.25">
      <c r="A84" s="39" t="s">
        <v>48</v>
      </c>
      <c r="B84" s="7" t="s">
        <v>35</v>
      </c>
      <c r="C84" s="27"/>
      <c r="D84" s="7"/>
      <c r="E84" s="7"/>
      <c r="F84" s="28">
        <v>1686870.9899999998</v>
      </c>
      <c r="G84" s="28">
        <v>1154051.27</v>
      </c>
      <c r="H84" s="163"/>
      <c r="I84" s="163"/>
      <c r="J84" s="163"/>
      <c r="K84" s="40"/>
      <c r="M84" s="1">
        <v>-1</v>
      </c>
    </row>
    <row r="85" spans="1:14" x14ac:dyDescent="0.25">
      <c r="A85" s="39" t="s">
        <v>49</v>
      </c>
      <c r="B85" s="7" t="s">
        <v>35</v>
      </c>
      <c r="C85" s="27"/>
      <c r="D85" s="7"/>
      <c r="E85" s="7"/>
      <c r="F85" s="28">
        <v>284445.89</v>
      </c>
      <c r="G85" s="28">
        <v>330600.09000000003</v>
      </c>
      <c r="H85" s="163"/>
      <c r="I85" s="163"/>
      <c r="J85" s="163"/>
      <c r="K85" s="40"/>
    </row>
    <row r="86" spans="1:14" x14ac:dyDescent="0.25">
      <c r="A86" s="53" t="s">
        <v>50</v>
      </c>
      <c r="B86" s="29" t="s">
        <v>35</v>
      </c>
      <c r="C86" s="30"/>
      <c r="D86" s="29"/>
      <c r="E86" s="29"/>
      <c r="F86" s="31">
        <v>147296.73000000001</v>
      </c>
      <c r="G86" s="31">
        <v>165510.85</v>
      </c>
      <c r="H86" s="164"/>
      <c r="I86" s="164"/>
      <c r="J86" s="164"/>
      <c r="K86" s="40"/>
    </row>
    <row r="87" spans="1:14" ht="14.4" thickBot="1" x14ac:dyDescent="0.3">
      <c r="A87" s="54" t="s">
        <v>45</v>
      </c>
      <c r="B87" s="36" t="s">
        <v>35</v>
      </c>
      <c r="C87" s="36" t="s">
        <v>46</v>
      </c>
      <c r="D87" s="36"/>
      <c r="E87" s="36"/>
      <c r="F87" s="37">
        <f>SUM(F83:F86)</f>
        <v>3833930.09</v>
      </c>
      <c r="G87" s="37">
        <f>SUM(G83:G86)</f>
        <v>3527488.28</v>
      </c>
      <c r="H87" s="37">
        <f t="shared" ref="H87:J87" si="29">SUM(H83:H86)</f>
        <v>0</v>
      </c>
      <c r="I87" s="37">
        <f t="shared" si="29"/>
        <v>0</v>
      </c>
      <c r="J87" s="37">
        <f t="shared" si="29"/>
        <v>0</v>
      </c>
      <c r="K87" s="40"/>
    </row>
    <row r="88" spans="1:14" ht="14.4" thickTop="1" x14ac:dyDescent="0.25">
      <c r="A88" s="39"/>
      <c r="B88" s="7"/>
      <c r="C88" s="7"/>
      <c r="D88" s="7"/>
      <c r="E88" s="7"/>
      <c r="F88" s="7"/>
      <c r="G88" s="7"/>
      <c r="H88" s="7"/>
      <c r="I88" s="7"/>
      <c r="J88" s="7"/>
      <c r="K88" s="40"/>
    </row>
    <row r="89" spans="1:14" ht="14.4" thickBot="1" x14ac:dyDescent="0.3">
      <c r="A89" s="55"/>
      <c r="B89" s="3"/>
      <c r="C89" s="3"/>
      <c r="D89" s="3"/>
      <c r="E89" s="3"/>
      <c r="F89" s="3"/>
      <c r="G89" s="3"/>
      <c r="H89" s="3"/>
      <c r="I89" s="3"/>
      <c r="J89" s="3"/>
      <c r="K89" s="56"/>
    </row>
    <row r="90" spans="1:14" x14ac:dyDescent="0.25"/>
    <row r="91" spans="1:14" x14ac:dyDescent="0.25">
      <c r="G91" s="176"/>
    </row>
    <row r="92" spans="1:14" ht="15" x14ac:dyDescent="0.25">
      <c r="C92" s="122" t="s">
        <v>88</v>
      </c>
      <c r="G92" s="176"/>
      <c r="K92" s="12"/>
      <c r="L92" s="12"/>
      <c r="M92" s="12"/>
      <c r="N92" s="12"/>
    </row>
    <row r="93" spans="1:14" x14ac:dyDescent="0.25">
      <c r="G93" s="176"/>
      <c r="K93" s="19"/>
      <c r="L93" s="19"/>
      <c r="M93" s="19"/>
      <c r="N93" s="19"/>
    </row>
    <row r="94" spans="1:14" x14ac:dyDescent="0.25">
      <c r="G94" s="176"/>
      <c r="K94" s="19"/>
      <c r="L94" s="19"/>
      <c r="M94" s="19"/>
      <c r="N94" s="19"/>
    </row>
    <row r="95" spans="1:14" x14ac:dyDescent="0.25">
      <c r="F95" s="2" t="str">
        <f>F81</f>
        <v>CY 2022</v>
      </c>
      <c r="G95" s="2" t="str">
        <f t="shared" ref="G95:J95" si="30">G81</f>
        <v>CY 2023</v>
      </c>
      <c r="H95" s="2" t="str">
        <f t="shared" si="30"/>
        <v>CY 2024</v>
      </c>
      <c r="I95" s="2" t="str">
        <f t="shared" si="30"/>
        <v>CY 2025</v>
      </c>
      <c r="J95" s="2" t="str">
        <f t="shared" si="30"/>
        <v>CY 2026</v>
      </c>
      <c r="K95" s="19"/>
      <c r="L95" s="19"/>
      <c r="M95" s="19"/>
      <c r="N95" s="19"/>
    </row>
    <row r="96" spans="1:14" x14ac:dyDescent="0.25">
      <c r="C96" s="23"/>
      <c r="D96" s="178" t="s">
        <v>75</v>
      </c>
      <c r="E96" s="178"/>
      <c r="F96" s="128">
        <f>F87</f>
        <v>3833930.09</v>
      </c>
      <c r="G96" s="128">
        <f t="shared" ref="G96:J96" si="31">G87</f>
        <v>3527488.28</v>
      </c>
      <c r="H96" s="128">
        <f t="shared" si="31"/>
        <v>0</v>
      </c>
      <c r="I96" s="128">
        <f t="shared" si="31"/>
        <v>0</v>
      </c>
      <c r="J96" s="128">
        <f t="shared" si="31"/>
        <v>0</v>
      </c>
      <c r="K96" s="19"/>
      <c r="L96" s="19"/>
      <c r="M96" s="19"/>
      <c r="N96" s="19"/>
    </row>
    <row r="97" spans="3:14" x14ac:dyDescent="0.25">
      <c r="C97" s="7"/>
      <c r="D97" s="7"/>
      <c r="E97" s="7" t="s">
        <v>76</v>
      </c>
      <c r="F97" s="159">
        <v>0.7</v>
      </c>
      <c r="G97" s="159">
        <v>0.7</v>
      </c>
      <c r="H97" s="159">
        <v>0.7</v>
      </c>
      <c r="I97" s="159">
        <v>0.7</v>
      </c>
      <c r="J97" s="159">
        <v>0.7</v>
      </c>
      <c r="K97" s="19"/>
      <c r="L97" s="19"/>
      <c r="M97" s="19"/>
      <c r="N97" s="19"/>
    </row>
    <row r="98" spans="3:14" x14ac:dyDescent="0.25">
      <c r="C98" s="7"/>
      <c r="D98" s="7"/>
      <c r="E98" s="7" t="s">
        <v>77</v>
      </c>
      <c r="F98" s="123">
        <f>F77</f>
        <v>0.10214909982356124</v>
      </c>
      <c r="G98" s="123">
        <f t="shared" ref="G98:J98" si="32">G77</f>
        <v>6.4242078342096276E-2</v>
      </c>
      <c r="H98" s="123">
        <f t="shared" si="32"/>
        <v>-1</v>
      </c>
      <c r="I98" s="123" t="e">
        <f t="shared" si="32"/>
        <v>#DIV/0!</v>
      </c>
      <c r="J98" s="123" t="e">
        <f t="shared" si="32"/>
        <v>#DIV/0!</v>
      </c>
      <c r="K98" s="19"/>
      <c r="L98" s="19"/>
      <c r="M98" s="19"/>
      <c r="N98" s="19"/>
    </row>
    <row r="99" spans="3:14" ht="14.55" customHeight="1" x14ac:dyDescent="0.25">
      <c r="C99" s="7"/>
      <c r="D99" s="177" t="s">
        <v>85</v>
      </c>
      <c r="E99" s="177"/>
      <c r="F99" s="124">
        <f>F96*F97*(1+F98)</f>
        <v>2957893.8182359752</v>
      </c>
      <c r="G99" s="124">
        <f t="shared" ref="G99:J99" si="33">G96*G97*(1+G98)</f>
        <v>2627871.0209042099</v>
      </c>
      <c r="H99" s="124">
        <f t="shared" si="33"/>
        <v>0</v>
      </c>
      <c r="I99" s="124" t="e">
        <f t="shared" si="33"/>
        <v>#DIV/0!</v>
      </c>
      <c r="J99" s="124" t="e">
        <f t="shared" si="33"/>
        <v>#DIV/0!</v>
      </c>
      <c r="K99" s="19"/>
      <c r="L99" s="19"/>
      <c r="M99" s="19"/>
      <c r="N99" s="19"/>
    </row>
    <row r="100" spans="3:14" x14ac:dyDescent="0.25">
      <c r="C100" s="7"/>
      <c r="D100" s="7"/>
      <c r="E100" s="7" t="s">
        <v>79</v>
      </c>
      <c r="F100" s="70">
        <f>F70</f>
        <v>72980400.000000015</v>
      </c>
      <c r="G100" s="70">
        <f t="shared" ref="G100:J100" si="34">G70</f>
        <v>71868500</v>
      </c>
      <c r="H100" s="70">
        <f t="shared" si="34"/>
        <v>70043500</v>
      </c>
      <c r="I100" s="70">
        <f t="shared" si="34"/>
        <v>70043500</v>
      </c>
      <c r="J100" s="70">
        <f t="shared" si="34"/>
        <v>0</v>
      </c>
      <c r="K100" s="19"/>
      <c r="L100" s="19"/>
      <c r="M100" s="143"/>
      <c r="N100" s="19"/>
    </row>
    <row r="101" spans="3:14" ht="14.55" customHeight="1" x14ac:dyDescent="0.25">
      <c r="C101" s="7"/>
      <c r="D101" s="7"/>
      <c r="E101" s="7" t="s">
        <v>80</v>
      </c>
      <c r="F101" s="131" t="s">
        <v>81</v>
      </c>
      <c r="G101" s="131" t="str">
        <f>"FY " &amp; YEAR(G54) &amp; " - " &amp; YEAR(G54)+1</f>
        <v>FY 2024 - 2025</v>
      </c>
      <c r="H101" s="131" t="str">
        <f t="shared" ref="H101:J101" si="35">"FY " &amp; YEAR(H54) &amp; " - " &amp; YEAR(H54)+1</f>
        <v>FY 2025 - 2026</v>
      </c>
      <c r="I101" s="131" t="str">
        <f t="shared" si="35"/>
        <v>FY 2026 - 2027</v>
      </c>
      <c r="J101" s="131" t="str">
        <f t="shared" si="35"/>
        <v>FY 2027 - 2028</v>
      </c>
      <c r="K101" s="19"/>
      <c r="L101" s="19"/>
      <c r="M101" s="144"/>
      <c r="N101" s="19"/>
    </row>
    <row r="102" spans="3:14" ht="14.55" customHeight="1" x14ac:dyDescent="0.25">
      <c r="C102" s="177" t="s">
        <v>78</v>
      </c>
      <c r="D102" s="177"/>
      <c r="E102" s="177"/>
      <c r="F102" s="126">
        <f>F99/F100</f>
        <v>4.0529975421290845E-2</v>
      </c>
      <c r="G102" s="126">
        <f t="shared" ref="G102:J102" si="36">G99/G100</f>
        <v>3.6564990516070463E-2</v>
      </c>
      <c r="H102" s="126">
        <f t="shared" si="36"/>
        <v>0</v>
      </c>
      <c r="I102" s="126" t="e">
        <f t="shared" si="36"/>
        <v>#DIV/0!</v>
      </c>
      <c r="J102" s="126" t="e">
        <f t="shared" si="36"/>
        <v>#DIV/0!</v>
      </c>
      <c r="K102" s="19"/>
      <c r="L102" s="19"/>
      <c r="M102" s="145"/>
      <c r="N102" s="19"/>
    </row>
    <row r="103" spans="3:14" x14ac:dyDescent="0.25">
      <c r="C103" s="127"/>
      <c r="D103" s="127"/>
      <c r="E103" s="127" t="s">
        <v>84</v>
      </c>
      <c r="F103" s="132" t="s">
        <v>81</v>
      </c>
      <c r="G103" s="132" t="str">
        <f>"FY " &amp; YEAR(G54) &amp; " - " &amp; YEAR(G54)+1</f>
        <v>FY 2024 - 2025</v>
      </c>
      <c r="H103" s="132" t="str">
        <f t="shared" ref="H103:J103" si="37">"FY " &amp; YEAR(H54) &amp; " - " &amp; YEAR(H54)+1</f>
        <v>FY 2025 - 2026</v>
      </c>
      <c r="I103" s="132" t="str">
        <f t="shared" si="37"/>
        <v>FY 2026 - 2027</v>
      </c>
      <c r="J103" s="132" t="str">
        <f t="shared" si="37"/>
        <v>FY 2027 - 2028</v>
      </c>
      <c r="K103" s="19"/>
      <c r="L103" s="19"/>
      <c r="M103" s="146"/>
      <c r="N103" s="147"/>
    </row>
    <row r="104" spans="3:14" x14ac:dyDescent="0.25">
      <c r="K104" s="19"/>
      <c r="L104" s="19"/>
      <c r="M104" s="146"/>
      <c r="N104" s="19"/>
    </row>
    <row r="105" spans="3:14" ht="14.55" customHeight="1" x14ac:dyDescent="0.25">
      <c r="C105" s="23"/>
      <c r="D105" s="178" t="s">
        <v>86</v>
      </c>
      <c r="E105" s="178"/>
      <c r="F105" s="129">
        <f>F38*F70*F63</f>
        <v>2957893.8182359752</v>
      </c>
      <c r="G105" s="129">
        <f t="shared" ref="G105:J105" si="38">G38*G70*G63</f>
        <v>2627871.0209042099</v>
      </c>
      <c r="H105" s="129" t="e">
        <f t="shared" si="38"/>
        <v>#DIV/0!</v>
      </c>
      <c r="I105" s="129" t="e">
        <f t="shared" si="38"/>
        <v>#DIV/0!</v>
      </c>
      <c r="J105" s="129" t="e">
        <f t="shared" si="38"/>
        <v>#DIV/0!</v>
      </c>
      <c r="K105" s="19"/>
      <c r="L105" s="19"/>
      <c r="M105" s="19"/>
      <c r="N105" s="19"/>
    </row>
    <row r="106" spans="3:14" x14ac:dyDescent="0.25">
      <c r="C106" s="7"/>
      <c r="D106" s="177" t="s">
        <v>87</v>
      </c>
      <c r="E106" s="177"/>
      <c r="F106" s="130">
        <f>(F38-F20)*F70</f>
        <v>2957893.8182359701</v>
      </c>
      <c r="G106" s="130">
        <f t="shared" ref="G106:J106" si="39">(G38-G20)*G70</f>
        <v>2627871.0209042076</v>
      </c>
      <c r="H106" s="130" t="e">
        <f t="shared" si="39"/>
        <v>#DIV/0!</v>
      </c>
      <c r="I106" s="130" t="e">
        <f t="shared" si="39"/>
        <v>#DIV/0!</v>
      </c>
      <c r="J106" s="130" t="e">
        <f t="shared" si="39"/>
        <v>#DIV/0!</v>
      </c>
      <c r="K106" s="165"/>
      <c r="L106" s="19"/>
      <c r="M106" s="19"/>
      <c r="N106" s="19"/>
    </row>
    <row r="107" spans="3:14" x14ac:dyDescent="0.25">
      <c r="C107" s="7"/>
      <c r="D107" s="7"/>
      <c r="E107" s="7" t="s">
        <v>6</v>
      </c>
      <c r="F107" s="125" t="str">
        <f>IF(AND(ROUND(F99,6)=ROUND(F105,6),ROUND(F105,6)=ROUND(F106,6)),"OK","error")</f>
        <v>OK</v>
      </c>
      <c r="G107" s="125" t="str">
        <f t="shared" ref="G107:J107" si="40">IF(AND(ROUND(G99,6)=ROUND(G105,6),ROUND(G105,6)=ROUND(G106,6)),"OK","error")</f>
        <v>OK</v>
      </c>
      <c r="H107" s="125" t="e">
        <f t="shared" si="40"/>
        <v>#DIV/0!</v>
      </c>
      <c r="I107" s="125" t="e">
        <f t="shared" si="40"/>
        <v>#DIV/0!</v>
      </c>
      <c r="J107" s="125" t="e">
        <f t="shared" si="40"/>
        <v>#DIV/0!</v>
      </c>
      <c r="K107" s="19"/>
      <c r="L107" s="19"/>
      <c r="M107" s="19"/>
      <c r="N107" s="19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19"/>
      <c r="L108" s="19"/>
      <c r="M108" s="19"/>
      <c r="N108" s="19"/>
    </row>
    <row r="109" spans="3:14" x14ac:dyDescent="0.25">
      <c r="C109" s="23"/>
      <c r="D109" s="23"/>
      <c r="E109" s="23"/>
      <c r="F109" s="23"/>
      <c r="G109" s="23"/>
      <c r="H109" s="23"/>
      <c r="I109" s="23"/>
      <c r="J109" s="23"/>
      <c r="K109" s="19"/>
      <c r="L109" s="19"/>
      <c r="M109" s="19"/>
      <c r="N109" s="19"/>
    </row>
    <row r="110" spans="3:14" ht="14.55" customHeight="1" x14ac:dyDescent="0.25">
      <c r="C110" s="7"/>
      <c r="D110" s="177" t="s">
        <v>91</v>
      </c>
      <c r="E110" s="177"/>
      <c r="F110" s="149">
        <f>F38-F102</f>
        <v>0.63729176268871401</v>
      </c>
      <c r="G110" s="149">
        <f t="shared" ref="G110:J110" si="41">G38-G102</f>
        <v>0.67548393051638322</v>
      </c>
      <c r="H110" s="149">
        <f t="shared" si="41"/>
        <v>0</v>
      </c>
      <c r="I110" s="149" t="e">
        <f t="shared" si="41"/>
        <v>#DIV/0!</v>
      </c>
      <c r="J110" s="149" t="e">
        <f t="shared" si="41"/>
        <v>#DIV/0!</v>
      </c>
      <c r="K110" s="19"/>
      <c r="L110" s="19"/>
      <c r="M110" s="19"/>
      <c r="N110" s="19"/>
    </row>
    <row r="111" spans="3:14" x14ac:dyDescent="0.25">
      <c r="C111" s="7"/>
      <c r="D111" s="7"/>
      <c r="E111" s="7" t="s">
        <v>6</v>
      </c>
      <c r="F111" s="125" t="str">
        <f>IF(ROUND(F110-F20,6)=0,"OK","error")</f>
        <v>OK</v>
      </c>
      <c r="G111" s="125" t="str">
        <f t="shared" ref="G111:J111" si="42">IF(ROUND(G110-G20,6)=0,"OK","error")</f>
        <v>OK</v>
      </c>
      <c r="H111" s="125" t="e">
        <f t="shared" si="42"/>
        <v>#DIV/0!</v>
      </c>
      <c r="I111" s="125" t="e">
        <f t="shared" si="42"/>
        <v>#DIV/0!</v>
      </c>
      <c r="J111" s="125" t="e">
        <f t="shared" si="42"/>
        <v>#DIV/0!</v>
      </c>
    </row>
    <row r="112" spans="3:14" ht="14.4" thickBot="1" x14ac:dyDescent="0.3">
      <c r="C112" s="3"/>
      <c r="D112" s="3"/>
      <c r="E112" s="3"/>
      <c r="F112" s="3"/>
      <c r="G112" s="3"/>
      <c r="H112" s="3"/>
      <c r="I112" s="3"/>
      <c r="J112" s="3"/>
    </row>
    <row r="113" spans="6:13" x14ac:dyDescent="0.25">
      <c r="F113" s="136"/>
    </row>
    <row r="114" spans="6:13" x14ac:dyDescent="0.25">
      <c r="H114" s="137"/>
      <c r="I114" s="136"/>
      <c r="J114" s="140"/>
      <c r="K114" s="135"/>
    </row>
    <row r="115" spans="6:13" x14ac:dyDescent="0.25">
      <c r="H115" s="138"/>
      <c r="I115" s="139"/>
      <c r="J115" s="142"/>
      <c r="K115" s="138"/>
      <c r="M115" s="138"/>
    </row>
    <row r="116" spans="6:13" hidden="1" x14ac:dyDescent="0.25">
      <c r="J116" s="141"/>
      <c r="K116" s="141"/>
      <c r="M116" s="134"/>
    </row>
    <row r="122" spans="6:13" hidden="1" x14ac:dyDescent="0.25">
      <c r="H122" s="136"/>
      <c r="I122" s="136"/>
      <c r="J122" s="136"/>
    </row>
    <row r="123" spans="6:13" hidden="1" x14ac:dyDescent="0.25">
      <c r="H123" s="134"/>
      <c r="I123" s="136"/>
      <c r="J123" s="134"/>
    </row>
    <row r="124" spans="6:13" hidden="1" x14ac:dyDescent="0.25">
      <c r="H124" s="134"/>
      <c r="I124" s="134"/>
      <c r="J124" s="139"/>
    </row>
    <row r="125" spans="6:13" hidden="1" x14ac:dyDescent="0.25">
      <c r="J125" s="139"/>
    </row>
    <row r="127" spans="6:13" hidden="1" x14ac:dyDescent="0.25">
      <c r="J127" s="134"/>
    </row>
    <row r="128" spans="6:13" hidden="1" x14ac:dyDescent="0.25">
      <c r="J128" s="148"/>
    </row>
  </sheetData>
  <mergeCells count="13">
    <mergeCell ref="C81:D81"/>
    <mergeCell ref="C30:D30"/>
    <mergeCell ref="C31:D31"/>
    <mergeCell ref="C14:D14"/>
    <mergeCell ref="C15:D15"/>
    <mergeCell ref="C54:D54"/>
    <mergeCell ref="C55:D55"/>
    <mergeCell ref="D110:E110"/>
    <mergeCell ref="D96:E96"/>
    <mergeCell ref="D99:E99"/>
    <mergeCell ref="C102:E102"/>
    <mergeCell ref="D105:E105"/>
    <mergeCell ref="D106:E106"/>
  </mergeCells>
  <phoneticPr fontId="16" type="noConversion"/>
  <conditionalFormatting sqref="F107:J107">
    <cfRule type="cellIs" dxfId="25" priority="27" operator="notEqual">
      <formula>"OK"</formula>
    </cfRule>
    <cfRule type="cellIs" dxfId="24" priority="28" operator="equal">
      <formula>"OK"</formula>
    </cfRule>
  </conditionalFormatting>
  <conditionalFormatting sqref="F111:J111">
    <cfRule type="cellIs" dxfId="23" priority="25" operator="notEqual">
      <formula>"OK"</formula>
    </cfRule>
    <cfRule type="cellIs" dxfId="22" priority="26" operator="equal">
      <formula>"OK"</formula>
    </cfRule>
  </conditionalFormatting>
  <conditionalFormatting sqref="G34:J38">
    <cfRule type="expression" dxfId="21" priority="24">
      <formula>ISBLANK(G$33)</formula>
    </cfRule>
  </conditionalFormatting>
  <conditionalFormatting sqref="G37:J37">
    <cfRule type="expression" dxfId="20" priority="23">
      <formula>ISBLANK(F$43)</formula>
    </cfRule>
  </conditionalFormatting>
  <conditionalFormatting sqref="G34:J38">
    <cfRule type="expression" dxfId="19" priority="22">
      <formula>ISBLANK(F$43)</formula>
    </cfRule>
  </conditionalFormatting>
  <conditionalFormatting sqref="G17:J19">
    <cfRule type="expression" dxfId="18" priority="21">
      <formula>ISBLANK(G$33)</formula>
    </cfRule>
  </conditionalFormatting>
  <conditionalFormatting sqref="G17:J19">
    <cfRule type="expression" dxfId="17" priority="20">
      <formula>ISBLANK(F$43)</formula>
    </cfRule>
  </conditionalFormatting>
  <conditionalFormatting sqref="G76:J77">
    <cfRule type="expression" dxfId="16" priority="19">
      <formula>ISBLANK(G$75)</formula>
    </cfRule>
  </conditionalFormatting>
  <conditionalFormatting sqref="G57:J57">
    <cfRule type="expression" dxfId="15" priority="18">
      <formula>AND(ISBLANK(G$83),ISBLANK(G$84),ISBLANK(G$85),ISBLANK(G$86))</formula>
    </cfRule>
  </conditionalFormatting>
  <conditionalFormatting sqref="G60:J60">
    <cfRule type="expression" dxfId="14" priority="16">
      <formula>ISBLANK(G$33)</formula>
    </cfRule>
  </conditionalFormatting>
  <conditionalFormatting sqref="G60:J60">
    <cfRule type="expression" dxfId="13" priority="15">
      <formula>ISBLANK(F$43)</formula>
    </cfRule>
  </conditionalFormatting>
  <conditionalFormatting sqref="G63:J63">
    <cfRule type="expression" dxfId="12" priority="14">
      <formula>ISBLANK(G$33)</formula>
    </cfRule>
  </conditionalFormatting>
  <conditionalFormatting sqref="G63:J63">
    <cfRule type="expression" dxfId="11" priority="13">
      <formula>ISBLANK(F$43)</formula>
    </cfRule>
  </conditionalFormatting>
  <conditionalFormatting sqref="G62:J62">
    <cfRule type="expression" dxfId="10" priority="12">
      <formula>ISBLANK(G$33)</formula>
    </cfRule>
  </conditionalFormatting>
  <conditionalFormatting sqref="G62:J62">
    <cfRule type="expression" dxfId="9" priority="11">
      <formula>ISBLANK(F$43)</formula>
    </cfRule>
  </conditionalFormatting>
  <conditionalFormatting sqref="G58:J58">
    <cfRule type="expression" dxfId="8" priority="10">
      <formula>ISBLANK(E$43)</formula>
    </cfRule>
  </conditionalFormatting>
  <conditionalFormatting sqref="G58:J58">
    <cfRule type="expression" dxfId="7" priority="9">
      <formula>ISBLANK(G$75)</formula>
    </cfRule>
  </conditionalFormatting>
  <conditionalFormatting sqref="H87:J87">
    <cfRule type="expression" dxfId="6" priority="8">
      <formula>AND(ISBLANK(H$83),ISBLANK(H$84),ISBLANK(H$85),ISBLANK(H$86))</formula>
    </cfRule>
  </conditionalFormatting>
  <conditionalFormatting sqref="G98:J100 G96:J96">
    <cfRule type="expression" dxfId="5" priority="7">
      <formula>AND(ISBLANK(G$83),ISBLANK(G$84),ISBLANK(G$85),ISBLANK(G$86))</formula>
    </cfRule>
  </conditionalFormatting>
  <conditionalFormatting sqref="G102:J102 G105:J106 G110:J110">
    <cfRule type="expression" dxfId="4" priority="6">
      <formula>AND(ISBLANK(G$83),ISBLANK(G$84),ISBLANK(G$85),ISBLANK(G$86))</formula>
    </cfRule>
  </conditionalFormatting>
  <conditionalFormatting sqref="G107:J107 G111:J111">
    <cfRule type="expression" dxfId="3" priority="5">
      <formula>AND(ISBLANK(G$83),ISBLANK(G$84),ISBLANK(G$85),ISBLANK(G$86))</formula>
    </cfRule>
  </conditionalFormatting>
  <conditionalFormatting sqref="F20:J20">
    <cfRule type="expression" dxfId="2" priority="3">
      <formula>ISBLANK(F$33)</formula>
    </cfRule>
  </conditionalFormatting>
  <conditionalFormatting sqref="F20:J20">
    <cfRule type="expression" dxfId="1" priority="2">
      <formula>ISBLANK(E$43)</formula>
    </cfRule>
  </conditionalFormatting>
  <conditionalFormatting sqref="F20:J20">
    <cfRule type="expression" dxfId="0" priority="1">
      <formula>DATE(COUNT($F$33:$J$33)+2022,7,1)=F$14</formula>
    </cfRule>
  </conditionalFormatting>
  <hyperlinks>
    <hyperlink ref="K68" r:id="rId1" xr:uid="{392B1CDC-EF87-4AA1-BB54-FA2FE6BEEC77}"/>
  </hyperlinks>
  <pageMargins left="0.7" right="0.7" top="0.75" bottom="0.75" header="0.3" footer="0.3"/>
  <pageSetup paperSize="9" orientation="portrait" horizontalDpi="1200" verticalDpi="1200" r:id="rId2"/>
  <ignoredErrors>
    <ignoredError sqref="H17:H20 I17:J17 G18:G20 I18:J19 H37:J38 H58:J60 H62:J62 G63:J63 H76:J77 H98:J99 H102:J102 G105:J106 H110:J110 I20:J20 H107:J107 H111:J111" evalError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6AC4B-E643-4CC4-A2A7-9E7E2FF22212}">
  <sheetPr>
    <tabColor theme="7" tint="0.79998168889431442"/>
  </sheetPr>
  <dimension ref="A1:E312"/>
  <sheetViews>
    <sheetView workbookViewId="0">
      <selection activeCell="E3" sqref="E3"/>
    </sheetView>
  </sheetViews>
  <sheetFormatPr defaultRowHeight="14.4" x14ac:dyDescent="0.3"/>
  <cols>
    <col min="1" max="2" width="8.77734375" style="107"/>
    <col min="4" max="4" width="14.109375" bestFit="1" customWidth="1"/>
    <col min="5" max="5" width="13.5546875" customWidth="1"/>
  </cols>
  <sheetData>
    <row r="1" spans="1:5" ht="52.2" x14ac:dyDescent="0.3">
      <c r="A1" s="101"/>
      <c r="B1" s="102" t="s">
        <v>58</v>
      </c>
    </row>
    <row r="2" spans="1:5" x14ac:dyDescent="0.3">
      <c r="A2" s="103" t="s">
        <v>28</v>
      </c>
      <c r="B2" s="104" t="s">
        <v>59</v>
      </c>
      <c r="D2" t="s">
        <v>60</v>
      </c>
      <c r="E2" s="105" t="s">
        <v>97</v>
      </c>
    </row>
    <row r="3" spans="1:5" x14ac:dyDescent="0.3">
      <c r="A3" s="103" t="s">
        <v>61</v>
      </c>
      <c r="B3" s="104" t="s">
        <v>62</v>
      </c>
      <c r="D3" t="s">
        <v>63</v>
      </c>
      <c r="E3" s="106">
        <v>45400</v>
      </c>
    </row>
    <row r="4" spans="1:5" x14ac:dyDescent="0.3">
      <c r="A4" s="103" t="s">
        <v>64</v>
      </c>
      <c r="B4" s="104" t="s">
        <v>65</v>
      </c>
    </row>
    <row r="5" spans="1:5" x14ac:dyDescent="0.3">
      <c r="A5" s="103" t="s">
        <v>66</v>
      </c>
      <c r="B5" s="104" t="s">
        <v>67</v>
      </c>
    </row>
    <row r="6" spans="1:5" x14ac:dyDescent="0.3">
      <c r="A6" s="103" t="s">
        <v>68</v>
      </c>
      <c r="B6" s="107">
        <v>3</v>
      </c>
      <c r="E6" s="105"/>
    </row>
    <row r="7" spans="1:5" x14ac:dyDescent="0.3">
      <c r="A7" s="108" t="s">
        <v>69</v>
      </c>
      <c r="B7" s="109">
        <v>17777</v>
      </c>
    </row>
    <row r="8" spans="1:5" x14ac:dyDescent="0.3">
      <c r="A8" s="108" t="s">
        <v>70</v>
      </c>
      <c r="B8" s="109">
        <v>44896</v>
      </c>
    </row>
    <row r="9" spans="1:5" x14ac:dyDescent="0.3">
      <c r="A9" s="103" t="s">
        <v>71</v>
      </c>
      <c r="B9" s="107">
        <v>298</v>
      </c>
    </row>
    <row r="10" spans="1:5" x14ac:dyDescent="0.3">
      <c r="A10" s="103" t="s">
        <v>72</v>
      </c>
      <c r="B10" s="104" t="s">
        <v>73</v>
      </c>
    </row>
    <row r="11" spans="1:5" x14ac:dyDescent="0.3">
      <c r="A11" s="110">
        <v>17777</v>
      </c>
      <c r="B11" s="111">
        <v>3.7</v>
      </c>
    </row>
    <row r="12" spans="1:5" x14ac:dyDescent="0.3">
      <c r="A12" s="110">
        <v>17868</v>
      </c>
      <c r="B12" s="111">
        <v>3.8</v>
      </c>
    </row>
    <row r="13" spans="1:5" x14ac:dyDescent="0.3">
      <c r="A13" s="110">
        <v>17958</v>
      </c>
      <c r="B13" s="111">
        <v>3.9</v>
      </c>
    </row>
    <row r="14" spans="1:5" x14ac:dyDescent="0.3">
      <c r="A14" s="110">
        <v>18050</v>
      </c>
      <c r="B14" s="111">
        <v>4</v>
      </c>
    </row>
    <row r="15" spans="1:5" x14ac:dyDescent="0.3">
      <c r="A15" s="110">
        <v>18142</v>
      </c>
      <c r="B15" s="111">
        <v>4.0999999999999996</v>
      </c>
    </row>
    <row r="16" spans="1:5" x14ac:dyDescent="0.3">
      <c r="A16" s="110">
        <v>18233</v>
      </c>
      <c r="B16" s="111">
        <v>4.0999999999999996</v>
      </c>
    </row>
    <row r="17" spans="1:2" x14ac:dyDescent="0.3">
      <c r="A17" s="110">
        <v>18323</v>
      </c>
      <c r="B17" s="111">
        <v>4.2</v>
      </c>
    </row>
    <row r="18" spans="1:2" x14ac:dyDescent="0.3">
      <c r="A18" s="110">
        <v>18415</v>
      </c>
      <c r="B18" s="111">
        <v>4.3</v>
      </c>
    </row>
    <row r="19" spans="1:2" x14ac:dyDescent="0.3">
      <c r="A19" s="110">
        <v>18507</v>
      </c>
      <c r="B19" s="111">
        <v>4.4000000000000004</v>
      </c>
    </row>
    <row r="20" spans="1:2" x14ac:dyDescent="0.3">
      <c r="A20" s="110">
        <v>18598</v>
      </c>
      <c r="B20" s="111">
        <v>4.5999999999999996</v>
      </c>
    </row>
    <row r="21" spans="1:2" x14ac:dyDescent="0.3">
      <c r="A21" s="110">
        <v>18688</v>
      </c>
      <c r="B21" s="111">
        <v>4.8</v>
      </c>
    </row>
    <row r="22" spans="1:2" x14ac:dyDescent="0.3">
      <c r="A22" s="110">
        <v>18780</v>
      </c>
      <c r="B22" s="111">
        <v>5.0999999999999996</v>
      </c>
    </row>
    <row r="23" spans="1:2" x14ac:dyDescent="0.3">
      <c r="A23" s="110">
        <v>18872</v>
      </c>
      <c r="B23" s="111">
        <v>5.3</v>
      </c>
    </row>
    <row r="24" spans="1:2" x14ac:dyDescent="0.3">
      <c r="A24" s="110">
        <v>18963</v>
      </c>
      <c r="B24" s="111">
        <v>5.7</v>
      </c>
    </row>
    <row r="25" spans="1:2" x14ac:dyDescent="0.3">
      <c r="A25" s="110">
        <v>19054</v>
      </c>
      <c r="B25" s="111">
        <v>5.9</v>
      </c>
    </row>
    <row r="26" spans="1:2" x14ac:dyDescent="0.3">
      <c r="A26" s="110">
        <v>19146</v>
      </c>
      <c r="B26" s="111">
        <v>6.1</v>
      </c>
    </row>
    <row r="27" spans="1:2" x14ac:dyDescent="0.3">
      <c r="A27" s="110">
        <v>19238</v>
      </c>
      <c r="B27" s="111">
        <v>6.2</v>
      </c>
    </row>
    <row r="28" spans="1:2" x14ac:dyDescent="0.3">
      <c r="A28" s="110">
        <v>19329</v>
      </c>
      <c r="B28" s="111">
        <v>6.3</v>
      </c>
    </row>
    <row r="29" spans="1:2" x14ac:dyDescent="0.3">
      <c r="A29" s="110">
        <v>19419</v>
      </c>
      <c r="B29" s="111">
        <v>6.3</v>
      </c>
    </row>
    <row r="30" spans="1:2" x14ac:dyDescent="0.3">
      <c r="A30" s="110">
        <v>19511</v>
      </c>
      <c r="B30" s="111">
        <v>6.4</v>
      </c>
    </row>
    <row r="31" spans="1:2" x14ac:dyDescent="0.3">
      <c r="A31" s="110">
        <v>19603</v>
      </c>
      <c r="B31" s="111">
        <v>6.5</v>
      </c>
    </row>
    <row r="32" spans="1:2" x14ac:dyDescent="0.3">
      <c r="A32" s="110">
        <v>19694</v>
      </c>
      <c r="B32" s="111">
        <v>6.4</v>
      </c>
    </row>
    <row r="33" spans="1:2" x14ac:dyDescent="0.3">
      <c r="A33" s="110">
        <v>19784</v>
      </c>
      <c r="B33" s="111">
        <v>6.5</v>
      </c>
    </row>
    <row r="34" spans="1:2" x14ac:dyDescent="0.3">
      <c r="A34" s="110">
        <v>19876</v>
      </c>
      <c r="B34" s="111">
        <v>6.5</v>
      </c>
    </row>
    <row r="35" spans="1:2" x14ac:dyDescent="0.3">
      <c r="A35" s="110">
        <v>19968</v>
      </c>
      <c r="B35" s="111">
        <v>6.5</v>
      </c>
    </row>
    <row r="36" spans="1:2" x14ac:dyDescent="0.3">
      <c r="A36" s="110">
        <v>20059</v>
      </c>
      <c r="B36" s="111">
        <v>6.5</v>
      </c>
    </row>
    <row r="37" spans="1:2" x14ac:dyDescent="0.3">
      <c r="A37" s="110">
        <v>20149</v>
      </c>
      <c r="B37" s="111">
        <v>6.5</v>
      </c>
    </row>
    <row r="38" spans="1:2" x14ac:dyDescent="0.3">
      <c r="A38" s="110">
        <v>20241</v>
      </c>
      <c r="B38" s="111">
        <v>6.6</v>
      </c>
    </row>
    <row r="39" spans="1:2" x14ac:dyDescent="0.3">
      <c r="A39" s="110">
        <v>20333</v>
      </c>
      <c r="B39" s="111">
        <v>6.6</v>
      </c>
    </row>
    <row r="40" spans="1:2" x14ac:dyDescent="0.3">
      <c r="A40" s="110">
        <v>20424</v>
      </c>
      <c r="B40" s="111">
        <v>6.7</v>
      </c>
    </row>
    <row r="41" spans="1:2" x14ac:dyDescent="0.3">
      <c r="A41" s="110">
        <v>20515</v>
      </c>
      <c r="B41" s="111">
        <v>6.7</v>
      </c>
    </row>
    <row r="42" spans="1:2" x14ac:dyDescent="0.3">
      <c r="A42" s="110">
        <v>20607</v>
      </c>
      <c r="B42" s="111">
        <v>7</v>
      </c>
    </row>
    <row r="43" spans="1:2" x14ac:dyDescent="0.3">
      <c r="A43" s="110">
        <v>20699</v>
      </c>
      <c r="B43" s="111">
        <v>7.1</v>
      </c>
    </row>
    <row r="44" spans="1:2" x14ac:dyDescent="0.3">
      <c r="A44" s="110">
        <v>20790</v>
      </c>
      <c r="B44" s="111">
        <v>7.1</v>
      </c>
    </row>
    <row r="45" spans="1:2" x14ac:dyDescent="0.3">
      <c r="A45" s="110">
        <v>20880</v>
      </c>
      <c r="B45" s="111">
        <v>7.1</v>
      </c>
    </row>
    <row r="46" spans="1:2" x14ac:dyDescent="0.3">
      <c r="A46" s="110">
        <v>20972</v>
      </c>
      <c r="B46" s="111">
        <v>7.2</v>
      </c>
    </row>
    <row r="47" spans="1:2" x14ac:dyDescent="0.3">
      <c r="A47" s="110">
        <v>21064</v>
      </c>
      <c r="B47" s="111">
        <v>7.2</v>
      </c>
    </row>
    <row r="48" spans="1:2" x14ac:dyDescent="0.3">
      <c r="A48" s="110">
        <v>21155</v>
      </c>
      <c r="B48" s="111">
        <v>7.2</v>
      </c>
    </row>
    <row r="49" spans="1:2" x14ac:dyDescent="0.3">
      <c r="A49" s="110">
        <v>21245</v>
      </c>
      <c r="B49" s="111">
        <v>7.2</v>
      </c>
    </row>
    <row r="50" spans="1:2" x14ac:dyDescent="0.3">
      <c r="A50" s="110">
        <v>21337</v>
      </c>
      <c r="B50" s="111">
        <v>7.2</v>
      </c>
    </row>
    <row r="51" spans="1:2" x14ac:dyDescent="0.3">
      <c r="A51" s="110">
        <v>21429</v>
      </c>
      <c r="B51" s="111">
        <v>7.2</v>
      </c>
    </row>
    <row r="52" spans="1:2" x14ac:dyDescent="0.3">
      <c r="A52" s="110">
        <v>21520</v>
      </c>
      <c r="B52" s="111">
        <v>7.3</v>
      </c>
    </row>
    <row r="53" spans="1:2" x14ac:dyDescent="0.3">
      <c r="A53" s="110">
        <v>21610</v>
      </c>
      <c r="B53" s="111">
        <v>7.3</v>
      </c>
    </row>
    <row r="54" spans="1:2" x14ac:dyDescent="0.3">
      <c r="A54" s="110">
        <v>21702</v>
      </c>
      <c r="B54" s="111">
        <v>7.3</v>
      </c>
    </row>
    <row r="55" spans="1:2" x14ac:dyDescent="0.3">
      <c r="A55" s="110">
        <v>21794</v>
      </c>
      <c r="B55" s="111">
        <v>7.4</v>
      </c>
    </row>
    <row r="56" spans="1:2" x14ac:dyDescent="0.3">
      <c r="A56" s="110">
        <v>21885</v>
      </c>
      <c r="B56" s="111">
        <v>7.5</v>
      </c>
    </row>
    <row r="57" spans="1:2" x14ac:dyDescent="0.3">
      <c r="A57" s="110">
        <v>21976</v>
      </c>
      <c r="B57" s="111">
        <v>7.5</v>
      </c>
    </row>
    <row r="58" spans="1:2" x14ac:dyDescent="0.3">
      <c r="A58" s="110">
        <v>22068</v>
      </c>
      <c r="B58" s="111">
        <v>7.6</v>
      </c>
    </row>
    <row r="59" spans="1:2" x14ac:dyDescent="0.3">
      <c r="A59" s="110">
        <v>22160</v>
      </c>
      <c r="B59" s="111">
        <v>7.7</v>
      </c>
    </row>
    <row r="60" spans="1:2" x14ac:dyDescent="0.3">
      <c r="A60" s="110">
        <v>22251</v>
      </c>
      <c r="B60" s="111">
        <v>7.8</v>
      </c>
    </row>
    <row r="61" spans="1:2" x14ac:dyDescent="0.3">
      <c r="A61" s="110">
        <v>22341</v>
      </c>
      <c r="B61" s="111">
        <v>7.8</v>
      </c>
    </row>
    <row r="62" spans="1:2" x14ac:dyDescent="0.3">
      <c r="A62" s="110">
        <v>22433</v>
      </c>
      <c r="B62" s="111">
        <v>7.9</v>
      </c>
    </row>
    <row r="63" spans="1:2" x14ac:dyDescent="0.3">
      <c r="A63" s="110">
        <v>22525</v>
      </c>
      <c r="B63" s="111">
        <v>7.8</v>
      </c>
    </row>
    <row r="64" spans="1:2" x14ac:dyDescent="0.3">
      <c r="A64" s="110">
        <v>22616</v>
      </c>
      <c r="B64" s="111">
        <v>7.8</v>
      </c>
    </row>
    <row r="65" spans="1:2" x14ac:dyDescent="0.3">
      <c r="A65" s="110">
        <v>22706</v>
      </c>
      <c r="B65" s="111">
        <v>7.8</v>
      </c>
    </row>
    <row r="66" spans="1:2" x14ac:dyDescent="0.3">
      <c r="A66" s="110">
        <v>22798</v>
      </c>
      <c r="B66" s="111">
        <v>7.8</v>
      </c>
    </row>
    <row r="67" spans="1:2" x14ac:dyDescent="0.3">
      <c r="A67" s="110">
        <v>22890</v>
      </c>
      <c r="B67" s="111">
        <v>7.8</v>
      </c>
    </row>
    <row r="68" spans="1:2" x14ac:dyDescent="0.3">
      <c r="A68" s="110">
        <v>22981</v>
      </c>
      <c r="B68" s="111">
        <v>7.8</v>
      </c>
    </row>
    <row r="69" spans="1:2" x14ac:dyDescent="0.3">
      <c r="A69" s="110">
        <v>23071</v>
      </c>
      <c r="B69" s="111">
        <v>7.8</v>
      </c>
    </row>
    <row r="70" spans="1:2" x14ac:dyDescent="0.3">
      <c r="A70" s="110">
        <v>23163</v>
      </c>
      <c r="B70" s="111">
        <v>7.8</v>
      </c>
    </row>
    <row r="71" spans="1:2" x14ac:dyDescent="0.3">
      <c r="A71" s="110">
        <v>23255</v>
      </c>
      <c r="B71" s="111">
        <v>7.9</v>
      </c>
    </row>
    <row r="72" spans="1:2" x14ac:dyDescent="0.3">
      <c r="A72" s="110">
        <v>23346</v>
      </c>
      <c r="B72" s="111">
        <v>7.9</v>
      </c>
    </row>
    <row r="73" spans="1:2" x14ac:dyDescent="0.3">
      <c r="A73" s="110">
        <v>23437</v>
      </c>
      <c r="B73" s="111">
        <v>8</v>
      </c>
    </row>
    <row r="74" spans="1:2" x14ac:dyDescent="0.3">
      <c r="A74" s="110">
        <v>23529</v>
      </c>
      <c r="B74" s="111">
        <v>8</v>
      </c>
    </row>
    <row r="75" spans="1:2" x14ac:dyDescent="0.3">
      <c r="A75" s="110">
        <v>23621</v>
      </c>
      <c r="B75" s="111">
        <v>8.1</v>
      </c>
    </row>
    <row r="76" spans="1:2" x14ac:dyDescent="0.3">
      <c r="A76" s="110">
        <v>23712</v>
      </c>
      <c r="B76" s="111">
        <v>8.1999999999999993</v>
      </c>
    </row>
    <row r="77" spans="1:2" x14ac:dyDescent="0.3">
      <c r="A77" s="110">
        <v>23802</v>
      </c>
      <c r="B77" s="111">
        <v>8.1999999999999993</v>
      </c>
    </row>
    <row r="78" spans="1:2" x14ac:dyDescent="0.3">
      <c r="A78" s="110">
        <v>23894</v>
      </c>
      <c r="B78" s="111">
        <v>8.3000000000000007</v>
      </c>
    </row>
    <row r="79" spans="1:2" x14ac:dyDescent="0.3">
      <c r="A79" s="110">
        <v>23986</v>
      </c>
      <c r="B79" s="111">
        <v>8.4</v>
      </c>
    </row>
    <row r="80" spans="1:2" x14ac:dyDescent="0.3">
      <c r="A80" s="110">
        <v>24077</v>
      </c>
      <c r="B80" s="111">
        <v>8.5</v>
      </c>
    </row>
    <row r="81" spans="1:2" x14ac:dyDescent="0.3">
      <c r="A81" s="110">
        <v>24167</v>
      </c>
      <c r="B81" s="111">
        <v>8.6</v>
      </c>
    </row>
    <row r="82" spans="1:2" x14ac:dyDescent="0.3">
      <c r="A82" s="110">
        <v>24259</v>
      </c>
      <c r="B82" s="111">
        <v>8.6</v>
      </c>
    </row>
    <row r="83" spans="1:2" x14ac:dyDescent="0.3">
      <c r="A83" s="110">
        <v>24351</v>
      </c>
      <c r="B83" s="111">
        <v>8.6</v>
      </c>
    </row>
    <row r="84" spans="1:2" x14ac:dyDescent="0.3">
      <c r="A84" s="110">
        <v>24442</v>
      </c>
      <c r="B84" s="111">
        <v>8.6999999999999993</v>
      </c>
    </row>
    <row r="85" spans="1:2" x14ac:dyDescent="0.3">
      <c r="A85" s="110">
        <v>24532</v>
      </c>
      <c r="B85" s="111">
        <v>8.8000000000000007</v>
      </c>
    </row>
    <row r="86" spans="1:2" x14ac:dyDescent="0.3">
      <c r="A86" s="110">
        <v>24624</v>
      </c>
      <c r="B86" s="111">
        <v>8.9</v>
      </c>
    </row>
    <row r="87" spans="1:2" x14ac:dyDescent="0.3">
      <c r="A87" s="110">
        <v>24716</v>
      </c>
      <c r="B87" s="111">
        <v>9</v>
      </c>
    </row>
    <row r="88" spans="1:2" x14ac:dyDescent="0.3">
      <c r="A88" s="110">
        <v>24807</v>
      </c>
      <c r="B88" s="111">
        <v>9</v>
      </c>
    </row>
    <row r="89" spans="1:2" x14ac:dyDescent="0.3">
      <c r="A89" s="110">
        <v>24898</v>
      </c>
      <c r="B89" s="111">
        <v>9.1</v>
      </c>
    </row>
    <row r="90" spans="1:2" x14ac:dyDescent="0.3">
      <c r="A90" s="110">
        <v>24990</v>
      </c>
      <c r="B90" s="111">
        <v>9.1</v>
      </c>
    </row>
    <row r="91" spans="1:2" x14ac:dyDescent="0.3">
      <c r="A91" s="110">
        <v>25082</v>
      </c>
      <c r="B91" s="111">
        <v>9.1999999999999993</v>
      </c>
    </row>
    <row r="92" spans="1:2" x14ac:dyDescent="0.3">
      <c r="A92" s="110">
        <v>25173</v>
      </c>
      <c r="B92" s="111">
        <v>9.1999999999999993</v>
      </c>
    </row>
    <row r="93" spans="1:2" x14ac:dyDescent="0.3">
      <c r="A93" s="110">
        <v>25263</v>
      </c>
      <c r="B93" s="111">
        <v>9.4</v>
      </c>
    </row>
    <row r="94" spans="1:2" x14ac:dyDescent="0.3">
      <c r="A94" s="110">
        <v>25355</v>
      </c>
      <c r="B94" s="111">
        <v>9.4</v>
      </c>
    </row>
    <row r="95" spans="1:2" x14ac:dyDescent="0.3">
      <c r="A95" s="110">
        <v>25447</v>
      </c>
      <c r="B95" s="111">
        <v>9.5</v>
      </c>
    </row>
    <row r="96" spans="1:2" x14ac:dyDescent="0.3">
      <c r="A96" s="110">
        <v>25538</v>
      </c>
      <c r="B96" s="111">
        <v>9.5</v>
      </c>
    </row>
    <row r="97" spans="1:2" x14ac:dyDescent="0.3">
      <c r="A97" s="110">
        <v>25628</v>
      </c>
      <c r="B97" s="111">
        <v>9.6</v>
      </c>
    </row>
    <row r="98" spans="1:2" x14ac:dyDescent="0.3">
      <c r="A98" s="110">
        <v>25720</v>
      </c>
      <c r="B98" s="111">
        <v>9.6999999999999993</v>
      </c>
    </row>
    <row r="99" spans="1:2" x14ac:dyDescent="0.3">
      <c r="A99" s="110">
        <v>25812</v>
      </c>
      <c r="B99" s="111">
        <v>9.8000000000000007</v>
      </c>
    </row>
    <row r="100" spans="1:2" x14ac:dyDescent="0.3">
      <c r="A100" s="110">
        <v>25903</v>
      </c>
      <c r="B100" s="111">
        <v>10</v>
      </c>
    </row>
    <row r="101" spans="1:2" x14ac:dyDescent="0.3">
      <c r="A101" s="110">
        <v>25993</v>
      </c>
      <c r="B101" s="111">
        <v>10.1</v>
      </c>
    </row>
    <row r="102" spans="1:2" x14ac:dyDescent="0.3">
      <c r="A102" s="110">
        <v>26085</v>
      </c>
      <c r="B102" s="111">
        <v>10.199999999999999</v>
      </c>
    </row>
    <row r="103" spans="1:2" x14ac:dyDescent="0.3">
      <c r="A103" s="110">
        <v>26177</v>
      </c>
      <c r="B103" s="111">
        <v>10.5</v>
      </c>
    </row>
    <row r="104" spans="1:2" x14ac:dyDescent="0.3">
      <c r="A104" s="110">
        <v>26268</v>
      </c>
      <c r="B104" s="111">
        <v>10.7</v>
      </c>
    </row>
    <row r="105" spans="1:2" x14ac:dyDescent="0.3">
      <c r="A105" s="110">
        <v>26359</v>
      </c>
      <c r="B105" s="111">
        <v>10.8</v>
      </c>
    </row>
    <row r="106" spans="1:2" x14ac:dyDescent="0.3">
      <c r="A106" s="110">
        <v>26451</v>
      </c>
      <c r="B106" s="111">
        <v>10.9</v>
      </c>
    </row>
    <row r="107" spans="1:2" x14ac:dyDescent="0.3">
      <c r="A107" s="110">
        <v>26543</v>
      </c>
      <c r="B107" s="111">
        <v>11.1</v>
      </c>
    </row>
    <row r="108" spans="1:2" x14ac:dyDescent="0.3">
      <c r="A108" s="110">
        <v>26634</v>
      </c>
      <c r="B108" s="111">
        <v>11.2</v>
      </c>
    </row>
    <row r="109" spans="1:2" x14ac:dyDescent="0.3">
      <c r="A109" s="110">
        <v>26724</v>
      </c>
      <c r="B109" s="111">
        <v>11.4</v>
      </c>
    </row>
    <row r="110" spans="1:2" x14ac:dyDescent="0.3">
      <c r="A110" s="110">
        <v>26816</v>
      </c>
      <c r="B110" s="111">
        <v>11.8</v>
      </c>
    </row>
    <row r="111" spans="1:2" x14ac:dyDescent="0.3">
      <c r="A111" s="110">
        <v>26908</v>
      </c>
      <c r="B111" s="111">
        <v>12.2</v>
      </c>
    </row>
    <row r="112" spans="1:2" x14ac:dyDescent="0.3">
      <c r="A112" s="110">
        <v>26999</v>
      </c>
      <c r="B112" s="111">
        <v>12.6</v>
      </c>
    </row>
    <row r="113" spans="1:2" x14ac:dyDescent="0.3">
      <c r="A113" s="110">
        <v>27089</v>
      </c>
      <c r="B113" s="111">
        <v>13</v>
      </c>
    </row>
    <row r="114" spans="1:2" x14ac:dyDescent="0.3">
      <c r="A114" s="110">
        <v>27181</v>
      </c>
      <c r="B114" s="111">
        <v>13.5</v>
      </c>
    </row>
    <row r="115" spans="1:2" x14ac:dyDescent="0.3">
      <c r="A115" s="110">
        <v>27273</v>
      </c>
      <c r="B115" s="111">
        <v>14.2</v>
      </c>
    </row>
    <row r="116" spans="1:2" x14ac:dyDescent="0.3">
      <c r="A116" s="110">
        <v>27364</v>
      </c>
      <c r="B116" s="111">
        <v>14.7</v>
      </c>
    </row>
    <row r="117" spans="1:2" x14ac:dyDescent="0.3">
      <c r="A117" s="110">
        <v>27454</v>
      </c>
      <c r="B117" s="111">
        <v>15.3</v>
      </c>
    </row>
    <row r="118" spans="1:2" x14ac:dyDescent="0.3">
      <c r="A118" s="110">
        <v>27546</v>
      </c>
      <c r="B118" s="111">
        <v>15.8</v>
      </c>
    </row>
    <row r="119" spans="1:2" x14ac:dyDescent="0.3">
      <c r="A119" s="110">
        <v>27638</v>
      </c>
      <c r="B119" s="111">
        <v>15.9</v>
      </c>
    </row>
    <row r="120" spans="1:2" x14ac:dyDescent="0.3">
      <c r="A120" s="110">
        <v>27729</v>
      </c>
      <c r="B120" s="111">
        <v>16.8</v>
      </c>
    </row>
    <row r="121" spans="1:2" x14ac:dyDescent="0.3">
      <c r="A121" s="110">
        <v>27820</v>
      </c>
      <c r="B121" s="111">
        <v>17.3</v>
      </c>
    </row>
    <row r="122" spans="1:2" x14ac:dyDescent="0.3">
      <c r="A122" s="110">
        <v>27912</v>
      </c>
      <c r="B122" s="111">
        <v>17.7</v>
      </c>
    </row>
    <row r="123" spans="1:2" x14ac:dyDescent="0.3">
      <c r="A123" s="110">
        <v>28004</v>
      </c>
      <c r="B123" s="111">
        <v>18.100000000000001</v>
      </c>
    </row>
    <row r="124" spans="1:2" x14ac:dyDescent="0.3">
      <c r="A124" s="110">
        <v>28095</v>
      </c>
      <c r="B124" s="111">
        <v>19.2</v>
      </c>
    </row>
    <row r="125" spans="1:2" x14ac:dyDescent="0.3">
      <c r="A125" s="110">
        <v>28185</v>
      </c>
      <c r="B125" s="111">
        <v>19.600000000000001</v>
      </c>
    </row>
    <row r="126" spans="1:2" x14ac:dyDescent="0.3">
      <c r="A126" s="110">
        <v>28277</v>
      </c>
      <c r="B126" s="111">
        <v>20.100000000000001</v>
      </c>
    </row>
    <row r="127" spans="1:2" x14ac:dyDescent="0.3">
      <c r="A127" s="110">
        <v>28369</v>
      </c>
      <c r="B127" s="111">
        <v>20.5</v>
      </c>
    </row>
    <row r="128" spans="1:2" x14ac:dyDescent="0.3">
      <c r="A128" s="110">
        <v>28460</v>
      </c>
      <c r="B128" s="111">
        <v>21</v>
      </c>
    </row>
    <row r="129" spans="1:2" x14ac:dyDescent="0.3">
      <c r="A129" s="110">
        <v>28550</v>
      </c>
      <c r="B129" s="111">
        <v>21.3</v>
      </c>
    </row>
    <row r="130" spans="1:2" x14ac:dyDescent="0.3">
      <c r="A130" s="110">
        <v>28642</v>
      </c>
      <c r="B130" s="111">
        <v>21.7</v>
      </c>
    </row>
    <row r="131" spans="1:2" x14ac:dyDescent="0.3">
      <c r="A131" s="110">
        <v>28734</v>
      </c>
      <c r="B131" s="111">
        <v>22.1</v>
      </c>
    </row>
    <row r="132" spans="1:2" x14ac:dyDescent="0.3">
      <c r="A132" s="110">
        <v>28825</v>
      </c>
      <c r="B132" s="111">
        <v>22.6</v>
      </c>
    </row>
    <row r="133" spans="1:2" x14ac:dyDescent="0.3">
      <c r="A133" s="110">
        <v>28915</v>
      </c>
      <c r="B133" s="111">
        <v>23</v>
      </c>
    </row>
    <row r="134" spans="1:2" x14ac:dyDescent="0.3">
      <c r="A134" s="110">
        <v>29007</v>
      </c>
      <c r="B134" s="111">
        <v>23.6</v>
      </c>
    </row>
    <row r="135" spans="1:2" x14ac:dyDescent="0.3">
      <c r="A135" s="110">
        <v>29099</v>
      </c>
      <c r="B135" s="111">
        <v>24.2</v>
      </c>
    </row>
    <row r="136" spans="1:2" x14ac:dyDescent="0.3">
      <c r="A136" s="110">
        <v>29190</v>
      </c>
      <c r="B136" s="111">
        <v>24.9</v>
      </c>
    </row>
    <row r="137" spans="1:2" x14ac:dyDescent="0.3">
      <c r="A137" s="110">
        <v>29281</v>
      </c>
      <c r="B137" s="111">
        <v>25.4</v>
      </c>
    </row>
    <row r="138" spans="1:2" x14ac:dyDescent="0.3">
      <c r="A138" s="110">
        <v>29373</v>
      </c>
      <c r="B138" s="111">
        <v>26.2</v>
      </c>
    </row>
    <row r="139" spans="1:2" x14ac:dyDescent="0.3">
      <c r="A139" s="110">
        <v>29465</v>
      </c>
      <c r="B139" s="111">
        <v>26.6</v>
      </c>
    </row>
    <row r="140" spans="1:2" x14ac:dyDescent="0.3">
      <c r="A140" s="110">
        <v>29556</v>
      </c>
      <c r="B140" s="111">
        <v>27.2</v>
      </c>
    </row>
    <row r="141" spans="1:2" x14ac:dyDescent="0.3">
      <c r="A141" s="110">
        <v>29646</v>
      </c>
      <c r="B141" s="111">
        <v>27.8</v>
      </c>
    </row>
    <row r="142" spans="1:2" x14ac:dyDescent="0.3">
      <c r="A142" s="110">
        <v>29738</v>
      </c>
      <c r="B142" s="111">
        <v>28.4</v>
      </c>
    </row>
    <row r="143" spans="1:2" x14ac:dyDescent="0.3">
      <c r="A143" s="110">
        <v>29830</v>
      </c>
      <c r="B143" s="111">
        <v>29</v>
      </c>
    </row>
    <row r="144" spans="1:2" x14ac:dyDescent="0.3">
      <c r="A144" s="110">
        <v>29921</v>
      </c>
      <c r="B144" s="111">
        <v>30.2</v>
      </c>
    </row>
    <row r="145" spans="1:2" x14ac:dyDescent="0.3">
      <c r="A145" s="110">
        <v>30011</v>
      </c>
      <c r="B145" s="111">
        <v>30.8</v>
      </c>
    </row>
    <row r="146" spans="1:2" x14ac:dyDescent="0.3">
      <c r="A146" s="110">
        <v>30103</v>
      </c>
      <c r="B146" s="111">
        <v>31.5</v>
      </c>
    </row>
    <row r="147" spans="1:2" x14ac:dyDescent="0.3">
      <c r="A147" s="110">
        <v>30195</v>
      </c>
      <c r="B147" s="111">
        <v>32.6</v>
      </c>
    </row>
    <row r="148" spans="1:2" x14ac:dyDescent="0.3">
      <c r="A148" s="110">
        <v>30286</v>
      </c>
      <c r="B148" s="111">
        <v>33.6</v>
      </c>
    </row>
    <row r="149" spans="1:2" x14ac:dyDescent="0.3">
      <c r="A149" s="110">
        <v>30376</v>
      </c>
      <c r="B149" s="111">
        <v>34.299999999999997</v>
      </c>
    </row>
    <row r="150" spans="1:2" x14ac:dyDescent="0.3">
      <c r="A150" s="110">
        <v>30468</v>
      </c>
      <c r="B150" s="111">
        <v>35</v>
      </c>
    </row>
    <row r="151" spans="1:2" x14ac:dyDescent="0.3">
      <c r="A151" s="110">
        <v>30560</v>
      </c>
      <c r="B151" s="111">
        <v>35.6</v>
      </c>
    </row>
    <row r="152" spans="1:2" x14ac:dyDescent="0.3">
      <c r="A152" s="110">
        <v>30651</v>
      </c>
      <c r="B152" s="111">
        <v>36.5</v>
      </c>
    </row>
    <row r="153" spans="1:2" x14ac:dyDescent="0.3">
      <c r="A153" s="110">
        <v>30742</v>
      </c>
      <c r="B153" s="111">
        <v>36.299999999999997</v>
      </c>
    </row>
    <row r="154" spans="1:2" x14ac:dyDescent="0.3">
      <c r="A154" s="110">
        <v>30834</v>
      </c>
      <c r="B154" s="111">
        <v>36.4</v>
      </c>
    </row>
    <row r="155" spans="1:2" x14ac:dyDescent="0.3">
      <c r="A155" s="110">
        <v>30926</v>
      </c>
      <c r="B155" s="111">
        <v>36.9</v>
      </c>
    </row>
    <row r="156" spans="1:2" x14ac:dyDescent="0.3">
      <c r="A156" s="110">
        <v>31017</v>
      </c>
      <c r="B156" s="111">
        <v>37.4</v>
      </c>
    </row>
    <row r="157" spans="1:2" x14ac:dyDescent="0.3">
      <c r="A157" s="110">
        <v>31107</v>
      </c>
      <c r="B157" s="111">
        <v>37.9</v>
      </c>
    </row>
    <row r="158" spans="1:2" x14ac:dyDescent="0.3">
      <c r="A158" s="110">
        <v>31199</v>
      </c>
      <c r="B158" s="111">
        <v>38.799999999999997</v>
      </c>
    </row>
    <row r="159" spans="1:2" x14ac:dyDescent="0.3">
      <c r="A159" s="110">
        <v>31291</v>
      </c>
      <c r="B159" s="111">
        <v>39.700000000000003</v>
      </c>
    </row>
    <row r="160" spans="1:2" x14ac:dyDescent="0.3">
      <c r="A160" s="110">
        <v>31382</v>
      </c>
      <c r="B160" s="111">
        <v>40.5</v>
      </c>
    </row>
    <row r="161" spans="1:2" x14ac:dyDescent="0.3">
      <c r="A161" s="110">
        <v>31472</v>
      </c>
      <c r="B161" s="111">
        <v>41.4</v>
      </c>
    </row>
    <row r="162" spans="1:2" x14ac:dyDescent="0.3">
      <c r="A162" s="110">
        <v>31564</v>
      </c>
      <c r="B162" s="111">
        <v>42.1</v>
      </c>
    </row>
    <row r="163" spans="1:2" x14ac:dyDescent="0.3">
      <c r="A163" s="110">
        <v>31656</v>
      </c>
      <c r="B163" s="111">
        <v>43.2</v>
      </c>
    </row>
    <row r="164" spans="1:2" x14ac:dyDescent="0.3">
      <c r="A164" s="110">
        <v>31747</v>
      </c>
      <c r="B164" s="111">
        <v>44.4</v>
      </c>
    </row>
    <row r="165" spans="1:2" x14ac:dyDescent="0.3">
      <c r="A165" s="110">
        <v>31837</v>
      </c>
      <c r="B165" s="111">
        <v>45.3</v>
      </c>
    </row>
    <row r="166" spans="1:2" x14ac:dyDescent="0.3">
      <c r="A166" s="110">
        <v>31929</v>
      </c>
      <c r="B166" s="111">
        <v>46</v>
      </c>
    </row>
    <row r="167" spans="1:2" x14ac:dyDescent="0.3">
      <c r="A167" s="110">
        <v>32021</v>
      </c>
      <c r="B167" s="111">
        <v>46.8</v>
      </c>
    </row>
    <row r="168" spans="1:2" x14ac:dyDescent="0.3">
      <c r="A168" s="110">
        <v>32112</v>
      </c>
      <c r="B168" s="111">
        <v>47.6</v>
      </c>
    </row>
    <row r="169" spans="1:2" x14ac:dyDescent="0.3">
      <c r="A169" s="110">
        <v>32203</v>
      </c>
      <c r="B169" s="111">
        <v>48.4</v>
      </c>
    </row>
    <row r="170" spans="1:2" x14ac:dyDescent="0.3">
      <c r="A170" s="110">
        <v>32295</v>
      </c>
      <c r="B170" s="111">
        <v>49.3</v>
      </c>
    </row>
    <row r="171" spans="1:2" x14ac:dyDescent="0.3">
      <c r="A171" s="110">
        <v>32387</v>
      </c>
      <c r="B171" s="111">
        <v>50.2</v>
      </c>
    </row>
    <row r="172" spans="1:2" x14ac:dyDescent="0.3">
      <c r="A172" s="110">
        <v>32478</v>
      </c>
      <c r="B172" s="111">
        <v>51.2</v>
      </c>
    </row>
    <row r="173" spans="1:2" x14ac:dyDescent="0.3">
      <c r="A173" s="110">
        <v>32568</v>
      </c>
      <c r="B173" s="111">
        <v>51.7</v>
      </c>
    </row>
    <row r="174" spans="1:2" x14ac:dyDescent="0.3">
      <c r="A174" s="110">
        <v>32660</v>
      </c>
      <c r="B174" s="111">
        <v>53</v>
      </c>
    </row>
    <row r="175" spans="1:2" x14ac:dyDescent="0.3">
      <c r="A175" s="110">
        <v>32752</v>
      </c>
      <c r="B175" s="111">
        <v>54.2</v>
      </c>
    </row>
    <row r="176" spans="1:2" x14ac:dyDescent="0.3">
      <c r="A176" s="110">
        <v>32843</v>
      </c>
      <c r="B176" s="111">
        <v>55.2</v>
      </c>
    </row>
    <row r="177" spans="1:2" x14ac:dyDescent="0.3">
      <c r="A177" s="110">
        <v>32933</v>
      </c>
      <c r="B177" s="111">
        <v>56.2</v>
      </c>
    </row>
    <row r="178" spans="1:2" x14ac:dyDescent="0.3">
      <c r="A178" s="110">
        <v>33025</v>
      </c>
      <c r="B178" s="111">
        <v>57.1</v>
      </c>
    </row>
    <row r="179" spans="1:2" x14ac:dyDescent="0.3">
      <c r="A179" s="110">
        <v>33117</v>
      </c>
      <c r="B179" s="111">
        <v>57.5</v>
      </c>
    </row>
    <row r="180" spans="1:2" x14ac:dyDescent="0.3">
      <c r="A180" s="110">
        <v>33208</v>
      </c>
      <c r="B180" s="111">
        <v>59</v>
      </c>
    </row>
    <row r="181" spans="1:2" x14ac:dyDescent="0.3">
      <c r="A181" s="110">
        <v>33298</v>
      </c>
      <c r="B181" s="111">
        <v>58.9</v>
      </c>
    </row>
    <row r="182" spans="1:2" x14ac:dyDescent="0.3">
      <c r="A182" s="110">
        <v>33390</v>
      </c>
      <c r="B182" s="111">
        <v>59</v>
      </c>
    </row>
    <row r="183" spans="1:2" x14ac:dyDescent="0.3">
      <c r="A183" s="110">
        <v>33482</v>
      </c>
      <c r="B183" s="111">
        <v>59.3</v>
      </c>
    </row>
    <row r="184" spans="1:2" x14ac:dyDescent="0.3">
      <c r="A184" s="110">
        <v>33573</v>
      </c>
      <c r="B184" s="111">
        <v>59.9</v>
      </c>
    </row>
    <row r="185" spans="1:2" x14ac:dyDescent="0.3">
      <c r="A185" s="110">
        <v>33664</v>
      </c>
      <c r="B185" s="111">
        <v>59.9</v>
      </c>
    </row>
    <row r="186" spans="1:2" x14ac:dyDescent="0.3">
      <c r="A186" s="110">
        <v>33756</v>
      </c>
      <c r="B186" s="111">
        <v>59.7</v>
      </c>
    </row>
    <row r="187" spans="1:2" x14ac:dyDescent="0.3">
      <c r="A187" s="110">
        <v>33848</v>
      </c>
      <c r="B187" s="111">
        <v>59.8</v>
      </c>
    </row>
    <row r="188" spans="1:2" x14ac:dyDescent="0.3">
      <c r="A188" s="110">
        <v>33939</v>
      </c>
      <c r="B188" s="111">
        <v>60.1</v>
      </c>
    </row>
    <row r="189" spans="1:2" x14ac:dyDescent="0.3">
      <c r="A189" s="110">
        <v>34029</v>
      </c>
      <c r="B189" s="111">
        <v>60.6</v>
      </c>
    </row>
    <row r="190" spans="1:2" x14ac:dyDescent="0.3">
      <c r="A190" s="110">
        <v>34121</v>
      </c>
      <c r="B190" s="111">
        <v>60.8</v>
      </c>
    </row>
    <row r="191" spans="1:2" x14ac:dyDescent="0.3">
      <c r="A191" s="110">
        <v>34213</v>
      </c>
      <c r="B191" s="111">
        <v>61.1</v>
      </c>
    </row>
    <row r="192" spans="1:2" x14ac:dyDescent="0.3">
      <c r="A192" s="110">
        <v>34304</v>
      </c>
      <c r="B192" s="111">
        <v>61.2</v>
      </c>
    </row>
    <row r="193" spans="1:2" x14ac:dyDescent="0.3">
      <c r="A193" s="110">
        <v>34394</v>
      </c>
      <c r="B193" s="111">
        <v>61.5</v>
      </c>
    </row>
    <row r="194" spans="1:2" x14ac:dyDescent="0.3">
      <c r="A194" s="110">
        <v>34486</v>
      </c>
      <c r="B194" s="111">
        <v>61.9</v>
      </c>
    </row>
    <row r="195" spans="1:2" x14ac:dyDescent="0.3">
      <c r="A195" s="110">
        <v>34578</v>
      </c>
      <c r="B195" s="111">
        <v>62.3</v>
      </c>
    </row>
    <row r="196" spans="1:2" x14ac:dyDescent="0.3">
      <c r="A196" s="110">
        <v>34669</v>
      </c>
      <c r="B196" s="111">
        <v>62.8</v>
      </c>
    </row>
    <row r="197" spans="1:2" x14ac:dyDescent="0.3">
      <c r="A197" s="110">
        <v>34759</v>
      </c>
      <c r="B197" s="111">
        <v>63.8</v>
      </c>
    </row>
    <row r="198" spans="1:2" x14ac:dyDescent="0.3">
      <c r="A198" s="110">
        <v>34851</v>
      </c>
      <c r="B198" s="111">
        <v>64.7</v>
      </c>
    </row>
    <row r="199" spans="1:2" x14ac:dyDescent="0.3">
      <c r="A199" s="110">
        <v>34943</v>
      </c>
      <c r="B199" s="111">
        <v>65.5</v>
      </c>
    </row>
    <row r="200" spans="1:2" x14ac:dyDescent="0.3">
      <c r="A200" s="110">
        <v>35034</v>
      </c>
      <c r="B200" s="111">
        <v>66</v>
      </c>
    </row>
    <row r="201" spans="1:2" x14ac:dyDescent="0.3">
      <c r="A201" s="110">
        <v>35125</v>
      </c>
      <c r="B201" s="111">
        <v>66.2</v>
      </c>
    </row>
    <row r="202" spans="1:2" x14ac:dyDescent="0.3">
      <c r="A202" s="110">
        <v>35217</v>
      </c>
      <c r="B202" s="111">
        <v>66.7</v>
      </c>
    </row>
    <row r="203" spans="1:2" x14ac:dyDescent="0.3">
      <c r="A203" s="110">
        <v>35309</v>
      </c>
      <c r="B203" s="111">
        <v>66.900000000000006</v>
      </c>
    </row>
    <row r="204" spans="1:2" x14ac:dyDescent="0.3">
      <c r="A204" s="110">
        <v>35400</v>
      </c>
      <c r="B204" s="111">
        <v>67</v>
      </c>
    </row>
    <row r="205" spans="1:2" x14ac:dyDescent="0.3">
      <c r="A205" s="110">
        <v>35490</v>
      </c>
      <c r="B205" s="111">
        <v>67.099999999999994</v>
      </c>
    </row>
    <row r="206" spans="1:2" x14ac:dyDescent="0.3">
      <c r="A206" s="110">
        <v>35582</v>
      </c>
      <c r="B206" s="111">
        <v>66.900000000000006</v>
      </c>
    </row>
    <row r="207" spans="1:2" x14ac:dyDescent="0.3">
      <c r="A207" s="110">
        <v>35674</v>
      </c>
      <c r="B207" s="111">
        <v>66.599999999999994</v>
      </c>
    </row>
    <row r="208" spans="1:2" x14ac:dyDescent="0.3">
      <c r="A208" s="110">
        <v>35765</v>
      </c>
      <c r="B208" s="111">
        <v>66.8</v>
      </c>
    </row>
    <row r="209" spans="1:2" x14ac:dyDescent="0.3">
      <c r="A209" s="110">
        <v>35855</v>
      </c>
      <c r="B209" s="111">
        <v>67</v>
      </c>
    </row>
    <row r="210" spans="1:2" x14ac:dyDescent="0.3">
      <c r="A210" s="110">
        <v>35947</v>
      </c>
      <c r="B210" s="111">
        <v>67.400000000000006</v>
      </c>
    </row>
    <row r="211" spans="1:2" x14ac:dyDescent="0.3">
      <c r="A211" s="110">
        <v>36039</v>
      </c>
      <c r="B211" s="111">
        <v>67.5</v>
      </c>
    </row>
    <row r="212" spans="1:2" x14ac:dyDescent="0.3">
      <c r="A212" s="110">
        <v>36130</v>
      </c>
      <c r="B212" s="111">
        <v>67.8</v>
      </c>
    </row>
    <row r="213" spans="1:2" x14ac:dyDescent="0.3">
      <c r="A213" s="110">
        <v>36220</v>
      </c>
      <c r="B213" s="111">
        <v>67.8</v>
      </c>
    </row>
    <row r="214" spans="1:2" x14ac:dyDescent="0.3">
      <c r="A214" s="110">
        <v>36312</v>
      </c>
      <c r="B214" s="111">
        <v>68.099999999999994</v>
      </c>
    </row>
    <row r="215" spans="1:2" x14ac:dyDescent="0.3">
      <c r="A215" s="110">
        <v>36404</v>
      </c>
      <c r="B215" s="111">
        <v>68.7</v>
      </c>
    </row>
    <row r="216" spans="1:2" x14ac:dyDescent="0.3">
      <c r="A216" s="110">
        <v>36495</v>
      </c>
      <c r="B216" s="111">
        <v>69.099999999999994</v>
      </c>
    </row>
    <row r="217" spans="1:2" x14ac:dyDescent="0.3">
      <c r="A217" s="110">
        <v>36586</v>
      </c>
      <c r="B217" s="111">
        <v>69.7</v>
      </c>
    </row>
    <row r="218" spans="1:2" x14ac:dyDescent="0.3">
      <c r="A218" s="110">
        <v>36678</v>
      </c>
      <c r="B218" s="111">
        <v>70.2</v>
      </c>
    </row>
    <row r="219" spans="1:2" x14ac:dyDescent="0.3">
      <c r="A219" s="110">
        <v>36770</v>
      </c>
      <c r="B219" s="111">
        <v>72.900000000000006</v>
      </c>
    </row>
    <row r="220" spans="1:2" x14ac:dyDescent="0.3">
      <c r="A220" s="110">
        <v>36861</v>
      </c>
      <c r="B220" s="111">
        <v>73.099999999999994</v>
      </c>
    </row>
    <row r="221" spans="1:2" x14ac:dyDescent="0.3">
      <c r="A221" s="110">
        <v>36951</v>
      </c>
      <c r="B221" s="111">
        <v>73.900000000000006</v>
      </c>
    </row>
    <row r="222" spans="1:2" x14ac:dyDescent="0.3">
      <c r="A222" s="110">
        <v>37043</v>
      </c>
      <c r="B222" s="111">
        <v>74.5</v>
      </c>
    </row>
    <row r="223" spans="1:2" x14ac:dyDescent="0.3">
      <c r="A223" s="110">
        <v>37135</v>
      </c>
      <c r="B223" s="111">
        <v>74.7</v>
      </c>
    </row>
    <row r="224" spans="1:2" x14ac:dyDescent="0.3">
      <c r="A224" s="110">
        <v>37226</v>
      </c>
      <c r="B224" s="111">
        <v>75.400000000000006</v>
      </c>
    </row>
    <row r="225" spans="1:2" x14ac:dyDescent="0.3">
      <c r="A225" s="110">
        <v>37316</v>
      </c>
      <c r="B225" s="111">
        <v>76.099999999999994</v>
      </c>
    </row>
    <row r="226" spans="1:2" x14ac:dyDescent="0.3">
      <c r="A226" s="110">
        <v>37408</v>
      </c>
      <c r="B226" s="111">
        <v>76.599999999999994</v>
      </c>
    </row>
    <row r="227" spans="1:2" x14ac:dyDescent="0.3">
      <c r="A227" s="110">
        <v>37500</v>
      </c>
      <c r="B227" s="111">
        <v>77.099999999999994</v>
      </c>
    </row>
    <row r="228" spans="1:2" x14ac:dyDescent="0.3">
      <c r="A228" s="110">
        <v>37591</v>
      </c>
      <c r="B228" s="111">
        <v>77.599999999999994</v>
      </c>
    </row>
    <row r="229" spans="1:2" x14ac:dyDescent="0.3">
      <c r="A229" s="110">
        <v>37681</v>
      </c>
      <c r="B229" s="111">
        <v>78.599999999999994</v>
      </c>
    </row>
    <row r="230" spans="1:2" x14ac:dyDescent="0.3">
      <c r="A230" s="110">
        <v>37773</v>
      </c>
      <c r="B230" s="111">
        <v>78.599999999999994</v>
      </c>
    </row>
    <row r="231" spans="1:2" x14ac:dyDescent="0.3">
      <c r="A231" s="110">
        <v>37865</v>
      </c>
      <c r="B231" s="111">
        <v>79.099999999999994</v>
      </c>
    </row>
    <row r="232" spans="1:2" x14ac:dyDescent="0.3">
      <c r="A232" s="110">
        <v>37956</v>
      </c>
      <c r="B232" s="111">
        <v>79.5</v>
      </c>
    </row>
    <row r="233" spans="1:2" x14ac:dyDescent="0.3">
      <c r="A233" s="110">
        <v>38047</v>
      </c>
      <c r="B233" s="111">
        <v>80.2</v>
      </c>
    </row>
    <row r="234" spans="1:2" x14ac:dyDescent="0.3">
      <c r="A234" s="110">
        <v>38139</v>
      </c>
      <c r="B234" s="111">
        <v>80.599999999999994</v>
      </c>
    </row>
    <row r="235" spans="1:2" x14ac:dyDescent="0.3">
      <c r="A235" s="110">
        <v>38231</v>
      </c>
      <c r="B235" s="111">
        <v>80.900000000000006</v>
      </c>
    </row>
    <row r="236" spans="1:2" x14ac:dyDescent="0.3">
      <c r="A236" s="110">
        <v>38322</v>
      </c>
      <c r="B236" s="111">
        <v>81.5</v>
      </c>
    </row>
    <row r="237" spans="1:2" x14ac:dyDescent="0.3">
      <c r="A237" s="110">
        <v>38412</v>
      </c>
      <c r="B237" s="111">
        <v>82.1</v>
      </c>
    </row>
    <row r="238" spans="1:2" x14ac:dyDescent="0.3">
      <c r="A238" s="110">
        <v>38504</v>
      </c>
      <c r="B238" s="111">
        <v>82.6</v>
      </c>
    </row>
    <row r="239" spans="1:2" x14ac:dyDescent="0.3">
      <c r="A239" s="110">
        <v>38596</v>
      </c>
      <c r="B239" s="111">
        <v>83.4</v>
      </c>
    </row>
    <row r="240" spans="1:2" x14ac:dyDescent="0.3">
      <c r="A240" s="110">
        <v>38687</v>
      </c>
      <c r="B240" s="111">
        <v>83.8</v>
      </c>
    </row>
    <row r="241" spans="1:2" x14ac:dyDescent="0.3">
      <c r="A241" s="110">
        <v>38777</v>
      </c>
      <c r="B241" s="111">
        <v>84.5</v>
      </c>
    </row>
    <row r="242" spans="1:2" x14ac:dyDescent="0.3">
      <c r="A242" s="110">
        <v>38869</v>
      </c>
      <c r="B242" s="111">
        <v>85.9</v>
      </c>
    </row>
    <row r="243" spans="1:2" x14ac:dyDescent="0.3">
      <c r="A243" s="110">
        <v>38961</v>
      </c>
      <c r="B243" s="111">
        <v>86.7</v>
      </c>
    </row>
    <row r="244" spans="1:2" x14ac:dyDescent="0.3">
      <c r="A244" s="110">
        <v>39052</v>
      </c>
      <c r="B244" s="111">
        <v>86.6</v>
      </c>
    </row>
    <row r="245" spans="1:2" x14ac:dyDescent="0.3">
      <c r="A245" s="110">
        <v>39142</v>
      </c>
      <c r="B245" s="111">
        <v>86.6</v>
      </c>
    </row>
    <row r="246" spans="1:2" x14ac:dyDescent="0.3">
      <c r="A246" s="110">
        <v>39234</v>
      </c>
      <c r="B246" s="111">
        <v>87.7</v>
      </c>
    </row>
    <row r="247" spans="1:2" x14ac:dyDescent="0.3">
      <c r="A247" s="110">
        <v>39326</v>
      </c>
      <c r="B247" s="111">
        <v>88.3</v>
      </c>
    </row>
    <row r="248" spans="1:2" x14ac:dyDescent="0.3">
      <c r="A248" s="110">
        <v>39417</v>
      </c>
      <c r="B248" s="111">
        <v>89.1</v>
      </c>
    </row>
    <row r="249" spans="1:2" x14ac:dyDescent="0.3">
      <c r="A249" s="110">
        <v>39508</v>
      </c>
      <c r="B249" s="111">
        <v>90.3</v>
      </c>
    </row>
    <row r="250" spans="1:2" x14ac:dyDescent="0.3">
      <c r="A250" s="110">
        <v>39600</v>
      </c>
      <c r="B250" s="111">
        <v>91.6</v>
      </c>
    </row>
    <row r="251" spans="1:2" x14ac:dyDescent="0.3">
      <c r="A251" s="110">
        <v>39692</v>
      </c>
      <c r="B251" s="111">
        <v>92.7</v>
      </c>
    </row>
    <row r="252" spans="1:2" x14ac:dyDescent="0.3">
      <c r="A252" s="110">
        <v>39783</v>
      </c>
      <c r="B252" s="111">
        <v>92.4</v>
      </c>
    </row>
    <row r="253" spans="1:2" x14ac:dyDescent="0.3">
      <c r="A253" s="110">
        <v>39873</v>
      </c>
      <c r="B253" s="111">
        <v>92.5</v>
      </c>
    </row>
    <row r="254" spans="1:2" x14ac:dyDescent="0.3">
      <c r="A254" s="110">
        <v>39965</v>
      </c>
      <c r="B254" s="111">
        <v>92.9</v>
      </c>
    </row>
    <row r="255" spans="1:2" x14ac:dyDescent="0.3">
      <c r="A255" s="110">
        <v>40057</v>
      </c>
      <c r="B255" s="111">
        <v>93.8</v>
      </c>
    </row>
    <row r="256" spans="1:2" x14ac:dyDescent="0.3">
      <c r="A256" s="110">
        <v>40148</v>
      </c>
      <c r="B256" s="111">
        <v>94.3</v>
      </c>
    </row>
    <row r="257" spans="1:2" x14ac:dyDescent="0.3">
      <c r="A257" s="110">
        <v>40238</v>
      </c>
      <c r="B257" s="111">
        <v>95.2</v>
      </c>
    </row>
    <row r="258" spans="1:2" x14ac:dyDescent="0.3">
      <c r="A258" s="110">
        <v>40330</v>
      </c>
      <c r="B258" s="111">
        <v>95.8</v>
      </c>
    </row>
    <row r="259" spans="1:2" x14ac:dyDescent="0.3">
      <c r="A259" s="110">
        <v>40422</v>
      </c>
      <c r="B259" s="111">
        <v>96.5</v>
      </c>
    </row>
    <row r="260" spans="1:2" x14ac:dyDescent="0.3">
      <c r="A260" s="110">
        <v>40513</v>
      </c>
      <c r="B260" s="111">
        <v>96.9</v>
      </c>
    </row>
    <row r="261" spans="1:2" x14ac:dyDescent="0.3">
      <c r="A261" s="110">
        <v>40603</v>
      </c>
      <c r="B261" s="111">
        <v>98.3</v>
      </c>
    </row>
    <row r="262" spans="1:2" x14ac:dyDescent="0.3">
      <c r="A262" s="110">
        <v>40695</v>
      </c>
      <c r="B262" s="111">
        <v>99.2</v>
      </c>
    </row>
    <row r="263" spans="1:2" x14ac:dyDescent="0.3">
      <c r="A263" s="110">
        <v>40787</v>
      </c>
      <c r="B263" s="111">
        <v>99.8</v>
      </c>
    </row>
    <row r="264" spans="1:2" x14ac:dyDescent="0.3">
      <c r="A264" s="110">
        <v>40878</v>
      </c>
      <c r="B264" s="111">
        <v>99.8</v>
      </c>
    </row>
    <row r="265" spans="1:2" x14ac:dyDescent="0.3">
      <c r="A265" s="110">
        <v>40969</v>
      </c>
      <c r="B265" s="111">
        <v>99.9</v>
      </c>
    </row>
    <row r="266" spans="1:2" x14ac:dyDescent="0.3">
      <c r="A266" s="110">
        <v>41061</v>
      </c>
      <c r="B266" s="111">
        <v>100.4</v>
      </c>
    </row>
    <row r="267" spans="1:2" x14ac:dyDescent="0.3">
      <c r="A267" s="110">
        <v>41153</v>
      </c>
      <c r="B267" s="111">
        <v>101.8</v>
      </c>
    </row>
    <row r="268" spans="1:2" x14ac:dyDescent="0.3">
      <c r="A268" s="110">
        <v>41244</v>
      </c>
      <c r="B268" s="111">
        <v>102</v>
      </c>
    </row>
    <row r="269" spans="1:2" x14ac:dyDescent="0.3">
      <c r="A269" s="110">
        <v>41334</v>
      </c>
      <c r="B269" s="111">
        <v>102.4</v>
      </c>
    </row>
    <row r="270" spans="1:2" x14ac:dyDescent="0.3">
      <c r="A270" s="110">
        <v>41426</v>
      </c>
      <c r="B270" s="111">
        <v>102.8</v>
      </c>
    </row>
    <row r="271" spans="1:2" x14ac:dyDescent="0.3">
      <c r="A271" s="110">
        <v>41518</v>
      </c>
      <c r="B271" s="111">
        <v>104</v>
      </c>
    </row>
    <row r="272" spans="1:2" x14ac:dyDescent="0.3">
      <c r="A272" s="110">
        <v>41609</v>
      </c>
      <c r="B272" s="111">
        <v>104.8</v>
      </c>
    </row>
    <row r="273" spans="1:2" x14ac:dyDescent="0.3">
      <c r="A273" s="110">
        <v>41699</v>
      </c>
      <c r="B273" s="111">
        <v>105.4</v>
      </c>
    </row>
    <row r="274" spans="1:2" x14ac:dyDescent="0.3">
      <c r="A274" s="110">
        <v>41791</v>
      </c>
      <c r="B274" s="111">
        <v>105.9</v>
      </c>
    </row>
    <row r="275" spans="1:2" x14ac:dyDescent="0.3">
      <c r="A275" s="110">
        <v>41883</v>
      </c>
      <c r="B275" s="111">
        <v>106.4</v>
      </c>
    </row>
    <row r="276" spans="1:2" x14ac:dyDescent="0.3">
      <c r="A276" s="110">
        <v>41974</v>
      </c>
      <c r="B276" s="111">
        <v>106.6</v>
      </c>
    </row>
    <row r="277" spans="1:2" x14ac:dyDescent="0.3">
      <c r="A277" s="110">
        <v>42064</v>
      </c>
      <c r="B277" s="111">
        <v>106.8</v>
      </c>
    </row>
    <row r="278" spans="1:2" x14ac:dyDescent="0.3">
      <c r="A278" s="110">
        <v>42156</v>
      </c>
      <c r="B278" s="111">
        <v>107.5</v>
      </c>
    </row>
    <row r="279" spans="1:2" x14ac:dyDescent="0.3">
      <c r="A279" s="110">
        <v>42248</v>
      </c>
      <c r="B279" s="111">
        <v>108</v>
      </c>
    </row>
    <row r="280" spans="1:2" x14ac:dyDescent="0.3">
      <c r="A280" s="110">
        <v>42339</v>
      </c>
      <c r="B280" s="111">
        <v>108.4</v>
      </c>
    </row>
    <row r="281" spans="1:2" x14ac:dyDescent="0.3">
      <c r="A281" s="110">
        <v>42430</v>
      </c>
      <c r="B281" s="111">
        <v>108.2</v>
      </c>
    </row>
    <row r="282" spans="1:2" x14ac:dyDescent="0.3">
      <c r="A282" s="110">
        <v>42522</v>
      </c>
      <c r="B282" s="111">
        <v>108.6</v>
      </c>
    </row>
    <row r="283" spans="1:2" x14ac:dyDescent="0.3">
      <c r="A283" s="110">
        <v>42614</v>
      </c>
      <c r="B283" s="111">
        <v>109.4</v>
      </c>
    </row>
    <row r="284" spans="1:2" x14ac:dyDescent="0.3">
      <c r="A284" s="110">
        <v>42705</v>
      </c>
      <c r="B284" s="111">
        <v>110</v>
      </c>
    </row>
    <row r="285" spans="1:2" x14ac:dyDescent="0.3">
      <c r="A285" s="110">
        <v>42795</v>
      </c>
      <c r="B285" s="111">
        <v>110.5</v>
      </c>
    </row>
    <row r="286" spans="1:2" x14ac:dyDescent="0.3">
      <c r="A286" s="110">
        <v>42887</v>
      </c>
      <c r="B286" s="111">
        <v>110.7</v>
      </c>
    </row>
    <row r="287" spans="1:2" x14ac:dyDescent="0.3">
      <c r="A287" s="110">
        <v>42979</v>
      </c>
      <c r="B287" s="111">
        <v>111.4</v>
      </c>
    </row>
    <row r="288" spans="1:2" x14ac:dyDescent="0.3">
      <c r="A288" s="110">
        <v>43070</v>
      </c>
      <c r="B288" s="111">
        <v>112.1</v>
      </c>
    </row>
    <row r="289" spans="1:2" x14ac:dyDescent="0.3">
      <c r="A289" s="110">
        <v>43160</v>
      </c>
      <c r="B289" s="111">
        <v>112.6</v>
      </c>
    </row>
    <row r="290" spans="1:2" x14ac:dyDescent="0.3">
      <c r="A290" s="110">
        <v>43252</v>
      </c>
      <c r="B290" s="111">
        <v>113</v>
      </c>
    </row>
    <row r="291" spans="1:2" x14ac:dyDescent="0.3">
      <c r="A291" s="110">
        <v>43344</v>
      </c>
      <c r="B291" s="111">
        <v>113.5</v>
      </c>
    </row>
    <row r="292" spans="1:2" x14ac:dyDescent="0.3">
      <c r="A292" s="110">
        <v>43435</v>
      </c>
      <c r="B292" s="111">
        <v>114.1</v>
      </c>
    </row>
    <row r="293" spans="1:2" x14ac:dyDescent="0.3">
      <c r="A293" s="110">
        <v>43525</v>
      </c>
      <c r="B293" s="111">
        <v>114.1</v>
      </c>
    </row>
    <row r="294" spans="1:2" x14ac:dyDescent="0.3">
      <c r="A294" s="110">
        <v>43617</v>
      </c>
      <c r="B294" s="111">
        <v>114.8</v>
      </c>
    </row>
    <row r="295" spans="1:2" x14ac:dyDescent="0.3">
      <c r="A295" s="110">
        <v>43709</v>
      </c>
      <c r="B295" s="111">
        <v>115.4</v>
      </c>
    </row>
    <row r="296" spans="1:2" x14ac:dyDescent="0.3">
      <c r="A296" s="110">
        <v>43800</v>
      </c>
      <c r="B296" s="111">
        <v>116.2</v>
      </c>
    </row>
    <row r="297" spans="1:2" x14ac:dyDescent="0.3">
      <c r="A297" s="110">
        <v>43891</v>
      </c>
      <c r="B297" s="111">
        <v>116.6</v>
      </c>
    </row>
    <row r="298" spans="1:2" x14ac:dyDescent="0.3">
      <c r="A298" s="110">
        <v>43983</v>
      </c>
      <c r="B298" s="111">
        <v>114.4</v>
      </c>
    </row>
    <row r="299" spans="1:2" x14ac:dyDescent="0.3">
      <c r="A299" s="110">
        <v>44075</v>
      </c>
      <c r="B299" s="111">
        <v>116.2</v>
      </c>
    </row>
    <row r="300" spans="1:2" x14ac:dyDescent="0.3">
      <c r="A300" s="110">
        <v>44166</v>
      </c>
      <c r="B300" s="111">
        <v>117.2</v>
      </c>
    </row>
    <row r="301" spans="1:2" x14ac:dyDescent="0.3">
      <c r="A301" s="110">
        <v>44256</v>
      </c>
      <c r="B301" s="111">
        <v>117.9</v>
      </c>
    </row>
    <row r="302" spans="1:2" x14ac:dyDescent="0.3">
      <c r="A302" s="110">
        <v>44348</v>
      </c>
      <c r="B302" s="111">
        <v>118.8</v>
      </c>
    </row>
    <row r="303" spans="1:2" x14ac:dyDescent="0.3">
      <c r="A303" s="110">
        <v>44440</v>
      </c>
      <c r="B303" s="111">
        <v>119.7</v>
      </c>
    </row>
    <row r="304" spans="1:2" x14ac:dyDescent="0.3">
      <c r="A304" s="110">
        <v>44531</v>
      </c>
      <c r="B304" s="112">
        <v>121.3</v>
      </c>
    </row>
    <row r="305" spans="1:2" x14ac:dyDescent="0.3">
      <c r="A305" s="110">
        <v>44621</v>
      </c>
      <c r="B305" s="111">
        <v>123.9</v>
      </c>
    </row>
    <row r="306" spans="1:2" x14ac:dyDescent="0.3">
      <c r="A306" s="110">
        <v>44713</v>
      </c>
      <c r="B306" s="111">
        <v>126.1</v>
      </c>
    </row>
    <row r="307" spans="1:2" x14ac:dyDescent="0.3">
      <c r="A307" s="110">
        <v>44805</v>
      </c>
      <c r="B307" s="111">
        <v>128.4</v>
      </c>
    </row>
    <row r="308" spans="1:2" x14ac:dyDescent="0.3">
      <c r="A308" s="110">
        <v>44896</v>
      </c>
      <c r="B308" s="112">
        <v>130.80000000000001</v>
      </c>
    </row>
    <row r="309" spans="1:2" x14ac:dyDescent="0.3">
      <c r="A309" s="110">
        <v>44986</v>
      </c>
      <c r="B309" s="111">
        <v>132.6</v>
      </c>
    </row>
    <row r="310" spans="1:2" x14ac:dyDescent="0.3">
      <c r="A310" s="110">
        <v>45078</v>
      </c>
      <c r="B310" s="111">
        <v>133.69999999999999</v>
      </c>
    </row>
    <row r="311" spans="1:2" x14ac:dyDescent="0.3">
      <c r="A311" s="110">
        <v>45170</v>
      </c>
      <c r="B311" s="111">
        <v>135.30000000000001</v>
      </c>
    </row>
    <row r="312" spans="1:2" x14ac:dyDescent="0.3">
      <c r="A312" s="110">
        <v>45261</v>
      </c>
      <c r="B312" s="112">
        <v>136.1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BA54412A0814C9BFB6DB711AF1A38" ma:contentTypeVersion="20" ma:contentTypeDescription="Create a new document." ma:contentTypeScope="" ma:versionID="e4123c87b39c7e4ea787291acc6e422b">
  <xsd:schema xmlns:xsd="http://www.w3.org/2001/XMLSchema" xmlns:xs="http://www.w3.org/2001/XMLSchema" xmlns:p="http://schemas.microsoft.com/office/2006/metadata/properties" xmlns:ns1="http://schemas.microsoft.com/sharepoint/v3" xmlns:ns2="92f33184-8f76-499f-8375-f72d6cfe5636" xmlns:ns3="64666f4f-5ef0-4a2c-bbe1-6139430fff00" targetNamespace="http://schemas.microsoft.com/office/2006/metadata/properties" ma:root="true" ma:fieldsID="bd4f4a28c22d3346b23e1db059759ade" ns1:_="" ns2:_="" ns3:_="">
    <xsd:import namespace="http://schemas.microsoft.com/sharepoint/v3"/>
    <xsd:import namespace="92f33184-8f76-499f-8375-f72d6cfe5636"/>
    <xsd:import namespace="64666f4f-5ef0-4a2c-bbe1-6139430fff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33184-8f76-499f-8375-f72d6cfe56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e7742f-285e-485e-85d6-cdf9f73a73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66f4f-5ef0-4a2c-bbe1-6139430fff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fa2bb77-3fe6-4ee7-97fb-8ce9387bb168}" ma:internalName="TaxCatchAll" ma:showField="CatchAllData" ma:web="64666f4f-5ef0-4a2c-bbe1-6139430fff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f33184-8f76-499f-8375-f72d6cfe5636">
      <Terms xmlns="http://schemas.microsoft.com/office/infopath/2007/PartnerControls"/>
    </lcf76f155ced4ddcb4097134ff3c332f>
    <TaxCatchAll xmlns="64666f4f-5ef0-4a2c-bbe1-6139430fff0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B4AA07-3A0E-4D2E-9E1C-757B83F8E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33184-8f76-499f-8375-f72d6cfe5636"/>
    <ds:schemaRef ds:uri="64666f4f-5ef0-4a2c-bbe1-6139430fff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5659E8-8474-4EF9-901D-6046D064C7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B48E7B-8686-4E83-981A-A92E51295B70}">
  <ds:schemaRefs>
    <ds:schemaRef ds:uri="http://schemas.microsoft.com/office/2006/metadata/properties"/>
    <ds:schemaRef ds:uri="http://schemas.microsoft.com/office/infopath/2007/PartnerControls"/>
    <ds:schemaRef ds:uri="92f33184-8f76-499f-8375-f72d6cfe5636"/>
    <ds:schemaRef ds:uri="64666f4f-5ef0-4a2c-bbe1-6139430fff0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RBP tariff</vt:lpstr>
      <vt:lpstr>CPI 2020422</vt:lpstr>
    </vt:vector>
  </TitlesOfParts>
  <Manager/>
  <Company>APA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Allen, Mark</dc:creator>
  <cp:keywords/>
  <dc:description/>
  <cp:lastModifiedBy>Whish-Wilson, Patrick</cp:lastModifiedBy>
  <cp:revision/>
  <dcterms:created xsi:type="dcterms:W3CDTF">2020-04-29T01:35:56Z</dcterms:created>
  <dcterms:modified xsi:type="dcterms:W3CDTF">2024-04-22T08:13:43Z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0x010100084BA54412A0814C9BFB6DB711AF1A38</vt:lpwstr>
  </property>
  <property fmtid="{D5CDD505-2E9C-101B-9397-08002B2CF9AE}" pid="3" name="MediaServiceImageTags">
    <vt:lpwstr/>
  </property>
  <property fmtid="{D5CDD505-2E9C-101B-9397-08002B2CF9AE}" pid="4" name="MSIP_Label_8e2e509a-f02b-496b-97a8-09ffbb9893ea_Enabled">
    <vt:lpwstr>true</vt:lpwstr>
  </property>
  <property fmtid="{D5CDD505-2E9C-101B-9397-08002B2CF9AE}" pid="5" name="MSIP_Label_8e2e509a-f02b-496b-97a8-09ffbb9893ea_SetDate">
    <vt:lpwstr>2024-04-22T02:11:18Z</vt:lpwstr>
  </property>
  <property fmtid="{D5CDD505-2E9C-101B-9397-08002B2CF9AE}" pid="6" name="MSIP_Label_8e2e509a-f02b-496b-97a8-09ffbb9893ea_Method">
    <vt:lpwstr>Privileged</vt:lpwstr>
  </property>
  <property fmtid="{D5CDD505-2E9C-101B-9397-08002B2CF9AE}" pid="7" name="MSIP_Label_8e2e509a-f02b-496b-97a8-09ffbb9893ea_Name">
    <vt:lpwstr>APA-Internal</vt:lpwstr>
  </property>
  <property fmtid="{D5CDD505-2E9C-101B-9397-08002B2CF9AE}" pid="8" name="MSIP_Label_8e2e509a-f02b-496b-97a8-09ffbb9893ea_SiteId">
    <vt:lpwstr>234ac309-c216-4661-a5ba-18879f6c4c75</vt:lpwstr>
  </property>
  <property fmtid="{D5CDD505-2E9C-101B-9397-08002B2CF9AE}" pid="9" name="MSIP_Label_8e2e509a-f02b-496b-97a8-09ffbb9893ea_ActionId">
    <vt:lpwstr>d7235469-8655-4a07-a6ed-22e26f0e712b</vt:lpwstr>
  </property>
  <property fmtid="{D5CDD505-2E9C-101B-9397-08002B2CF9AE}" pid="10" name="MSIP_Label_8e2e509a-f02b-496b-97a8-09ffbb9893ea_ContentBits">
    <vt:lpwstr>0</vt:lpwstr>
  </property>
</Properties>
</file>