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hidePivotFieldList="1"/>
  <mc:AlternateContent xmlns:mc="http://schemas.openxmlformats.org/markup-compatibility/2006">
    <mc:Choice Requires="x15">
      <x15ac:absPath xmlns:x15ac="http://schemas.microsoft.com/office/spreadsheetml/2010/11/ac" url="https://spausnet.sharepoint.com/sites/2026-31EDPR/Shared Documents/General/14. EDPR - Proposal submission 31 Jan'25/Files resubmitted - 3 Feb 2025/"/>
    </mc:Choice>
  </mc:AlternateContent>
  <xr:revisionPtr revIDLastSave="1168" documentId="14_{CDC5D949-5A85-4BA4-84E7-AB81B8F1DA0B}" xr6:coauthVersionLast="47" xr6:coauthVersionMax="47" xr10:uidLastSave="{A46998EE-62B9-4B11-9DF8-684669E6FA4D}"/>
  <bookViews>
    <workbookView xWindow="-120" yWindow="-120" windowWidth="38640" windowHeight="21240" tabRatio="1000" activeTab="6" xr2:uid="{1272FF4D-447A-41DD-A58C-9439092E36C6}"/>
  </bookViews>
  <sheets>
    <sheet name="Contents" sheetId="44" r:id="rId1"/>
    <sheet name="1. Trend" sheetId="32" r:id="rId2"/>
    <sheet name="2. GSLs" sheetId="39" r:id="rId3"/>
    <sheet name="3. Innovation" sheetId="25" r:id="rId4"/>
    <sheet name="4. Adjustments" sheetId="20" r:id="rId5"/>
    <sheet name="5. Emergency Backstop Mechanism" sheetId="30" r:id="rId6"/>
    <sheet name="6. ESV Pole Inspection" sheetId="26" r:id="rId7"/>
    <sheet name="7. Digital" sheetId="29" r:id="rId8"/>
    <sheet name="8. Flexible Services &amp; Non-Net." sheetId="40" r:id="rId9"/>
    <sheet name="9. Customer Managers &amp; Comms" sheetId="41" r:id="rId10"/>
    <sheet name="10. Early Fault Detection" sheetId="35" r:id="rId11"/>
    <sheet name="11. Emergency P&amp;R" sheetId="10" r:id="rId12"/>
    <sheet name="12. Insurance" sheetId="13" r:id="rId13"/>
    <sheet name="13. Current period" sheetId="54" r:id="rId14"/>
  </sheets>
  <definedNames>
    <definedName name="BaseYear">#REF!</definedName>
    <definedName name="FPFirstYear">#REF!</definedName>
    <definedName name="FPLastYear">#REF!</definedName>
    <definedName name="Nominal_to_Real">#REF!</definedName>
    <definedName name="percent">#REF!</definedName>
    <definedName name="PPFirstYear">#REF!</definedName>
    <definedName name="PPLastYea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2" i="41" l="1"/>
  <c r="A30" i="41"/>
  <c r="A8" i="26"/>
  <c r="B14" i="25" l="1"/>
  <c r="C14" i="25"/>
  <c r="D14" i="25"/>
  <c r="E14" i="25"/>
  <c r="F14" i="25"/>
  <c r="S73" i="32" l="1"/>
  <c r="D36" i="32"/>
  <c r="C36" i="32"/>
  <c r="B36" i="32"/>
  <c r="J38" i="54" l="1"/>
  <c r="C19" i="54"/>
  <c r="C21" i="54" s="1"/>
  <c r="D19" i="54"/>
  <c r="D21" i="54" s="1"/>
  <c r="E19" i="54"/>
  <c r="E21" i="54" s="1"/>
  <c r="F19" i="54"/>
  <c r="G19" i="54"/>
  <c r="G21" i="54" s="1"/>
  <c r="F21" i="54"/>
  <c r="C22" i="54"/>
  <c r="C42" i="29" l="1"/>
  <c r="F12" i="20"/>
  <c r="E12" i="20"/>
  <c r="D12" i="20"/>
  <c r="C12" i="20"/>
  <c r="B12" i="20"/>
  <c r="F6" i="20" l="1"/>
  <c r="F7" i="20"/>
  <c r="F5" i="20"/>
  <c r="D66" i="10" l="1"/>
  <c r="F66" i="10" s="1"/>
  <c r="H66" i="10" s="1"/>
  <c r="E66" i="10"/>
  <c r="G66" i="10" s="1"/>
  <c r="E67" i="10"/>
  <c r="G67" i="10"/>
  <c r="E68" i="10"/>
  <c r="G68" i="10"/>
  <c r="E69" i="10"/>
  <c r="G69" i="10"/>
  <c r="E70" i="10"/>
  <c r="G70" i="10"/>
  <c r="C17" i="35"/>
  <c r="G74" i="10" l="1"/>
  <c r="D67" i="10"/>
  <c r="Q71" i="32"/>
  <c r="Q72" i="32" s="1"/>
  <c r="P71" i="32"/>
  <c r="P72" i="32" s="1"/>
  <c r="O71" i="32"/>
  <c r="O72" i="32" s="1"/>
  <c r="N71" i="32"/>
  <c r="N72" i="32" s="1"/>
  <c r="M71" i="32"/>
  <c r="M72" i="32" s="1"/>
  <c r="L71" i="32"/>
  <c r="L72" i="32" s="1"/>
  <c r="K71" i="32"/>
  <c r="K72" i="32" s="1"/>
  <c r="J71" i="32"/>
  <c r="J72" i="32" s="1"/>
  <c r="I71" i="32"/>
  <c r="I72" i="32" s="1"/>
  <c r="H71" i="32"/>
  <c r="H72" i="32" s="1"/>
  <c r="G71" i="32"/>
  <c r="G72" i="32" s="1"/>
  <c r="F71" i="32"/>
  <c r="F72" i="32" s="1"/>
  <c r="E71" i="32"/>
  <c r="E72" i="32" s="1"/>
  <c r="D71" i="32"/>
  <c r="D72" i="32" s="1"/>
  <c r="C71" i="32"/>
  <c r="C72" i="32" s="1"/>
  <c r="S71" i="32"/>
  <c r="S72" i="32" s="1"/>
  <c r="D68" i="10" l="1"/>
  <c r="F67" i="10"/>
  <c r="H67" i="10" s="1"/>
  <c r="R71" i="32"/>
  <c r="R72" i="32" s="1"/>
  <c r="T70" i="32" s="1"/>
  <c r="F68" i="10" l="1"/>
  <c r="H68" i="10" s="1"/>
  <c r="D69" i="10"/>
  <c r="T71" i="32"/>
  <c r="T72" i="32" s="1"/>
  <c r="U70" i="32"/>
  <c r="F69" i="10" l="1"/>
  <c r="H69" i="10" s="1"/>
  <c r="D70" i="10"/>
  <c r="V70" i="32"/>
  <c r="U71" i="32"/>
  <c r="U72" i="32" s="1"/>
  <c r="D71" i="10" l="1"/>
  <c r="F70" i="10"/>
  <c r="H70" i="10" s="1"/>
  <c r="W70" i="32"/>
  <c r="V71" i="32"/>
  <c r="V72" i="32" s="1"/>
  <c r="F71" i="10" l="1"/>
  <c r="H71" i="10" s="1"/>
  <c r="D72" i="10"/>
  <c r="X70" i="32"/>
  <c r="W71" i="32"/>
  <c r="W72" i="32" s="1"/>
  <c r="F72" i="10" l="1"/>
  <c r="H72" i="10" s="1"/>
  <c r="D73" i="10"/>
  <c r="F73" i="10" s="1"/>
  <c r="H73" i="10" s="1"/>
  <c r="H74" i="10" s="1"/>
  <c r="Y70" i="32"/>
  <c r="X71" i="32"/>
  <c r="X72" i="32" s="1"/>
  <c r="Z70" i="32" l="1"/>
  <c r="Y71" i="32"/>
  <c r="Y72" i="32" s="1"/>
  <c r="AA70" i="32" l="1"/>
  <c r="AA71" i="32" s="1"/>
  <c r="AA72" i="32" s="1"/>
  <c r="Z71" i="32"/>
  <c r="Z72" i="32" s="1"/>
  <c r="G56" i="32" l="1"/>
  <c r="D56" i="32"/>
  <c r="D55" i="32"/>
  <c r="G55" i="32" s="1"/>
  <c r="D54" i="32"/>
  <c r="G54" i="32" s="1"/>
  <c r="D53" i="32"/>
  <c r="G53" i="32" s="1"/>
  <c r="D52" i="32"/>
  <c r="G52" i="32" s="1"/>
  <c r="D51" i="32"/>
  <c r="G51" i="32" s="1"/>
  <c r="D50" i="32"/>
  <c r="G50" i="32" s="1"/>
  <c r="E36" i="32" l="1"/>
  <c r="F36" i="32"/>
  <c r="G36" i="32"/>
  <c r="B35" i="32"/>
  <c r="C35" i="32"/>
  <c r="D35" i="32"/>
  <c r="E35" i="32"/>
  <c r="F35" i="32"/>
  <c r="G35" i="32"/>
  <c r="B37" i="32"/>
  <c r="C37" i="32"/>
  <c r="D37" i="32"/>
  <c r="E37" i="32"/>
  <c r="F37" i="32"/>
  <c r="G37" i="32"/>
  <c r="C21" i="30" l="1"/>
  <c r="B21" i="30"/>
  <c r="E20" i="30"/>
  <c r="F19" i="30"/>
  <c r="E19" i="30"/>
  <c r="D19" i="30"/>
  <c r="G19" i="30" s="1"/>
  <c r="E7" i="41"/>
  <c r="D7" i="41"/>
  <c r="C7" i="41"/>
  <c r="B7" i="41"/>
  <c r="A7" i="41"/>
  <c r="E21" i="30" l="1"/>
  <c r="D20" i="30"/>
  <c r="F20" i="30"/>
  <c r="F21" i="30" s="1"/>
  <c r="D21" i="30" l="1"/>
  <c r="G21" i="30" s="1"/>
  <c r="G20" i="30"/>
  <c r="N27" i="39" l="1"/>
  <c r="F18" i="39"/>
  <c r="E18" i="39"/>
  <c r="D18" i="39"/>
  <c r="C18" i="39"/>
  <c r="K7" i="39"/>
  <c r="M6" i="39"/>
  <c r="L6" i="39"/>
  <c r="K3" i="39"/>
  <c r="J3" i="39"/>
  <c r="I3" i="39"/>
  <c r="H3" i="39"/>
  <c r="G3" i="39"/>
  <c r="E3" i="39"/>
  <c r="D3" i="39"/>
  <c r="C3" i="39"/>
  <c r="B3" i="39"/>
  <c r="F3" i="39" l="1"/>
  <c r="L4" i="39"/>
  <c r="M4" i="39"/>
  <c r="F17" i="39" l="1"/>
  <c r="F22" i="39" s="1"/>
  <c r="E17" i="39"/>
  <c r="E22" i="39" s="1"/>
  <c r="D17" i="39"/>
  <c r="D22" i="39" s="1"/>
  <c r="C17" i="39"/>
  <c r="C22" i="39" s="1"/>
  <c r="B17" i="39"/>
  <c r="B22" i="39" s="1"/>
  <c r="B30" i="41" l="1"/>
  <c r="B11" i="41"/>
  <c r="E22" i="41" l="1"/>
  <c r="A29" i="41"/>
  <c r="B29" i="41"/>
  <c r="E29" i="41"/>
  <c r="C22" i="41"/>
  <c r="C19" i="41"/>
  <c r="C18" i="41"/>
  <c r="C21" i="41"/>
  <c r="E18" i="41"/>
  <c r="E30" i="41"/>
  <c r="B13" i="41"/>
  <c r="B15" i="41" s="1"/>
  <c r="D15" i="41" s="1"/>
  <c r="D29" i="41"/>
  <c r="E19" i="41"/>
  <c r="D30" i="41"/>
  <c r="C29" i="41"/>
  <c r="E20" i="41"/>
  <c r="C30" i="41"/>
  <c r="C20" i="41"/>
  <c r="E21" i="41"/>
  <c r="C23" i="41" l="1"/>
  <c r="E23" i="41"/>
  <c r="B16" i="41"/>
  <c r="B17" i="41" s="1"/>
  <c r="D16" i="41" l="1"/>
  <c r="D17" i="41"/>
  <c r="B12" i="35" l="1"/>
  <c r="B14" i="35" s="1"/>
  <c r="B15" i="35" s="1"/>
  <c r="B16" i="35" s="1"/>
  <c r="B18" i="10"/>
  <c r="B20" i="10" s="1"/>
  <c r="B22" i="10" s="1"/>
  <c r="B23" i="10" s="1"/>
  <c r="B24" i="10" s="1"/>
  <c r="C22" i="10"/>
  <c r="C23" i="10" s="1"/>
  <c r="C24" i="10" l="1"/>
  <c r="D24" i="10" s="1"/>
  <c r="D23" i="10"/>
  <c r="D22" i="10"/>
  <c r="D14" i="35" l="1"/>
  <c r="D15" i="35" l="1"/>
  <c r="D16" i="35" l="1"/>
  <c r="E8" i="26" l="1"/>
  <c r="D8" i="26"/>
  <c r="C8" i="26"/>
  <c r="B8" i="26"/>
  <c r="F6" i="35"/>
  <c r="C21" i="35" s="1"/>
  <c r="E6" i="35"/>
  <c r="C20" i="35" s="1"/>
  <c r="D6" i="35"/>
  <c r="C19" i="35" s="1"/>
  <c r="C6" i="35"/>
  <c r="C18" i="35" s="1"/>
  <c r="B6" i="35"/>
  <c r="C22" i="35" l="1"/>
  <c r="E37" i="29" l="1"/>
  <c r="H18" i="32" l="1"/>
  <c r="H6" i="32" s="1"/>
  <c r="H7" i="32" s="1"/>
  <c r="B6" i="32"/>
  <c r="B7" i="32" s="1"/>
  <c r="C6" i="32"/>
  <c r="C7" i="32" s="1"/>
  <c r="D6" i="32"/>
  <c r="D7" i="32" s="1"/>
  <c r="E6" i="32"/>
  <c r="E7" i="32" s="1"/>
  <c r="F6" i="32"/>
  <c r="F7" i="32" s="1"/>
  <c r="G6" i="32"/>
  <c r="G7" i="32" s="1"/>
  <c r="H19" i="32"/>
  <c r="C15" i="30" l="1"/>
  <c r="B8" i="29"/>
  <c r="C8" i="29"/>
  <c r="D8" i="29"/>
  <c r="E8" i="29"/>
  <c r="F8" i="29"/>
  <c r="E41" i="29"/>
  <c r="E26" i="29"/>
  <c r="E23" i="29"/>
  <c r="E13" i="29"/>
  <c r="G7" i="29"/>
  <c r="G6" i="29"/>
  <c r="G5" i="29"/>
  <c r="G4" i="29"/>
  <c r="G8" i="29" l="1"/>
  <c r="C25" i="10" l="1"/>
  <c r="E11" i="10"/>
  <c r="B11" i="10"/>
  <c r="C11" i="10"/>
  <c r="D11" i="10"/>
  <c r="C26" i="10" l="1"/>
  <c r="C28" i="10"/>
  <c r="C29" i="10"/>
  <c r="C27" i="10"/>
  <c r="A11" i="10"/>
  <c r="F11" i="10" s="1"/>
  <c r="C30" i="10" l="1"/>
  <c r="B18" i="41" l="1"/>
  <c r="B25" i="10"/>
  <c r="B17" i="35"/>
  <c r="B18" i="35" l="1"/>
  <c r="D17" i="35"/>
  <c r="B26" i="10"/>
  <c r="D25" i="10"/>
  <c r="E25" i="10" s="1"/>
  <c r="B19" i="41"/>
  <c r="D18" i="41"/>
  <c r="D26" i="10" l="1"/>
  <c r="E26" i="10" s="1"/>
  <c r="B27" i="10"/>
  <c r="D18" i="35"/>
  <c r="B19" i="35"/>
  <c r="D19" i="41"/>
  <c r="B32" i="41" s="1"/>
  <c r="B20" i="41"/>
  <c r="D20" i="41" s="1"/>
  <c r="C32" i="41" s="1"/>
  <c r="D19" i="35" l="1"/>
  <c r="D27" i="10"/>
  <c r="E27" i="10" s="1"/>
  <c r="B20" i="35"/>
  <c r="B21" i="41"/>
  <c r="B28" i="10"/>
  <c r="D20" i="35" l="1"/>
  <c r="B21" i="35"/>
  <c r="D21" i="35" s="1"/>
  <c r="D21" i="41"/>
  <c r="B22" i="41"/>
  <c r="D22" i="41" s="1"/>
  <c r="E32" i="41" s="1"/>
  <c r="B29" i="10"/>
  <c r="D29" i="10" s="1"/>
  <c r="E29" i="10" s="1"/>
  <c r="D28" i="10"/>
  <c r="E28" i="10" s="1"/>
  <c r="B22" i="35" l="1"/>
  <c r="D22" i="35"/>
  <c r="D30" i="10"/>
  <c r="D32" i="41"/>
  <c r="D23" i="41"/>
  <c r="B23" i="41"/>
  <c r="B30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  <author>Shem Cardosa</author>
  </authors>
  <commentList>
    <comment ref="I6" authorId="0" shapeId="0" xr:uid="{55CBBAB2-342C-4B13-BBDB-5A70671470AE}">
      <text>
        <r>
          <rPr>
            <b/>
            <sz val="9"/>
            <color indexed="81"/>
            <rFont val="Tahoma"/>
            <family val="2"/>
          </rPr>
          <t>AusNet:</t>
        </r>
        <r>
          <rPr>
            <sz val="9"/>
            <color indexed="81"/>
            <rFont val="Tahoma"/>
            <family val="2"/>
          </rPr>
          <t xml:space="preserve">
Total RINs minus those related to 2021 &amp; 2024 storms </t>
        </r>
      </text>
    </comment>
    <comment ref="I33" authorId="1" shapeId="0" xr:uid="{74804B25-B55F-48DE-A5C8-D2E08F77B6E6}">
      <text>
        <r>
          <rPr>
            <b/>
            <sz val="9"/>
            <color indexed="81"/>
            <rFont val="Tahoma"/>
            <family val="2"/>
          </rPr>
          <t xml:space="preserve">2.5B Major Event Dates:
</t>
        </r>
        <r>
          <rPr>
            <sz val="9"/>
            <color indexed="81"/>
            <rFont val="Tahoma"/>
            <family val="2"/>
          </rPr>
          <t xml:space="preserve">01-Jan-20
14-Feb-20
27-Aug-20
16-Nov-20
</t>
        </r>
      </text>
    </comment>
    <comment ref="I46" authorId="1" shapeId="0" xr:uid="{BB46F0C0-193C-4B43-9BC0-6993E4F930E7}">
      <text>
        <r>
          <rPr>
            <b/>
            <sz val="9"/>
            <color indexed="81"/>
            <rFont val="Tahoma"/>
            <family val="2"/>
          </rPr>
          <t xml:space="preserve">2.5B Major Event Dates:
</t>
        </r>
        <r>
          <rPr>
            <sz val="9"/>
            <color indexed="81"/>
            <rFont val="Tahoma"/>
            <family val="2"/>
          </rPr>
          <t>09-Jun-21
10-Jun-21</t>
        </r>
      </text>
    </comment>
  </commentList>
</comments>
</file>

<file path=xl/sharedStrings.xml><?xml version="1.0" encoding="utf-8"?>
<sst xmlns="http://schemas.openxmlformats.org/spreadsheetml/2006/main" count="609" uniqueCount="366">
  <si>
    <t>Description</t>
  </si>
  <si>
    <t>Total</t>
  </si>
  <si>
    <t>-</t>
  </si>
  <si>
    <t>Base Year Trended</t>
  </si>
  <si>
    <t>RY24</t>
  </si>
  <si>
    <t>RY25</t>
  </si>
  <si>
    <t>RY26</t>
  </si>
  <si>
    <t>RY27</t>
  </si>
  <si>
    <t>RY28</t>
  </si>
  <si>
    <t>RY29</t>
  </si>
  <si>
    <t>RY30</t>
  </si>
  <si>
    <t>RY31</t>
  </si>
  <si>
    <t xml:space="preserve">Cost Nominal </t>
  </si>
  <si>
    <t>Trend Approved</t>
  </si>
  <si>
    <t>Convert to $2026</t>
  </si>
  <si>
    <t>real $2026</t>
  </si>
  <si>
    <t>Base</t>
  </si>
  <si>
    <t>Trend Growth real $2026</t>
  </si>
  <si>
    <t>Nominal (apply 2.5% inflation)</t>
  </si>
  <si>
    <t>CPI</t>
  </si>
  <si>
    <t>Difference Nominal</t>
  </si>
  <si>
    <t>Compare to $2026</t>
  </si>
  <si>
    <t>Difference $2026</t>
  </si>
  <si>
    <t>Year</t>
  </si>
  <si>
    <t>2023-24</t>
  </si>
  <si>
    <t>2024-25</t>
  </si>
  <si>
    <t>2025-26</t>
  </si>
  <si>
    <t>OEA</t>
  </si>
  <si>
    <t>2026-27</t>
  </si>
  <si>
    <t>2027-28</t>
  </si>
  <si>
    <t>2028-29</t>
  </si>
  <si>
    <t>2029-30</t>
  </si>
  <si>
    <t>2030-31</t>
  </si>
  <si>
    <t>CY19</t>
  </si>
  <si>
    <t>CY20</t>
  </si>
  <si>
    <t>RY22</t>
  </si>
  <si>
    <t>RY23</t>
  </si>
  <si>
    <t>Total Capitalised Overheads</t>
  </si>
  <si>
    <t>% Cap Corp Overheads/Total Cap Oheads</t>
  </si>
  <si>
    <t>Calculated Capitalised Corporate Overheads</t>
  </si>
  <si>
    <t>ADMS</t>
  </si>
  <si>
    <t>V2G for Deman and Resilience</t>
  </si>
  <si>
    <t>Data Driven Strategic LV Planning</t>
  </si>
  <si>
    <t>LV Network Models</t>
  </si>
  <si>
    <t>LV Statcom Modelling</t>
  </si>
  <si>
    <t>Virtual Transformer Monitor</t>
  </si>
  <si>
    <t>EV Tariff Trial</t>
  </si>
  <si>
    <t>Grid Guard</t>
  </si>
  <si>
    <t>Electri-fai-cation</t>
  </si>
  <si>
    <t>Flexible Export Foundations</t>
  </si>
  <si>
    <t>FY24</t>
  </si>
  <si>
    <t>FY23</t>
  </si>
  <si>
    <t>FY22</t>
  </si>
  <si>
    <t>TOTAL</t>
  </si>
  <si>
    <t>ADMS Phase 3 (L&amp;S) - New</t>
  </si>
  <si>
    <t>ADMS Phase 3 (Support Labour)</t>
  </si>
  <si>
    <t>Other (L&amp;S) - New</t>
  </si>
  <si>
    <t>Cloud Migration</t>
  </si>
  <si>
    <t>EDPR BC</t>
  </si>
  <si>
    <t>$ p.a.</t>
  </si>
  <si>
    <t>Start</t>
  </si>
  <si>
    <t>$ in EDPR</t>
  </si>
  <si>
    <t>Dx SCADA and eFEPs (L&amp;S)</t>
  </si>
  <si>
    <t>Storm Readiness (L&amp;S)</t>
  </si>
  <si>
    <t>HV DER Management (L&amp;S)</t>
  </si>
  <si>
    <t>ADMS (OT) Digital Improvements (L&amp;S)</t>
  </si>
  <si>
    <t>Network Simulator (L&amp;S)</t>
  </si>
  <si>
    <t>Field crews (planned/unplanned/energy) mobile solution (L&amp;S)</t>
  </si>
  <si>
    <t>Field Enablement</t>
  </si>
  <si>
    <t>Delegated Switching</t>
  </si>
  <si>
    <t>Network Model (HV/LV) (L&amp;S) for ADMS</t>
  </si>
  <si>
    <t>ADMS - Calltaker (L&amp;S)</t>
  </si>
  <si>
    <t>TAM - Apps</t>
  </si>
  <si>
    <t>Field Crew &amp; Fault location visibility</t>
  </si>
  <si>
    <t>Field Mobility Solution (non-energy)</t>
  </si>
  <si>
    <t>Multi-View Demand Forecasting</t>
  </si>
  <si>
    <t>Network Model Management (Geo)</t>
  </si>
  <si>
    <t>Flexible Demand Orchestration (C&amp;I) (L&amp;S) (OPEX)</t>
  </si>
  <si>
    <t>DSO</t>
  </si>
  <si>
    <t>Flexible Trading Arrangements (manditory changes)</t>
  </si>
  <si>
    <t>Metering systems</t>
  </si>
  <si>
    <t>Enhance Maintenance Planning</t>
  </si>
  <si>
    <t>Asset Management</t>
  </si>
  <si>
    <t>Service &amp; Project Delivery Collaboration</t>
  </si>
  <si>
    <t xml:space="preserve">Skills Management </t>
  </si>
  <si>
    <t>Unplanned Outage Communication Improvements</t>
  </si>
  <si>
    <t>Customer Engagement</t>
  </si>
  <si>
    <t>Uplift Planned Outages Comms</t>
  </si>
  <si>
    <t>Major Connections Portal</t>
  </si>
  <si>
    <t>GE ADMS L&amp;S contract uplift for ADMS Phase 2 (L&amp;S)</t>
  </si>
  <si>
    <t>3D network, LiDAR, and Cartography visualisation</t>
  </si>
  <si>
    <t>OPEX - SaaS/PaaS cloud service growth</t>
  </si>
  <si>
    <t>Cyber New Threat/Capability uplift</t>
  </si>
  <si>
    <t>Cyber Security</t>
  </si>
  <si>
    <t>Cumulative</t>
  </si>
  <si>
    <t>GE DERMS (L&amp;S) (OPEX)</t>
  </si>
  <si>
    <t>New modules and growth beyond base line required in the GE DERMS to support DSO functions.</t>
  </si>
  <si>
    <t>(L&amp;S) - Base (ABSORBED)</t>
  </si>
  <si>
    <t xml:space="preserve">VIC </t>
  </si>
  <si>
    <t>Source: Oxford Economics Australia Oct 2024</t>
  </si>
  <si>
    <t>Ave</t>
  </si>
  <si>
    <t>SAPN Draft Decision</t>
  </si>
  <si>
    <t>SAPN</t>
  </si>
  <si>
    <t>Deloitte</t>
  </si>
  <si>
    <t>Deloitte Utilities AUS</t>
  </si>
  <si>
    <t>Deloitte Utilities SA</t>
  </si>
  <si>
    <t>Source: AER SAPN Draft Decision 2024</t>
  </si>
  <si>
    <t>Source: SAPN Draft Decision Sep 2024</t>
  </si>
  <si>
    <t>*2031 value average of last 5 years in absence of a forecast</t>
  </si>
  <si>
    <t>FY25</t>
  </si>
  <si>
    <t>FY26</t>
  </si>
  <si>
    <t>&gt; Step Change</t>
  </si>
  <si>
    <t>RY23 $</t>
  </si>
  <si>
    <t>Mapping</t>
  </si>
  <si>
    <t xml:space="preserve">Liability </t>
  </si>
  <si>
    <t>Nominal</t>
  </si>
  <si>
    <t>Deloitte (Placeholder)</t>
  </si>
  <si>
    <t>N/A</t>
  </si>
  <si>
    <t>Step</t>
  </si>
  <si>
    <t>$Nominal Total</t>
  </si>
  <si>
    <t>$26, real Totals</t>
  </si>
  <si>
    <t>ROC</t>
  </si>
  <si>
    <t>Total 2026-31</t>
  </si>
  <si>
    <t>EFDs</t>
  </si>
  <si>
    <t>TO $26</t>
  </si>
  <si>
    <t>Item</t>
  </si>
  <si>
    <t xml:space="preserve">Detail </t>
  </si>
  <si>
    <t>Source of estimate</t>
  </si>
  <si>
    <t xml:space="preserve">Assume that </t>
  </si>
  <si>
    <t>Total Cost</t>
  </si>
  <si>
    <t>OPEX - Ongoing Licensing/subscriptions
CAPEX- Hardware to improve communication during response to major outages</t>
  </si>
  <si>
    <t>Ongoing subscription costs/ licensing fees associated with  maintaining our telecommuncation contigencies such as Starlink, sat phone subscriptions AND costs to to procure the increased number of devices/hardware to enable communication during a major event.</t>
  </si>
  <si>
    <t>https://www.starlink.com/service-plans/business 
https://satphoneshop.com/iridium-extreme-9575gng-telstra-bundle</t>
  </si>
  <si>
    <t>1. We need back up comms capability across 10 Depots (ie fixed sites) and to serve 400 mobile sites (EMMAs and Field Trucks)
2. We use a combination of services to support back up comms (ie starlink and sat phones)
3. Progressively rolling out to backup  communication capability up until FY28/29</t>
  </si>
  <si>
    <t xml:space="preserve"> (Approx $1mill per year)</t>
  </si>
  <si>
    <t>Starlink  Costs as per website https://www.starlink.com/service-plans/business</t>
  </si>
  <si>
    <t>Fixed  Site
(Depot)</t>
  </si>
  <si>
    <t>Mobile Sites 
(Field trucks and EMMA)</t>
  </si>
  <si>
    <t>AusNet costs by year and implementation plan</t>
  </si>
  <si>
    <t>Fixed Units Installed</t>
  </si>
  <si>
    <t>Mobile Units installed</t>
  </si>
  <si>
    <t>Total subscriptions</t>
  </si>
  <si>
    <t>CAPEX if 100% Starlink (One off Cost for hardware and installation x total number of new units installed)</t>
  </si>
  <si>
    <t>OPEX if 100% Starlink (ongoing monthly subscription costs assumed to be $374 p/m plan for both fixed an mobile units)</t>
  </si>
  <si>
    <t xml:space="preserve">EDPR CAPEX </t>
  </si>
  <si>
    <t>EDPR OPEX</t>
  </si>
  <si>
    <t>CY' 24</t>
  </si>
  <si>
    <t>CY' 25</t>
  </si>
  <si>
    <t>CY' 26 (first half)</t>
  </si>
  <si>
    <t xml:space="preserve">FY 26/27 </t>
  </si>
  <si>
    <t>FY 30/31</t>
  </si>
  <si>
    <t>EDPR TOTAL</t>
  </si>
  <si>
    <t>FY 27/28</t>
  </si>
  <si>
    <t>FY28/29</t>
  </si>
  <si>
    <t>FY 29/30</t>
  </si>
  <si>
    <t>Calendar Year 2020</t>
  </si>
  <si>
    <t>Parameter</t>
  </si>
  <si>
    <t>Feeder Class</t>
  </si>
  <si>
    <t>Threshold</t>
  </si>
  <si>
    <t>Payment Level</t>
  </si>
  <si>
    <t>Rate</t>
  </si>
  <si>
    <t>Customer Count</t>
  </si>
  <si>
    <t>Base Component</t>
  </si>
  <si>
    <t>MED Component</t>
  </si>
  <si>
    <t>Total Amount</t>
  </si>
  <si>
    <t>18-30 HRS</t>
  </si>
  <si>
    <t>Cumulative Duration (Hrs)</t>
  </si>
  <si>
    <t>30-60 HRS</t>
  </si>
  <si>
    <t>60+ HRS</t>
  </si>
  <si>
    <t>08-12 INT</t>
  </si>
  <si>
    <t>Sustained Interruptions</t>
  </si>
  <si>
    <t>12-20 INT</t>
  </si>
  <si>
    <t>20+ INT</t>
  </si>
  <si>
    <t>24-36 INT</t>
  </si>
  <si>
    <t>Momentary Interruptions</t>
  </si>
  <si>
    <t>36+ INT</t>
  </si>
  <si>
    <t>Half Year 2021 (Stub Period)</t>
  </si>
  <si>
    <t xml:space="preserve">Accumulated supporting workbook for opex and step changes </t>
  </si>
  <si>
    <t>Step Changes</t>
  </si>
  <si>
    <t>GSL payments based on RINs &amp; Recast Values</t>
  </si>
  <si>
    <t xml:space="preserve">Rate </t>
  </si>
  <si>
    <t>Adjusted</t>
  </si>
  <si>
    <t>CY15</t>
  </si>
  <si>
    <t>CY16</t>
  </si>
  <si>
    <t>CY17</t>
  </si>
  <si>
    <t>CY18</t>
  </si>
  <si>
    <t>HY21</t>
  </si>
  <si>
    <t xml:space="preserve">Jan </t>
  </si>
  <si>
    <t xml:space="preserve"> Feb </t>
  </si>
  <si>
    <t xml:space="preserve"> Mar </t>
  </si>
  <si>
    <t xml:space="preserve"> Apr </t>
  </si>
  <si>
    <t xml:space="preserve"> May </t>
  </si>
  <si>
    <t xml:space="preserve"> Jun </t>
  </si>
  <si>
    <t xml:space="preserve"> Jul </t>
  </si>
  <si>
    <t xml:space="preserve"> Aug </t>
  </si>
  <si>
    <t xml:space="preserve"> Sep </t>
  </si>
  <si>
    <t xml:space="preserve"> Oct </t>
  </si>
  <si>
    <t xml:space="preserve"> Nov </t>
  </si>
  <si>
    <t xml:space="preserve"> Dec </t>
  </si>
  <si>
    <t> 0.85</t>
  </si>
  <si>
    <t>Source: AusNet Reliability Business Case</t>
  </si>
  <si>
    <t>No adjustment</t>
  </si>
  <si>
    <t>Five year average of GSL payments, excluding storms and major events (Placeholder for RY25 &amp; RY26 nominal)</t>
  </si>
  <si>
    <t xml:space="preserve">RBA November 2024 Statement of Monetary Policy </t>
  </si>
  <si>
    <t xml:space="preserve">Output measures </t>
  </si>
  <si>
    <t xml:space="preserve">Customer Numbers </t>
  </si>
  <si>
    <t xml:space="preserve">Circuit Length </t>
  </si>
  <si>
    <t xml:space="preserve">Ratcheted Maximum Demand </t>
  </si>
  <si>
    <t>Output measures minus growth related to SAPs</t>
  </si>
  <si>
    <t xml:space="preserve">Lost circuit length km (cumulative) </t>
  </si>
  <si>
    <t xml:space="preserve">Lost circuit length km (each year) </t>
  </si>
  <si>
    <t xml:space="preserve">Lost Customers </t>
  </si>
  <si>
    <t>Energy supplied by SAPs (MW)</t>
  </si>
  <si>
    <t xml:space="preserve">Included in Emergency Backstop Mechanism </t>
  </si>
  <si>
    <t xml:space="preserve">Source: AusNet </t>
  </si>
  <si>
    <t>Input in AusNet Opex Model</t>
  </si>
  <si>
    <t>SAPS deductions</t>
  </si>
  <si>
    <t>Average 5.5-year</t>
  </si>
  <si>
    <t>Average 9.5-year</t>
  </si>
  <si>
    <t>Source: AusNet</t>
  </si>
  <si>
    <t>Innovation forecast expenditure 2026-31 ($m, real 2023-24)</t>
  </si>
  <si>
    <r>
      <t>Project Name</t>
    </r>
    <r>
      <rPr>
        <sz val="10"/>
        <color rgb="FF000000"/>
        <rFont val="Century Gothic"/>
        <family val="2"/>
      </rPr>
      <t> </t>
    </r>
  </si>
  <si>
    <t>Source: AusNet &amp; RINS</t>
  </si>
  <si>
    <t>$2023-24 converted to $2020-21</t>
  </si>
  <si>
    <t>$2020-21</t>
  </si>
  <si>
    <t>Opex Model Real $2023-24 to $2020-21</t>
  </si>
  <si>
    <t xml:space="preserve">Opex breakdown by year </t>
  </si>
  <si>
    <t>Start year</t>
  </si>
  <si>
    <t>2022-23 (RINS)</t>
  </si>
  <si>
    <r>
      <rPr>
        <b/>
        <i/>
        <sz val="10"/>
        <color theme="1"/>
        <rFont val="Century Gothic"/>
        <family val="2"/>
      </rPr>
      <t>CAPEX</t>
    </r>
    <r>
      <rPr>
        <i/>
        <sz val="10"/>
        <color theme="1"/>
        <rFont val="Century Gothic"/>
        <family val="2"/>
      </rPr>
      <t>- One-off Hardware &amp; Install Cost p/site</t>
    </r>
  </si>
  <si>
    <r>
      <rPr>
        <b/>
        <i/>
        <sz val="10"/>
        <color theme="1"/>
        <rFont val="Century Gothic"/>
        <family val="2"/>
      </rPr>
      <t>OPEX</t>
    </r>
    <r>
      <rPr>
        <i/>
        <sz val="10"/>
        <color theme="1"/>
        <rFont val="Century Gothic"/>
        <family val="2"/>
      </rPr>
      <t>- Ongoing Subscription 40-50GB p/m</t>
    </r>
  </si>
  <si>
    <r>
      <rPr>
        <b/>
        <i/>
        <sz val="10"/>
        <color theme="1"/>
        <rFont val="Century Gothic"/>
        <family val="2"/>
      </rPr>
      <t>OPEX</t>
    </r>
    <r>
      <rPr>
        <i/>
        <sz val="10"/>
        <color theme="1"/>
        <rFont val="Century Gothic"/>
        <family val="2"/>
      </rPr>
      <t>- Ongoing Subscription 1TB p/m</t>
    </r>
  </si>
  <si>
    <r>
      <rPr>
        <b/>
        <i/>
        <sz val="10"/>
        <color theme="1"/>
        <rFont val="Century Gothic"/>
        <family val="2"/>
      </rPr>
      <t>OPEX</t>
    </r>
    <r>
      <rPr>
        <i/>
        <sz val="10"/>
        <color theme="1"/>
        <rFont val="Century Gothic"/>
        <family val="2"/>
      </rPr>
      <t>- Ongoing Subscription 2-5TB p/m</t>
    </r>
  </si>
  <si>
    <r>
      <t xml:space="preserve">Assumption is that we use a We use a 50/50 combination of services to support back up comm such as starlink and sat phones. Have rough guide that these costs would just be CAPEX- </t>
    </r>
    <r>
      <rPr>
        <b/>
        <sz val="10"/>
        <color theme="1"/>
        <rFont val="Century Gothic"/>
        <family val="2"/>
      </rPr>
      <t xml:space="preserve">assuming a sat phone is approx $2000 https://satphoneshop.com/iridium-extreme-9575gng-telstra-bundle. </t>
    </r>
  </si>
  <si>
    <t>Price - Labour Escalation</t>
  </si>
  <si>
    <t>Output summary</t>
  </si>
  <si>
    <t>Tabs</t>
  </si>
  <si>
    <t>Total ($m)</t>
  </si>
  <si>
    <t>AusNet provides the attached workbook in support of Chapter 7 - Opex and Opex Model</t>
  </si>
  <si>
    <t>Basis of ongoing opex</t>
  </si>
  <si>
    <t>Title</t>
  </si>
  <si>
    <t>Step change breakdown</t>
  </si>
  <si>
    <t>Digital driver breakdown (real, $2023-24)</t>
  </si>
  <si>
    <t>cbts</t>
  </si>
  <si>
    <t>erts12</t>
  </si>
  <si>
    <t>erts34</t>
  </si>
  <si>
    <t>gnts</t>
  </si>
  <si>
    <t>lys</t>
  </si>
  <si>
    <t>mbts</t>
  </si>
  <si>
    <t>mwts</t>
  </si>
  <si>
    <t>rwts13</t>
  </si>
  <si>
    <t>rwts22</t>
  </si>
  <si>
    <t>rwts24</t>
  </si>
  <si>
    <t>smts</t>
  </si>
  <si>
    <t>tsts</t>
  </si>
  <si>
    <t>tts</t>
  </si>
  <si>
    <t>wots</t>
  </si>
  <si>
    <t>Terminal station list</t>
  </si>
  <si>
    <t>Demand year</t>
  </si>
  <si>
    <t xml:space="preserve">POE10 </t>
  </si>
  <si>
    <t>POE50</t>
  </si>
  <si>
    <t>30/70 split</t>
  </si>
  <si>
    <t>RMD Series</t>
  </si>
  <si>
    <t>Inputs to Opex model</t>
  </si>
  <si>
    <t>Ratcheted maximum demand (RMD)</t>
  </si>
  <si>
    <t>Regulatory year</t>
  </si>
  <si>
    <t>Highest Historic Value CY2020 (MW)</t>
  </si>
  <si>
    <t xml:space="preserve">Circuit Length Year on Year Change  </t>
  </si>
  <si>
    <t xml:space="preserve">Precentage Change </t>
  </si>
  <si>
    <t>Circuit Length (km)</t>
  </si>
  <si>
    <t>Circuit length</t>
  </si>
  <si>
    <t>Total $2023-24</t>
  </si>
  <si>
    <t>Total $2020-21 all components</t>
  </si>
  <si>
    <t>($m, 2022-23)</t>
  </si>
  <si>
    <t>Early fault detection</t>
  </si>
  <si>
    <t>$m, 2023-24</t>
  </si>
  <si>
    <t>Opex Model $2023-24 to $2025-26</t>
  </si>
  <si>
    <t>Customer managers and broad communications</t>
  </si>
  <si>
    <t>Comms</t>
  </si>
  <si>
    <t xml:space="preserve">*Refer to supporting document for further information </t>
  </si>
  <si>
    <t>Working for Starlink - Comms</t>
  </si>
  <si>
    <t>ESV pole inspection</t>
  </si>
  <si>
    <t>Capitalised Corporate Overheads adjustment</t>
  </si>
  <si>
    <t>2020-21</t>
  </si>
  <si>
    <t>2021-22</t>
  </si>
  <si>
    <t>2022-23</t>
  </si>
  <si>
    <t xml:space="preserve">Average </t>
  </si>
  <si>
    <t>*Used 2022-23 nominal amount for positive adjustment amount</t>
  </si>
  <si>
    <t>Opex current period includng forecasts for 2024-25 and 2025-26</t>
  </si>
  <si>
    <t>Bushfire liability Insurance</t>
  </si>
  <si>
    <t>June Storm Costs - HY21</t>
  </si>
  <si>
    <t xml:space="preserve">October Storm Costs </t>
  </si>
  <si>
    <t>June Storm Costs - FY22</t>
  </si>
  <si>
    <t>$ real 2020</t>
  </si>
  <si>
    <t>Source: PTRM 2024-25 + VEBM+ 2024 Storms</t>
  </si>
  <si>
    <t>Total (inc. June 2021 storms exc. Debt raising)</t>
  </si>
  <si>
    <t>June 2021 Storm (GSL &amp; Opex) ($Nominal)</t>
  </si>
  <si>
    <t>Total (excl. June 2021 storm costs)</t>
  </si>
  <si>
    <t>Debt raising costs</t>
  </si>
  <si>
    <t>Total (excl. debt raising costs)</t>
  </si>
  <si>
    <t>Feb storm incremental opex</t>
  </si>
  <si>
    <t>VEBM</t>
  </si>
  <si>
    <t>Oct storm audit fees</t>
  </si>
  <si>
    <t>Oct storm net vegetation management</t>
  </si>
  <si>
    <t>Oct storm emergency corrective works</t>
  </si>
  <si>
    <t>Innovation</t>
  </si>
  <si>
    <t>GSL payments</t>
  </si>
  <si>
    <t>Total opex excluding debt raising costs</t>
  </si>
  <si>
    <t>Real $2021</t>
  </si>
  <si>
    <t xml:space="preserve">Allowance </t>
  </si>
  <si>
    <t>In $2025-26</t>
  </si>
  <si>
    <t>Allowances current period 2021-26</t>
  </si>
  <si>
    <t>Feb 2024 Storms</t>
  </si>
  <si>
    <t>Emergency Management Specialists</t>
  </si>
  <si>
    <t xml:space="preserve">*Refer to supporting document and quote for further information </t>
  </si>
  <si>
    <t>Emegency prepardness &amp; response</t>
  </si>
  <si>
    <t>2022-23 Mapping</t>
  </si>
  <si>
    <t>Emergency Backstop Mechanism</t>
  </si>
  <si>
    <t>Source: VEBM AusNet pass through</t>
  </si>
  <si>
    <t>* Refer to ESV supporting document for obligation changes</t>
  </si>
  <si>
    <t>Forecast step change ($m, real 2023-24)</t>
  </si>
  <si>
    <t>Adjusted GSLs with reliability improvements based on AusNet business case</t>
  </si>
  <si>
    <t>Innovation projects in current regulatory period 2021-26</t>
  </si>
  <si>
    <t>ADMS Phase 3 &amp; 4 (L&amp;S) - New</t>
  </si>
  <si>
    <t>ADMS Phase 3 &amp; 4(Support Labour)</t>
  </si>
  <si>
    <t>Proposed trend</t>
  </si>
  <si>
    <t>Current period allowances and forecasts</t>
  </si>
  <si>
    <t>Base year to be trended</t>
  </si>
  <si>
    <t>Average change of actuals</t>
  </si>
  <si>
    <t>Total deduction in $2025-26</t>
  </si>
  <si>
    <t>10 Worst Served Feeder reduction $2023-24</t>
  </si>
  <si>
    <t>BN11 reduction $2023-24</t>
  </si>
  <si>
    <t>*Final amount adjusted with SAPS deductions</t>
  </si>
  <si>
    <t xml:space="preserve">1 &gt; Trend </t>
  </si>
  <si>
    <t>2 &gt; GSLs</t>
  </si>
  <si>
    <t xml:space="preserve">3 &gt; Innovation </t>
  </si>
  <si>
    <t>4 &gt; Adjustments</t>
  </si>
  <si>
    <t>5 &gt; Emergency Backstop Mechanism</t>
  </si>
  <si>
    <t xml:space="preserve">6 &gt; ESV more frequent pole inspections </t>
  </si>
  <si>
    <t>7 &gt; Digital (SaaS, Licenses, etc.)</t>
  </si>
  <si>
    <t>8 &gt; Flexible services and non-network solutions</t>
  </si>
  <si>
    <t>9 &gt; Customer relationship management and broad communications</t>
  </si>
  <si>
    <t>10 &gt; Early Fault Detection</t>
  </si>
  <si>
    <t xml:space="preserve">11 &gt; Emergency Preparedness and Response </t>
  </si>
  <si>
    <t>12 &gt; Insurance</t>
  </si>
  <si>
    <t xml:space="preserve">13 &gt; Current period </t>
  </si>
  <si>
    <t>June 2021 Storms</t>
  </si>
  <si>
    <t>Transitioning from Capex</t>
  </si>
  <si>
    <t>Synergies and absorbed</t>
  </si>
  <si>
    <t>Flexible Services &amp; Non-network</t>
  </si>
  <si>
    <t>Comms Overlaps only extracted</t>
  </si>
  <si>
    <t>In base year</t>
  </si>
  <si>
    <t>OPEX - ADMS Phase 3/4 support team uplift</t>
  </si>
  <si>
    <t>Original step change</t>
  </si>
  <si>
    <t xml:space="preserve">Delivery of Emergency Management related Training and refreshers </t>
  </si>
  <si>
    <t>Emergency Role specific training material- development and maintainance (no base spend)</t>
  </si>
  <si>
    <t>Ongoing Licensing/subscriptions (no base spend)</t>
  </si>
  <si>
    <t>MED component not related to pass throughs</t>
  </si>
  <si>
    <t>MED component relating to June 2021 pass through</t>
  </si>
  <si>
    <t>Recast of CY20 and HY21 GSL Peformance for STPIS2.0 and application of new GSL thresholds and rates.</t>
  </si>
  <si>
    <t>Nominal Forecast</t>
  </si>
  <si>
    <t>New GSL Scheme (i.e. new rates, new thresholds)</t>
  </si>
  <si>
    <t>3 Minutes Threshold</t>
  </si>
  <si>
    <t>Cumulative Component</t>
  </si>
  <si>
    <t>2.5β MED Component</t>
  </si>
  <si>
    <t>Calendar Year 2019 and prior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</si>
</sst>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&quot;$&quot;#,##0;\-&quot;$&quot;#,##0"/>
    <numFmt numFmtId="6" formatCode="&quot;$&quot;#,##0;[Red]\-&quot;$&quot;#,##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&quot;$&quot;* #,##0_-;\-&quot;$&quot;* #,##0_-;_-&quot;$&quot;* &quot;-&quot;??_-;_-@_-"/>
    <numFmt numFmtId="165" formatCode="_-* #,##0_-;\-* #,##0_-;_-* &quot;-&quot;??_-;_-@_-"/>
    <numFmt numFmtId="166" formatCode="_(#,##0_);\(#,##0\);_(&quot;-&quot;_)"/>
    <numFmt numFmtId="167" formatCode="0.000000"/>
    <numFmt numFmtId="168" formatCode="_-&quot;$&quot;* #,##0.000000_-;\-&quot;$&quot;* #,##0.000000_-;_-&quot;$&quot;* &quot;-&quot;??_-;_-@_-"/>
    <numFmt numFmtId="169" formatCode="&quot;$&quot;\ #,##0;\-&quot;$&quot;#,##0"/>
    <numFmt numFmtId="170" formatCode="_-&quot;$&quot;* #,##0.0_-;\-&quot;$&quot;* #,##0.0_-;_-&quot;$&quot;* &quot;-&quot;??_-;_-@_-"/>
    <numFmt numFmtId="171" formatCode="0.0"/>
    <numFmt numFmtId="172" formatCode="&quot;$&quot;#,##0.0;[Red]\-&quot;$&quot;#,##0.0"/>
    <numFmt numFmtId="173" formatCode="_(* #,##0_);_(* \(#,##0\);_(* &quot;-&quot;??_);_(@_)"/>
    <numFmt numFmtId="174" formatCode="_(* #,##0.00_);_(* \(#,##0.00\);_(* &quot;-&quot;??_);_(@_)"/>
    <numFmt numFmtId="175" formatCode="_-* #,##0.0_-;\-* #,##0.0_-;_-* &quot;-&quot;??_-;_-@_-"/>
  </numFmts>
  <fonts count="52" x14ac:knownFonts="1">
    <font>
      <sz val="11"/>
      <color theme="1"/>
      <name val="Century Gothic"/>
      <family val="2"/>
      <scheme val="minor"/>
    </font>
    <font>
      <sz val="11"/>
      <color theme="1"/>
      <name val="Century Gothic"/>
      <family val="2"/>
      <scheme val="minor"/>
    </font>
    <font>
      <b/>
      <sz val="11"/>
      <color theme="0"/>
      <name val="Century Gothic"/>
      <family val="2"/>
      <scheme val="minor"/>
    </font>
    <font>
      <b/>
      <i/>
      <sz val="11"/>
      <color theme="1"/>
      <name val="Century Gothic"/>
      <family val="2"/>
      <scheme val="minor"/>
    </font>
    <font>
      <sz val="10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theme="1"/>
      <name val="Arial"/>
      <family val="2"/>
    </font>
    <font>
      <sz val="8"/>
      <name val="Century Gothic"/>
      <family val="2"/>
      <scheme val="minor"/>
    </font>
    <font>
      <sz val="10"/>
      <color theme="1"/>
      <name val="Century Gothic"/>
      <family val="2"/>
      <scheme val="minor"/>
    </font>
    <font>
      <b/>
      <sz val="10"/>
      <color rgb="FF000000"/>
      <name val="Century Gothic"/>
      <family val="2"/>
      <scheme val="minor"/>
    </font>
    <font>
      <i/>
      <sz val="10"/>
      <color theme="1"/>
      <name val="Century Gothic"/>
      <family val="2"/>
      <scheme val="minor"/>
    </font>
    <font>
      <sz val="8"/>
      <name val="Arial"/>
      <family val="2"/>
    </font>
    <font>
      <u/>
      <sz val="11"/>
      <color theme="10"/>
      <name val="Century Gothic"/>
      <family val="2"/>
      <scheme val="minor"/>
    </font>
    <font>
      <sz val="11"/>
      <color theme="0"/>
      <name val="Century Gothic"/>
      <family val="2"/>
      <scheme val="minor"/>
    </font>
    <font>
      <b/>
      <sz val="10"/>
      <color theme="1"/>
      <name val="Arial"/>
      <family val="2"/>
    </font>
    <font>
      <b/>
      <sz val="10"/>
      <color theme="1"/>
      <name val="Century Gothic"/>
      <family val="2"/>
      <scheme val="minor"/>
    </font>
    <font>
      <b/>
      <sz val="10"/>
      <color theme="1"/>
      <name val="Century Gothic"/>
      <family val="2"/>
      <scheme val="major"/>
    </font>
    <font>
      <sz val="10"/>
      <color theme="1"/>
      <name val="Century Gothic"/>
      <family val="2"/>
      <scheme val="major"/>
    </font>
    <font>
      <sz val="10"/>
      <name val="Century Gothic"/>
      <family val="2"/>
      <scheme val="major"/>
    </font>
    <font>
      <i/>
      <sz val="10"/>
      <color theme="1"/>
      <name val="Century Gothic"/>
      <family val="2"/>
      <scheme val="major"/>
    </font>
    <font>
      <b/>
      <sz val="10"/>
      <color rgb="FFFFFFFF"/>
      <name val="Century Gothic"/>
      <family val="2"/>
    </font>
    <font>
      <sz val="10"/>
      <color rgb="FF000000"/>
      <name val="Century Gothic"/>
      <family val="2"/>
    </font>
    <font>
      <b/>
      <sz val="10"/>
      <name val="Century Gothic"/>
      <family val="2"/>
    </font>
    <font>
      <sz val="10"/>
      <color theme="1"/>
      <name val="Century Gothic"/>
      <family val="2"/>
    </font>
    <font>
      <b/>
      <sz val="10"/>
      <color theme="0"/>
      <name val="Century Gothic"/>
      <family val="2"/>
      <scheme val="minor"/>
    </font>
    <font>
      <u/>
      <sz val="10"/>
      <color theme="10"/>
      <name val="Century Gothic"/>
      <family val="2"/>
      <scheme val="minor"/>
    </font>
    <font>
      <sz val="10"/>
      <name val="Century Gothic"/>
      <family val="2"/>
      <scheme val="minor"/>
    </font>
    <font>
      <b/>
      <sz val="10"/>
      <color theme="0"/>
      <name val="Century Gothic"/>
      <family val="2"/>
      <scheme val="major"/>
    </font>
    <font>
      <sz val="10"/>
      <color theme="0"/>
      <name val="Century Gothic"/>
      <family val="2"/>
      <scheme val="major"/>
    </font>
    <font>
      <b/>
      <sz val="10"/>
      <color theme="3" tint="0.249977111117893"/>
      <name val="Century Gothic"/>
      <family val="2"/>
      <scheme val="major"/>
    </font>
    <font>
      <b/>
      <sz val="10"/>
      <color theme="9" tint="-0.249977111117893"/>
      <name val="Century Gothic"/>
      <family val="2"/>
      <scheme val="major"/>
    </font>
    <font>
      <b/>
      <sz val="10"/>
      <color theme="1"/>
      <name val="Century Gothic"/>
      <family val="2"/>
    </font>
    <font>
      <b/>
      <sz val="10"/>
      <color theme="1" tint="4.9989318521683403E-2"/>
      <name val="Century Gothic"/>
      <family val="2"/>
    </font>
    <font>
      <i/>
      <sz val="10"/>
      <color theme="2" tint="-0.499984740745262"/>
      <name val="Century Gothic"/>
      <family val="2"/>
    </font>
    <font>
      <b/>
      <i/>
      <sz val="10"/>
      <color rgb="FF000000"/>
      <name val="Century Gothic"/>
      <family val="2"/>
    </font>
    <font>
      <i/>
      <sz val="10"/>
      <color theme="1"/>
      <name val="Century Gothic"/>
      <family val="2"/>
    </font>
    <font>
      <b/>
      <i/>
      <sz val="10"/>
      <color theme="1"/>
      <name val="Century Gothic"/>
      <family val="2"/>
    </font>
    <font>
      <sz val="10"/>
      <color theme="2" tint="-0.499984740745262"/>
      <name val="Century Gothic"/>
      <family val="2"/>
    </font>
    <font>
      <b/>
      <i/>
      <sz val="10"/>
      <color theme="1"/>
      <name val="Century Gothic"/>
      <family val="2"/>
      <scheme val="minor"/>
    </font>
    <font>
      <sz val="10"/>
      <color rgb="FF242424"/>
      <name val="Century Gothic"/>
      <family val="2"/>
      <scheme val="minor"/>
    </font>
    <font>
      <sz val="10"/>
      <color rgb="FF242424"/>
      <name val="Aptos"/>
      <family val="2"/>
    </font>
    <font>
      <sz val="10"/>
      <color rgb="FF242424"/>
      <name val="Segoe UI"/>
      <family val="2"/>
    </font>
    <font>
      <sz val="10"/>
      <color rgb="FF000000"/>
      <name val="Arial"/>
      <family val="2"/>
    </font>
    <font>
      <sz val="10"/>
      <color rgb="FF000000"/>
      <name val="Century Gothic"/>
      <family val="2"/>
      <scheme val="minor"/>
    </font>
    <font>
      <sz val="10"/>
      <color theme="0"/>
      <name val="Century Gothic"/>
      <family val="2"/>
      <scheme val="minor"/>
    </font>
    <font>
      <i/>
      <sz val="10"/>
      <color theme="0"/>
      <name val="Century Gothic"/>
      <family val="2"/>
      <scheme val="minor"/>
    </font>
    <font>
      <sz val="11"/>
      <color indexed="8"/>
      <name val="Calibri"/>
      <family val="2"/>
    </font>
    <font>
      <b/>
      <sz val="10"/>
      <color theme="0"/>
      <name val="Century Gothic"/>
      <family val="2"/>
    </font>
    <font>
      <b/>
      <i/>
      <sz val="10"/>
      <color theme="0"/>
      <name val="Century Gothic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rgb="FFFFE699"/>
        <bgColor rgb="FF000000"/>
      </patternFill>
    </fill>
    <fill>
      <patternFill patternType="solid">
        <fgColor theme="1" tint="-0.499984740745262"/>
        <bgColor indexed="64"/>
      </patternFill>
    </fill>
  </fills>
  <borders count="4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6" fontId="12" fillId="0" borderId="29">
      <alignment horizontal="right" vertical="center"/>
      <protection locked="0"/>
    </xf>
    <xf numFmtId="0" fontId="13" fillId="0" borderId="0" applyNumberFormat="0" applyFill="0" applyBorder="0" applyAlignment="0" applyProtection="0"/>
    <xf numFmtId="174" fontId="47" fillId="0" borderId="0" applyFont="0" applyFill="0" applyBorder="0" applyAlignment="0" applyProtection="0"/>
    <xf numFmtId="44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415">
    <xf numFmtId="0" fontId="0" fillId="0" borderId="0" xfId="0"/>
    <xf numFmtId="10" fontId="9" fillId="5" borderId="8" xfId="3" applyNumberFormat="1" applyFont="1" applyFill="1" applyBorder="1"/>
    <xf numFmtId="10" fontId="9" fillId="5" borderId="0" xfId="3" applyNumberFormat="1" applyFont="1" applyFill="1" applyBorder="1"/>
    <xf numFmtId="10" fontId="9" fillId="5" borderId="12" xfId="3" applyNumberFormat="1" applyFont="1" applyFill="1" applyBorder="1"/>
    <xf numFmtId="10" fontId="9" fillId="5" borderId="12" xfId="0" applyNumberFormat="1" applyFont="1" applyFill="1" applyBorder="1"/>
    <xf numFmtId="10" fontId="9" fillId="5" borderId="6" xfId="0" applyNumberFormat="1" applyFont="1" applyFill="1" applyBorder="1"/>
    <xf numFmtId="10" fontId="9" fillId="5" borderId="7" xfId="0" applyNumberFormat="1" applyFont="1" applyFill="1" applyBorder="1"/>
    <xf numFmtId="10" fontId="9" fillId="5" borderId="0" xfId="0" applyNumberFormat="1" applyFont="1" applyFill="1"/>
    <xf numFmtId="10" fontId="9" fillId="5" borderId="2" xfId="0" applyNumberFormat="1" applyFont="1" applyFill="1" applyBorder="1"/>
    <xf numFmtId="0" fontId="0" fillId="8" borderId="0" xfId="0" applyFill="1"/>
    <xf numFmtId="0" fontId="9" fillId="8" borderId="3" xfId="0" applyFont="1" applyFill="1" applyBorder="1"/>
    <xf numFmtId="0" fontId="9" fillId="8" borderId="0" xfId="0" applyFont="1" applyFill="1"/>
    <xf numFmtId="0" fontId="9" fillId="8" borderId="28" xfId="0" applyFont="1" applyFill="1" applyBorder="1"/>
    <xf numFmtId="10" fontId="9" fillId="8" borderId="0" xfId="3" applyNumberFormat="1" applyFont="1" applyFill="1" applyBorder="1"/>
    <xf numFmtId="0" fontId="11" fillId="8" borderId="0" xfId="0" applyFont="1" applyFill="1"/>
    <xf numFmtId="10" fontId="9" fillId="8" borderId="0" xfId="0" applyNumberFormat="1" applyFont="1" applyFill="1"/>
    <xf numFmtId="10" fontId="9" fillId="8" borderId="12" xfId="0" applyNumberFormat="1" applyFont="1" applyFill="1" applyBorder="1"/>
    <xf numFmtId="10" fontId="9" fillId="8" borderId="7" xfId="0" applyNumberFormat="1" applyFont="1" applyFill="1" applyBorder="1"/>
    <xf numFmtId="10" fontId="9" fillId="8" borderId="6" xfId="0" applyNumberFormat="1" applyFont="1" applyFill="1" applyBorder="1"/>
    <xf numFmtId="10" fontId="9" fillId="8" borderId="2" xfId="0" applyNumberFormat="1" applyFont="1" applyFill="1" applyBorder="1"/>
    <xf numFmtId="10" fontId="9" fillId="8" borderId="8" xfId="0" applyNumberFormat="1" applyFont="1" applyFill="1" applyBorder="1"/>
    <xf numFmtId="0" fontId="9" fillId="8" borderId="8" xfId="0" applyFont="1" applyFill="1" applyBorder="1"/>
    <xf numFmtId="10" fontId="9" fillId="8" borderId="5" xfId="3" applyNumberFormat="1" applyFont="1" applyFill="1" applyBorder="1"/>
    <xf numFmtId="0" fontId="4" fillId="8" borderId="0" xfId="0" applyFont="1" applyFill="1"/>
    <xf numFmtId="0" fontId="15" fillId="8" borderId="0" xfId="0" applyFont="1" applyFill="1"/>
    <xf numFmtId="10" fontId="0" fillId="8" borderId="0" xfId="3" applyNumberFormat="1" applyFont="1" applyFill="1"/>
    <xf numFmtId="0" fontId="16" fillId="0" borderId="3" xfId="0" applyFont="1" applyBorder="1"/>
    <xf numFmtId="0" fontId="9" fillId="0" borderId="3" xfId="0" applyFont="1" applyBorder="1"/>
    <xf numFmtId="173" fontId="9" fillId="0" borderId="3" xfId="1" applyNumberFormat="1" applyFont="1" applyBorder="1"/>
    <xf numFmtId="165" fontId="9" fillId="0" borderId="3" xfId="0" applyNumberFormat="1" applyFont="1" applyBorder="1"/>
    <xf numFmtId="171" fontId="9" fillId="0" borderId="3" xfId="2" applyNumberFormat="1" applyFont="1" applyBorder="1"/>
    <xf numFmtId="1" fontId="9" fillId="0" borderId="3" xfId="2" applyNumberFormat="1" applyFont="1" applyBorder="1"/>
    <xf numFmtId="0" fontId="18" fillId="8" borderId="37" xfId="0" applyFont="1" applyFill="1" applyBorder="1"/>
    <xf numFmtId="2" fontId="18" fillId="8" borderId="24" xfId="0" applyNumberFormat="1" applyFont="1" applyFill="1" applyBorder="1"/>
    <xf numFmtId="2" fontId="18" fillId="8" borderId="23" xfId="0" applyNumberFormat="1" applyFont="1" applyFill="1" applyBorder="1"/>
    <xf numFmtId="2" fontId="18" fillId="8" borderId="22" xfId="0" applyNumberFormat="1" applyFont="1" applyFill="1" applyBorder="1"/>
    <xf numFmtId="0" fontId="17" fillId="8" borderId="38" xfId="0" applyFont="1" applyFill="1" applyBorder="1"/>
    <xf numFmtId="0" fontId="17" fillId="8" borderId="37" xfId="0" applyFont="1" applyFill="1" applyBorder="1"/>
    <xf numFmtId="0" fontId="18" fillId="8" borderId="39" xfId="0" applyFont="1" applyFill="1" applyBorder="1"/>
    <xf numFmtId="170" fontId="18" fillId="8" borderId="34" xfId="0" applyNumberFormat="1" applyFont="1" applyFill="1" applyBorder="1"/>
    <xf numFmtId="170" fontId="18" fillId="8" borderId="3" xfId="0" applyNumberFormat="1" applyFont="1" applyFill="1" applyBorder="1"/>
    <xf numFmtId="170" fontId="18" fillId="8" borderId="17" xfId="2" applyNumberFormat="1" applyFont="1" applyFill="1" applyBorder="1"/>
    <xf numFmtId="170" fontId="18" fillId="8" borderId="18" xfId="2" applyNumberFormat="1" applyFont="1" applyFill="1" applyBorder="1"/>
    <xf numFmtId="170" fontId="18" fillId="8" borderId="3" xfId="2" applyNumberFormat="1" applyFont="1" applyFill="1" applyBorder="1"/>
    <xf numFmtId="170" fontId="17" fillId="8" borderId="40" xfId="2" applyNumberFormat="1" applyFont="1" applyFill="1" applyBorder="1"/>
    <xf numFmtId="170" fontId="18" fillId="8" borderId="41" xfId="2" applyNumberFormat="1" applyFont="1" applyFill="1" applyBorder="1"/>
    <xf numFmtId="0" fontId="18" fillId="8" borderId="18" xfId="0" applyFont="1" applyFill="1" applyBorder="1" applyAlignment="1">
      <alignment horizontal="right"/>
    </xf>
    <xf numFmtId="0" fontId="18" fillId="8" borderId="3" xfId="0" applyFont="1" applyFill="1" applyBorder="1" applyAlignment="1">
      <alignment horizontal="right"/>
    </xf>
    <xf numFmtId="0" fontId="18" fillId="8" borderId="17" xfId="0" applyFont="1" applyFill="1" applyBorder="1" applyAlignment="1">
      <alignment horizontal="right"/>
    </xf>
    <xf numFmtId="0" fontId="18" fillId="8" borderId="41" xfId="0" applyFont="1" applyFill="1" applyBorder="1"/>
    <xf numFmtId="170" fontId="18" fillId="8" borderId="16" xfId="2" applyNumberFormat="1" applyFont="1" applyFill="1" applyBorder="1"/>
    <xf numFmtId="170" fontId="18" fillId="8" borderId="15" xfId="2" applyNumberFormat="1" applyFont="1" applyFill="1" applyBorder="1"/>
    <xf numFmtId="170" fontId="18" fillId="8" borderId="14" xfId="2" applyNumberFormat="1" applyFont="1" applyFill="1" applyBorder="1"/>
    <xf numFmtId="170" fontId="18" fillId="8" borderId="15" xfId="2" applyNumberFormat="1" applyFont="1" applyFill="1" applyBorder="1" applyAlignment="1">
      <alignment vertical="center" wrapText="1"/>
    </xf>
    <xf numFmtId="0" fontId="18" fillId="8" borderId="0" xfId="0" applyFont="1" applyFill="1"/>
    <xf numFmtId="170" fontId="18" fillId="8" borderId="0" xfId="2" applyNumberFormat="1" applyFont="1" applyFill="1"/>
    <xf numFmtId="172" fontId="18" fillId="8" borderId="0" xfId="0" applyNumberFormat="1" applyFont="1" applyFill="1"/>
    <xf numFmtId="0" fontId="18" fillId="8" borderId="25" xfId="0" applyFont="1" applyFill="1" applyBorder="1"/>
    <xf numFmtId="44" fontId="18" fillId="8" borderId="3" xfId="2" applyFont="1" applyFill="1" applyBorder="1"/>
    <xf numFmtId="44" fontId="19" fillId="8" borderId="3" xfId="2" applyFont="1" applyFill="1" applyBorder="1" applyAlignment="1">
      <alignment vertical="center"/>
    </xf>
    <xf numFmtId="0" fontId="18" fillId="8" borderId="3" xfId="0" applyFont="1" applyFill="1" applyBorder="1"/>
    <xf numFmtId="0" fontId="20" fillId="8" borderId="0" xfId="0" applyFont="1" applyFill="1"/>
    <xf numFmtId="44" fontId="17" fillId="8" borderId="3" xfId="0" applyNumberFormat="1" applyFont="1" applyFill="1" applyBorder="1"/>
    <xf numFmtId="170" fontId="17" fillId="8" borderId="3" xfId="0" applyNumberFormat="1" applyFont="1" applyFill="1" applyBorder="1"/>
    <xf numFmtId="17" fontId="18" fillId="0" borderId="3" xfId="0" applyNumberFormat="1" applyFont="1" applyBorder="1"/>
    <xf numFmtId="0" fontId="17" fillId="0" borderId="3" xfId="0" applyFont="1" applyBorder="1"/>
    <xf numFmtId="0" fontId="18" fillId="0" borderId="3" xfId="0" applyFont="1" applyBorder="1"/>
    <xf numFmtId="2" fontId="18" fillId="0" borderId="3" xfId="0" applyNumberFormat="1" applyFont="1" applyBorder="1"/>
    <xf numFmtId="2" fontId="17" fillId="0" borderId="3" xfId="0" applyNumberFormat="1" applyFont="1" applyBorder="1"/>
    <xf numFmtId="0" fontId="9" fillId="8" borderId="0" xfId="0" applyFont="1" applyFill="1" applyAlignment="1">
      <alignment horizontal="right"/>
    </xf>
    <xf numFmtId="0" fontId="16" fillId="8" borderId="0" xfId="0" applyFont="1" applyFill="1"/>
    <xf numFmtId="2" fontId="9" fillId="8" borderId="0" xfId="0" applyNumberFormat="1" applyFont="1" applyFill="1"/>
    <xf numFmtId="164" fontId="9" fillId="8" borderId="0" xfId="2" applyNumberFormat="1" applyFont="1" applyFill="1"/>
    <xf numFmtId="164" fontId="9" fillId="8" borderId="28" xfId="0" applyNumberFormat="1" applyFont="1" applyFill="1" applyBorder="1"/>
    <xf numFmtId="6" fontId="9" fillId="8" borderId="0" xfId="0" applyNumberFormat="1" applyFont="1" applyFill="1"/>
    <xf numFmtId="0" fontId="24" fillId="8" borderId="0" xfId="0" applyFont="1" applyFill="1" applyAlignment="1">
      <alignment vertical="center"/>
    </xf>
    <xf numFmtId="164" fontId="9" fillId="8" borderId="3" xfId="2" applyNumberFormat="1" applyFont="1" applyFill="1" applyBorder="1"/>
    <xf numFmtId="164" fontId="9" fillId="8" borderId="3" xfId="0" applyNumberFormat="1" applyFont="1" applyFill="1" applyBorder="1"/>
    <xf numFmtId="6" fontId="9" fillId="8" borderId="3" xfId="0" applyNumberFormat="1" applyFont="1" applyFill="1" applyBorder="1"/>
    <xf numFmtId="0" fontId="21" fillId="8" borderId="0" xfId="0" applyFont="1" applyFill="1" applyAlignment="1">
      <alignment vertical="center"/>
    </xf>
    <xf numFmtId="0" fontId="22" fillId="8" borderId="3" xfId="0" applyFont="1" applyFill="1" applyBorder="1" applyAlignment="1">
      <alignment vertical="center"/>
    </xf>
    <xf numFmtId="2" fontId="9" fillId="8" borderId="3" xfId="0" applyNumberFormat="1" applyFont="1" applyFill="1" applyBorder="1"/>
    <xf numFmtId="0" fontId="23" fillId="8" borderId="3" xfId="0" applyFont="1" applyFill="1" applyBorder="1" applyAlignment="1">
      <alignment vertical="center"/>
    </xf>
    <xf numFmtId="0" fontId="16" fillId="8" borderId="3" xfId="0" applyFont="1" applyFill="1" applyBorder="1"/>
    <xf numFmtId="0" fontId="16" fillId="8" borderId="25" xfId="0" applyFont="1" applyFill="1" applyBorder="1"/>
    <xf numFmtId="164" fontId="16" fillId="8" borderId="3" xfId="2" applyNumberFormat="1" applyFont="1" applyFill="1" applyBorder="1"/>
    <xf numFmtId="0" fontId="25" fillId="10" borderId="3" xfId="0" applyFont="1" applyFill="1" applyBorder="1" applyAlignment="1">
      <alignment horizontal="right"/>
    </xf>
    <xf numFmtId="0" fontId="9" fillId="0" borderId="0" xfId="0" applyFont="1"/>
    <xf numFmtId="6" fontId="16" fillId="8" borderId="3" xfId="0" applyNumberFormat="1" applyFont="1" applyFill="1" applyBorder="1"/>
    <xf numFmtId="6" fontId="16" fillId="8" borderId="0" xfId="0" applyNumberFormat="1" applyFont="1" applyFill="1"/>
    <xf numFmtId="0" fontId="9" fillId="8" borderId="0" xfId="0" applyFont="1" applyFill="1" applyAlignment="1">
      <alignment horizontal="left" indent="2"/>
    </xf>
    <xf numFmtId="6" fontId="27" fillId="8" borderId="0" xfId="0" applyNumberFormat="1" applyFont="1" applyFill="1" applyAlignment="1">
      <alignment vertical="top" wrapText="1"/>
    </xf>
    <xf numFmtId="6" fontId="27" fillId="4" borderId="0" xfId="0" applyNumberFormat="1" applyFont="1" applyFill="1" applyAlignment="1">
      <alignment vertical="top" wrapText="1"/>
    </xf>
    <xf numFmtId="6" fontId="27" fillId="8" borderId="0" xfId="0" applyNumberFormat="1" applyFont="1" applyFill="1" applyAlignment="1">
      <alignment horizontal="right" vertical="top" wrapText="1"/>
    </xf>
    <xf numFmtId="0" fontId="28" fillId="10" borderId="0" xfId="0" applyFont="1" applyFill="1"/>
    <xf numFmtId="10" fontId="9" fillId="8" borderId="8" xfId="3" applyNumberFormat="1" applyFont="1" applyFill="1" applyBorder="1"/>
    <xf numFmtId="10" fontId="9" fillId="8" borderId="13" xfId="0" applyNumberFormat="1" applyFont="1" applyFill="1" applyBorder="1"/>
    <xf numFmtId="3" fontId="9" fillId="8" borderId="0" xfId="0" applyNumberFormat="1" applyFont="1" applyFill="1"/>
    <xf numFmtId="10" fontId="9" fillId="8" borderId="0" xfId="3" applyNumberFormat="1" applyFont="1" applyFill="1"/>
    <xf numFmtId="0" fontId="17" fillId="8" borderId="0" xfId="0" applyFont="1" applyFill="1"/>
    <xf numFmtId="2" fontId="17" fillId="8" borderId="0" xfId="0" applyNumberFormat="1" applyFont="1" applyFill="1"/>
    <xf numFmtId="171" fontId="17" fillId="8" borderId="0" xfId="0" applyNumberFormat="1" applyFont="1" applyFill="1"/>
    <xf numFmtId="0" fontId="29" fillId="8" borderId="0" xfId="0" applyFont="1" applyFill="1"/>
    <xf numFmtId="0" fontId="30" fillId="8" borderId="0" xfId="0" applyFont="1" applyFill="1"/>
    <xf numFmtId="0" fontId="17" fillId="5" borderId="3" xfId="0" applyFont="1" applyFill="1" applyBorder="1" applyAlignment="1">
      <alignment horizontal="center" vertical="top" wrapText="1"/>
    </xf>
    <xf numFmtId="0" fontId="17" fillId="5" borderId="25" xfId="0" applyFont="1" applyFill="1" applyBorder="1" applyAlignment="1">
      <alignment horizontal="center" vertical="top" wrapText="1"/>
    </xf>
    <xf numFmtId="0" fontId="18" fillId="8" borderId="3" xfId="0" applyFont="1" applyFill="1" applyBorder="1" applyAlignment="1">
      <alignment horizontal="center"/>
    </xf>
    <xf numFmtId="169" fontId="18" fillId="8" borderId="3" xfId="0" applyNumberFormat="1" applyFont="1" applyFill="1" applyBorder="1" applyAlignment="1">
      <alignment horizontal="center"/>
    </xf>
    <xf numFmtId="3" fontId="18" fillId="8" borderId="3" xfId="0" applyNumberFormat="1" applyFont="1" applyFill="1" applyBorder="1"/>
    <xf numFmtId="5" fontId="18" fillId="8" borderId="25" xfId="0" applyNumberFormat="1" applyFont="1" applyFill="1" applyBorder="1"/>
    <xf numFmtId="5" fontId="18" fillId="8" borderId="3" xfId="0" applyNumberFormat="1" applyFont="1" applyFill="1" applyBorder="1"/>
    <xf numFmtId="5" fontId="18" fillId="8" borderId="28" xfId="0" applyNumberFormat="1" applyFont="1" applyFill="1" applyBorder="1"/>
    <xf numFmtId="5" fontId="18" fillId="8" borderId="4" xfId="0" applyNumberFormat="1" applyFont="1" applyFill="1" applyBorder="1"/>
    <xf numFmtId="0" fontId="28" fillId="8" borderId="0" xfId="0" applyFont="1" applyFill="1"/>
    <xf numFmtId="0" fontId="17" fillId="8" borderId="3" xfId="0" applyFont="1" applyFill="1" applyBorder="1" applyAlignment="1">
      <alignment horizontal="center" vertical="center"/>
    </xf>
    <xf numFmtId="0" fontId="17" fillId="8" borderId="3" xfId="0" applyFont="1" applyFill="1" applyBorder="1" applyAlignment="1">
      <alignment horizontal="center"/>
    </xf>
    <xf numFmtId="169" fontId="17" fillId="8" borderId="3" xfId="0" applyNumberFormat="1" applyFont="1" applyFill="1" applyBorder="1" applyAlignment="1">
      <alignment horizontal="center"/>
    </xf>
    <xf numFmtId="3" fontId="17" fillId="8" borderId="3" xfId="0" applyNumberFormat="1" applyFont="1" applyFill="1" applyBorder="1"/>
    <xf numFmtId="5" fontId="17" fillId="8" borderId="3" xfId="0" applyNumberFormat="1" applyFont="1" applyFill="1" applyBorder="1"/>
    <xf numFmtId="0" fontId="31" fillId="8" borderId="0" xfId="0" applyFont="1" applyFill="1"/>
    <xf numFmtId="0" fontId="17" fillId="9" borderId="3" xfId="0" applyFont="1" applyFill="1" applyBorder="1" applyAlignment="1">
      <alignment horizontal="center" vertical="top" wrapText="1"/>
    </xf>
    <xf numFmtId="0" fontId="17" fillId="9" borderId="25" xfId="0" applyFont="1" applyFill="1" applyBorder="1" applyAlignment="1">
      <alignment horizontal="center" vertical="top" wrapText="1"/>
    </xf>
    <xf numFmtId="0" fontId="26" fillId="8" borderId="0" xfId="6" applyFont="1" applyFill="1"/>
    <xf numFmtId="1" fontId="9" fillId="8" borderId="3" xfId="0" applyNumberFormat="1" applyFont="1" applyFill="1" applyBorder="1"/>
    <xf numFmtId="2" fontId="16" fillId="8" borderId="3" xfId="0" applyNumberFormat="1" applyFont="1" applyFill="1" applyBorder="1"/>
    <xf numFmtId="44" fontId="9" fillId="8" borderId="9" xfId="0" applyNumberFormat="1" applyFont="1" applyFill="1" applyBorder="1"/>
    <xf numFmtId="44" fontId="9" fillId="8" borderId="10" xfId="0" applyNumberFormat="1" applyFont="1" applyFill="1" applyBorder="1"/>
    <xf numFmtId="44" fontId="9" fillId="8" borderId="11" xfId="0" applyNumberFormat="1" applyFont="1" applyFill="1" applyBorder="1"/>
    <xf numFmtId="44" fontId="9" fillId="8" borderId="6" xfId="0" applyNumberFormat="1" applyFont="1" applyFill="1" applyBorder="1"/>
    <xf numFmtId="44" fontId="9" fillId="8" borderId="7" xfId="0" applyNumberFormat="1" applyFont="1" applyFill="1" applyBorder="1"/>
    <xf numFmtId="44" fontId="9" fillId="8" borderId="2" xfId="0" applyNumberFormat="1" applyFont="1" applyFill="1" applyBorder="1"/>
    <xf numFmtId="0" fontId="9" fillId="8" borderId="6" xfId="0" applyFont="1" applyFill="1" applyBorder="1"/>
    <xf numFmtId="164" fontId="9" fillId="8" borderId="2" xfId="2" applyNumberFormat="1" applyFont="1" applyFill="1" applyBorder="1"/>
    <xf numFmtId="164" fontId="9" fillId="8" borderId="0" xfId="0" applyNumberFormat="1" applyFont="1" applyFill="1"/>
    <xf numFmtId="0" fontId="9" fillId="8" borderId="9" xfId="0" applyFont="1" applyFill="1" applyBorder="1"/>
    <xf numFmtId="164" fontId="9" fillId="8" borderId="11" xfId="2" applyNumberFormat="1" applyFont="1" applyFill="1" applyBorder="1"/>
    <xf numFmtId="164" fontId="9" fillId="8" borderId="12" xfId="2" applyNumberFormat="1" applyFont="1" applyFill="1" applyBorder="1"/>
    <xf numFmtId="0" fontId="9" fillId="8" borderId="13" xfId="0" applyFont="1" applyFill="1" applyBorder="1"/>
    <xf numFmtId="164" fontId="9" fillId="8" borderId="1" xfId="2" applyNumberFormat="1" applyFont="1" applyFill="1" applyBorder="1"/>
    <xf numFmtId="0" fontId="25" fillId="10" borderId="2" xfId="0" applyFont="1" applyFill="1" applyBorder="1" applyAlignment="1">
      <alignment horizontal="right"/>
    </xf>
    <xf numFmtId="164" fontId="9" fillId="8" borderId="0" xfId="2" applyNumberFormat="1" applyFont="1" applyFill="1" applyBorder="1"/>
    <xf numFmtId="0" fontId="25" fillId="10" borderId="0" xfId="0" applyFont="1" applyFill="1"/>
    <xf numFmtId="0" fontId="9" fillId="0" borderId="6" xfId="0" applyFont="1" applyBorder="1"/>
    <xf numFmtId="0" fontId="9" fillId="0" borderId="13" xfId="0" applyFont="1" applyBorder="1"/>
    <xf numFmtId="10" fontId="9" fillId="8" borderId="3" xfId="3" applyNumberFormat="1" applyFont="1" applyFill="1" applyBorder="1"/>
    <xf numFmtId="0" fontId="14" fillId="10" borderId="0" xfId="0" applyFont="1" applyFill="1"/>
    <xf numFmtId="0" fontId="18" fillId="10" borderId="0" xfId="0" applyFont="1" applyFill="1"/>
    <xf numFmtId="0" fontId="9" fillId="10" borderId="0" xfId="0" applyFont="1" applyFill="1"/>
    <xf numFmtId="0" fontId="29" fillId="10" borderId="0" xfId="0" applyFont="1" applyFill="1"/>
    <xf numFmtId="0" fontId="45" fillId="10" borderId="0" xfId="0" applyFont="1" applyFill="1"/>
    <xf numFmtId="0" fontId="16" fillId="10" borderId="0" xfId="0" applyFont="1" applyFill="1"/>
    <xf numFmtId="10" fontId="9" fillId="5" borderId="28" xfId="0" applyNumberFormat="1" applyFont="1" applyFill="1" applyBorder="1"/>
    <xf numFmtId="10" fontId="9" fillId="5" borderId="4" xfId="0" applyNumberFormat="1" applyFont="1" applyFill="1" applyBorder="1"/>
    <xf numFmtId="0" fontId="18" fillId="8" borderId="3" xfId="0" applyFont="1" applyFill="1" applyBorder="1" applyAlignment="1">
      <alignment horizontal="center" vertical="center"/>
    </xf>
    <xf numFmtId="169" fontId="18" fillId="8" borderId="25" xfId="0" applyNumberFormat="1" applyFont="1" applyFill="1" applyBorder="1" applyAlignment="1">
      <alignment horizontal="right" vertical="center"/>
    </xf>
    <xf numFmtId="169" fontId="18" fillId="8" borderId="28" xfId="0" applyNumberFormat="1" applyFont="1" applyFill="1" applyBorder="1" applyAlignment="1">
      <alignment horizontal="right" vertical="center"/>
    </xf>
    <xf numFmtId="169" fontId="18" fillId="8" borderId="4" xfId="0" applyNumberFormat="1" applyFont="1" applyFill="1" applyBorder="1" applyAlignment="1">
      <alignment horizontal="right" vertical="center"/>
    </xf>
    <xf numFmtId="169" fontId="18" fillId="8" borderId="25" xfId="0" applyNumberFormat="1" applyFont="1" applyFill="1" applyBorder="1" applyAlignment="1">
      <alignment horizontal="center" vertical="center"/>
    </xf>
    <xf numFmtId="169" fontId="18" fillId="8" borderId="28" xfId="0" applyNumberFormat="1" applyFont="1" applyFill="1" applyBorder="1" applyAlignment="1">
      <alignment horizontal="center" vertical="center"/>
    </xf>
    <xf numFmtId="169" fontId="18" fillId="8" borderId="4" xfId="0" applyNumberFormat="1" applyFont="1" applyFill="1" applyBorder="1" applyAlignment="1">
      <alignment horizontal="center" vertical="center"/>
    </xf>
    <xf numFmtId="0" fontId="18" fillId="8" borderId="25" xfId="0" applyFont="1" applyFill="1" applyBorder="1" applyAlignment="1">
      <alignment horizontal="center" vertical="center"/>
    </xf>
    <xf numFmtId="5" fontId="18" fillId="8" borderId="25" xfId="0" applyNumberFormat="1" applyFont="1" applyFill="1" applyBorder="1" applyAlignment="1">
      <alignment horizontal="center" vertical="center"/>
    </xf>
    <xf numFmtId="0" fontId="18" fillId="8" borderId="4" xfId="0" applyFont="1" applyFill="1" applyBorder="1" applyAlignment="1">
      <alignment horizontal="center" vertical="center"/>
    </xf>
    <xf numFmtId="5" fontId="18" fillId="8" borderId="4" xfId="0" applyNumberFormat="1" applyFont="1" applyFill="1" applyBorder="1" applyAlignment="1">
      <alignment horizontal="center" vertical="center"/>
    </xf>
    <xf numFmtId="0" fontId="18" fillId="8" borderId="3" xfId="0" applyFont="1" applyFill="1" applyBorder="1" applyAlignment="1">
      <alignment wrapText="1"/>
    </xf>
    <xf numFmtId="165" fontId="0" fillId="8" borderId="0" xfId="1" applyNumberFormat="1" applyFont="1" applyFill="1"/>
    <xf numFmtId="0" fontId="16" fillId="0" borderId="0" xfId="0" applyFont="1" applyAlignment="1">
      <alignment horizontal="right"/>
    </xf>
    <xf numFmtId="1" fontId="9" fillId="0" borderId="3" xfId="0" applyNumberFormat="1" applyFont="1" applyBorder="1"/>
    <xf numFmtId="0" fontId="16" fillId="6" borderId="3" xfId="0" applyFont="1" applyFill="1" applyBorder="1" applyAlignment="1">
      <alignment horizontal="right"/>
    </xf>
    <xf numFmtId="165" fontId="9" fillId="8" borderId="0" xfId="1" applyNumberFormat="1" applyFont="1" applyFill="1"/>
    <xf numFmtId="0" fontId="45" fillId="8" borderId="0" xfId="0" applyFont="1" applyFill="1"/>
    <xf numFmtId="165" fontId="45" fillId="8" borderId="0" xfId="1" applyNumberFormat="1" applyFont="1" applyFill="1" applyBorder="1"/>
    <xf numFmtId="1" fontId="45" fillId="8" borderId="0" xfId="0" applyNumberFormat="1" applyFont="1" applyFill="1"/>
    <xf numFmtId="1" fontId="46" fillId="8" borderId="0" xfId="0" applyNumberFormat="1" applyFont="1" applyFill="1"/>
    <xf numFmtId="0" fontId="25" fillId="8" borderId="0" xfId="0" applyFont="1" applyFill="1" applyAlignment="1">
      <alignment horizontal="right"/>
    </xf>
    <xf numFmtId="0" fontId="16" fillId="0" borderId="3" xfId="0" applyFont="1" applyBorder="1" applyAlignment="1">
      <alignment vertical="center"/>
    </xf>
    <xf numFmtId="0" fontId="16" fillId="0" borderId="3" xfId="0" applyFont="1" applyBorder="1" applyAlignment="1">
      <alignment horizontal="right" vertical="center"/>
    </xf>
    <xf numFmtId="0" fontId="16" fillId="0" borderId="3" xfId="0" applyFont="1" applyBorder="1" applyAlignment="1">
      <alignment horizontal="right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wrapText="1"/>
    </xf>
    <xf numFmtId="3" fontId="16" fillId="8" borderId="0" xfId="0" applyNumberFormat="1" applyFont="1" applyFill="1"/>
    <xf numFmtId="1" fontId="16" fillId="8" borderId="0" xfId="0" applyNumberFormat="1" applyFont="1" applyFill="1" applyAlignment="1">
      <alignment wrapText="1"/>
    </xf>
    <xf numFmtId="165" fontId="9" fillId="8" borderId="0" xfId="7" applyNumberFormat="1" applyFont="1" applyFill="1" applyAlignment="1">
      <alignment wrapText="1"/>
    </xf>
    <xf numFmtId="165" fontId="9" fillId="3" borderId="0" xfId="0" applyNumberFormat="1" applyFont="1" applyFill="1"/>
    <xf numFmtId="0" fontId="9" fillId="8" borderId="0" xfId="0" applyFont="1" applyFill="1" applyAlignment="1">
      <alignment wrapText="1"/>
    </xf>
    <xf numFmtId="175" fontId="9" fillId="8" borderId="0" xfId="0" applyNumberFormat="1" applyFont="1" applyFill="1" applyAlignment="1">
      <alignment wrapText="1"/>
    </xf>
    <xf numFmtId="175" fontId="9" fillId="6" borderId="0" xfId="0" applyNumberFormat="1" applyFont="1" applyFill="1" applyAlignment="1">
      <alignment wrapText="1"/>
    </xf>
    <xf numFmtId="175" fontId="9" fillId="6" borderId="0" xfId="0" applyNumberFormat="1" applyFont="1" applyFill="1"/>
    <xf numFmtId="10" fontId="9" fillId="8" borderId="0" xfId="3" applyNumberFormat="1" applyFont="1" applyFill="1" applyAlignment="1">
      <alignment wrapText="1"/>
    </xf>
    <xf numFmtId="10" fontId="9" fillId="6" borderId="0" xfId="3" applyNumberFormat="1" applyFont="1" applyFill="1" applyAlignment="1">
      <alignment wrapText="1"/>
    </xf>
    <xf numFmtId="0" fontId="25" fillId="8" borderId="0" xfId="0" applyFont="1" applyFill="1"/>
    <xf numFmtId="171" fontId="0" fillId="8" borderId="0" xfId="3" applyNumberFormat="1" applyFont="1" applyFill="1"/>
    <xf numFmtId="165" fontId="9" fillId="0" borderId="3" xfId="1" applyNumberFormat="1" applyFont="1" applyBorder="1"/>
    <xf numFmtId="165" fontId="11" fillId="6" borderId="3" xfId="1" applyNumberFormat="1" applyFont="1" applyFill="1" applyBorder="1"/>
    <xf numFmtId="172" fontId="9" fillId="8" borderId="0" xfId="0" applyNumberFormat="1" applyFont="1" applyFill="1"/>
    <xf numFmtId="0" fontId="16" fillId="8" borderId="0" xfId="0" applyFont="1" applyFill="1" applyAlignment="1">
      <alignment horizontal="right"/>
    </xf>
    <xf numFmtId="168" fontId="9" fillId="8" borderId="0" xfId="0" applyNumberFormat="1" applyFont="1" applyFill="1"/>
    <xf numFmtId="164" fontId="9" fillId="8" borderId="25" xfId="2" applyNumberFormat="1" applyFont="1" applyFill="1" applyBorder="1"/>
    <xf numFmtId="164" fontId="9" fillId="8" borderId="25" xfId="0" applyNumberFormat="1" applyFont="1" applyFill="1" applyBorder="1"/>
    <xf numFmtId="164" fontId="9" fillId="8" borderId="28" xfId="2" applyNumberFormat="1" applyFont="1" applyFill="1" applyBorder="1"/>
    <xf numFmtId="164" fontId="9" fillId="8" borderId="4" xfId="2" applyNumberFormat="1" applyFont="1" applyFill="1" applyBorder="1"/>
    <xf numFmtId="164" fontId="9" fillId="8" borderId="4" xfId="0" applyNumberFormat="1" applyFont="1" applyFill="1" applyBorder="1"/>
    <xf numFmtId="164" fontId="9" fillId="8" borderId="9" xfId="2" applyNumberFormat="1" applyFont="1" applyFill="1" applyBorder="1"/>
    <xf numFmtId="164" fontId="9" fillId="8" borderId="8" xfId="2" applyNumberFormat="1" applyFont="1" applyFill="1" applyBorder="1"/>
    <xf numFmtId="164" fontId="9" fillId="8" borderId="13" xfId="2" applyNumberFormat="1" applyFont="1" applyFill="1" applyBorder="1"/>
    <xf numFmtId="10" fontId="9" fillId="8" borderId="13" xfId="3" applyNumberFormat="1" applyFont="1" applyFill="1" applyBorder="1" applyAlignment="1">
      <alignment horizontal="right"/>
    </xf>
    <xf numFmtId="10" fontId="9" fillId="8" borderId="5" xfId="3" applyNumberFormat="1" applyFont="1" applyFill="1" applyBorder="1" applyAlignment="1">
      <alignment horizontal="right"/>
    </xf>
    <xf numFmtId="10" fontId="9" fillId="8" borderId="1" xfId="3" applyNumberFormat="1" applyFont="1" applyFill="1" applyBorder="1" applyAlignment="1">
      <alignment horizontal="right"/>
    </xf>
    <xf numFmtId="6" fontId="25" fillId="10" borderId="0" xfId="0" applyNumberFormat="1" applyFont="1" applyFill="1"/>
    <xf numFmtId="164" fontId="9" fillId="8" borderId="10" xfId="2" applyNumberFormat="1" applyFont="1" applyFill="1" applyBorder="1"/>
    <xf numFmtId="164" fontId="9" fillId="8" borderId="11" xfId="0" applyNumberFormat="1" applyFont="1" applyFill="1" applyBorder="1"/>
    <xf numFmtId="164" fontId="9" fillId="8" borderId="12" xfId="0" applyNumberFormat="1" applyFont="1" applyFill="1" applyBorder="1"/>
    <xf numFmtId="164" fontId="9" fillId="8" borderId="5" xfId="2" applyNumberFormat="1" applyFont="1" applyFill="1" applyBorder="1"/>
    <xf numFmtId="164" fontId="9" fillId="8" borderId="1" xfId="0" applyNumberFormat="1" applyFont="1" applyFill="1" applyBorder="1"/>
    <xf numFmtId="164" fontId="16" fillId="8" borderId="0" xfId="2" applyNumberFormat="1" applyFont="1" applyFill="1" applyBorder="1"/>
    <xf numFmtId="0" fontId="48" fillId="10" borderId="0" xfId="0" applyFont="1" applyFill="1"/>
    <xf numFmtId="0" fontId="0" fillId="10" borderId="0" xfId="0" applyFill="1"/>
    <xf numFmtId="0" fontId="2" fillId="10" borderId="0" xfId="0" applyFont="1" applyFill="1"/>
    <xf numFmtId="164" fontId="16" fillId="8" borderId="0" xfId="2" applyNumberFormat="1" applyFont="1" applyFill="1"/>
    <xf numFmtId="164" fontId="16" fillId="8" borderId="0" xfId="0" applyNumberFormat="1" applyFont="1" applyFill="1"/>
    <xf numFmtId="44" fontId="9" fillId="8" borderId="0" xfId="0" applyNumberFormat="1" applyFont="1" applyFill="1"/>
    <xf numFmtId="0" fontId="2" fillId="10" borderId="0" xfId="0" applyFont="1" applyFill="1" applyAlignment="1">
      <alignment horizontal="right"/>
    </xf>
    <xf numFmtId="0" fontId="0" fillId="8" borderId="3" xfId="0" applyFill="1" applyBorder="1" applyAlignment="1">
      <alignment wrapText="1"/>
    </xf>
    <xf numFmtId="164" fontId="0" fillId="8" borderId="3" xfId="2" applyNumberFormat="1" applyFont="1" applyFill="1" applyBorder="1"/>
    <xf numFmtId="9" fontId="0" fillId="8" borderId="3" xfId="3" applyFont="1" applyFill="1" applyBorder="1"/>
    <xf numFmtId="164" fontId="0" fillId="8" borderId="3" xfId="0" applyNumberFormat="1" applyFill="1" applyBorder="1"/>
    <xf numFmtId="164" fontId="11" fillId="8" borderId="0" xfId="0" applyNumberFormat="1" applyFont="1" applyFill="1"/>
    <xf numFmtId="0" fontId="39" fillId="8" borderId="0" xfId="0" applyFont="1" applyFill="1"/>
    <xf numFmtId="2" fontId="9" fillId="8" borderId="0" xfId="2" applyNumberFormat="1" applyFont="1" applyFill="1"/>
    <xf numFmtId="9" fontId="9" fillId="8" borderId="0" xfId="3" applyFont="1" applyFill="1"/>
    <xf numFmtId="0" fontId="10" fillId="8" borderId="30" xfId="0" applyFont="1" applyFill="1" applyBorder="1" applyAlignment="1">
      <alignment vertical="center" wrapText="1"/>
    </xf>
    <xf numFmtId="0" fontId="10" fillId="8" borderId="31" xfId="0" applyFont="1" applyFill="1" applyBorder="1" applyAlignment="1">
      <alignment horizontal="right" vertical="center" wrapText="1"/>
    </xf>
    <xf numFmtId="0" fontId="10" fillId="8" borderId="31" xfId="0" applyFont="1" applyFill="1" applyBorder="1" applyAlignment="1">
      <alignment vertical="center" wrapText="1"/>
    </xf>
    <xf numFmtId="0" fontId="41" fillId="8" borderId="0" xfId="0" applyFont="1" applyFill="1" applyAlignment="1">
      <alignment vertical="center" wrapText="1"/>
    </xf>
    <xf numFmtId="44" fontId="4" fillId="8" borderId="0" xfId="0" applyNumberFormat="1" applyFont="1" applyFill="1"/>
    <xf numFmtId="164" fontId="41" fillId="8" borderId="0" xfId="2" applyNumberFormat="1" applyFont="1" applyFill="1" applyBorder="1" applyAlignment="1">
      <alignment vertical="center" wrapText="1"/>
    </xf>
    <xf numFmtId="164" fontId="42" fillId="8" borderId="0" xfId="2" applyNumberFormat="1" applyFont="1" applyFill="1" applyBorder="1" applyAlignment="1">
      <alignment vertical="top" wrapText="1"/>
    </xf>
    <xf numFmtId="165" fontId="4" fillId="8" borderId="0" xfId="0" applyNumberFormat="1" applyFont="1" applyFill="1"/>
    <xf numFmtId="10" fontId="43" fillId="8" borderId="0" xfId="0" applyNumberFormat="1" applyFont="1" applyFill="1" applyAlignment="1">
      <alignment horizontal="center"/>
    </xf>
    <xf numFmtId="43" fontId="9" fillId="8" borderId="0" xfId="0" applyNumberFormat="1" applyFont="1" applyFill="1"/>
    <xf numFmtId="165" fontId="9" fillId="8" borderId="0" xfId="0" applyNumberFormat="1" applyFont="1" applyFill="1"/>
    <xf numFmtId="167" fontId="9" fillId="8" borderId="0" xfId="0" applyNumberFormat="1" applyFont="1" applyFill="1"/>
    <xf numFmtId="3" fontId="43" fillId="8" borderId="0" xfId="0" applyNumberFormat="1" applyFont="1" applyFill="1"/>
    <xf numFmtId="164" fontId="11" fillId="5" borderId="6" xfId="0" applyNumberFormat="1" applyFont="1" applyFill="1" applyBorder="1"/>
    <xf numFmtId="164" fontId="11" fillId="5" borderId="7" xfId="0" applyNumberFormat="1" applyFont="1" applyFill="1" applyBorder="1"/>
    <xf numFmtId="164" fontId="11" fillId="5" borderId="2" xfId="0" applyNumberFormat="1" applyFont="1" applyFill="1" applyBorder="1"/>
    <xf numFmtId="164" fontId="11" fillId="5" borderId="13" xfId="0" applyNumberFormat="1" applyFont="1" applyFill="1" applyBorder="1"/>
    <xf numFmtId="164" fontId="11" fillId="5" borderId="5" xfId="0" applyNumberFormat="1" applyFont="1" applyFill="1" applyBorder="1"/>
    <xf numFmtId="164" fontId="11" fillId="5" borderId="1" xfId="0" applyNumberFormat="1" applyFont="1" applyFill="1" applyBorder="1"/>
    <xf numFmtId="2" fontId="7" fillId="2" borderId="0" xfId="4" applyNumberFormat="1" applyFill="1"/>
    <xf numFmtId="0" fontId="25" fillId="10" borderId="10" xfId="4" applyFont="1" applyFill="1" applyBorder="1"/>
    <xf numFmtId="0" fontId="25" fillId="10" borderId="11" xfId="4" applyFont="1" applyFill="1" applyBorder="1"/>
    <xf numFmtId="44" fontId="9" fillId="0" borderId="10" xfId="8" applyFont="1" applyBorder="1"/>
    <xf numFmtId="44" fontId="9" fillId="0" borderId="11" xfId="8" applyFont="1" applyBorder="1"/>
    <xf numFmtId="0" fontId="9" fillId="0" borderId="0" xfId="4" applyFont="1"/>
    <xf numFmtId="44" fontId="9" fillId="0" borderId="0" xfId="8" applyFont="1" applyBorder="1"/>
    <xf numFmtId="44" fontId="9" fillId="0" borderId="12" xfId="8" applyFont="1" applyBorder="1"/>
    <xf numFmtId="44" fontId="16" fillId="0" borderId="0" xfId="8" applyFont="1" applyBorder="1"/>
    <xf numFmtId="44" fontId="16" fillId="0" borderId="12" xfId="8" applyFont="1" applyBorder="1"/>
    <xf numFmtId="44" fontId="16" fillId="0" borderId="5" xfId="8" applyFont="1" applyBorder="1"/>
    <xf numFmtId="44" fontId="9" fillId="0" borderId="5" xfId="8" applyFont="1" applyBorder="1"/>
    <xf numFmtId="44" fontId="9" fillId="0" borderId="1" xfId="8" applyFont="1" applyBorder="1"/>
    <xf numFmtId="0" fontId="11" fillId="0" borderId="0" xfId="4" applyFont="1"/>
    <xf numFmtId="0" fontId="7" fillId="8" borderId="0" xfId="4" applyFill="1"/>
    <xf numFmtId="2" fontId="7" fillId="8" borderId="0" xfId="4" applyNumberFormat="1" applyFill="1"/>
    <xf numFmtId="0" fontId="49" fillId="10" borderId="0" xfId="0" applyFont="1" applyFill="1"/>
    <xf numFmtId="0" fontId="35" fillId="11" borderId="42" xfId="0" applyFont="1" applyFill="1" applyBorder="1" applyAlignment="1">
      <alignment vertical="center"/>
    </xf>
    <xf numFmtId="0" fontId="37" fillId="11" borderId="42" xfId="0" applyFont="1" applyFill="1" applyBorder="1" applyAlignment="1">
      <alignment vertical="center"/>
    </xf>
    <xf numFmtId="0" fontId="37" fillId="8" borderId="42" xfId="0" applyFont="1" applyFill="1" applyBorder="1" applyAlignment="1">
      <alignment vertical="center"/>
    </xf>
    <xf numFmtId="0" fontId="2" fillId="10" borderId="3" xfId="0" applyFont="1" applyFill="1" applyBorder="1" applyAlignment="1">
      <alignment horizontal="right"/>
    </xf>
    <xf numFmtId="0" fontId="32" fillId="8" borderId="0" xfId="0" applyFont="1" applyFill="1" applyAlignment="1">
      <alignment vertical="center" wrapText="1"/>
    </xf>
    <xf numFmtId="0" fontId="26" fillId="8" borderId="0" xfId="6" applyFont="1" applyFill="1" applyBorder="1"/>
    <xf numFmtId="0" fontId="24" fillId="8" borderId="0" xfId="0" applyFont="1" applyFill="1" applyAlignment="1">
      <alignment vertical="center" wrapText="1"/>
    </xf>
    <xf numFmtId="0" fontId="33" fillId="8" borderId="0" xfId="0" applyFont="1" applyFill="1" applyAlignment="1">
      <alignment horizontal="left" vertical="center" wrapText="1"/>
    </xf>
    <xf numFmtId="0" fontId="34" fillId="8" borderId="0" xfId="0" applyFont="1" applyFill="1" applyAlignment="1">
      <alignment vertical="center"/>
    </xf>
    <xf numFmtId="3" fontId="24" fillId="8" borderId="0" xfId="0" applyNumberFormat="1" applyFont="1" applyFill="1" applyAlignment="1">
      <alignment vertical="center" wrapText="1"/>
    </xf>
    <xf numFmtId="0" fontId="10" fillId="8" borderId="0" xfId="0" applyFont="1" applyFill="1"/>
    <xf numFmtId="0" fontId="35" fillId="8" borderId="0" xfId="0" applyFont="1" applyFill="1" applyAlignment="1">
      <alignment vertical="center" wrapText="1"/>
    </xf>
    <xf numFmtId="0" fontId="34" fillId="8" borderId="0" xfId="0" applyFont="1" applyFill="1" applyAlignment="1">
      <alignment vertical="center" wrapText="1"/>
    </xf>
    <xf numFmtId="0" fontId="24" fillId="8" borderId="0" xfId="0" applyFont="1" applyFill="1"/>
    <xf numFmtId="0" fontId="24" fillId="8" borderId="0" xfId="0" applyFont="1" applyFill="1" applyAlignment="1">
      <alignment vertical="top" wrapText="1"/>
    </xf>
    <xf numFmtId="0" fontId="24" fillId="8" borderId="0" xfId="0" applyFont="1" applyFill="1" applyAlignment="1">
      <alignment vertical="top"/>
    </xf>
    <xf numFmtId="0" fontId="24" fillId="8" borderId="0" xfId="0" applyFont="1" applyFill="1" applyAlignment="1">
      <alignment wrapText="1"/>
    </xf>
    <xf numFmtId="0" fontId="36" fillId="8" borderId="0" xfId="0" applyFont="1" applyFill="1" applyAlignment="1">
      <alignment vertical="top" wrapText="1"/>
    </xf>
    <xf numFmtId="0" fontId="36" fillId="8" borderId="0" xfId="0" applyFont="1" applyFill="1" applyAlignment="1">
      <alignment wrapText="1"/>
    </xf>
    <xf numFmtId="44" fontId="24" fillId="8" borderId="0" xfId="2" applyFont="1" applyFill="1" applyAlignment="1">
      <alignment horizontal="center"/>
    </xf>
    <xf numFmtId="0" fontId="36" fillId="8" borderId="0" xfId="0" applyFont="1" applyFill="1" applyAlignment="1">
      <alignment horizontal="left" vertical="top" wrapText="1"/>
    </xf>
    <xf numFmtId="0" fontId="32" fillId="8" borderId="0" xfId="0" applyFont="1" applyFill="1" applyAlignment="1">
      <alignment wrapText="1"/>
    </xf>
    <xf numFmtId="0" fontId="24" fillId="8" borderId="0" xfId="0" quotePrefix="1" applyFont="1" applyFill="1"/>
    <xf numFmtId="0" fontId="36" fillId="8" borderId="34" xfId="0" applyFont="1" applyFill="1" applyBorder="1" applyAlignment="1">
      <alignment wrapText="1"/>
    </xf>
    <xf numFmtId="0" fontId="24" fillId="8" borderId="34" xfId="0" applyFont="1" applyFill="1" applyBorder="1"/>
    <xf numFmtId="164" fontId="24" fillId="8" borderId="0" xfId="2" applyNumberFormat="1" applyFont="1" applyFill="1" applyBorder="1"/>
    <xf numFmtId="164" fontId="24" fillId="8" borderId="0" xfId="0" applyNumberFormat="1" applyFont="1" applyFill="1"/>
    <xf numFmtId="0" fontId="36" fillId="8" borderId="36" xfId="0" applyFont="1" applyFill="1" applyBorder="1" applyAlignment="1">
      <alignment wrapText="1"/>
    </xf>
    <xf numFmtId="0" fontId="24" fillId="8" borderId="26" xfId="0" quotePrefix="1" applyFont="1" applyFill="1" applyBorder="1"/>
    <xf numFmtId="0" fontId="24" fillId="8" borderId="36" xfId="0" applyFont="1" applyFill="1" applyBorder="1"/>
    <xf numFmtId="164" fontId="24" fillId="8" borderId="26" xfId="0" applyNumberFormat="1" applyFont="1" applyFill="1" applyBorder="1"/>
    <xf numFmtId="164" fontId="24" fillId="8" borderId="26" xfId="2" applyNumberFormat="1" applyFont="1" applyFill="1" applyBorder="1"/>
    <xf numFmtId="0" fontId="32" fillId="8" borderId="0" xfId="0" applyFont="1" applyFill="1" applyAlignment="1">
      <alignment horizontal="right" wrapText="1"/>
    </xf>
    <xf numFmtId="164" fontId="32" fillId="8" borderId="0" xfId="0" applyNumberFormat="1" applyFont="1" applyFill="1"/>
    <xf numFmtId="164" fontId="24" fillId="7" borderId="34" xfId="0" applyNumberFormat="1" applyFont="1" applyFill="1" applyBorder="1"/>
    <xf numFmtId="164" fontId="24" fillId="7" borderId="35" xfId="0" applyNumberFormat="1" applyFont="1" applyFill="1" applyBorder="1"/>
    <xf numFmtId="0" fontId="24" fillId="7" borderId="34" xfId="0" quotePrefix="1" applyFont="1" applyFill="1" applyBorder="1"/>
    <xf numFmtId="0" fontId="24" fillId="7" borderId="36" xfId="0" quotePrefix="1" applyFont="1" applyFill="1" applyBorder="1"/>
    <xf numFmtId="164" fontId="24" fillId="7" borderId="27" xfId="0" applyNumberFormat="1" applyFont="1" applyFill="1" applyBorder="1"/>
    <xf numFmtId="0" fontId="36" fillId="8" borderId="9" xfId="0" applyFont="1" applyFill="1" applyBorder="1" applyAlignment="1">
      <alignment wrapText="1"/>
    </xf>
    <xf numFmtId="0" fontId="24" fillId="8" borderId="10" xfId="0" applyFont="1" applyFill="1" applyBorder="1"/>
    <xf numFmtId="164" fontId="24" fillId="8" borderId="10" xfId="2" applyNumberFormat="1" applyFont="1" applyFill="1" applyBorder="1"/>
    <xf numFmtId="164" fontId="38" fillId="8" borderId="10" xfId="0" applyNumberFormat="1" applyFont="1" applyFill="1" applyBorder="1"/>
    <xf numFmtId="164" fontId="38" fillId="8" borderId="11" xfId="0" applyNumberFormat="1" applyFont="1" applyFill="1" applyBorder="1"/>
    <xf numFmtId="0" fontId="36" fillId="8" borderId="8" xfId="0" applyFont="1" applyFill="1" applyBorder="1" applyAlignment="1">
      <alignment wrapText="1"/>
    </xf>
    <xf numFmtId="164" fontId="38" fillId="8" borderId="0" xfId="0" applyNumberFormat="1" applyFont="1" applyFill="1"/>
    <xf numFmtId="164" fontId="38" fillId="8" borderId="12" xfId="0" applyNumberFormat="1" applyFont="1" applyFill="1" applyBorder="1"/>
    <xf numFmtId="0" fontId="36" fillId="8" borderId="13" xfId="0" applyFont="1" applyFill="1" applyBorder="1" applyAlignment="1">
      <alignment wrapText="1"/>
    </xf>
    <xf numFmtId="0" fontId="24" fillId="8" borderId="5" xfId="0" quotePrefix="1" applyFont="1" applyFill="1" applyBorder="1"/>
    <xf numFmtId="0" fontId="24" fillId="8" borderId="5" xfId="0" applyFont="1" applyFill="1" applyBorder="1"/>
    <xf numFmtId="164" fontId="24" fillId="8" borderId="5" xfId="2" applyNumberFormat="1" applyFont="1" applyFill="1" applyBorder="1"/>
    <xf numFmtId="164" fontId="38" fillId="8" borderId="5" xfId="0" applyNumberFormat="1" applyFont="1" applyFill="1" applyBorder="1"/>
    <xf numFmtId="164" fontId="38" fillId="8" borderId="1" xfId="0" applyNumberFormat="1" applyFont="1" applyFill="1" applyBorder="1"/>
    <xf numFmtId="0" fontId="36" fillId="8" borderId="0" xfId="0" applyFont="1" applyFill="1" applyAlignment="1">
      <alignment horizontal="left" wrapText="1"/>
    </xf>
    <xf numFmtId="0" fontId="37" fillId="8" borderId="0" xfId="0" applyFont="1" applyFill="1" applyAlignment="1">
      <alignment horizontal="left" wrapText="1"/>
    </xf>
    <xf numFmtId="0" fontId="32" fillId="10" borderId="0" xfId="0" applyFont="1" applyFill="1" applyAlignment="1">
      <alignment vertical="center" wrapText="1"/>
    </xf>
    <xf numFmtId="0" fontId="24" fillId="10" borderId="0" xfId="0" applyFont="1" applyFill="1" applyAlignment="1">
      <alignment vertical="center"/>
    </xf>
    <xf numFmtId="0" fontId="24" fillId="10" borderId="0" xfId="0" applyFont="1" applyFill="1" applyAlignment="1">
      <alignment vertical="center" wrapText="1"/>
    </xf>
    <xf numFmtId="0" fontId="48" fillId="10" borderId="0" xfId="0" applyFont="1" applyFill="1" applyAlignment="1">
      <alignment vertical="center" wrapText="1"/>
    </xf>
    <xf numFmtId="164" fontId="16" fillId="8" borderId="3" xfId="0" applyNumberFormat="1" applyFont="1" applyFill="1" applyBorder="1"/>
    <xf numFmtId="0" fontId="37" fillId="11" borderId="43" xfId="0" applyFont="1" applyFill="1" applyBorder="1" applyAlignment="1">
      <alignment vertical="center"/>
    </xf>
    <xf numFmtId="171" fontId="9" fillId="0" borderId="2" xfId="2" applyNumberFormat="1" applyFont="1" applyBorder="1"/>
    <xf numFmtId="1" fontId="9" fillId="0" borderId="2" xfId="2" applyNumberFormat="1" applyFont="1" applyBorder="1"/>
    <xf numFmtId="0" fontId="9" fillId="8" borderId="2" xfId="0" applyFont="1" applyFill="1" applyBorder="1"/>
    <xf numFmtId="0" fontId="9" fillId="8" borderId="1" xfId="0" applyFont="1" applyFill="1" applyBorder="1"/>
    <xf numFmtId="0" fontId="16" fillId="0" borderId="6" xfId="0" applyFont="1" applyBorder="1"/>
    <xf numFmtId="0" fontId="18" fillId="8" borderId="4" xfId="0" applyFont="1" applyFill="1" applyBorder="1" applyAlignment="1">
      <alignment wrapText="1"/>
    </xf>
    <xf numFmtId="0" fontId="25" fillId="10" borderId="9" xfId="4" applyFont="1" applyFill="1" applyBorder="1"/>
    <xf numFmtId="0" fontId="9" fillId="0" borderId="9" xfId="4" applyFont="1" applyBorder="1"/>
    <xf numFmtId="0" fontId="9" fillId="0" borderId="10" xfId="4" applyFont="1" applyBorder="1"/>
    <xf numFmtId="0" fontId="9" fillId="0" borderId="8" xfId="4" applyFont="1" applyBorder="1"/>
    <xf numFmtId="0" fontId="16" fillId="0" borderId="8" xfId="4" applyFont="1" applyBorder="1"/>
    <xf numFmtId="0" fontId="16" fillId="0" borderId="13" xfId="4" applyFont="1" applyBorder="1"/>
    <xf numFmtId="0" fontId="9" fillId="0" borderId="5" xfId="4" applyFont="1" applyBorder="1"/>
    <xf numFmtId="167" fontId="7" fillId="8" borderId="0" xfId="4" applyNumberFormat="1" applyFill="1"/>
    <xf numFmtId="164" fontId="0" fillId="8" borderId="0" xfId="2" applyNumberFormat="1" applyFont="1" applyFill="1" applyBorder="1"/>
    <xf numFmtId="0" fontId="3" fillId="8" borderId="0" xfId="0" applyFont="1" applyFill="1"/>
    <xf numFmtId="0" fontId="9" fillId="8" borderId="0" xfId="0" applyFont="1" applyFill="1" applyAlignment="1">
      <alignment horizontal="center"/>
    </xf>
    <xf numFmtId="0" fontId="25" fillId="10" borderId="0" xfId="4" applyFont="1" applyFill="1"/>
    <xf numFmtId="0" fontId="11" fillId="8" borderId="3" xfId="0" applyFont="1" applyFill="1" applyBorder="1"/>
    <xf numFmtId="9" fontId="9" fillId="8" borderId="0" xfId="3" applyFont="1" applyFill="1" applyBorder="1" applyAlignment="1">
      <alignment horizontal="right"/>
    </xf>
    <xf numFmtId="9" fontId="9" fillId="8" borderId="0" xfId="3" applyFont="1" applyFill="1" applyBorder="1"/>
    <xf numFmtId="0" fontId="44" fillId="8" borderId="0" xfId="0" applyFont="1" applyFill="1" applyAlignment="1">
      <alignment vertical="center" wrapText="1"/>
    </xf>
    <xf numFmtId="164" fontId="44" fillId="8" borderId="0" xfId="2" applyNumberFormat="1" applyFont="1" applyFill="1" applyBorder="1" applyAlignment="1">
      <alignment vertical="center" wrapText="1"/>
    </xf>
    <xf numFmtId="0" fontId="27" fillId="8" borderId="0" xfId="0" applyFont="1" applyFill="1" applyAlignment="1">
      <alignment vertical="center" wrapText="1"/>
    </xf>
    <xf numFmtId="0" fontId="40" fillId="8" borderId="0" xfId="0" applyFont="1" applyFill="1" applyAlignment="1">
      <alignment vertical="center" wrapText="1"/>
    </xf>
    <xf numFmtId="0" fontId="50" fillId="12" borderId="6" xfId="0" applyFont="1" applyFill="1" applyBorder="1" applyAlignment="1">
      <alignment horizontal="center" vertical="center" wrapText="1"/>
    </xf>
    <xf numFmtId="0" fontId="50" fillId="12" borderId="3" xfId="0" applyFont="1" applyFill="1" applyBorder="1" applyAlignment="1">
      <alignment horizontal="center" vertical="center" wrapText="1"/>
    </xf>
    <xf numFmtId="0" fontId="50" fillId="12" borderId="2" xfId="0" applyFont="1" applyFill="1" applyBorder="1" applyAlignment="1">
      <alignment horizontal="center" vertical="center" wrapText="1"/>
    </xf>
    <xf numFmtId="6" fontId="51" fillId="12" borderId="28" xfId="0" applyNumberFormat="1" applyFont="1" applyFill="1" applyBorder="1"/>
    <xf numFmtId="6" fontId="51" fillId="12" borderId="12" xfId="0" applyNumberFormat="1" applyFont="1" applyFill="1" applyBorder="1"/>
    <xf numFmtId="6" fontId="51" fillId="12" borderId="4" xfId="0" applyNumberFormat="1" applyFont="1" applyFill="1" applyBorder="1"/>
    <xf numFmtId="6" fontId="51" fillId="12" borderId="1" xfId="0" applyNumberFormat="1" applyFont="1" applyFill="1" applyBorder="1"/>
    <xf numFmtId="0" fontId="50" fillId="8" borderId="0" xfId="0" applyFont="1" applyFill="1" applyAlignment="1">
      <alignment vertical="center" wrapText="1"/>
    </xf>
    <xf numFmtId="0" fontId="50" fillId="8" borderId="3" xfId="0" applyFont="1" applyFill="1" applyBorder="1" applyAlignment="1">
      <alignment horizontal="center"/>
    </xf>
    <xf numFmtId="0" fontId="9" fillId="5" borderId="8" xfId="0" applyFont="1" applyFill="1" applyBorder="1" applyAlignment="1">
      <alignment horizontal="center" vertical="center" wrapText="1"/>
    </xf>
    <xf numFmtId="0" fontId="50" fillId="8" borderId="12" xfId="0" applyFont="1" applyFill="1" applyBorder="1" applyAlignment="1">
      <alignment horizontal="center" vertical="center"/>
    </xf>
    <xf numFmtId="0" fontId="50" fillId="12" borderId="9" xfId="0" applyFont="1" applyFill="1" applyBorder="1" applyAlignment="1">
      <alignment horizontal="center" vertical="center" wrapText="1"/>
    </xf>
    <xf numFmtId="0" fontId="50" fillId="12" borderId="10" xfId="0" applyFont="1" applyFill="1" applyBorder="1" applyAlignment="1">
      <alignment horizontal="center" vertical="center" wrapText="1"/>
    </xf>
    <xf numFmtId="0" fontId="50" fillId="12" borderId="11" xfId="0" applyFont="1" applyFill="1" applyBorder="1" applyAlignment="1">
      <alignment horizontal="center" vertical="center" wrapText="1"/>
    </xf>
    <xf numFmtId="0" fontId="50" fillId="12" borderId="13" xfId="0" applyFont="1" applyFill="1" applyBorder="1" applyAlignment="1">
      <alignment horizontal="center" vertical="center" wrapText="1"/>
    </xf>
    <xf numFmtId="0" fontId="50" fillId="12" borderId="5" xfId="0" applyFont="1" applyFill="1" applyBorder="1" applyAlignment="1">
      <alignment horizontal="center" vertical="center" wrapText="1"/>
    </xf>
    <xf numFmtId="0" fontId="50" fillId="12" borderId="1" xfId="0" applyFont="1" applyFill="1" applyBorder="1" applyAlignment="1">
      <alignment horizontal="center" vertical="center" wrapText="1"/>
    </xf>
    <xf numFmtId="0" fontId="17" fillId="8" borderId="25" xfId="0" applyFont="1" applyFill="1" applyBorder="1" applyAlignment="1">
      <alignment horizontal="center" vertical="center" wrapText="1"/>
    </xf>
    <xf numFmtId="0" fontId="17" fillId="8" borderId="28" xfId="0" applyFont="1" applyFill="1" applyBorder="1" applyAlignment="1">
      <alignment horizontal="center" vertical="center" wrapText="1"/>
    </xf>
    <xf numFmtId="0" fontId="17" fillId="8" borderId="4" xfId="0" applyFont="1" applyFill="1" applyBorder="1" applyAlignment="1">
      <alignment horizontal="center" vertical="center" wrapText="1"/>
    </xf>
    <xf numFmtId="6" fontId="24" fillId="8" borderId="26" xfId="0" applyNumberFormat="1" applyFont="1" applyFill="1" applyBorder="1" applyAlignment="1">
      <alignment horizontal="center"/>
    </xf>
    <xf numFmtId="0" fontId="24" fillId="8" borderId="0" xfId="0" applyFont="1" applyFill="1" applyAlignment="1">
      <alignment horizontal="center" vertical="center"/>
    </xf>
    <xf numFmtId="0" fontId="24" fillId="8" borderId="0" xfId="0" applyFont="1" applyFill="1" applyAlignment="1">
      <alignment horizontal="center" wrapText="1"/>
    </xf>
    <xf numFmtId="0" fontId="24" fillId="8" borderId="0" xfId="0" applyFont="1" applyFill="1" applyAlignment="1">
      <alignment horizontal="center" vertical="top" wrapText="1"/>
    </xf>
    <xf numFmtId="0" fontId="37" fillId="8" borderId="0" xfId="0" applyFont="1" applyFill="1" applyAlignment="1">
      <alignment horizontal="center" vertical="top" wrapText="1"/>
    </xf>
    <xf numFmtId="6" fontId="24" fillId="8" borderId="0" xfId="0" applyNumberFormat="1" applyFont="1" applyFill="1" applyAlignment="1">
      <alignment horizontal="center"/>
    </xf>
    <xf numFmtId="0" fontId="24" fillId="7" borderId="21" xfId="0" applyFont="1" applyFill="1" applyBorder="1" applyAlignment="1">
      <alignment horizontal="center" wrapText="1"/>
    </xf>
    <xf numFmtId="0" fontId="24" fillId="7" borderId="20" xfId="0" applyFont="1" applyFill="1" applyBorder="1" applyAlignment="1">
      <alignment horizontal="center" wrapText="1"/>
    </xf>
    <xf numFmtId="0" fontId="24" fillId="7" borderId="19" xfId="0" applyFont="1" applyFill="1" applyBorder="1" applyAlignment="1">
      <alignment horizontal="center" wrapText="1"/>
    </xf>
    <xf numFmtId="0" fontId="24" fillId="7" borderId="34" xfId="0" applyFont="1" applyFill="1" applyBorder="1" applyAlignment="1">
      <alignment horizontal="center" wrapText="1"/>
    </xf>
    <xf numFmtId="0" fontId="24" fillId="7" borderId="0" xfId="0" applyFont="1" applyFill="1" applyAlignment="1">
      <alignment horizontal="center" wrapText="1"/>
    </xf>
    <xf numFmtId="0" fontId="24" fillId="7" borderId="35" xfId="0" applyFont="1" applyFill="1" applyBorder="1" applyAlignment="1">
      <alignment horizontal="center" wrapText="1"/>
    </xf>
    <xf numFmtId="0" fontId="24" fillId="7" borderId="36" xfId="0" applyFont="1" applyFill="1" applyBorder="1" applyAlignment="1">
      <alignment horizontal="center" wrapText="1"/>
    </xf>
    <xf numFmtId="0" fontId="24" fillId="7" borderId="26" xfId="0" applyFont="1" applyFill="1" applyBorder="1" applyAlignment="1">
      <alignment horizontal="center" wrapText="1"/>
    </xf>
    <xf numFmtId="0" fontId="24" fillId="7" borderId="27" xfId="0" applyFont="1" applyFill="1" applyBorder="1" applyAlignment="1">
      <alignment horizontal="center" wrapText="1"/>
    </xf>
    <xf numFmtId="44" fontId="24" fillId="8" borderId="26" xfId="2" applyFont="1" applyFill="1" applyBorder="1" applyAlignment="1">
      <alignment horizontal="center"/>
    </xf>
    <xf numFmtId="44" fontId="24" fillId="8" borderId="27" xfId="2" applyFont="1" applyFill="1" applyBorder="1" applyAlignment="1">
      <alignment horizontal="center"/>
    </xf>
    <xf numFmtId="44" fontId="24" fillId="7" borderId="33" xfId="2" applyFont="1" applyFill="1" applyBorder="1" applyAlignment="1">
      <alignment horizontal="center"/>
    </xf>
    <xf numFmtId="44" fontId="24" fillId="7" borderId="31" xfId="2" applyFont="1" applyFill="1" applyBorder="1" applyAlignment="1">
      <alignment horizontal="center"/>
    </xf>
    <xf numFmtId="44" fontId="24" fillId="8" borderId="21" xfId="2" applyFont="1" applyFill="1" applyBorder="1" applyAlignment="1">
      <alignment horizontal="center"/>
    </xf>
    <xf numFmtId="44" fontId="24" fillId="8" borderId="20" xfId="2" applyFont="1" applyFill="1" applyBorder="1" applyAlignment="1">
      <alignment horizontal="center"/>
    </xf>
    <xf numFmtId="44" fontId="24" fillId="8" borderId="0" xfId="2" applyFont="1" applyFill="1" applyAlignment="1">
      <alignment horizontal="center"/>
    </xf>
    <xf numFmtId="0" fontId="9" fillId="13" borderId="0" xfId="0" applyFont="1" applyFill="1"/>
    <xf numFmtId="0" fontId="44" fillId="13" borderId="30" xfId="0" applyFont="1" applyFill="1" applyBorder="1" applyAlignment="1">
      <alignment vertical="center" wrapText="1"/>
    </xf>
    <xf numFmtId="164" fontId="44" fillId="13" borderId="31" xfId="2" applyNumberFormat="1" applyFont="1" applyFill="1" applyBorder="1" applyAlignment="1">
      <alignment vertical="center" wrapText="1"/>
    </xf>
    <xf numFmtId="0" fontId="44" fillId="13" borderId="31" xfId="0" applyFont="1" applyFill="1" applyBorder="1" applyAlignment="1">
      <alignment vertical="center" wrapText="1"/>
    </xf>
    <xf numFmtId="0" fontId="44" fillId="13" borderId="32" xfId="0" applyFont="1" applyFill="1" applyBorder="1" applyAlignment="1">
      <alignment vertical="center" wrapText="1"/>
    </xf>
    <xf numFmtId="164" fontId="44" fillId="13" borderId="27" xfId="2" applyNumberFormat="1" applyFont="1" applyFill="1" applyBorder="1" applyAlignment="1">
      <alignment vertical="center" wrapText="1"/>
    </xf>
    <xf numFmtId="0" fontId="44" fillId="13" borderId="27" xfId="0" applyFont="1" applyFill="1" applyBorder="1" applyAlignment="1">
      <alignment vertical="center" wrapText="1"/>
    </xf>
    <xf numFmtId="164" fontId="44" fillId="13" borderId="27" xfId="2" applyNumberFormat="1" applyFont="1" applyFill="1" applyBorder="1" applyAlignment="1">
      <alignment horizontal="right" vertical="center" wrapText="1"/>
    </xf>
    <xf numFmtId="0" fontId="27" fillId="13" borderId="27" xfId="0" applyFont="1" applyFill="1" applyBorder="1" applyAlignment="1">
      <alignment vertical="center" wrapText="1"/>
    </xf>
    <xf numFmtId="164" fontId="9" fillId="13" borderId="0" xfId="0" applyNumberFormat="1" applyFont="1" applyFill="1"/>
    <xf numFmtId="164" fontId="9" fillId="13" borderId="3" xfId="2" applyNumberFormat="1" applyFont="1" applyFill="1" applyBorder="1"/>
    <xf numFmtId="164" fontId="9" fillId="13" borderId="3" xfId="0" applyNumberFormat="1" applyFont="1" applyFill="1" applyBorder="1"/>
    <xf numFmtId="164" fontId="11" fillId="13" borderId="3" xfId="0" applyNumberFormat="1" applyFont="1" applyFill="1" applyBorder="1"/>
    <xf numFmtId="164" fontId="9" fillId="13" borderId="6" xfId="2" applyNumberFormat="1" applyFont="1" applyFill="1" applyBorder="1"/>
    <xf numFmtId="164" fontId="9" fillId="13" borderId="7" xfId="2" applyNumberFormat="1" applyFont="1" applyFill="1" applyBorder="1"/>
    <xf numFmtId="164" fontId="9" fillId="13" borderId="2" xfId="2" applyNumberFormat="1" applyFont="1" applyFill="1" applyBorder="1"/>
    <xf numFmtId="164" fontId="9" fillId="13" borderId="6" xfId="0" applyNumberFormat="1" applyFont="1" applyFill="1" applyBorder="1"/>
    <xf numFmtId="164" fontId="9" fillId="13" borderId="7" xfId="0" applyNumberFormat="1" applyFont="1" applyFill="1" applyBorder="1"/>
    <xf numFmtId="164" fontId="9" fillId="13" borderId="2" xfId="0" applyNumberFormat="1" applyFont="1" applyFill="1" applyBorder="1"/>
    <xf numFmtId="164" fontId="9" fillId="13" borderId="0" xfId="2" applyNumberFormat="1" applyFont="1" applyFill="1" applyBorder="1"/>
    <xf numFmtId="0" fontId="0" fillId="13" borderId="0" xfId="0" applyFill="1"/>
  </cellXfs>
  <cellStyles count="10">
    <cellStyle name="Assumptions Right Number" xfId="5" xr:uid="{750FC5D7-F5AD-495B-86BB-FF27EFB4A34D}"/>
    <cellStyle name="Comma" xfId="1" builtinId="3"/>
    <cellStyle name="Comma 3" xfId="7" xr:uid="{8053ED19-F8A8-463C-9062-83C64B4796BE}"/>
    <cellStyle name="Currency" xfId="2" builtinId="4"/>
    <cellStyle name="Currency 2" xfId="8" xr:uid="{C986F91B-AC2D-4055-AF03-25291CC2FDB8}"/>
    <cellStyle name="Hyperlink" xfId="6" builtinId="8"/>
    <cellStyle name="Normal" xfId="0" builtinId="0"/>
    <cellStyle name="Normal 2" xfId="4" xr:uid="{6DBB30BC-5BAD-4D6C-9D00-5C17702779B6}"/>
    <cellStyle name="Percent" xfId="3" builtinId="5"/>
    <cellStyle name="Percent 2" xfId="9" xr:uid="{7922D487-F5BE-4458-991C-6C2B7B47E9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cid:image001.png@01DAE36E.5143DA80" TargetMode="External"/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1</xdr:rowOff>
    </xdr:from>
    <xdr:to>
      <xdr:col>4</xdr:col>
      <xdr:colOff>501650</xdr:colOff>
      <xdr:row>23</xdr:row>
      <xdr:rowOff>87226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F8F26A-67EF-48D1-B982-83D1D4B67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667126"/>
          <a:ext cx="3990975" cy="2872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219075</xdr:colOff>
      <xdr:row>7</xdr:row>
      <xdr:rowOff>19050</xdr:rowOff>
    </xdr:from>
    <xdr:to>
      <xdr:col>10</xdr:col>
      <xdr:colOff>550718</xdr:colOff>
      <xdr:row>8</xdr:row>
      <xdr:rowOff>76200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986393BE-53CC-40B9-9E62-D9915352DAB9}"/>
            </a:ext>
          </a:extLst>
        </xdr:cNvPr>
        <xdr:cNvCxnSpPr/>
      </xdr:nvCxnSpPr>
      <xdr:spPr>
        <a:xfrm flipV="1">
          <a:off x="7581900" y="1152525"/>
          <a:ext cx="331643" cy="21907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571500</xdr:colOff>
      <xdr:row>7</xdr:row>
      <xdr:rowOff>0</xdr:rowOff>
    </xdr:from>
    <xdr:to>
      <xdr:col>10</xdr:col>
      <xdr:colOff>190500</xdr:colOff>
      <xdr:row>8</xdr:row>
      <xdr:rowOff>66675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41E1B86D-E8BC-44AD-B42B-AECFBF36A101}"/>
            </a:ext>
          </a:extLst>
        </xdr:cNvPr>
        <xdr:cNvCxnSpPr/>
      </xdr:nvCxnSpPr>
      <xdr:spPr>
        <a:xfrm flipH="1" flipV="1">
          <a:off x="5876925" y="1133475"/>
          <a:ext cx="1676400" cy="2286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5</xdr:row>
      <xdr:rowOff>65951</xdr:rowOff>
    </xdr:from>
    <xdr:to>
      <xdr:col>8</xdr:col>
      <xdr:colOff>635332</xdr:colOff>
      <xdr:row>10</xdr:row>
      <xdr:rowOff>85725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25D8EF4-15C7-4DA2-BFE8-98181E14DE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2610" t="16694" r="2610" b="-16694"/>
        <a:stretch/>
      </xdr:blipFill>
      <xdr:spPr>
        <a:xfrm>
          <a:off x="0" y="875576"/>
          <a:ext cx="8160082" cy="8293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168275</xdr:colOff>
      <xdr:row>2</xdr:row>
      <xdr:rowOff>57150</xdr:rowOff>
    </xdr:from>
    <xdr:to>
      <xdr:col>13</xdr:col>
      <xdr:colOff>482600</xdr:colOff>
      <xdr:row>14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198B31-E461-0F09-98D4-D9F9DB9E664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72" b="-1"/>
        <a:stretch/>
      </xdr:blipFill>
      <xdr:spPr bwMode="auto">
        <a:xfrm>
          <a:off x="168275" y="381000"/>
          <a:ext cx="8861425" cy="1987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212724</xdr:colOff>
      <xdr:row>16</xdr:row>
      <xdr:rowOff>25400</xdr:rowOff>
    </xdr:from>
    <xdr:to>
      <xdr:col>10</xdr:col>
      <xdr:colOff>180975</xdr:colOff>
      <xdr:row>27</xdr:row>
      <xdr:rowOff>126021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6EDCD2EF-350F-4A43-A728-7032D87FC9E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r:link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4271" b="7759"/>
        <a:stretch>
          <a:fillRect/>
        </a:stretch>
      </xdr:blipFill>
      <xdr:spPr bwMode="auto">
        <a:xfrm>
          <a:off x="212724" y="2616200"/>
          <a:ext cx="6540501" cy="188179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19049</xdr:colOff>
      <xdr:row>10</xdr:row>
      <xdr:rowOff>47624</xdr:rowOff>
    </xdr:from>
    <xdr:ext cx="5819776" cy="106817"/>
    <xdr:pic>
      <xdr:nvPicPr>
        <xdr:cNvPr id="8" name="Picture 7">
          <a:extLst>
            <a:ext uri="{FF2B5EF4-FFF2-40B4-BE49-F238E27FC236}">
              <a16:creationId xmlns:a16="http://schemas.microsoft.com/office/drawing/2014/main" id="{DB1572D4-270F-4869-8FE3-3432169E4A7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54506" r="5272" b="36939"/>
        <a:stretch/>
      </xdr:blipFill>
      <xdr:spPr>
        <a:xfrm>
          <a:off x="5276849" y="1666874"/>
          <a:ext cx="5819776" cy="106817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26</xdr:row>
      <xdr:rowOff>38100</xdr:rowOff>
    </xdr:from>
    <xdr:ext cx="4619624" cy="4002616"/>
    <xdr:pic>
      <xdr:nvPicPr>
        <xdr:cNvPr id="10" name="Picture 9">
          <a:extLst>
            <a:ext uri="{FF2B5EF4-FFF2-40B4-BE49-F238E27FC236}">
              <a16:creationId xmlns:a16="http://schemas.microsoft.com/office/drawing/2014/main" id="{4301BAD4-1453-4AB9-8706-9B4F9AE9697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86" t="4441" r="52257"/>
        <a:stretch/>
      </xdr:blipFill>
      <xdr:spPr bwMode="auto">
        <a:xfrm>
          <a:off x="0" y="4248150"/>
          <a:ext cx="4619624" cy="40026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7</xdr:col>
      <xdr:colOff>495300</xdr:colOff>
      <xdr:row>26</xdr:row>
      <xdr:rowOff>44451</xdr:rowOff>
    </xdr:from>
    <xdr:ext cx="4174019" cy="1314449"/>
    <xdr:pic>
      <xdr:nvPicPr>
        <xdr:cNvPr id="12" name="Picture 11">
          <a:extLst>
            <a:ext uri="{FF2B5EF4-FFF2-40B4-BE49-F238E27FC236}">
              <a16:creationId xmlns:a16="http://schemas.microsoft.com/office/drawing/2014/main" id="{BD0A3EA5-0CCC-4B1C-99D0-164C915045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095875" y="4254501"/>
          <a:ext cx="4174019" cy="13144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Ausnet">
  <a:themeElements>
    <a:clrScheme name="Custom 496">
      <a:dk1>
        <a:srgbClr val="373536"/>
      </a:dk1>
      <a:lt1>
        <a:sysClr val="window" lastClr="FFFFFF"/>
      </a:lt1>
      <a:dk2>
        <a:srgbClr val="263A69"/>
      </a:dk2>
      <a:lt2>
        <a:srgbClr val="00856C"/>
      </a:lt2>
      <a:accent1>
        <a:srgbClr val="185CAA"/>
      </a:accent1>
      <a:accent2>
        <a:srgbClr val="0F90C0"/>
      </a:accent2>
      <a:accent3>
        <a:srgbClr val="4FBDE0"/>
      </a:accent3>
      <a:accent4>
        <a:srgbClr val="12B57A"/>
      </a:accent4>
      <a:accent5>
        <a:srgbClr val="8DC63F"/>
      </a:accent5>
      <a:accent6>
        <a:srgbClr val="FFCB08"/>
      </a:accent6>
      <a:hlink>
        <a:srgbClr val="FFCB08"/>
      </a:hlink>
      <a:folHlink>
        <a:srgbClr val="4FBDE0"/>
      </a:folHlink>
    </a:clrScheme>
    <a:fontScheme name="Custom 246">
      <a:majorFont>
        <a:latin typeface="Century Gothic"/>
        <a:ea typeface=""/>
        <a:cs typeface=""/>
      </a:majorFont>
      <a:minorFont>
        <a:latin typeface="Century Gothic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tx2"/>
        </a:solidFill>
        <a:ln>
          <a:noFill/>
        </a:ln>
      </a:spPr>
      <a:bodyPr rtlCol="0" anchor="ctr"/>
      <a:lstStyle>
        <a:defPPr algn="ctr"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Theme1" id="{056A6135-2427-4B5A-8401-C71287BCDE4B}" vid="{CFA8DC2C-D90F-46E8-9009-C89E0E23CF68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460C9-CFD7-484D-9FE1-D28D5C677720}">
  <dimension ref="A1:L28"/>
  <sheetViews>
    <sheetView workbookViewId="0">
      <selection activeCell="I3" sqref="I3"/>
    </sheetView>
  </sheetViews>
  <sheetFormatPr defaultColWidth="9" defaultRowHeight="13.5" x14ac:dyDescent="0.25"/>
  <cols>
    <col min="1" max="16384" width="9" style="11"/>
  </cols>
  <sheetData>
    <row r="1" spans="1:1" s="149" customFormat="1" x14ac:dyDescent="0.25">
      <c r="A1" s="141" t="s">
        <v>177</v>
      </c>
    </row>
    <row r="2" spans="1:1" x14ac:dyDescent="0.25">
      <c r="A2" s="11" t="s">
        <v>238</v>
      </c>
    </row>
    <row r="5" spans="1:1" s="149" customFormat="1" x14ac:dyDescent="0.25">
      <c r="A5" s="265" t="s">
        <v>236</v>
      </c>
    </row>
    <row r="6" spans="1:1" x14ac:dyDescent="0.25">
      <c r="A6" s="11" t="s">
        <v>333</v>
      </c>
    </row>
    <row r="7" spans="1:1" x14ac:dyDescent="0.25">
      <c r="A7" s="11" t="s">
        <v>334</v>
      </c>
    </row>
    <row r="8" spans="1:1" x14ac:dyDescent="0.25">
      <c r="A8" s="11" t="s">
        <v>335</v>
      </c>
    </row>
    <row r="9" spans="1:1" x14ac:dyDescent="0.25">
      <c r="A9" s="11" t="s">
        <v>336</v>
      </c>
    </row>
    <row r="11" spans="1:1" s="141" customFormat="1" ht="12.75" x14ac:dyDescent="0.2">
      <c r="A11" s="265" t="s">
        <v>178</v>
      </c>
    </row>
    <row r="12" spans="1:1" x14ac:dyDescent="0.25">
      <c r="A12" s="11" t="s">
        <v>337</v>
      </c>
    </row>
    <row r="13" spans="1:1" x14ac:dyDescent="0.25">
      <c r="A13" s="11" t="s">
        <v>338</v>
      </c>
    </row>
    <row r="14" spans="1:1" x14ac:dyDescent="0.25">
      <c r="A14" s="11" t="s">
        <v>339</v>
      </c>
    </row>
    <row r="15" spans="1:1" x14ac:dyDescent="0.25">
      <c r="A15" s="11" t="s">
        <v>340</v>
      </c>
    </row>
    <row r="16" spans="1:1" x14ac:dyDescent="0.25">
      <c r="A16" s="11" t="s">
        <v>341</v>
      </c>
    </row>
    <row r="17" spans="1:12" x14ac:dyDescent="0.25">
      <c r="A17" s="11" t="s">
        <v>342</v>
      </c>
    </row>
    <row r="18" spans="1:12" x14ac:dyDescent="0.25">
      <c r="A18" s="11" t="s">
        <v>343</v>
      </c>
    </row>
    <row r="19" spans="1:12" x14ac:dyDescent="0.25">
      <c r="A19" s="11" t="s">
        <v>344</v>
      </c>
    </row>
    <row r="21" spans="1:12" s="147" customFormat="1" x14ac:dyDescent="0.25">
      <c r="A21" s="265" t="s">
        <v>326</v>
      </c>
    </row>
    <row r="22" spans="1:12" x14ac:dyDescent="0.25">
      <c r="A22" s="11" t="s">
        <v>345</v>
      </c>
    </row>
    <row r="28" spans="1:12" x14ac:dyDescent="0.25">
      <c r="L28" s="70"/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6EF40-AF7A-46AF-8C1A-273E45BE800E}">
  <sheetPr>
    <pageSetUpPr fitToPage="1"/>
  </sheetPr>
  <dimension ref="A2:AA78"/>
  <sheetViews>
    <sheetView zoomScale="80" zoomScaleNormal="80" workbookViewId="0">
      <selection activeCell="E81" sqref="E81"/>
    </sheetView>
  </sheetViews>
  <sheetFormatPr defaultColWidth="9" defaultRowHeight="13.5" x14ac:dyDescent="0.25"/>
  <cols>
    <col min="1" max="1" width="18.75" style="11" customWidth="1"/>
    <col min="2" max="4" width="9" style="11"/>
    <col min="5" max="5" width="9.625" style="11" customWidth="1"/>
    <col min="6" max="16384" width="9" style="11"/>
  </cols>
  <sheetData>
    <row r="2" spans="1:10" s="149" customFormat="1" x14ac:dyDescent="0.25">
      <c r="A2" s="141" t="s">
        <v>234</v>
      </c>
    </row>
    <row r="3" spans="1:10" x14ac:dyDescent="0.25">
      <c r="A3" s="70" t="s">
        <v>215</v>
      </c>
    </row>
    <row r="4" spans="1:10" x14ac:dyDescent="0.25">
      <c r="A4" s="10" t="s">
        <v>98</v>
      </c>
      <c r="B4" s="86" t="s">
        <v>25</v>
      </c>
      <c r="C4" s="86" t="s">
        <v>26</v>
      </c>
      <c r="D4" s="86" t="s">
        <v>28</v>
      </c>
      <c r="E4" s="86" t="s">
        <v>29</v>
      </c>
      <c r="F4" s="86" t="s">
        <v>30</v>
      </c>
      <c r="G4" s="86" t="s">
        <v>31</v>
      </c>
      <c r="H4" s="86" t="s">
        <v>32</v>
      </c>
    </row>
    <row r="5" spans="1:10" x14ac:dyDescent="0.25">
      <c r="A5" s="12" t="s">
        <v>27</v>
      </c>
      <c r="B5" s="13">
        <v>6.5363129067719239E-3</v>
      </c>
      <c r="C5" s="13">
        <v>7.2010311340859889E-3</v>
      </c>
      <c r="D5" s="1">
        <v>1.1627048788004135E-2</v>
      </c>
      <c r="E5" s="2">
        <v>9.7167112576105781E-3</v>
      </c>
      <c r="F5" s="2">
        <v>1.2509981063376197E-2</v>
      </c>
      <c r="G5" s="2">
        <v>1.3480376168036013E-2</v>
      </c>
      <c r="H5" s="3">
        <v>1.1964706087105283E-2</v>
      </c>
      <c r="I5" s="14" t="s">
        <v>99</v>
      </c>
      <c r="J5" s="13"/>
    </row>
    <row r="6" spans="1:10" x14ac:dyDescent="0.25">
      <c r="A6" s="12" t="s">
        <v>116</v>
      </c>
      <c r="B6" s="13">
        <f t="shared" ref="B6:H6" si="0">B18</f>
        <v>0.01</v>
      </c>
      <c r="C6" s="13">
        <f t="shared" si="0"/>
        <v>8.9999999999999993E-3</v>
      </c>
      <c r="D6" s="1">
        <f t="shared" si="0"/>
        <v>7.0000000000000001E-3</v>
      </c>
      <c r="E6" s="2">
        <f t="shared" si="0"/>
        <v>7.0000000000000001E-3</v>
      </c>
      <c r="F6" s="2">
        <f t="shared" si="0"/>
        <v>8.0000000000000002E-3</v>
      </c>
      <c r="G6" s="7">
        <f t="shared" si="0"/>
        <v>1.0999999999999999E-2</v>
      </c>
      <c r="H6" s="4">
        <f t="shared" si="0"/>
        <v>8.3999999999999995E-3</v>
      </c>
      <c r="I6" s="14" t="s">
        <v>107</v>
      </c>
    </row>
    <row r="7" spans="1:10" x14ac:dyDescent="0.25">
      <c r="A7" s="10" t="s">
        <v>100</v>
      </c>
      <c r="B7" s="17">
        <f t="shared" ref="B7:H7" si="1">AVERAGE(B5:B6)</f>
        <v>8.2681564533859629E-3</v>
      </c>
      <c r="C7" s="17">
        <f t="shared" si="1"/>
        <v>8.100515567042995E-3</v>
      </c>
      <c r="D7" s="5">
        <f t="shared" si="1"/>
        <v>9.3135243940020672E-3</v>
      </c>
      <c r="E7" s="6">
        <f t="shared" si="1"/>
        <v>8.3583556288052887E-3</v>
      </c>
      <c r="F7" s="6">
        <f t="shared" si="1"/>
        <v>1.0254990531688098E-2</v>
      </c>
      <c r="G7" s="6">
        <f t="shared" si="1"/>
        <v>1.2240188084018007E-2</v>
      </c>
      <c r="H7" s="8">
        <f t="shared" si="1"/>
        <v>1.0182353043552642E-2</v>
      </c>
    </row>
    <row r="10" spans="1:10" x14ac:dyDescent="0.25">
      <c r="A10" s="70" t="s">
        <v>101</v>
      </c>
    </row>
    <row r="11" spans="1:10" x14ac:dyDescent="0.25">
      <c r="A11" s="10" t="s">
        <v>102</v>
      </c>
      <c r="C11" s="86" t="s">
        <v>26</v>
      </c>
      <c r="D11" s="86" t="s">
        <v>28</v>
      </c>
      <c r="E11" s="86" t="s">
        <v>29</v>
      </c>
      <c r="F11" s="86" t="s">
        <v>30</v>
      </c>
      <c r="G11" s="86" t="s">
        <v>31</v>
      </c>
    </row>
    <row r="12" spans="1:10" x14ac:dyDescent="0.25">
      <c r="A12" s="12" t="s">
        <v>27</v>
      </c>
      <c r="C12" s="20">
        <v>1.1299999999999999E-2</v>
      </c>
      <c r="D12" s="15">
        <v>1.04E-2</v>
      </c>
      <c r="E12" s="15">
        <v>8.6E-3</v>
      </c>
      <c r="F12" s="15">
        <v>1.1299999999999999E-2</v>
      </c>
      <c r="G12" s="16">
        <v>1.2800000000000001E-2</v>
      </c>
    </row>
    <row r="13" spans="1:10" x14ac:dyDescent="0.25">
      <c r="A13" s="12" t="s">
        <v>103</v>
      </c>
      <c r="C13" s="20">
        <v>8.3683168386257095E-3</v>
      </c>
      <c r="D13" s="15">
        <v>8.3540705438707192E-3</v>
      </c>
      <c r="E13" s="15">
        <v>7.3587100156624601E-3</v>
      </c>
      <c r="F13" s="15">
        <v>8.4859008253557206E-3</v>
      </c>
      <c r="G13" s="16">
        <v>1.0754798391217299E-2</v>
      </c>
    </row>
    <row r="14" spans="1:10" x14ac:dyDescent="0.25">
      <c r="A14" s="10" t="s">
        <v>100</v>
      </c>
      <c r="C14" s="18">
        <v>9.7999999999999997E-3</v>
      </c>
      <c r="D14" s="17">
        <v>9.4000000000000004E-3</v>
      </c>
      <c r="E14" s="17">
        <v>8.0000000000000002E-3</v>
      </c>
      <c r="F14" s="17">
        <v>9.9000000000000008E-3</v>
      </c>
      <c r="G14" s="19">
        <v>1.18E-2</v>
      </c>
    </row>
    <row r="17" spans="1:9" x14ac:dyDescent="0.25">
      <c r="B17" s="86" t="s">
        <v>25</v>
      </c>
      <c r="C17" s="86" t="s">
        <v>26</v>
      </c>
      <c r="D17" s="86" t="s">
        <v>28</v>
      </c>
      <c r="E17" s="86" t="s">
        <v>29</v>
      </c>
      <c r="F17" s="86" t="s">
        <v>30</v>
      </c>
      <c r="G17" s="86" t="s">
        <v>31</v>
      </c>
      <c r="H17" s="86" t="s">
        <v>32</v>
      </c>
    </row>
    <row r="18" spans="1:9" x14ac:dyDescent="0.25">
      <c r="A18" s="21" t="s">
        <v>104</v>
      </c>
      <c r="B18" s="95">
        <v>0.01</v>
      </c>
      <c r="C18" s="13">
        <v>8.9999999999999993E-3</v>
      </c>
      <c r="D18" s="13">
        <v>7.0000000000000001E-3</v>
      </c>
      <c r="E18" s="13">
        <v>7.0000000000000001E-3</v>
      </c>
      <c r="F18" s="13">
        <v>8.0000000000000002E-3</v>
      </c>
      <c r="G18" s="13">
        <v>1.0999999999999999E-2</v>
      </c>
      <c r="H18" s="151">
        <f>AVERAGE(C18:G18)</f>
        <v>8.3999999999999995E-3</v>
      </c>
      <c r="I18" s="11" t="s">
        <v>108</v>
      </c>
    </row>
    <row r="19" spans="1:9" x14ac:dyDescent="0.25">
      <c r="A19" s="21" t="s">
        <v>105</v>
      </c>
      <c r="B19" s="96">
        <v>5.0000000000000001E-3</v>
      </c>
      <c r="C19" s="22">
        <v>8.3683168386257095E-3</v>
      </c>
      <c r="D19" s="22">
        <v>8.3540705438707192E-3</v>
      </c>
      <c r="E19" s="22">
        <v>7.3587100156624601E-3</v>
      </c>
      <c r="F19" s="22">
        <v>8.4859008253557206E-3</v>
      </c>
      <c r="G19" s="22">
        <v>1.0754798391217299E-2</v>
      </c>
      <c r="H19" s="152">
        <f>AVERAGE(D19:G19)</f>
        <v>8.7383699440265489E-3</v>
      </c>
    </row>
    <row r="20" spans="1:9" x14ac:dyDescent="0.25">
      <c r="A20" s="14" t="s">
        <v>106</v>
      </c>
    </row>
    <row r="22" spans="1:9" x14ac:dyDescent="0.25">
      <c r="A22" s="24" t="s">
        <v>203</v>
      </c>
    </row>
    <row r="26" spans="1:9" s="147" customFormat="1" x14ac:dyDescent="0.25">
      <c r="A26" s="141" t="s">
        <v>235</v>
      </c>
    </row>
    <row r="28" spans="1:9" x14ac:dyDescent="0.25">
      <c r="A28" s="26" t="s">
        <v>204</v>
      </c>
      <c r="B28" s="86" t="s">
        <v>26</v>
      </c>
      <c r="C28" s="86" t="s">
        <v>28</v>
      </c>
      <c r="D28" s="86" t="s">
        <v>29</v>
      </c>
      <c r="E28" s="86" t="s">
        <v>30</v>
      </c>
      <c r="F28" s="86" t="s">
        <v>31</v>
      </c>
      <c r="G28" s="86" t="s">
        <v>32</v>
      </c>
      <c r="H28" s="87"/>
    </row>
    <row r="29" spans="1:9" x14ac:dyDescent="0.25">
      <c r="A29" s="27" t="s">
        <v>205</v>
      </c>
      <c r="B29" s="28">
        <v>853251.41771013418</v>
      </c>
      <c r="C29" s="28">
        <v>868372.3628403577</v>
      </c>
      <c r="D29" s="28">
        <v>883573.35940435715</v>
      </c>
      <c r="E29" s="28">
        <v>898858.42110557656</v>
      </c>
      <c r="F29" s="28">
        <v>914260.23833687708</v>
      </c>
      <c r="G29" s="28">
        <v>929753.43615679897</v>
      </c>
    </row>
    <row r="30" spans="1:9" x14ac:dyDescent="0.25">
      <c r="A30" s="27" t="s">
        <v>206</v>
      </c>
      <c r="B30" s="28">
        <v>47228.678763455951</v>
      </c>
      <c r="C30" s="28">
        <v>47534.808934340072</v>
      </c>
      <c r="D30" s="28">
        <v>47842.923401291315</v>
      </c>
      <c r="E30" s="28">
        <v>48153.035026259444</v>
      </c>
      <c r="F30" s="28">
        <v>48465.15675456373</v>
      </c>
      <c r="G30" s="28">
        <v>48779.301615433316</v>
      </c>
    </row>
    <row r="31" spans="1:9" x14ac:dyDescent="0.25">
      <c r="A31" s="27" t="s">
        <v>207</v>
      </c>
      <c r="B31" s="28">
        <v>2114.9357600000003</v>
      </c>
      <c r="C31" s="28">
        <v>2114.9357600000003</v>
      </c>
      <c r="D31" s="28">
        <v>2127.3356560000002</v>
      </c>
      <c r="E31" s="28">
        <v>2177.3345220000006</v>
      </c>
      <c r="F31" s="28">
        <v>2229.3232969999999</v>
      </c>
      <c r="G31" s="28">
        <v>2282.1835289999995</v>
      </c>
    </row>
    <row r="33" spans="1:11" x14ac:dyDescent="0.25">
      <c r="A33" s="70" t="s">
        <v>215</v>
      </c>
      <c r="K33" s="97"/>
    </row>
    <row r="34" spans="1:11" x14ac:dyDescent="0.25">
      <c r="A34" s="26" t="s">
        <v>208</v>
      </c>
      <c r="B34" s="86" t="s">
        <v>26</v>
      </c>
      <c r="C34" s="86" t="s">
        <v>28</v>
      </c>
      <c r="D34" s="86" t="s">
        <v>29</v>
      </c>
      <c r="E34" s="86" t="s">
        <v>30</v>
      </c>
      <c r="F34" s="86" t="s">
        <v>31</v>
      </c>
      <c r="G34" s="86" t="s">
        <v>32</v>
      </c>
      <c r="H34" s="14"/>
      <c r="K34" s="98"/>
    </row>
    <row r="35" spans="1:11" x14ac:dyDescent="0.25">
      <c r="A35" s="27" t="s">
        <v>205</v>
      </c>
      <c r="B35" s="29">
        <f>B29</f>
        <v>853251.41771013418</v>
      </c>
      <c r="C35" s="29">
        <f>C29-C43</f>
        <v>868367.3628403577</v>
      </c>
      <c r="D35" s="29">
        <f>D29-D43</f>
        <v>883563.35940435715</v>
      </c>
      <c r="E35" s="29">
        <f>E29-E43</f>
        <v>898843.42110557656</v>
      </c>
      <c r="F35" s="29">
        <f>F29-F43</f>
        <v>914240.23833687708</v>
      </c>
      <c r="G35" s="29">
        <f>G29-G43</f>
        <v>929728.43615679897</v>
      </c>
    </row>
    <row r="36" spans="1:11" x14ac:dyDescent="0.25">
      <c r="A36" s="27" t="s">
        <v>206</v>
      </c>
      <c r="B36" s="29">
        <f>B30</f>
        <v>47228.678763455951</v>
      </c>
      <c r="C36" s="29">
        <f>C30-C42</f>
        <v>47506.116692032381</v>
      </c>
      <c r="D36" s="29">
        <f>D30-D42</f>
        <v>47814.231158983624</v>
      </c>
      <c r="E36" s="29">
        <f>E30-E42</f>
        <v>48127.569696874831</v>
      </c>
      <c r="F36" s="29">
        <f>F30-F42</f>
        <v>48444.531794563729</v>
      </c>
      <c r="G36" s="29">
        <f>G30-G42</f>
        <v>48753.222853125626</v>
      </c>
    </row>
    <row r="37" spans="1:11" x14ac:dyDescent="0.25">
      <c r="A37" s="27" t="s">
        <v>207</v>
      </c>
      <c r="B37" s="29">
        <f>B31</f>
        <v>2114.9357600000003</v>
      </c>
      <c r="C37" s="29">
        <f>C31-C44</f>
        <v>2114.8357600000004</v>
      </c>
      <c r="D37" s="29">
        <f>D31-D44</f>
        <v>2127.1356560000004</v>
      </c>
      <c r="E37" s="29">
        <f>E31-E44</f>
        <v>2177.0345220000004</v>
      </c>
      <c r="F37" s="29">
        <f>F31-F44</f>
        <v>2228.9232969999998</v>
      </c>
      <c r="G37" s="29">
        <f>G31-G44</f>
        <v>2281.6835289999995</v>
      </c>
    </row>
    <row r="40" spans="1:11" x14ac:dyDescent="0.25">
      <c r="A40" s="331" t="s">
        <v>216</v>
      </c>
      <c r="B40" s="329"/>
      <c r="C40" s="139" t="s">
        <v>28</v>
      </c>
      <c r="D40" s="86" t="s">
        <v>29</v>
      </c>
      <c r="E40" s="86" t="s">
        <v>30</v>
      </c>
      <c r="F40" s="86" t="s">
        <v>31</v>
      </c>
      <c r="G40" s="86" t="s">
        <v>32</v>
      </c>
    </row>
    <row r="41" spans="1:11" x14ac:dyDescent="0.25">
      <c r="A41" s="142" t="s">
        <v>209</v>
      </c>
      <c r="B41" s="329"/>
      <c r="C41" s="327">
        <v>28.692242307692315</v>
      </c>
      <c r="D41" s="30">
        <v>57.384484615384629</v>
      </c>
      <c r="E41" s="30">
        <v>82.849814000000009</v>
      </c>
      <c r="F41" s="30">
        <v>103.47477400000001</v>
      </c>
      <c r="G41" s="30">
        <v>129.55353630769233</v>
      </c>
    </row>
    <row r="42" spans="1:11" x14ac:dyDescent="0.25">
      <c r="A42" s="142" t="s">
        <v>210</v>
      </c>
      <c r="B42" s="329"/>
      <c r="C42" s="327">
        <v>28.692242307692315</v>
      </c>
      <c r="D42" s="30">
        <v>28.692242307692315</v>
      </c>
      <c r="E42" s="30">
        <v>25.465329384615387</v>
      </c>
      <c r="F42" s="30">
        <v>20.624960000000002</v>
      </c>
      <c r="G42" s="30">
        <v>26.078762307692308</v>
      </c>
    </row>
    <row r="43" spans="1:11" x14ac:dyDescent="0.25">
      <c r="A43" s="142" t="s">
        <v>211</v>
      </c>
      <c r="B43" s="329"/>
      <c r="C43" s="328">
        <v>5</v>
      </c>
      <c r="D43" s="31">
        <v>10</v>
      </c>
      <c r="E43" s="31">
        <v>15</v>
      </c>
      <c r="F43" s="31">
        <v>20</v>
      </c>
      <c r="G43" s="31">
        <v>25</v>
      </c>
    </row>
    <row r="44" spans="1:11" x14ac:dyDescent="0.25">
      <c r="A44" s="143" t="s">
        <v>212</v>
      </c>
      <c r="B44" s="330"/>
      <c r="C44" s="327">
        <v>0.1</v>
      </c>
      <c r="D44" s="30">
        <v>0.2</v>
      </c>
      <c r="E44" s="30">
        <v>0.3</v>
      </c>
      <c r="F44" s="30">
        <v>0.4</v>
      </c>
      <c r="G44" s="30">
        <v>0.5</v>
      </c>
    </row>
    <row r="46" spans="1:11" s="147" customFormat="1" x14ac:dyDescent="0.25">
      <c r="A46" s="141" t="s">
        <v>264</v>
      </c>
    </row>
    <row r="47" spans="1:11" x14ac:dyDescent="0.25">
      <c r="A47" s="70" t="s">
        <v>266</v>
      </c>
      <c r="D47" s="180">
        <v>2115</v>
      </c>
    </row>
    <row r="49" spans="1:10" ht="32.450000000000003" customHeight="1" x14ac:dyDescent="0.25">
      <c r="A49" s="175" t="s">
        <v>258</v>
      </c>
      <c r="B49" s="176" t="s">
        <v>259</v>
      </c>
      <c r="C49" s="176" t="s">
        <v>260</v>
      </c>
      <c r="D49" s="177" t="s">
        <v>261</v>
      </c>
      <c r="E49" s="178" t="s">
        <v>265</v>
      </c>
      <c r="F49" s="87"/>
      <c r="G49" s="166" t="s">
        <v>262</v>
      </c>
      <c r="J49" s="179" t="s">
        <v>257</v>
      </c>
    </row>
    <row r="50" spans="1:10" ht="14.1" customHeight="1" x14ac:dyDescent="0.25">
      <c r="A50" s="167">
        <v>2024</v>
      </c>
      <c r="B50" s="192">
        <v>2122.6544000000004</v>
      </c>
      <c r="C50" s="192">
        <v>1952.3531299999997</v>
      </c>
      <c r="D50" s="193">
        <f t="shared" ref="D50:D56" si="2">B50*0.3+C50*0.7</f>
        <v>2003.4435109999999</v>
      </c>
      <c r="E50" s="168" t="s">
        <v>25</v>
      </c>
      <c r="G50" s="169">
        <f t="shared" ref="G50:G56" si="3">MAX($D$47,D50)</f>
        <v>2115</v>
      </c>
      <c r="J50" s="27" t="s">
        <v>243</v>
      </c>
    </row>
    <row r="51" spans="1:10" ht="15.6" customHeight="1" x14ac:dyDescent="0.25">
      <c r="A51" s="167">
        <v>2025</v>
      </c>
      <c r="B51" s="192">
        <v>2162.4491400000002</v>
      </c>
      <c r="C51" s="192">
        <v>1986.7658100000001</v>
      </c>
      <c r="D51" s="193">
        <f t="shared" si="2"/>
        <v>2039.4708089999999</v>
      </c>
      <c r="E51" s="168" t="s">
        <v>26</v>
      </c>
      <c r="F51" s="361" t="s">
        <v>263</v>
      </c>
      <c r="G51" s="169">
        <f t="shared" si="3"/>
        <v>2115</v>
      </c>
      <c r="J51" s="27" t="s">
        <v>244</v>
      </c>
    </row>
    <row r="52" spans="1:10" x14ac:dyDescent="0.25">
      <c r="A52" s="167">
        <v>2026</v>
      </c>
      <c r="B52" s="192">
        <v>2208.7034999999996</v>
      </c>
      <c r="C52" s="192">
        <v>2025.8060399999999</v>
      </c>
      <c r="D52" s="193">
        <f t="shared" si="2"/>
        <v>2080.6752779999997</v>
      </c>
      <c r="E52" s="168" t="s">
        <v>28</v>
      </c>
      <c r="F52" s="361"/>
      <c r="G52" s="169">
        <f t="shared" si="3"/>
        <v>2115</v>
      </c>
      <c r="J52" s="27" t="s">
        <v>245</v>
      </c>
    </row>
    <row r="53" spans="1:10" x14ac:dyDescent="0.25">
      <c r="A53" s="167">
        <v>2027</v>
      </c>
      <c r="B53" s="192">
        <v>2260.2002899999998</v>
      </c>
      <c r="C53" s="192">
        <v>2070.3936700000004</v>
      </c>
      <c r="D53" s="193">
        <f t="shared" si="2"/>
        <v>2127.3356560000002</v>
      </c>
      <c r="E53" s="168" t="s">
        <v>29</v>
      </c>
      <c r="F53" s="361"/>
      <c r="G53" s="169">
        <f t="shared" si="3"/>
        <v>2127.3356560000002</v>
      </c>
      <c r="J53" s="27" t="s">
        <v>246</v>
      </c>
    </row>
    <row r="54" spans="1:10" x14ac:dyDescent="0.25">
      <c r="A54" s="167">
        <v>2028</v>
      </c>
      <c r="B54" s="192">
        <v>2315.0900700000007</v>
      </c>
      <c r="C54" s="192">
        <v>2118.2964300000003</v>
      </c>
      <c r="D54" s="193">
        <f t="shared" si="2"/>
        <v>2177.3345220000006</v>
      </c>
      <c r="E54" s="168" t="s">
        <v>30</v>
      </c>
      <c r="F54" s="361"/>
      <c r="G54" s="169">
        <f t="shared" si="3"/>
        <v>2177.3345220000006</v>
      </c>
      <c r="J54" s="27" t="s">
        <v>247</v>
      </c>
    </row>
    <row r="55" spans="1:10" x14ac:dyDescent="0.25">
      <c r="A55" s="167">
        <v>2029</v>
      </c>
      <c r="B55" s="192">
        <v>2373.0720000000001</v>
      </c>
      <c r="C55" s="192">
        <v>2167.7167099999997</v>
      </c>
      <c r="D55" s="193">
        <f t="shared" si="2"/>
        <v>2229.3232969999999</v>
      </c>
      <c r="E55" s="168" t="s">
        <v>31</v>
      </c>
      <c r="F55" s="361"/>
      <c r="G55" s="169">
        <f t="shared" si="3"/>
        <v>2229.3232969999999</v>
      </c>
      <c r="J55" s="27" t="s">
        <v>248</v>
      </c>
    </row>
    <row r="56" spans="1:10" x14ac:dyDescent="0.25">
      <c r="A56" s="167">
        <v>2030</v>
      </c>
      <c r="B56" s="192">
        <v>2432.0349999999999</v>
      </c>
      <c r="C56" s="192">
        <v>2217.9614699999997</v>
      </c>
      <c r="D56" s="193">
        <f t="shared" si="2"/>
        <v>2282.1835289999995</v>
      </c>
      <c r="E56" s="168" t="s">
        <v>32</v>
      </c>
      <c r="F56" s="361"/>
      <c r="G56" s="169">
        <f t="shared" si="3"/>
        <v>2282.1835289999995</v>
      </c>
      <c r="H56" s="170"/>
      <c r="I56" s="171"/>
      <c r="J56" s="27" t="s">
        <v>249</v>
      </c>
    </row>
    <row r="57" spans="1:10" x14ac:dyDescent="0.25">
      <c r="B57" s="169"/>
      <c r="C57" s="171"/>
      <c r="D57" s="171"/>
      <c r="E57" s="172"/>
      <c r="F57" s="173"/>
      <c r="G57" s="174"/>
      <c r="H57" s="170"/>
      <c r="I57" s="171"/>
      <c r="J57" s="27" t="s">
        <v>250</v>
      </c>
    </row>
    <row r="58" spans="1:10" x14ac:dyDescent="0.25">
      <c r="C58" s="170"/>
      <c r="D58" s="172"/>
      <c r="E58" s="172"/>
      <c r="F58" s="173"/>
      <c r="G58" s="174"/>
      <c r="H58" s="170"/>
      <c r="I58" s="171"/>
      <c r="J58" s="27" t="s">
        <v>251</v>
      </c>
    </row>
    <row r="59" spans="1:10" x14ac:dyDescent="0.25">
      <c r="C59" s="170"/>
      <c r="D59" s="172"/>
      <c r="E59" s="172"/>
      <c r="F59" s="173"/>
      <c r="G59" s="174"/>
      <c r="H59" s="170"/>
      <c r="I59" s="171"/>
      <c r="J59" s="27" t="s">
        <v>252</v>
      </c>
    </row>
    <row r="60" spans="1:10" x14ac:dyDescent="0.25">
      <c r="C60" s="170"/>
      <c r="D60" s="172"/>
      <c r="E60" s="172"/>
      <c r="F60" s="173"/>
      <c r="G60" s="174"/>
      <c r="H60" s="170"/>
      <c r="I60" s="171"/>
      <c r="J60" s="27" t="s">
        <v>253</v>
      </c>
    </row>
    <row r="61" spans="1:10" x14ac:dyDescent="0.25">
      <c r="C61" s="170"/>
      <c r="D61" s="172"/>
      <c r="E61" s="172"/>
      <c r="F61" s="173"/>
      <c r="G61" s="174"/>
      <c r="H61" s="170"/>
      <c r="I61" s="171"/>
      <c r="J61" s="27" t="s">
        <v>254</v>
      </c>
    </row>
    <row r="62" spans="1:10" x14ac:dyDescent="0.25">
      <c r="C62" s="170"/>
      <c r="D62" s="172"/>
      <c r="E62" s="172"/>
      <c r="F62" s="173"/>
      <c r="G62" s="174"/>
      <c r="H62" s="170"/>
      <c r="I62" s="171"/>
      <c r="J62" s="27" t="s">
        <v>255</v>
      </c>
    </row>
    <row r="63" spans="1:10" x14ac:dyDescent="0.25">
      <c r="J63" s="27" t="s">
        <v>256</v>
      </c>
    </row>
    <row r="67" spans="1:27" s="147" customFormat="1" x14ac:dyDescent="0.25">
      <c r="A67" s="141" t="s">
        <v>270</v>
      </c>
    </row>
    <row r="68" spans="1:27" x14ac:dyDescent="0.25">
      <c r="A68" s="11" t="s">
        <v>332</v>
      </c>
    </row>
    <row r="69" spans="1:27" x14ac:dyDescent="0.25">
      <c r="B69" s="11">
        <v>2006</v>
      </c>
      <c r="C69" s="11">
        <v>2007</v>
      </c>
      <c r="D69" s="11">
        <v>2008</v>
      </c>
      <c r="E69" s="11">
        <v>2009</v>
      </c>
      <c r="F69" s="11">
        <v>2010</v>
      </c>
      <c r="G69" s="11">
        <v>2011</v>
      </c>
      <c r="H69" s="11">
        <v>2012</v>
      </c>
      <c r="I69" s="11">
        <v>2013</v>
      </c>
      <c r="J69" s="11">
        <v>2014</v>
      </c>
      <c r="K69" s="11">
        <v>2015</v>
      </c>
      <c r="L69" s="11">
        <v>2016</v>
      </c>
      <c r="M69" s="11">
        <v>2017</v>
      </c>
      <c r="N69" s="11">
        <v>2018</v>
      </c>
      <c r="O69" s="11">
        <v>2019</v>
      </c>
      <c r="P69" s="11">
        <v>2020</v>
      </c>
      <c r="Q69" s="11">
        <v>2021</v>
      </c>
      <c r="R69" s="11">
        <v>2022</v>
      </c>
      <c r="S69" s="11">
        <v>2023</v>
      </c>
      <c r="T69" s="11">
        <v>2024</v>
      </c>
      <c r="U69" s="11">
        <v>2025</v>
      </c>
      <c r="V69" s="11">
        <v>2026</v>
      </c>
      <c r="W69" s="11">
        <v>2027</v>
      </c>
      <c r="X69" s="11">
        <v>2028</v>
      </c>
      <c r="Y69" s="11">
        <v>2029</v>
      </c>
      <c r="Z69" s="11">
        <v>2030</v>
      </c>
      <c r="AA69" s="11">
        <v>2031</v>
      </c>
    </row>
    <row r="70" spans="1:27" x14ac:dyDescent="0.25">
      <c r="A70" s="181" t="s">
        <v>269</v>
      </c>
      <c r="B70" s="182">
        <v>41507.07</v>
      </c>
      <c r="C70" s="182">
        <v>41835.892999999996</v>
      </c>
      <c r="D70" s="182">
        <v>42110.843000000001</v>
      </c>
      <c r="E70" s="182">
        <v>42711.531000000003</v>
      </c>
      <c r="F70" s="182">
        <v>42968.714999999997</v>
      </c>
      <c r="G70" s="182">
        <v>43213.931000000004</v>
      </c>
      <c r="H70" s="182">
        <v>43702.130999999994</v>
      </c>
      <c r="I70" s="182">
        <v>43821.926999999996</v>
      </c>
      <c r="J70" s="182">
        <v>44255.045791259996</v>
      </c>
      <c r="K70" s="182">
        <v>44349.203980980004</v>
      </c>
      <c r="L70" s="182">
        <v>44703.30605698</v>
      </c>
      <c r="M70" s="182">
        <v>44907.44428797</v>
      </c>
      <c r="N70" s="182">
        <v>45114.59</v>
      </c>
      <c r="O70" s="182">
        <v>45494.429999999993</v>
      </c>
      <c r="P70" s="182">
        <v>45734.09</v>
      </c>
      <c r="Q70" s="182">
        <v>45878.719778999759</v>
      </c>
      <c r="R70" s="182">
        <v>46042.753504999353</v>
      </c>
      <c r="S70" s="182">
        <v>46322.066647</v>
      </c>
      <c r="T70" s="183">
        <f t="shared" ref="T70:AA70" si="4">S70*(1+$S$73)</f>
        <v>46622.320275719423</v>
      </c>
      <c r="U70" s="183">
        <f t="shared" si="4"/>
        <v>46924.520109521756</v>
      </c>
      <c r="V70" s="183">
        <f t="shared" si="4"/>
        <v>47228.678763455951</v>
      </c>
      <c r="W70" s="183">
        <f t="shared" si="4"/>
        <v>47534.808934340072</v>
      </c>
      <c r="X70" s="183">
        <f t="shared" si="4"/>
        <v>47842.923401291315</v>
      </c>
      <c r="Y70" s="183">
        <f t="shared" si="4"/>
        <v>48153.035026259444</v>
      </c>
      <c r="Z70" s="183">
        <f t="shared" si="4"/>
        <v>48465.15675456373</v>
      </c>
      <c r="AA70" s="183">
        <f t="shared" si="4"/>
        <v>48779.301615433316</v>
      </c>
    </row>
    <row r="71" spans="1:27" ht="26.25" x14ac:dyDescent="0.25">
      <c r="A71" s="181" t="s">
        <v>267</v>
      </c>
      <c r="B71" s="184"/>
      <c r="C71" s="185">
        <f t="shared" ref="C71:W71" si="5">C70-B70</f>
        <v>328.82299999999668</v>
      </c>
      <c r="D71" s="185">
        <f t="shared" si="5"/>
        <v>274.95000000000437</v>
      </c>
      <c r="E71" s="185">
        <f t="shared" si="5"/>
        <v>600.68800000000192</v>
      </c>
      <c r="F71" s="185">
        <f t="shared" si="5"/>
        <v>257.18399999999383</v>
      </c>
      <c r="G71" s="185">
        <f t="shared" si="5"/>
        <v>245.21600000000763</v>
      </c>
      <c r="H71" s="185">
        <f t="shared" si="5"/>
        <v>488.19999999998981</v>
      </c>
      <c r="I71" s="185">
        <f t="shared" si="5"/>
        <v>119.7960000000021</v>
      </c>
      <c r="J71" s="185">
        <f t="shared" si="5"/>
        <v>433.11879125999985</v>
      </c>
      <c r="K71" s="185">
        <f t="shared" si="5"/>
        <v>94.158189720008522</v>
      </c>
      <c r="L71" s="185">
        <f t="shared" si="5"/>
        <v>354.10207599999558</v>
      </c>
      <c r="M71" s="185">
        <f t="shared" si="5"/>
        <v>204.13823099000001</v>
      </c>
      <c r="N71" s="185">
        <f t="shared" si="5"/>
        <v>207.1457120299965</v>
      </c>
      <c r="O71" s="185">
        <f t="shared" si="5"/>
        <v>379.83999999999651</v>
      </c>
      <c r="P71" s="185">
        <f t="shared" si="5"/>
        <v>239.66000000000349</v>
      </c>
      <c r="Q71" s="185">
        <f t="shared" si="5"/>
        <v>144.62977899976249</v>
      </c>
      <c r="R71" s="185">
        <f t="shared" si="5"/>
        <v>164.03372599959403</v>
      </c>
      <c r="S71" s="185">
        <f t="shared" si="5"/>
        <v>279.31314200064662</v>
      </c>
      <c r="T71" s="185">
        <f t="shared" si="5"/>
        <v>300.25362871942343</v>
      </c>
      <c r="U71" s="185">
        <f t="shared" si="5"/>
        <v>302.19983380233316</v>
      </c>
      <c r="V71" s="185">
        <f t="shared" si="5"/>
        <v>304.15865393419517</v>
      </c>
      <c r="W71" s="186">
        <f t="shared" si="5"/>
        <v>306.13017088412016</v>
      </c>
      <c r="X71" s="187">
        <f>X70-W70</f>
        <v>308.11446695124323</v>
      </c>
      <c r="Y71" s="187">
        <f t="shared" ref="Y71:AA71" si="6">Y70-X70</f>
        <v>310.11162496812904</v>
      </c>
      <c r="Z71" s="187">
        <f t="shared" si="6"/>
        <v>312.12172830428608</v>
      </c>
      <c r="AA71" s="187">
        <f t="shared" si="6"/>
        <v>314.14486086958641</v>
      </c>
    </row>
    <row r="72" spans="1:27" x14ac:dyDescent="0.25">
      <c r="A72" s="181" t="s">
        <v>268</v>
      </c>
      <c r="B72" s="184"/>
      <c r="C72" s="188">
        <f>C71/B70</f>
        <v>7.9220961633764252E-3</v>
      </c>
      <c r="D72" s="188">
        <f t="shared" ref="D72:W72" si="7">D71/C70</f>
        <v>6.5721078309480428E-3</v>
      </c>
      <c r="E72" s="188">
        <f t="shared" si="7"/>
        <v>1.4264449657300898E-2</v>
      </c>
      <c r="F72" s="188">
        <f t="shared" si="7"/>
        <v>6.0214184314768254E-3</v>
      </c>
      <c r="G72" s="188">
        <f t="shared" si="7"/>
        <v>5.7068497393977834E-3</v>
      </c>
      <c r="H72" s="188">
        <f t="shared" si="7"/>
        <v>1.1297282813729437E-2</v>
      </c>
      <c r="I72" s="188">
        <f t="shared" si="7"/>
        <v>2.7411935587306284E-3</v>
      </c>
      <c r="J72" s="188">
        <f t="shared" si="7"/>
        <v>9.8836089809560389E-3</v>
      </c>
      <c r="K72" s="188">
        <f t="shared" si="7"/>
        <v>2.1276260827777513E-3</v>
      </c>
      <c r="L72" s="188">
        <f t="shared" si="7"/>
        <v>7.9844065781171387E-3</v>
      </c>
      <c r="M72" s="188">
        <f t="shared" si="7"/>
        <v>4.5665130612442869E-3</v>
      </c>
      <c r="N72" s="188">
        <f t="shared" si="7"/>
        <v>4.6127254693379997E-3</v>
      </c>
      <c r="O72" s="188">
        <f t="shared" si="7"/>
        <v>8.4194492291738993E-3</v>
      </c>
      <c r="P72" s="188">
        <f t="shared" si="7"/>
        <v>5.2678976305451791E-3</v>
      </c>
      <c r="Q72" s="188">
        <f t="shared" si="7"/>
        <v>3.1624064018713942E-3</v>
      </c>
      <c r="R72" s="188">
        <f t="shared" si="7"/>
        <v>3.5753771419462714E-3</v>
      </c>
      <c r="S72" s="188">
        <f t="shared" si="7"/>
        <v>6.066386580687852E-3</v>
      </c>
      <c r="T72" s="188">
        <f>T71/S70</f>
        <v>6.4818703148010141E-3</v>
      </c>
      <c r="U72" s="188">
        <f t="shared" si="7"/>
        <v>6.4818703148010574E-3</v>
      </c>
      <c r="V72" s="188">
        <f t="shared" si="7"/>
        <v>6.4818703148010757E-3</v>
      </c>
      <c r="W72" s="189">
        <f t="shared" si="7"/>
        <v>6.4818703148010557E-3</v>
      </c>
      <c r="X72" s="189">
        <f>X71/W70</f>
        <v>6.4818703148011468E-3</v>
      </c>
      <c r="Y72" s="189">
        <f t="shared" ref="Y72:AA72" si="8">Y71/X70</f>
        <v>6.4818703148010158E-3</v>
      </c>
      <c r="Z72" s="189">
        <f t="shared" si="8"/>
        <v>6.4818703148010453E-3</v>
      </c>
      <c r="AA72" s="189">
        <f t="shared" si="8"/>
        <v>6.4818703148010531E-3</v>
      </c>
    </row>
    <row r="73" spans="1:27" ht="26.25" x14ac:dyDescent="0.25">
      <c r="A73" s="181" t="s">
        <v>328</v>
      </c>
      <c r="S73" s="15">
        <f>AVERAGE(C72:S72)</f>
        <v>6.4818703148010488E-3</v>
      </c>
    </row>
    <row r="75" spans="1:27" x14ac:dyDescent="0.25">
      <c r="A75" s="190"/>
      <c r="B75" s="190"/>
      <c r="C75" s="190"/>
      <c r="D75" s="190"/>
      <c r="E75" s="190"/>
    </row>
    <row r="76" spans="1:27" ht="16.5" x14ac:dyDescent="0.3">
      <c r="A76" s="165"/>
      <c r="B76" s="165"/>
      <c r="C76" s="165"/>
      <c r="D76" s="165"/>
      <c r="E76" s="165"/>
    </row>
    <row r="77" spans="1:27" ht="16.5" x14ac:dyDescent="0.3">
      <c r="A77" s="191"/>
      <c r="B77" s="191"/>
      <c r="C77" s="191"/>
      <c r="D77" s="191"/>
      <c r="E77" s="191"/>
    </row>
    <row r="78" spans="1:27" ht="16.5" x14ac:dyDescent="0.3">
      <c r="A78" s="25"/>
      <c r="B78" s="25"/>
      <c r="C78" s="25"/>
      <c r="D78" s="25"/>
      <c r="E78" s="25"/>
    </row>
  </sheetData>
  <mergeCells count="1">
    <mergeCell ref="F51:F56"/>
  </mergeCells>
  <phoneticPr fontId="8" type="noConversion"/>
  <pageMargins left="0.7" right="0.7" top="0.75" bottom="0.75" header="0.3" footer="0.3"/>
  <pageSetup paperSize="9" scale="88" orientation="landscape" r:id="rId1"/>
  <headerFooter>
    <oddFooter>&amp;C_x000D_&amp;1#&amp;"Century Gothic"&amp;7&amp;K7F7F7F CONFIDENTIAL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C74BD-F211-4128-A9C7-EC4A87FCE9AF}">
  <dimension ref="A1:S66"/>
  <sheetViews>
    <sheetView workbookViewId="0">
      <selection activeCell="K61" sqref="K61"/>
    </sheetView>
  </sheetViews>
  <sheetFormatPr defaultColWidth="9" defaultRowHeight="13.5" x14ac:dyDescent="0.25"/>
  <cols>
    <col min="1" max="1" width="14.625" style="11" customWidth="1"/>
    <col min="2" max="2" width="11.875" style="11" customWidth="1"/>
    <col min="3" max="3" width="10" style="11" customWidth="1"/>
    <col min="4" max="4" width="9.875" style="11" customWidth="1"/>
    <col min="5" max="5" width="10.125" style="11" customWidth="1"/>
    <col min="6" max="8" width="9" style="11"/>
    <col min="9" max="9" width="10.125" style="11" customWidth="1"/>
    <col min="10" max="10" width="11.25" style="11" customWidth="1"/>
    <col min="11" max="12" width="9" style="11"/>
    <col min="13" max="13" width="14.75" style="11" customWidth="1"/>
    <col min="14" max="16384" width="9" style="11"/>
  </cols>
  <sheetData>
    <row r="1" spans="1:19" s="149" customFormat="1" x14ac:dyDescent="0.25">
      <c r="A1" s="94" t="s">
        <v>179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148"/>
      <c r="S1" s="148"/>
    </row>
    <row r="2" spans="1:19" ht="14.25" thickBot="1" x14ac:dyDescent="0.3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spans="1:19" x14ac:dyDescent="0.25">
      <c r="A3" s="32" t="s">
        <v>180</v>
      </c>
      <c r="B3" s="33">
        <f>146.1/107.5</f>
        <v>1.3590697674418604</v>
      </c>
      <c r="C3" s="34">
        <f>146.1/108.6</f>
        <v>1.3453038674033149</v>
      </c>
      <c r="D3" s="34">
        <f>146.1/110.7</f>
        <v>1.3197831978319783</v>
      </c>
      <c r="E3" s="34">
        <f>146.1/113</f>
        <v>1.2929203539823009</v>
      </c>
      <c r="F3" s="35">
        <f t="shared" ref="F3:J3" si="0">F4/F6</f>
        <v>1.2777035714285714</v>
      </c>
      <c r="G3" s="33">
        <f t="shared" si="0"/>
        <v>1.2821710664335664</v>
      </c>
      <c r="H3" s="34">
        <f t="shared" si="0"/>
        <v>1.2580272803546544</v>
      </c>
      <c r="I3" s="34">
        <f t="shared" si="0"/>
        <v>1.1982447306706354</v>
      </c>
      <c r="J3" s="34">
        <f t="shared" si="0"/>
        <v>1.1295047055197704</v>
      </c>
      <c r="K3" s="35">
        <f>K4/K6</f>
        <v>1.0766665174736092</v>
      </c>
      <c r="L3" s="36" t="s">
        <v>217</v>
      </c>
      <c r="M3" s="37" t="s">
        <v>218</v>
      </c>
      <c r="N3" s="54"/>
      <c r="O3" s="99"/>
      <c r="P3" s="54"/>
      <c r="Q3" s="99"/>
      <c r="R3" s="54"/>
      <c r="S3" s="54"/>
    </row>
    <row r="4" spans="1:19" ht="14.25" thickBot="1" x14ac:dyDescent="0.3">
      <c r="A4" s="38" t="s">
        <v>181</v>
      </c>
      <c r="B4" s="39">
        <v>7.5894261209302316</v>
      </c>
      <c r="C4" s="40">
        <v>14.659762790055249</v>
      </c>
      <c r="D4" s="40">
        <v>4.0109399186991865</v>
      </c>
      <c r="E4" s="40">
        <v>6.4777636991150445</v>
      </c>
      <c r="F4" s="41">
        <v>10.430801423107143</v>
      </c>
      <c r="G4" s="42">
        <v>16.913977591939684</v>
      </c>
      <c r="H4" s="43">
        <v>0.823064348172034</v>
      </c>
      <c r="I4" s="43">
        <v>16.306055794714247</v>
      </c>
      <c r="J4" s="43">
        <v>8.375463759705509</v>
      </c>
      <c r="K4" s="41">
        <v>8.3025738828504689</v>
      </c>
      <c r="L4" s="44">
        <f>SUM(F4:K4)/5.5</f>
        <v>11.118533963725287</v>
      </c>
      <c r="M4" s="45">
        <f>SUM(B4:K4)/9.5</f>
        <v>9.8831399293988209</v>
      </c>
      <c r="N4" s="54"/>
      <c r="O4" s="100"/>
      <c r="P4" s="54"/>
      <c r="Q4" s="101"/>
      <c r="R4" s="54"/>
      <c r="S4" s="54"/>
    </row>
    <row r="5" spans="1:19" x14ac:dyDescent="0.25">
      <c r="A5" s="38" t="s">
        <v>23</v>
      </c>
      <c r="B5" s="46" t="s">
        <v>182</v>
      </c>
      <c r="C5" s="47" t="s">
        <v>183</v>
      </c>
      <c r="D5" s="47" t="s">
        <v>184</v>
      </c>
      <c r="E5" s="47" t="s">
        <v>185</v>
      </c>
      <c r="F5" s="48" t="s">
        <v>33</v>
      </c>
      <c r="G5" s="46" t="s">
        <v>34</v>
      </c>
      <c r="H5" s="47" t="s">
        <v>186</v>
      </c>
      <c r="I5" s="47" t="s">
        <v>35</v>
      </c>
      <c r="J5" s="47" t="s">
        <v>36</v>
      </c>
      <c r="K5" s="48" t="s">
        <v>4</v>
      </c>
      <c r="L5" s="36" t="s">
        <v>217</v>
      </c>
      <c r="M5" s="37" t="s">
        <v>218</v>
      </c>
      <c r="N5" s="54"/>
      <c r="O5" s="54"/>
      <c r="P5" s="54"/>
      <c r="Q5" s="54"/>
      <c r="R5" s="54"/>
      <c r="S5" s="54"/>
    </row>
    <row r="6" spans="1:19" ht="14.25" thickBot="1" x14ac:dyDescent="0.3">
      <c r="A6" s="49" t="s">
        <v>115</v>
      </c>
      <c r="B6" s="50">
        <v>5.5842799999999997</v>
      </c>
      <c r="C6" s="51">
        <v>10.896990000000001</v>
      </c>
      <c r="D6" s="51">
        <v>3.0390899999999998</v>
      </c>
      <c r="E6" s="51">
        <v>5.0101800000000001</v>
      </c>
      <c r="F6" s="52">
        <v>8.16371</v>
      </c>
      <c r="G6" s="50">
        <v>13.19167</v>
      </c>
      <c r="H6" s="51">
        <v>0.65425000000000111</v>
      </c>
      <c r="I6" s="51">
        <v>13.608285</v>
      </c>
      <c r="J6" s="53">
        <v>7.415165</v>
      </c>
      <c r="K6" s="53">
        <v>7.7113700000000023</v>
      </c>
      <c r="L6" s="44">
        <f>SUM(F6:K6)/5.5</f>
        <v>9.2262636363636386</v>
      </c>
      <c r="M6" s="45">
        <f>SUM(B6:K6)/9.5</f>
        <v>7.9236831578947369</v>
      </c>
      <c r="N6" s="54"/>
      <c r="O6" s="54"/>
      <c r="P6" s="54"/>
      <c r="Q6" s="54"/>
      <c r="R6" s="54"/>
      <c r="S6" s="54"/>
    </row>
    <row r="7" spans="1:19" x14ac:dyDescent="0.25">
      <c r="A7" s="54"/>
      <c r="B7" s="54"/>
      <c r="C7" s="54"/>
      <c r="D7" s="54"/>
      <c r="E7" s="54"/>
      <c r="F7" s="54"/>
      <c r="G7" s="54"/>
      <c r="H7" s="55">
        <v>15.672190000000001</v>
      </c>
      <c r="I7" s="55">
        <v>36.127985000000002</v>
      </c>
      <c r="J7" s="54"/>
      <c r="K7" s="56">
        <f>18.62118+K6</f>
        <v>26.332550000000001</v>
      </c>
      <c r="L7" s="54"/>
      <c r="M7" s="54"/>
      <c r="N7" s="54"/>
      <c r="O7" s="54"/>
      <c r="P7" s="54"/>
      <c r="Q7" s="54"/>
      <c r="R7" s="54"/>
      <c r="S7" s="54"/>
    </row>
    <row r="8" spans="1:19" x14ac:dyDescent="0.25">
      <c r="A8" s="54"/>
      <c r="B8" s="54"/>
      <c r="C8" s="54"/>
      <c r="D8" s="54"/>
      <c r="E8" s="54"/>
      <c r="F8" s="54"/>
      <c r="G8" s="54"/>
      <c r="H8" s="54" t="s">
        <v>1</v>
      </c>
      <c r="I8" s="54" t="s">
        <v>1</v>
      </c>
      <c r="J8" s="54"/>
      <c r="K8" s="54" t="s">
        <v>1</v>
      </c>
      <c r="L8" s="54"/>
      <c r="M8" s="54"/>
      <c r="N8" s="54"/>
      <c r="O8" s="54"/>
      <c r="P8" s="54"/>
      <c r="Q8" s="54"/>
      <c r="R8" s="54"/>
      <c r="S8" s="54"/>
    </row>
    <row r="9" spans="1:19" x14ac:dyDescent="0.25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</row>
    <row r="10" spans="1:19" x14ac:dyDescent="0.25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</row>
    <row r="11" spans="1:19" x14ac:dyDescent="0.25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</row>
    <row r="12" spans="1:19" x14ac:dyDescent="0.25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</row>
    <row r="13" spans="1:19" x14ac:dyDescent="0.25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</row>
    <row r="14" spans="1:19" s="147" customFormat="1" x14ac:dyDescent="0.25">
      <c r="A14" s="141" t="s">
        <v>321</v>
      </c>
      <c r="M14" s="146"/>
      <c r="N14" s="146"/>
      <c r="O14" s="146"/>
      <c r="P14" s="146"/>
      <c r="Q14" s="146"/>
      <c r="R14" s="146"/>
      <c r="S14" s="146"/>
    </row>
    <row r="15" spans="1:19" x14ac:dyDescent="0.25">
      <c r="N15" s="54"/>
      <c r="O15" s="54"/>
      <c r="P15" s="54"/>
      <c r="Q15" s="54"/>
      <c r="R15" s="54"/>
      <c r="S15" s="54"/>
    </row>
    <row r="16" spans="1:19" x14ac:dyDescent="0.25">
      <c r="B16" s="86" t="s">
        <v>28</v>
      </c>
      <c r="C16" s="86" t="s">
        <v>29</v>
      </c>
      <c r="D16" s="86" t="s">
        <v>30</v>
      </c>
      <c r="E16" s="86" t="s">
        <v>31</v>
      </c>
      <c r="F16" s="86" t="s">
        <v>32</v>
      </c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</row>
    <row r="17" spans="1:19" x14ac:dyDescent="0.25">
      <c r="A17" s="57" t="s">
        <v>201</v>
      </c>
      <c r="B17" s="40">
        <f>$L$4</f>
        <v>11.118533963725287</v>
      </c>
      <c r="C17" s="40">
        <f t="shared" ref="C17:F17" si="1">$L$4</f>
        <v>11.118533963725287</v>
      </c>
      <c r="D17" s="40">
        <f t="shared" si="1"/>
        <v>11.118533963725287</v>
      </c>
      <c r="E17" s="40">
        <f t="shared" si="1"/>
        <v>11.118533963725287</v>
      </c>
      <c r="F17" s="40">
        <f t="shared" si="1"/>
        <v>11.118533963725287</v>
      </c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</row>
    <row r="18" spans="1:19" ht="27" x14ac:dyDescent="0.25">
      <c r="A18" s="164" t="s">
        <v>331</v>
      </c>
      <c r="B18" s="58">
        <v>0</v>
      </c>
      <c r="C18" s="59">
        <f>-0.114296/2</f>
        <v>-5.7147999999999997E-2</v>
      </c>
      <c r="D18" s="59">
        <f>-0.114296</f>
        <v>-0.11429599999999999</v>
      </c>
      <c r="E18" s="59">
        <f>-0.114296</f>
        <v>-0.11429599999999999</v>
      </c>
      <c r="F18" s="59">
        <f>-0.114296</f>
        <v>-0.11429599999999999</v>
      </c>
      <c r="G18" s="61" t="s">
        <v>200</v>
      </c>
      <c r="H18" s="54"/>
      <c r="I18" s="54"/>
      <c r="J18" s="54"/>
      <c r="N18" s="54"/>
      <c r="O18" s="54"/>
      <c r="P18" s="54"/>
      <c r="Q18" s="54"/>
      <c r="R18" s="54"/>
      <c r="S18" s="54"/>
    </row>
    <row r="19" spans="1:19" ht="40.5" x14ac:dyDescent="0.25">
      <c r="A19" s="164" t="s">
        <v>330</v>
      </c>
      <c r="B19" s="58">
        <v>0</v>
      </c>
      <c r="C19" s="58">
        <v>-0.24435499999999999</v>
      </c>
      <c r="D19" s="58">
        <v>-0.29053800000000002</v>
      </c>
      <c r="E19" s="58">
        <v>-0.29053800000000002</v>
      </c>
      <c r="F19" s="58">
        <v>-0.29053800000000002</v>
      </c>
      <c r="G19" s="61" t="s">
        <v>200</v>
      </c>
      <c r="H19" s="54"/>
      <c r="I19" s="54"/>
      <c r="J19" s="54"/>
      <c r="N19" s="54"/>
      <c r="O19" s="54"/>
      <c r="P19" s="54"/>
      <c r="Q19" s="54"/>
      <c r="R19" s="54"/>
      <c r="S19" s="54"/>
    </row>
    <row r="20" spans="1:19" ht="27" x14ac:dyDescent="0.25">
      <c r="A20" s="332" t="s">
        <v>329</v>
      </c>
      <c r="B20" s="62">
        <v>0</v>
      </c>
      <c r="C20" s="62">
        <v>-0.32461818501784556</v>
      </c>
      <c r="D20" s="62">
        <v>-0.43587121293491116</v>
      </c>
      <c r="E20" s="62">
        <v>-0.43587121293491116</v>
      </c>
      <c r="F20" s="62">
        <v>-0.43587121293491116</v>
      </c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</row>
    <row r="21" spans="1:19" x14ac:dyDescent="0.25"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</row>
    <row r="22" spans="1:19" x14ac:dyDescent="0.25">
      <c r="A22" s="60" t="s">
        <v>181</v>
      </c>
      <c r="B22" s="63">
        <f>B17</f>
        <v>11.118533963725287</v>
      </c>
      <c r="C22" s="63">
        <f>C17+C20</f>
        <v>10.793915778707442</v>
      </c>
      <c r="D22" s="63">
        <f>D17+D20</f>
        <v>10.682662750790376</v>
      </c>
      <c r="E22" s="63">
        <f>E17+E20</f>
        <v>10.682662750790376</v>
      </c>
      <c r="F22" s="63">
        <f>F17+F20</f>
        <v>10.682662750790376</v>
      </c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</row>
    <row r="23" spans="1:19" x14ac:dyDescent="0.25">
      <c r="A23" s="54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</row>
    <row r="24" spans="1:19" s="147" customFormat="1" x14ac:dyDescent="0.25">
      <c r="A24" s="94" t="s">
        <v>202</v>
      </c>
      <c r="B24" s="94"/>
      <c r="C24" s="94"/>
      <c r="D24" s="94"/>
      <c r="E24" s="94"/>
      <c r="F24" s="94"/>
      <c r="G24" s="94"/>
      <c r="H24" s="94"/>
      <c r="I24" s="94"/>
      <c r="J24" s="94"/>
      <c r="K24" s="94"/>
      <c r="L24" s="94"/>
      <c r="M24" s="94"/>
      <c r="N24" s="94"/>
      <c r="O24" s="94"/>
      <c r="P24" s="94"/>
      <c r="Q24" s="94"/>
      <c r="R24" s="146"/>
      <c r="S24" s="146"/>
    </row>
    <row r="25" spans="1:19" x14ac:dyDescent="0.25">
      <c r="O25" s="54"/>
      <c r="P25" s="54"/>
      <c r="Q25" s="54"/>
      <c r="R25" s="54"/>
      <c r="S25" s="54"/>
    </row>
    <row r="26" spans="1:19" x14ac:dyDescent="0.25">
      <c r="B26" s="64" t="s">
        <v>187</v>
      </c>
      <c r="C26" s="64" t="s">
        <v>188</v>
      </c>
      <c r="D26" s="64" t="s">
        <v>189</v>
      </c>
      <c r="E26" s="64" t="s">
        <v>190</v>
      </c>
      <c r="F26" s="64" t="s">
        <v>191</v>
      </c>
      <c r="G26" s="64" t="s">
        <v>192</v>
      </c>
      <c r="H26" s="64" t="s">
        <v>193</v>
      </c>
      <c r="I26" s="64" t="s">
        <v>194</v>
      </c>
      <c r="J26" s="64" t="s">
        <v>195</v>
      </c>
      <c r="K26" s="64" t="s">
        <v>196</v>
      </c>
      <c r="L26" s="64" t="s">
        <v>197</v>
      </c>
      <c r="M26" s="64" t="s">
        <v>198</v>
      </c>
      <c r="N26" s="65" t="s">
        <v>237</v>
      </c>
      <c r="O26" s="54"/>
      <c r="P26" s="54"/>
      <c r="Q26" s="54"/>
      <c r="R26" s="54"/>
      <c r="S26" s="54"/>
    </row>
    <row r="27" spans="1:19" x14ac:dyDescent="0.25">
      <c r="B27" s="66" t="s">
        <v>199</v>
      </c>
      <c r="C27" s="67">
        <v>0.5</v>
      </c>
      <c r="D27" s="67">
        <v>0.9</v>
      </c>
      <c r="E27" s="67">
        <v>0.73050199999999998</v>
      </c>
      <c r="F27" s="67">
        <v>0.9</v>
      </c>
      <c r="G27" s="67">
        <v>1.00902</v>
      </c>
      <c r="H27" s="67">
        <v>0.1</v>
      </c>
      <c r="I27" s="67">
        <v>0.375</v>
      </c>
      <c r="J27" s="67">
        <v>0.15540200000000001</v>
      </c>
      <c r="K27" s="67">
        <v>0.41503499999999999</v>
      </c>
      <c r="L27" s="67">
        <v>0.47899000000000003</v>
      </c>
      <c r="M27" s="66">
        <v>0.75</v>
      </c>
      <c r="N27" s="68">
        <f>7.163948</f>
        <v>7.1639480000000004</v>
      </c>
      <c r="O27" s="54"/>
      <c r="P27" s="54"/>
      <c r="Q27" s="54"/>
      <c r="R27" s="54"/>
      <c r="S27" s="54"/>
    </row>
    <row r="28" spans="1:19" x14ac:dyDescent="0.25">
      <c r="A28" s="54"/>
      <c r="B28" s="61" t="s">
        <v>219</v>
      </c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</row>
    <row r="30" spans="1:19" s="147" customFormat="1" x14ac:dyDescent="0.25">
      <c r="A30" s="94" t="s">
        <v>359</v>
      </c>
      <c r="C30" s="94"/>
      <c r="D30" s="94"/>
      <c r="E30" s="94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</row>
    <row r="31" spans="1:19" x14ac:dyDescent="0.25">
      <c r="A31" s="102"/>
      <c r="B31" s="103" t="s">
        <v>155</v>
      </c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</row>
    <row r="32" spans="1:19" ht="38.25" x14ac:dyDescent="0.25">
      <c r="A32" s="102"/>
      <c r="B32" s="104" t="s">
        <v>156</v>
      </c>
      <c r="C32" s="104" t="s">
        <v>157</v>
      </c>
      <c r="D32" s="104" t="s">
        <v>158</v>
      </c>
      <c r="E32" s="104" t="s">
        <v>159</v>
      </c>
      <c r="F32" s="104" t="s">
        <v>160</v>
      </c>
      <c r="G32" s="104" t="s">
        <v>161</v>
      </c>
      <c r="H32" s="104" t="s">
        <v>162</v>
      </c>
      <c r="I32" s="104" t="s">
        <v>163</v>
      </c>
      <c r="J32" s="105" t="s">
        <v>164</v>
      </c>
      <c r="K32" s="54"/>
      <c r="L32" s="54"/>
      <c r="M32" s="54"/>
      <c r="N32" s="54"/>
      <c r="O32" s="54"/>
      <c r="P32" s="54"/>
      <c r="Q32" s="54"/>
      <c r="R32" s="54"/>
      <c r="S32" s="54"/>
    </row>
    <row r="33" spans="1:19" ht="29.45" customHeight="1" x14ac:dyDescent="0.25">
      <c r="A33" s="102" t="s">
        <v>165</v>
      </c>
      <c r="B33" s="369" t="s">
        <v>166</v>
      </c>
      <c r="C33" s="153" t="s">
        <v>117</v>
      </c>
      <c r="D33" s="106">
        <v>18</v>
      </c>
      <c r="E33" s="106">
        <v>1</v>
      </c>
      <c r="F33" s="107">
        <v>130</v>
      </c>
      <c r="G33" s="108">
        <v>13242</v>
      </c>
      <c r="H33" s="60">
        <v>1721460</v>
      </c>
      <c r="I33" s="154">
        <v>7729290</v>
      </c>
      <c r="J33" s="109"/>
      <c r="K33" s="54"/>
      <c r="L33" s="54"/>
      <c r="M33" s="54"/>
      <c r="N33" s="54"/>
      <c r="O33" s="54"/>
      <c r="P33" s="54"/>
      <c r="Q33" s="54"/>
      <c r="R33" s="54"/>
      <c r="S33" s="54"/>
    </row>
    <row r="34" spans="1:19" x14ac:dyDescent="0.25">
      <c r="A34" s="102" t="s">
        <v>167</v>
      </c>
      <c r="B34" s="370"/>
      <c r="C34" s="153"/>
      <c r="D34" s="106">
        <v>30</v>
      </c>
      <c r="E34" s="106">
        <v>2</v>
      </c>
      <c r="F34" s="107">
        <v>190</v>
      </c>
      <c r="G34" s="108">
        <v>6212</v>
      </c>
      <c r="H34" s="110">
        <v>1180280</v>
      </c>
      <c r="I34" s="155"/>
      <c r="J34" s="111">
        <v>11006850</v>
      </c>
      <c r="K34" s="54"/>
      <c r="L34" s="54"/>
      <c r="M34" s="54"/>
      <c r="N34" s="54"/>
      <c r="O34" s="54"/>
      <c r="P34" s="54"/>
      <c r="Q34" s="54"/>
      <c r="R34" s="54"/>
      <c r="S34" s="54"/>
    </row>
    <row r="35" spans="1:19" x14ac:dyDescent="0.25">
      <c r="A35" s="102" t="s">
        <v>168</v>
      </c>
      <c r="B35" s="371"/>
      <c r="C35" s="153"/>
      <c r="D35" s="106">
        <v>60</v>
      </c>
      <c r="E35" s="106">
        <v>3</v>
      </c>
      <c r="F35" s="107">
        <v>380</v>
      </c>
      <c r="G35" s="108">
        <v>989</v>
      </c>
      <c r="H35" s="110">
        <v>375820</v>
      </c>
      <c r="I35" s="156"/>
      <c r="J35" s="112"/>
      <c r="K35" s="54"/>
      <c r="L35" s="54"/>
      <c r="M35" s="54"/>
      <c r="N35" s="54"/>
      <c r="O35" s="54"/>
      <c r="P35" s="54"/>
      <c r="Q35" s="54"/>
      <c r="R35" s="54"/>
      <c r="S35" s="54"/>
    </row>
    <row r="36" spans="1:19" ht="21.95" customHeight="1" x14ac:dyDescent="0.25">
      <c r="A36" s="102" t="s">
        <v>169</v>
      </c>
      <c r="B36" s="369" t="s">
        <v>170</v>
      </c>
      <c r="C36" s="153" t="s">
        <v>117</v>
      </c>
      <c r="D36" s="106">
        <v>8</v>
      </c>
      <c r="E36" s="106">
        <v>1</v>
      </c>
      <c r="F36" s="107">
        <v>130</v>
      </c>
      <c r="G36" s="108">
        <v>10722</v>
      </c>
      <c r="H36" s="110">
        <v>1393860</v>
      </c>
      <c r="I36" s="157"/>
      <c r="J36" s="109"/>
      <c r="K36" s="54"/>
      <c r="L36" s="54"/>
      <c r="M36" s="54"/>
      <c r="N36" s="54"/>
      <c r="O36" s="54"/>
      <c r="P36" s="54"/>
      <c r="Q36" s="54"/>
      <c r="R36" s="54"/>
      <c r="S36" s="54"/>
    </row>
    <row r="37" spans="1:19" x14ac:dyDescent="0.25">
      <c r="A37" s="102" t="s">
        <v>171</v>
      </c>
      <c r="B37" s="370"/>
      <c r="C37" s="153"/>
      <c r="D37" s="106">
        <v>12</v>
      </c>
      <c r="E37" s="106">
        <v>2</v>
      </c>
      <c r="F37" s="107">
        <v>190</v>
      </c>
      <c r="G37" s="108">
        <v>1888</v>
      </c>
      <c r="H37" s="110">
        <v>358720</v>
      </c>
      <c r="I37" s="158"/>
      <c r="J37" s="111">
        <v>1752580</v>
      </c>
      <c r="K37" s="54"/>
      <c r="L37" s="54"/>
      <c r="M37" s="54"/>
      <c r="N37" s="54"/>
      <c r="O37" s="54"/>
      <c r="P37" s="54"/>
      <c r="Q37" s="54"/>
      <c r="R37" s="54"/>
      <c r="S37" s="54"/>
    </row>
    <row r="38" spans="1:19" x14ac:dyDescent="0.25">
      <c r="A38" s="102" t="s">
        <v>172</v>
      </c>
      <c r="B38" s="371"/>
      <c r="C38" s="153"/>
      <c r="D38" s="106">
        <v>20</v>
      </c>
      <c r="E38" s="106">
        <v>3</v>
      </c>
      <c r="F38" s="107">
        <v>380</v>
      </c>
      <c r="G38" s="108">
        <v>0</v>
      </c>
      <c r="H38" s="110">
        <v>0</v>
      </c>
      <c r="I38" s="159"/>
      <c r="J38" s="112"/>
      <c r="K38" s="54"/>
      <c r="L38" s="54"/>
      <c r="M38" s="54"/>
      <c r="N38" s="54"/>
      <c r="O38" s="54"/>
      <c r="P38" s="54"/>
      <c r="Q38" s="54"/>
      <c r="R38" s="54"/>
      <c r="S38" s="54"/>
    </row>
    <row r="39" spans="1:19" ht="22.5" customHeight="1" x14ac:dyDescent="0.25">
      <c r="A39" s="102" t="s">
        <v>173</v>
      </c>
      <c r="B39" s="369" t="s">
        <v>174</v>
      </c>
      <c r="C39" s="153" t="s">
        <v>117</v>
      </c>
      <c r="D39" s="106">
        <v>24</v>
      </c>
      <c r="E39" s="106">
        <v>1</v>
      </c>
      <c r="F39" s="107">
        <v>40</v>
      </c>
      <c r="G39" s="108">
        <v>9451</v>
      </c>
      <c r="H39" s="110">
        <v>378040</v>
      </c>
      <c r="I39" s="160"/>
      <c r="J39" s="161">
        <v>432240</v>
      </c>
      <c r="K39" s="54"/>
      <c r="L39" s="54"/>
      <c r="M39" s="54"/>
      <c r="N39" s="54"/>
      <c r="O39" s="54"/>
      <c r="P39" s="54"/>
      <c r="Q39" s="54"/>
      <c r="R39" s="54"/>
      <c r="S39" s="54"/>
    </row>
    <row r="40" spans="1:19" x14ac:dyDescent="0.25">
      <c r="A40" s="102" t="s">
        <v>175</v>
      </c>
      <c r="B40" s="370"/>
      <c r="C40" s="153"/>
      <c r="D40" s="106">
        <v>36</v>
      </c>
      <c r="E40" s="106">
        <v>2</v>
      </c>
      <c r="F40" s="107">
        <v>50</v>
      </c>
      <c r="G40" s="108">
        <v>1084</v>
      </c>
      <c r="H40" s="110">
        <v>54200</v>
      </c>
      <c r="I40" s="162"/>
      <c r="J40" s="163"/>
      <c r="K40" s="54"/>
      <c r="L40" s="54"/>
      <c r="M40" s="54"/>
      <c r="N40" s="54"/>
      <c r="O40" s="54"/>
      <c r="P40" s="54"/>
      <c r="Q40" s="54"/>
      <c r="R40" s="54"/>
      <c r="S40" s="54"/>
    </row>
    <row r="41" spans="1:19" x14ac:dyDescent="0.25">
      <c r="A41" s="113"/>
      <c r="B41" s="371"/>
      <c r="C41" s="114"/>
      <c r="D41" s="115"/>
      <c r="E41" s="114"/>
      <c r="F41" s="116"/>
      <c r="G41" s="117">
        <v>43588</v>
      </c>
      <c r="H41" s="118">
        <v>5462380</v>
      </c>
      <c r="I41" s="118">
        <v>7729290</v>
      </c>
      <c r="J41" s="118">
        <v>13191670</v>
      </c>
      <c r="K41" s="99"/>
      <c r="L41" s="54"/>
      <c r="M41" s="54"/>
      <c r="N41" s="54"/>
      <c r="O41" s="54"/>
      <c r="P41" s="54"/>
      <c r="Q41" s="54"/>
      <c r="R41" s="54"/>
      <c r="S41" s="54"/>
    </row>
    <row r="42" spans="1:19" x14ac:dyDescent="0.25">
      <c r="A42" s="102"/>
      <c r="B42" s="54" t="s">
        <v>357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</row>
    <row r="43" spans="1:19" x14ac:dyDescent="0.25">
      <c r="A43" s="102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</row>
    <row r="44" spans="1:19" x14ac:dyDescent="0.25">
      <c r="A44" s="102"/>
      <c r="B44" s="119" t="s">
        <v>176</v>
      </c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</row>
    <row r="45" spans="1:19" ht="38.25" x14ac:dyDescent="0.25">
      <c r="A45" s="102"/>
      <c r="B45" s="120" t="s">
        <v>156</v>
      </c>
      <c r="C45" s="120" t="s">
        <v>157</v>
      </c>
      <c r="D45" s="120" t="s">
        <v>158</v>
      </c>
      <c r="E45" s="120" t="s">
        <v>159</v>
      </c>
      <c r="F45" s="120" t="s">
        <v>160</v>
      </c>
      <c r="G45" s="120" t="s">
        <v>161</v>
      </c>
      <c r="H45" s="120" t="s">
        <v>162</v>
      </c>
      <c r="I45" s="120" t="s">
        <v>163</v>
      </c>
      <c r="J45" s="121" t="s">
        <v>164</v>
      </c>
      <c r="K45" s="54"/>
      <c r="L45" s="54"/>
      <c r="M45" s="54"/>
      <c r="N45" s="54"/>
      <c r="O45" s="54"/>
      <c r="P45" s="54"/>
      <c r="Q45" s="54"/>
      <c r="R45" s="54"/>
      <c r="S45" s="54"/>
    </row>
    <row r="46" spans="1:19" ht="13.5" customHeight="1" x14ac:dyDescent="0.25">
      <c r="A46" s="102" t="s">
        <v>165</v>
      </c>
      <c r="B46" s="369" t="s">
        <v>166</v>
      </c>
      <c r="C46" s="153" t="s">
        <v>117</v>
      </c>
      <c r="D46" s="106">
        <v>18</v>
      </c>
      <c r="E46" s="106">
        <v>1</v>
      </c>
      <c r="F46" s="107">
        <v>130</v>
      </c>
      <c r="G46" s="108">
        <v>3730</v>
      </c>
      <c r="H46" s="110">
        <v>484900</v>
      </c>
      <c r="I46" s="154">
        <v>15017940</v>
      </c>
      <c r="J46" s="109"/>
      <c r="K46" s="54"/>
      <c r="L46" s="54"/>
      <c r="M46" s="54"/>
      <c r="N46" s="54"/>
      <c r="O46" s="54"/>
      <c r="P46" s="54"/>
      <c r="Q46" s="54"/>
      <c r="R46" s="54"/>
      <c r="S46" s="54"/>
    </row>
    <row r="47" spans="1:19" x14ac:dyDescent="0.25">
      <c r="A47" s="102" t="s">
        <v>167</v>
      </c>
      <c r="B47" s="370"/>
      <c r="C47" s="153"/>
      <c r="D47" s="106">
        <v>30</v>
      </c>
      <c r="E47" s="106">
        <v>2</v>
      </c>
      <c r="F47" s="107">
        <v>190</v>
      </c>
      <c r="G47" s="108">
        <v>585</v>
      </c>
      <c r="H47" s="110">
        <v>111150</v>
      </c>
      <c r="I47" s="155"/>
      <c r="J47" s="111">
        <v>15650090</v>
      </c>
      <c r="K47" s="54"/>
      <c r="L47" s="54"/>
      <c r="M47" s="54"/>
      <c r="N47" s="54"/>
      <c r="O47" s="54"/>
      <c r="P47" s="54"/>
      <c r="Q47" s="54"/>
      <c r="R47" s="54"/>
      <c r="S47" s="54"/>
    </row>
    <row r="48" spans="1:19" x14ac:dyDescent="0.25">
      <c r="A48" s="102" t="s">
        <v>168</v>
      </c>
      <c r="B48" s="371"/>
      <c r="C48" s="153"/>
      <c r="D48" s="106">
        <v>60</v>
      </c>
      <c r="E48" s="106">
        <v>3</v>
      </c>
      <c r="F48" s="107">
        <v>380</v>
      </c>
      <c r="G48" s="108">
        <v>95</v>
      </c>
      <c r="H48" s="110">
        <v>36100</v>
      </c>
      <c r="I48" s="156"/>
      <c r="J48" s="112"/>
      <c r="K48" s="54"/>
      <c r="L48" s="54"/>
      <c r="M48" s="54"/>
      <c r="N48" s="54"/>
      <c r="O48" s="54"/>
      <c r="P48" s="54"/>
      <c r="Q48" s="54"/>
      <c r="R48" s="54"/>
      <c r="S48" s="54"/>
    </row>
    <row r="49" spans="1:19" ht="13.5" customHeight="1" x14ac:dyDescent="0.25">
      <c r="A49" s="102" t="s">
        <v>169</v>
      </c>
      <c r="B49" s="369" t="s">
        <v>170</v>
      </c>
      <c r="C49" s="153" t="s">
        <v>117</v>
      </c>
      <c r="D49" s="106">
        <v>8</v>
      </c>
      <c r="E49" s="106">
        <v>1</v>
      </c>
      <c r="F49" s="107">
        <v>130</v>
      </c>
      <c r="G49" s="108">
        <v>22</v>
      </c>
      <c r="H49" s="110">
        <v>2860</v>
      </c>
      <c r="I49" s="157"/>
      <c r="J49" s="109"/>
      <c r="K49" s="54"/>
      <c r="L49" s="54"/>
      <c r="M49" s="54"/>
      <c r="N49" s="54"/>
      <c r="O49" s="54"/>
      <c r="P49" s="54"/>
      <c r="Q49" s="54"/>
      <c r="R49" s="54"/>
      <c r="S49" s="54"/>
    </row>
    <row r="50" spans="1:19" x14ac:dyDescent="0.25">
      <c r="A50" s="102" t="s">
        <v>171</v>
      </c>
      <c r="B50" s="370"/>
      <c r="C50" s="153"/>
      <c r="D50" s="106">
        <v>12</v>
      </c>
      <c r="E50" s="106">
        <v>2</v>
      </c>
      <c r="F50" s="107">
        <v>190</v>
      </c>
      <c r="G50" s="108">
        <v>0</v>
      </c>
      <c r="H50" s="110">
        <v>0</v>
      </c>
      <c r="I50" s="158"/>
      <c r="J50" s="111">
        <v>2860</v>
      </c>
      <c r="K50" s="54"/>
      <c r="L50" s="54"/>
      <c r="M50" s="54"/>
      <c r="N50" s="54"/>
      <c r="O50" s="54"/>
      <c r="P50" s="54"/>
      <c r="Q50" s="54"/>
      <c r="R50" s="54"/>
      <c r="S50" s="54"/>
    </row>
    <row r="51" spans="1:19" x14ac:dyDescent="0.25">
      <c r="A51" s="102" t="s">
        <v>172</v>
      </c>
      <c r="B51" s="371"/>
      <c r="C51" s="153"/>
      <c r="D51" s="106">
        <v>20</v>
      </c>
      <c r="E51" s="106">
        <v>3</v>
      </c>
      <c r="F51" s="107">
        <v>380</v>
      </c>
      <c r="G51" s="108">
        <v>0</v>
      </c>
      <c r="H51" s="110">
        <v>0</v>
      </c>
      <c r="I51" s="159"/>
      <c r="J51" s="112"/>
      <c r="K51" s="54"/>
      <c r="L51" s="54"/>
      <c r="M51" s="54"/>
      <c r="N51" s="54"/>
      <c r="O51" s="54"/>
      <c r="P51" s="54"/>
      <c r="Q51" s="54"/>
      <c r="R51" s="54"/>
      <c r="S51" s="54"/>
    </row>
    <row r="52" spans="1:19" ht="13.5" customHeight="1" x14ac:dyDescent="0.25">
      <c r="A52" s="102" t="s">
        <v>173</v>
      </c>
      <c r="B52" s="369" t="s">
        <v>174</v>
      </c>
      <c r="C52" s="153" t="s">
        <v>117</v>
      </c>
      <c r="D52" s="106">
        <v>24</v>
      </c>
      <c r="E52" s="106">
        <v>1</v>
      </c>
      <c r="F52" s="107">
        <v>40</v>
      </c>
      <c r="G52" s="108">
        <v>481</v>
      </c>
      <c r="H52" s="110">
        <v>19240</v>
      </c>
      <c r="I52" s="160"/>
      <c r="J52" s="161">
        <v>19240</v>
      </c>
      <c r="K52" s="54"/>
      <c r="L52" s="54"/>
      <c r="M52" s="54"/>
      <c r="N52" s="54"/>
      <c r="O52" s="54"/>
      <c r="P52" s="54"/>
      <c r="Q52" s="54"/>
      <c r="R52" s="54"/>
      <c r="S52" s="54"/>
    </row>
    <row r="53" spans="1:19" x14ac:dyDescent="0.25">
      <c r="A53" s="102" t="s">
        <v>175</v>
      </c>
      <c r="B53" s="370"/>
      <c r="C53" s="153"/>
      <c r="D53" s="106">
        <v>36</v>
      </c>
      <c r="E53" s="106">
        <v>2</v>
      </c>
      <c r="F53" s="107">
        <v>50</v>
      </c>
      <c r="G53" s="108">
        <v>0</v>
      </c>
      <c r="H53" s="110">
        <v>0</v>
      </c>
      <c r="I53" s="162"/>
      <c r="J53" s="163"/>
      <c r="K53" s="54"/>
      <c r="L53" s="54"/>
      <c r="M53" s="54"/>
      <c r="N53" s="54"/>
      <c r="O53" s="54"/>
      <c r="P53" s="54"/>
      <c r="Q53" s="54"/>
      <c r="R53" s="54"/>
      <c r="S53" s="54"/>
    </row>
    <row r="54" spans="1:19" x14ac:dyDescent="0.25">
      <c r="A54" s="113"/>
      <c r="B54" s="371"/>
      <c r="C54" s="114"/>
      <c r="D54" s="115"/>
      <c r="E54" s="114"/>
      <c r="F54" s="116"/>
      <c r="G54" s="117">
        <v>4913</v>
      </c>
      <c r="H54" s="118">
        <v>654250</v>
      </c>
      <c r="I54" s="118">
        <v>15017940</v>
      </c>
      <c r="J54" s="118">
        <v>15672190</v>
      </c>
      <c r="K54" s="99"/>
      <c r="L54" s="54"/>
      <c r="M54" s="54"/>
      <c r="N54" s="54"/>
      <c r="O54" s="54"/>
      <c r="P54" s="54"/>
      <c r="Q54" s="54"/>
      <c r="R54" s="54"/>
      <c r="S54" s="54"/>
    </row>
    <row r="55" spans="1:19" x14ac:dyDescent="0.25">
      <c r="A55" s="102"/>
      <c r="B55" s="54" t="s">
        <v>358</v>
      </c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</row>
    <row r="56" spans="1:19" x14ac:dyDescent="0.25">
      <c r="A56" s="54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</row>
    <row r="57" spans="1:19" x14ac:dyDescent="0.25">
      <c r="A57" s="54"/>
      <c r="B57" s="103" t="s">
        <v>365</v>
      </c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</row>
    <row r="58" spans="1:19" x14ac:dyDescent="0.25">
      <c r="A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</row>
    <row r="59" spans="1:19" ht="24" customHeight="1" x14ac:dyDescent="0.25">
      <c r="A59" s="54"/>
      <c r="B59" s="362"/>
      <c r="C59" s="363" t="s">
        <v>361</v>
      </c>
      <c r="D59" s="364"/>
      <c r="E59" s="365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</row>
    <row r="60" spans="1:19" ht="14.45" customHeight="1" x14ac:dyDescent="0.25">
      <c r="A60" s="54"/>
      <c r="B60" s="362"/>
      <c r="C60" s="366" t="s">
        <v>362</v>
      </c>
      <c r="D60" s="367"/>
      <c r="E60" s="368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</row>
    <row r="61" spans="1:19" ht="42.6" customHeight="1" x14ac:dyDescent="0.25">
      <c r="B61" s="359"/>
      <c r="C61" s="352" t="s">
        <v>363</v>
      </c>
      <c r="D61" s="353" t="s">
        <v>364</v>
      </c>
      <c r="E61" s="354" t="s">
        <v>1</v>
      </c>
    </row>
    <row r="62" spans="1:19" ht="15" x14ac:dyDescent="0.25">
      <c r="B62" s="360">
        <v>2015</v>
      </c>
      <c r="C62" s="355">
        <v>4624520</v>
      </c>
      <c r="D62" s="356">
        <v>959760</v>
      </c>
      <c r="E62" s="356">
        <v>5584280</v>
      </c>
    </row>
    <row r="63" spans="1:19" ht="15" x14ac:dyDescent="0.25">
      <c r="B63" s="360">
        <v>2016</v>
      </c>
      <c r="C63" s="355">
        <v>4995420</v>
      </c>
      <c r="D63" s="356">
        <v>5901570</v>
      </c>
      <c r="E63" s="356">
        <v>10896990</v>
      </c>
    </row>
    <row r="64" spans="1:19" ht="15" x14ac:dyDescent="0.25">
      <c r="B64" s="360">
        <v>2017</v>
      </c>
      <c r="C64" s="355">
        <v>2496300</v>
      </c>
      <c r="D64" s="356">
        <v>542790</v>
      </c>
      <c r="E64" s="356">
        <v>3039090</v>
      </c>
    </row>
    <row r="65" spans="2:5" ht="15" x14ac:dyDescent="0.25">
      <c r="B65" s="360">
        <v>2018</v>
      </c>
      <c r="C65" s="355">
        <v>4807770</v>
      </c>
      <c r="D65" s="356">
        <v>202410</v>
      </c>
      <c r="E65" s="356">
        <v>5010180</v>
      </c>
    </row>
    <row r="66" spans="2:5" ht="15" x14ac:dyDescent="0.25">
      <c r="B66" s="360">
        <v>2019</v>
      </c>
      <c r="C66" s="357">
        <v>5625530</v>
      </c>
      <c r="D66" s="358">
        <v>2538180</v>
      </c>
      <c r="E66" s="358">
        <v>8163710</v>
      </c>
    </row>
  </sheetData>
  <mergeCells count="9">
    <mergeCell ref="B59:B60"/>
    <mergeCell ref="C59:E59"/>
    <mergeCell ref="C60:E60"/>
    <mergeCell ref="B52:B54"/>
    <mergeCell ref="B33:B35"/>
    <mergeCell ref="B36:B38"/>
    <mergeCell ref="B39:B41"/>
    <mergeCell ref="B46:B48"/>
    <mergeCell ref="B49:B51"/>
  </mergeCells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C6C9B-4E6D-4AFE-843E-B7892FF1B84B}">
  <dimension ref="A1:R37"/>
  <sheetViews>
    <sheetView zoomScaleNormal="100" workbookViewId="0">
      <selection activeCell="C29" sqref="C29"/>
    </sheetView>
  </sheetViews>
  <sheetFormatPr defaultColWidth="9" defaultRowHeight="16.5" x14ac:dyDescent="0.3"/>
  <cols>
    <col min="1" max="1" width="26.375" style="9" customWidth="1"/>
    <col min="2" max="2" width="14.875" style="9" customWidth="1"/>
    <col min="3" max="4" width="12.625" style="9" bestFit="1" customWidth="1"/>
    <col min="5" max="5" width="11.625" style="9" customWidth="1"/>
    <col min="6" max="6" width="11.25" style="9" customWidth="1"/>
    <col min="7" max="7" width="9.125" style="9" bestFit="1" customWidth="1"/>
    <col min="8" max="8" width="10.75" style="9" customWidth="1"/>
    <col min="9" max="9" width="10.625" style="9" customWidth="1"/>
    <col min="10" max="10" width="11.625" style="9" customWidth="1"/>
    <col min="11" max="11" width="10.75" style="9" customWidth="1"/>
    <col min="12" max="16384" width="9" style="9"/>
  </cols>
  <sheetData>
    <row r="1" spans="1:18" s="145" customFormat="1" x14ac:dyDescent="0.3">
      <c r="A1" s="141" t="s">
        <v>322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</row>
    <row r="2" spans="1:18" x14ac:dyDescent="0.3">
      <c r="A2" s="79" t="s">
        <v>221</v>
      </c>
      <c r="B2" s="11"/>
      <c r="C2" s="11"/>
      <c r="D2" s="11"/>
      <c r="L2" s="11"/>
      <c r="M2" s="11"/>
      <c r="N2" s="11"/>
      <c r="O2" s="11"/>
      <c r="P2" s="11"/>
      <c r="Q2" s="11"/>
      <c r="R2" s="11"/>
    </row>
    <row r="3" spans="1:18" x14ac:dyDescent="0.3">
      <c r="A3" s="10"/>
      <c r="B3" s="70" t="s">
        <v>226</v>
      </c>
      <c r="C3" s="11"/>
      <c r="D3" s="11"/>
      <c r="E3" s="11"/>
      <c r="F3" s="11"/>
      <c r="L3" s="11"/>
      <c r="M3" s="11"/>
      <c r="N3" s="11"/>
      <c r="O3" s="11"/>
      <c r="P3" s="11"/>
      <c r="Q3" s="11"/>
      <c r="R3" s="11"/>
    </row>
    <row r="4" spans="1:18" x14ac:dyDescent="0.3">
      <c r="A4" s="80" t="s">
        <v>49</v>
      </c>
      <c r="B4" s="84" t="s">
        <v>52</v>
      </c>
      <c r="C4" s="83" t="s">
        <v>51</v>
      </c>
      <c r="D4" s="83" t="s">
        <v>50</v>
      </c>
      <c r="E4" s="83" t="s">
        <v>109</v>
      </c>
      <c r="F4" s="83" t="s">
        <v>110</v>
      </c>
      <c r="L4" s="11"/>
      <c r="M4" s="11"/>
      <c r="N4" s="11"/>
      <c r="O4" s="11"/>
      <c r="P4" s="11"/>
      <c r="Q4" s="11"/>
      <c r="R4" s="11"/>
    </row>
    <row r="5" spans="1:18" x14ac:dyDescent="0.3">
      <c r="A5" s="80" t="s">
        <v>48</v>
      </c>
      <c r="B5" s="76"/>
      <c r="C5" s="76"/>
      <c r="D5" s="76"/>
      <c r="E5" s="76"/>
      <c r="F5" s="76"/>
      <c r="L5" s="11"/>
      <c r="M5" s="11"/>
      <c r="N5" s="11"/>
      <c r="O5" s="11"/>
      <c r="P5" s="11"/>
      <c r="Q5" s="11"/>
      <c r="R5" s="11"/>
    </row>
    <row r="6" spans="1:18" x14ac:dyDescent="0.3">
      <c r="A6" s="80" t="s">
        <v>47</v>
      </c>
      <c r="B6" s="76"/>
      <c r="C6" s="76"/>
      <c r="D6" s="76">
        <v>254549.61</v>
      </c>
      <c r="E6" s="76">
        <v>1245450.3900000001</v>
      </c>
      <c r="F6" s="76"/>
      <c r="L6" s="11"/>
      <c r="M6" s="11"/>
      <c r="N6" s="11"/>
      <c r="O6" s="11"/>
      <c r="P6" s="11"/>
      <c r="Q6" s="11"/>
      <c r="R6" s="11"/>
    </row>
    <row r="7" spans="1:18" x14ac:dyDescent="0.3">
      <c r="A7" s="80" t="s">
        <v>46</v>
      </c>
      <c r="B7" s="76"/>
      <c r="C7" s="76"/>
      <c r="D7" s="76"/>
      <c r="E7" s="76"/>
      <c r="F7" s="76"/>
      <c r="L7" s="11"/>
      <c r="M7" s="11"/>
      <c r="N7" s="11"/>
      <c r="O7" s="11"/>
      <c r="P7" s="11"/>
      <c r="Q7" s="11"/>
      <c r="R7" s="11"/>
    </row>
    <row r="8" spans="1:18" x14ac:dyDescent="0.3">
      <c r="A8" s="80" t="s">
        <v>45</v>
      </c>
      <c r="B8" s="76"/>
      <c r="C8" s="76"/>
      <c r="D8" s="76">
        <v>2000</v>
      </c>
      <c r="E8" s="76"/>
      <c r="F8" s="76"/>
      <c r="L8" s="11"/>
      <c r="M8" s="11"/>
      <c r="N8" s="11"/>
      <c r="O8" s="11"/>
      <c r="P8" s="11"/>
      <c r="Q8" s="11"/>
      <c r="R8" s="11"/>
    </row>
    <row r="9" spans="1:18" x14ac:dyDescent="0.3">
      <c r="A9" s="80" t="s">
        <v>44</v>
      </c>
      <c r="B9" s="76"/>
      <c r="C9" s="76"/>
      <c r="D9" s="76">
        <v>1000</v>
      </c>
      <c r="E9" s="76"/>
      <c r="F9" s="76"/>
      <c r="L9" s="11"/>
      <c r="M9" s="11"/>
      <c r="N9" s="11"/>
      <c r="O9" s="11"/>
      <c r="P9" s="11"/>
      <c r="Q9" s="11"/>
      <c r="R9" s="11"/>
    </row>
    <row r="10" spans="1:18" x14ac:dyDescent="0.3">
      <c r="A10" s="80" t="s">
        <v>43</v>
      </c>
      <c r="B10" s="76"/>
      <c r="C10" s="76"/>
      <c r="D10" s="76"/>
      <c r="E10" s="76">
        <v>10000</v>
      </c>
      <c r="F10" s="76"/>
      <c r="L10" s="11"/>
      <c r="M10" s="11"/>
      <c r="N10" s="11"/>
      <c r="O10" s="11"/>
      <c r="P10" s="11"/>
      <c r="Q10" s="11"/>
      <c r="R10" s="11"/>
    </row>
    <row r="11" spans="1:18" x14ac:dyDescent="0.3">
      <c r="A11" s="80" t="s">
        <v>42</v>
      </c>
      <c r="B11" s="76"/>
      <c r="C11" s="76"/>
      <c r="D11" s="76"/>
      <c r="E11" s="76">
        <v>2000</v>
      </c>
      <c r="F11" s="76"/>
      <c r="L11" s="11"/>
      <c r="M11" s="11"/>
      <c r="N11" s="11"/>
      <c r="O11" s="11"/>
      <c r="P11" s="11"/>
      <c r="Q11" s="11"/>
      <c r="R11" s="11"/>
    </row>
    <row r="12" spans="1:18" x14ac:dyDescent="0.3">
      <c r="A12" s="80" t="s">
        <v>41</v>
      </c>
      <c r="B12" s="76"/>
      <c r="C12" s="76"/>
      <c r="D12" s="76"/>
      <c r="E12" s="76">
        <v>10000</v>
      </c>
      <c r="F12" s="76"/>
      <c r="L12" s="11"/>
      <c r="M12" s="11"/>
      <c r="N12" s="11"/>
      <c r="O12" s="11"/>
      <c r="P12" s="11"/>
      <c r="Q12" s="11"/>
      <c r="R12" s="11"/>
    </row>
    <row r="13" spans="1:18" x14ac:dyDescent="0.3">
      <c r="A13" s="82" t="s">
        <v>1</v>
      </c>
      <c r="B13" s="76"/>
      <c r="C13" s="76"/>
      <c r="D13" s="76"/>
      <c r="E13" s="76"/>
      <c r="F13" s="76">
        <v>200000</v>
      </c>
      <c r="L13" s="11"/>
      <c r="M13" s="11"/>
      <c r="N13" s="11"/>
      <c r="O13" s="11"/>
      <c r="P13" s="11"/>
      <c r="Q13" s="11"/>
      <c r="R13" s="11"/>
    </row>
    <row r="14" spans="1:18" x14ac:dyDescent="0.3">
      <c r="A14" s="75"/>
      <c r="B14" s="85">
        <f>SUM(B4:B13)</f>
        <v>0</v>
      </c>
      <c r="C14" s="85">
        <f>SUM(C4:C13)</f>
        <v>0</v>
      </c>
      <c r="D14" s="85">
        <f>SUM(D4:D13)</f>
        <v>257549.61</v>
      </c>
      <c r="E14" s="85">
        <f>SUM(E4:E13)</f>
        <v>1267450.3900000001</v>
      </c>
      <c r="F14" s="85">
        <f>SUM(F4:F13)</f>
        <v>200000</v>
      </c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</row>
    <row r="15" spans="1:18" x14ac:dyDescent="0.3"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</row>
    <row r="16" spans="1:18" x14ac:dyDescent="0.3"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</row>
    <row r="17" spans="1:18" x14ac:dyDescent="0.3"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</row>
    <row r="18" spans="1:18" x14ac:dyDescent="0.3"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spans="1:18" x14ac:dyDescent="0.3"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1:18" x14ac:dyDescent="0.3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</row>
    <row r="21" spans="1:18" s="145" customFormat="1" x14ac:dyDescent="0.3">
      <c r="A21" s="141" t="s">
        <v>220</v>
      </c>
      <c r="B21" s="149"/>
      <c r="C21" s="149"/>
      <c r="D21" s="149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  <c r="Q21" s="149"/>
      <c r="R21" s="149"/>
    </row>
    <row r="22" spans="1:18" x14ac:dyDescent="0.3"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</row>
    <row r="23" spans="1:18" x14ac:dyDescent="0.3">
      <c r="A23" s="86" t="s">
        <v>28</v>
      </c>
      <c r="B23" s="86" t="s">
        <v>29</v>
      </c>
      <c r="C23" s="86" t="s">
        <v>30</v>
      </c>
      <c r="D23" s="86" t="s">
        <v>31</v>
      </c>
      <c r="E23" s="86" t="s">
        <v>32</v>
      </c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</row>
    <row r="24" spans="1:18" x14ac:dyDescent="0.3">
      <c r="A24" s="10">
        <v>0.31</v>
      </c>
      <c r="B24" s="10">
        <v>1.23</v>
      </c>
      <c r="C24" s="10">
        <v>1.66</v>
      </c>
      <c r="D24" s="10">
        <v>2.11</v>
      </c>
      <c r="E24" s="10">
        <v>1.94</v>
      </c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</row>
    <row r="25" spans="1:18" x14ac:dyDescent="0.3">
      <c r="A25" s="14" t="s">
        <v>214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</row>
    <row r="26" spans="1:18" x14ac:dyDescent="0.3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</row>
    <row r="34" spans="8:8" x14ac:dyDescent="0.3">
      <c r="H34" s="23"/>
    </row>
    <row r="35" spans="8:8" x14ac:dyDescent="0.3">
      <c r="H35" s="23"/>
    </row>
    <row r="36" spans="8:8" x14ac:dyDescent="0.3">
      <c r="H36" s="23"/>
    </row>
    <row r="37" spans="8:8" x14ac:dyDescent="0.3">
      <c r="H37" s="23"/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3AD0B-769D-4BC7-9374-8760BEB4562E}">
  <dimension ref="A2:F31"/>
  <sheetViews>
    <sheetView workbookViewId="0">
      <selection activeCell="I8" sqref="I8"/>
    </sheetView>
  </sheetViews>
  <sheetFormatPr defaultColWidth="8.625" defaultRowHeight="16.5" x14ac:dyDescent="0.3"/>
  <cols>
    <col min="1" max="1" width="25.125" style="9" customWidth="1"/>
    <col min="2" max="2" width="40.625" style="9" bestFit="1" customWidth="1"/>
    <col min="3" max="3" width="16.375" style="9" customWidth="1"/>
    <col min="4" max="4" width="14.625" style="9" customWidth="1"/>
    <col min="5" max="5" width="14.75" style="9" bestFit="1" customWidth="1"/>
    <col min="6" max="29" width="17.625" style="9" bestFit="1" customWidth="1"/>
    <col min="30" max="30" width="17.875" style="9" bestFit="1" customWidth="1"/>
    <col min="31" max="31" width="17" style="9" bestFit="1" customWidth="1"/>
    <col min="32" max="35" width="13.375" style="9" bestFit="1" customWidth="1"/>
    <col min="36" max="36" width="17.375" style="9" bestFit="1" customWidth="1"/>
    <col min="37" max="37" width="16.5" style="9" bestFit="1" customWidth="1"/>
    <col min="38" max="38" width="17.875" style="9" bestFit="1" customWidth="1"/>
    <col min="39" max="39" width="17" style="9" bestFit="1" customWidth="1"/>
    <col min="40" max="40" width="17.625" style="9" bestFit="1" customWidth="1"/>
    <col min="41" max="41" width="16.625" style="9" bestFit="1" customWidth="1"/>
    <col min="42" max="42" width="17.875" style="9" bestFit="1" customWidth="1"/>
    <col min="43" max="43" width="17" style="9" bestFit="1" customWidth="1"/>
    <col min="44" max="44" width="16" style="9" bestFit="1" customWidth="1"/>
    <col min="45" max="45" width="17.375" style="9" bestFit="1" customWidth="1"/>
    <col min="46" max="46" width="16.5" style="9" bestFit="1" customWidth="1"/>
    <col min="47" max="50" width="13.375" style="9" bestFit="1" customWidth="1"/>
    <col min="51" max="51" width="16.625" style="9" bestFit="1" customWidth="1"/>
    <col min="52" max="52" width="15.625" style="9" bestFit="1" customWidth="1"/>
    <col min="53" max="54" width="13.375" style="9" bestFit="1" customWidth="1"/>
    <col min="55" max="55" width="17.125" style="9" bestFit="1" customWidth="1"/>
    <col min="56" max="56" width="16.25" style="9" bestFit="1" customWidth="1"/>
    <col min="57" max="58" width="13.375" style="9" bestFit="1" customWidth="1"/>
    <col min="59" max="59" width="16.625" style="9" bestFit="1" customWidth="1"/>
    <col min="60" max="60" width="15.625" style="9" bestFit="1" customWidth="1"/>
    <col min="61" max="61" width="17.375" style="9" bestFit="1" customWidth="1"/>
    <col min="62" max="62" width="16.5" style="9" bestFit="1" customWidth="1"/>
    <col min="63" max="63" width="17.625" style="9" bestFit="1" customWidth="1"/>
    <col min="64" max="64" width="16.625" style="9" bestFit="1" customWidth="1"/>
    <col min="65" max="65" width="17.875" style="9" bestFit="1" customWidth="1"/>
    <col min="66" max="66" width="17" style="9" bestFit="1" customWidth="1"/>
    <col min="67" max="16384" width="8.625" style="9"/>
  </cols>
  <sheetData>
    <row r="2" spans="1:6" s="216" customFormat="1" x14ac:dyDescent="0.3">
      <c r="A2" s="217" t="s">
        <v>282</v>
      </c>
    </row>
    <row r="4" spans="1:6" x14ac:dyDescent="0.3">
      <c r="B4" s="221" t="s">
        <v>283</v>
      </c>
      <c r="C4" s="221" t="s">
        <v>284</v>
      </c>
      <c r="D4" s="221" t="s">
        <v>285</v>
      </c>
      <c r="E4" s="221" t="s">
        <v>24</v>
      </c>
      <c r="F4" s="221" t="s">
        <v>286</v>
      </c>
    </row>
    <row r="5" spans="1:6" ht="33" x14ac:dyDescent="0.3">
      <c r="A5" s="222" t="s">
        <v>37</v>
      </c>
      <c r="B5" s="223">
        <v>30461272.767549809</v>
      </c>
      <c r="C5" s="223">
        <v>30091335.499610916</v>
      </c>
      <c r="D5" s="223">
        <v>38185463.595000014</v>
      </c>
      <c r="E5" s="223">
        <v>46475385.680000007</v>
      </c>
      <c r="F5" s="225">
        <f>AVERAGE(B5:E5)</f>
        <v>36303364.385540187</v>
      </c>
    </row>
    <row r="6" spans="1:6" ht="49.5" x14ac:dyDescent="0.3">
      <c r="A6" s="222" t="s">
        <v>38</v>
      </c>
      <c r="B6" s="224">
        <v>0.12073607242944692</v>
      </c>
      <c r="C6" s="224">
        <v>7.7924318204924722E-2</v>
      </c>
      <c r="D6" s="224">
        <v>9.7054759876878199E-2</v>
      </c>
      <c r="E6" s="224">
        <v>0.11884931150571801</v>
      </c>
      <c r="F6" s="224">
        <f>AVERAGE(B6:E6)</f>
        <v>0.10364111550424196</v>
      </c>
    </row>
    <row r="7" spans="1:6" ht="33" x14ac:dyDescent="0.3">
      <c r="A7" s="222" t="s">
        <v>39</v>
      </c>
      <c r="B7" s="223">
        <v>3677774.4351560329</v>
      </c>
      <c r="C7" s="223">
        <v>2344846.8026828286</v>
      </c>
      <c r="D7" s="223">
        <v>3706081.0000000005</v>
      </c>
      <c r="E7" s="223">
        <v>5523567.5900307065</v>
      </c>
      <c r="F7" s="225">
        <f t="shared" ref="F7" si="0">AVERAGE(B7:E7)</f>
        <v>3813067.456967392</v>
      </c>
    </row>
    <row r="9" spans="1:6" x14ac:dyDescent="0.3">
      <c r="A9" s="9" t="s">
        <v>287</v>
      </c>
    </row>
    <row r="11" spans="1:6" x14ac:dyDescent="0.3">
      <c r="A11" s="9" t="s">
        <v>310</v>
      </c>
      <c r="B11" s="269" t="s">
        <v>283</v>
      </c>
      <c r="C11" s="269" t="s">
        <v>284</v>
      </c>
      <c r="D11" s="269" t="s">
        <v>285</v>
      </c>
      <c r="E11" s="269" t="s">
        <v>24</v>
      </c>
      <c r="F11" s="269" t="s">
        <v>286</v>
      </c>
    </row>
    <row r="12" spans="1:6" x14ac:dyDescent="0.3">
      <c r="B12" s="223">
        <f>4.54025181205135*(10^6)</f>
        <v>4540251.8120513503</v>
      </c>
      <c r="C12" s="223">
        <f>2.72716037975039*(10^6)</f>
        <v>2727160.3797503896</v>
      </c>
      <c r="D12" s="223">
        <f>4.06532051122845*(10^6)</f>
        <v>4065320.5112284496</v>
      </c>
      <c r="E12" s="223">
        <f>5.8371681399547*(10^6)</f>
        <v>5837168.1399547001</v>
      </c>
      <c r="F12" s="223">
        <f>4.29247521074622*(10^6)</f>
        <v>4292475.2107462203</v>
      </c>
    </row>
    <row r="15" spans="1:6" x14ac:dyDescent="0.3">
      <c r="C15" s="341"/>
      <c r="D15" s="341"/>
    </row>
    <row r="16" spans="1:6" x14ac:dyDescent="0.3">
      <c r="C16" s="341"/>
      <c r="D16" s="341"/>
    </row>
    <row r="17" spans="3:5" x14ac:dyDescent="0.3">
      <c r="C17" s="341"/>
      <c r="D17" s="341"/>
    </row>
    <row r="18" spans="3:5" x14ac:dyDescent="0.3">
      <c r="C18" s="341"/>
      <c r="D18" s="341"/>
    </row>
    <row r="19" spans="3:5" x14ac:dyDescent="0.3">
      <c r="C19" s="341"/>
      <c r="D19" s="341"/>
    </row>
    <row r="20" spans="3:5" x14ac:dyDescent="0.3">
      <c r="C20" s="341"/>
      <c r="D20" s="341"/>
    </row>
    <row r="21" spans="3:5" x14ac:dyDescent="0.3">
      <c r="C21" s="341"/>
      <c r="D21" s="341"/>
    </row>
    <row r="22" spans="3:5" x14ac:dyDescent="0.3">
      <c r="C22" s="341"/>
      <c r="D22" s="341"/>
    </row>
    <row r="23" spans="3:5" x14ac:dyDescent="0.3">
      <c r="C23" s="341"/>
      <c r="D23" s="341"/>
    </row>
    <row r="24" spans="3:5" x14ac:dyDescent="0.3">
      <c r="C24" s="341"/>
      <c r="D24" s="341"/>
    </row>
    <row r="25" spans="3:5" x14ac:dyDescent="0.3">
      <c r="C25" s="341"/>
      <c r="D25" s="341"/>
      <c r="E25" s="342"/>
    </row>
    <row r="26" spans="3:5" x14ac:dyDescent="0.3">
      <c r="C26" s="341"/>
      <c r="D26" s="341"/>
    </row>
    <row r="27" spans="3:5" x14ac:dyDescent="0.3">
      <c r="C27" s="341"/>
      <c r="D27" s="341"/>
    </row>
    <row r="28" spans="3:5" x14ac:dyDescent="0.3">
      <c r="C28" s="341"/>
      <c r="D28" s="341"/>
    </row>
    <row r="29" spans="3:5" x14ac:dyDescent="0.3">
      <c r="C29" s="341"/>
      <c r="D29" s="341"/>
    </row>
    <row r="30" spans="3:5" x14ac:dyDescent="0.3">
      <c r="C30" s="341"/>
      <c r="D30" s="341"/>
    </row>
    <row r="31" spans="3:5" x14ac:dyDescent="0.3">
      <c r="C31" s="341"/>
      <c r="D31" s="341"/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FB3E27-44DF-4074-9057-98531398E9B9}">
  <sheetPr>
    <tabColor theme="0" tint="-0.14999847407452621"/>
  </sheetPr>
  <dimension ref="A2:G25"/>
  <sheetViews>
    <sheetView workbookViewId="0">
      <selection activeCell="M25" sqref="M25"/>
    </sheetView>
  </sheetViews>
  <sheetFormatPr defaultColWidth="8.625" defaultRowHeight="13.5" x14ac:dyDescent="0.25"/>
  <cols>
    <col min="1" max="1" width="30.25" style="11" customWidth="1"/>
    <col min="2" max="2" width="8.625" style="11"/>
    <col min="3" max="3" width="10.125" style="11" customWidth="1"/>
    <col min="4" max="4" width="12.25" style="11" customWidth="1"/>
    <col min="5" max="5" width="11.625" style="11" customWidth="1"/>
    <col min="6" max="16384" width="8.625" style="11"/>
  </cols>
  <sheetData>
    <row r="2" spans="1:4" s="147" customFormat="1" x14ac:dyDescent="0.25">
      <c r="A2" s="141" t="s">
        <v>317</v>
      </c>
    </row>
    <row r="4" spans="1:4" s="141" customFormat="1" ht="12.75" x14ac:dyDescent="0.2">
      <c r="A4" s="141" t="s">
        <v>239</v>
      </c>
    </row>
    <row r="5" spans="1:4" x14ac:dyDescent="0.25">
      <c r="A5" s="14" t="s">
        <v>318</v>
      </c>
    </row>
    <row r="6" spans="1:4" x14ac:dyDescent="0.25">
      <c r="A6" s="122"/>
    </row>
    <row r="13" spans="1:4" s="149" customFormat="1" x14ac:dyDescent="0.25">
      <c r="A13" s="141" t="s">
        <v>213</v>
      </c>
    </row>
    <row r="14" spans="1:4" x14ac:dyDescent="0.25">
      <c r="A14" s="70" t="s">
        <v>240</v>
      </c>
      <c r="B14" s="70" t="s">
        <v>227</v>
      </c>
      <c r="C14" s="89" t="s">
        <v>271</v>
      </c>
    </row>
    <row r="15" spans="1:4" x14ac:dyDescent="0.25">
      <c r="A15" s="90" t="s">
        <v>95</v>
      </c>
      <c r="B15" s="11">
        <v>2029</v>
      </c>
      <c r="C15" s="91">
        <f>8080500*0.63</f>
        <v>5090715</v>
      </c>
      <c r="D15" s="11" t="s">
        <v>96</v>
      </c>
    </row>
    <row r="16" spans="1:4" x14ac:dyDescent="0.25">
      <c r="A16" s="343" t="s">
        <v>347</v>
      </c>
    </row>
    <row r="18" spans="1:7" x14ac:dyDescent="0.25">
      <c r="B18" s="86" t="s">
        <v>28</v>
      </c>
      <c r="C18" s="86" t="s">
        <v>29</v>
      </c>
      <c r="D18" s="86" t="s">
        <v>30</v>
      </c>
      <c r="E18" s="86" t="s">
        <v>31</v>
      </c>
      <c r="F18" s="86" t="s">
        <v>32</v>
      </c>
      <c r="G18" s="86" t="s">
        <v>1</v>
      </c>
    </row>
    <row r="19" spans="1:7" x14ac:dyDescent="0.25">
      <c r="A19" s="123" t="s">
        <v>224</v>
      </c>
      <c r="B19" s="81">
        <v>2.6327349999999998</v>
      </c>
      <c r="C19" s="81">
        <v>2.6327349999999998</v>
      </c>
      <c r="D19" s="81">
        <f>2.632735</f>
        <v>2.6327349999999998</v>
      </c>
      <c r="E19" s="81">
        <f>2.632735</f>
        <v>2.6327349999999998</v>
      </c>
      <c r="F19" s="81">
        <f>2.632735</f>
        <v>2.6327349999999998</v>
      </c>
      <c r="G19" s="124">
        <f>SUM(B19:F19)</f>
        <v>13.163675</v>
      </c>
    </row>
    <row r="20" spans="1:7" x14ac:dyDescent="0.25">
      <c r="A20" s="123" t="s">
        <v>223</v>
      </c>
      <c r="B20" s="10"/>
      <c r="C20" s="10"/>
      <c r="D20" s="81">
        <f>1.014142/A25</f>
        <v>0.8681333673438506</v>
      </c>
      <c r="E20" s="81">
        <f>1.988595/A25</f>
        <v>1.7022918621190566</v>
      </c>
      <c r="F20" s="81">
        <f>2.087978/A25</f>
        <v>1.7873664359427757</v>
      </c>
      <c r="G20" s="124">
        <f t="shared" ref="G20:G21" si="0">SUM(B20:F20)</f>
        <v>4.3577916654056832</v>
      </c>
    </row>
    <row r="21" spans="1:7" x14ac:dyDescent="0.25">
      <c r="A21" s="10" t="s">
        <v>272</v>
      </c>
      <c r="B21" s="81">
        <f>SUM(B19:B20)</f>
        <v>2.6327349999999998</v>
      </c>
      <c r="C21" s="81">
        <f t="shared" ref="C21:F21" si="1">SUM(C19:C20)</f>
        <v>2.6327349999999998</v>
      </c>
      <c r="D21" s="81">
        <f t="shared" si="1"/>
        <v>3.5008683673438505</v>
      </c>
      <c r="E21" s="81">
        <f t="shared" si="1"/>
        <v>4.3350268621190562</v>
      </c>
      <c r="F21" s="81">
        <f t="shared" si="1"/>
        <v>4.4201014359427759</v>
      </c>
      <c r="G21" s="124">
        <f t="shared" si="0"/>
        <v>17.521466665405683</v>
      </c>
    </row>
    <row r="24" spans="1:7" x14ac:dyDescent="0.25">
      <c r="A24" s="14" t="s">
        <v>225</v>
      </c>
    </row>
    <row r="25" spans="1:7" x14ac:dyDescent="0.25">
      <c r="A25" s="71">
        <v>1.1681868686868688</v>
      </c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9BDD2-10A3-4A11-B3A1-FAF8A7DC3775}">
  <sheetPr>
    <tabColor theme="3" tint="0.79998168889431442"/>
  </sheetPr>
  <dimension ref="A1:S50"/>
  <sheetViews>
    <sheetView tabSelected="1" zoomScale="130" zoomScaleNormal="130" workbookViewId="0">
      <selection activeCell="F15" sqref="F15"/>
    </sheetView>
  </sheetViews>
  <sheetFormatPr defaultColWidth="8.625" defaultRowHeight="16.5" x14ac:dyDescent="0.3"/>
  <cols>
    <col min="1" max="1" width="18.125" style="9" customWidth="1"/>
    <col min="2" max="3" width="14.75" style="9" bestFit="1" customWidth="1"/>
    <col min="4" max="4" width="11.125" style="9" bestFit="1" customWidth="1"/>
    <col min="5" max="16384" width="8.625" style="9"/>
  </cols>
  <sheetData>
    <row r="1" spans="1:19" x14ac:dyDescent="0.3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 s="216" customFormat="1" x14ac:dyDescent="0.3">
      <c r="A2" s="141" t="s">
        <v>281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</row>
    <row r="3" spans="1:19" x14ac:dyDescent="0.3">
      <c r="A3" s="11" t="s">
        <v>319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</row>
    <row r="4" spans="1:19" x14ac:dyDescent="0.3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</row>
    <row r="5" spans="1:19" x14ac:dyDescent="0.3">
      <c r="A5" s="11"/>
      <c r="B5" s="11"/>
      <c r="C5" s="11"/>
      <c r="D5" s="11"/>
      <c r="E5" s="11" t="s">
        <v>273</v>
      </c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</row>
    <row r="6" spans="1:19" x14ac:dyDescent="0.3">
      <c r="A6" s="86" t="s">
        <v>28</v>
      </c>
      <c r="B6" s="86" t="s">
        <v>29</v>
      </c>
      <c r="C6" s="86" t="s">
        <v>30</v>
      </c>
      <c r="D6" s="86" t="s">
        <v>31</v>
      </c>
      <c r="E6" s="86" t="s">
        <v>32</v>
      </c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spans="1:19" x14ac:dyDescent="0.3">
      <c r="A7" s="125">
        <v>1.4630000000000001</v>
      </c>
      <c r="B7" s="126">
        <v>1.4630000000000001</v>
      </c>
      <c r="C7" s="126">
        <v>1.4630000000000001</v>
      </c>
      <c r="D7" s="126">
        <v>1.4630000000000001</v>
      </c>
      <c r="E7" s="127">
        <v>1.4630000000000001</v>
      </c>
      <c r="F7" s="69" t="s">
        <v>118</v>
      </c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</row>
    <row r="8" spans="1:19" x14ac:dyDescent="0.3">
      <c r="A8" s="128">
        <f>A7*B9</f>
        <v>1.6556818884409961</v>
      </c>
      <c r="B8" s="129">
        <f>B7*B9</f>
        <v>1.6556818884409961</v>
      </c>
      <c r="C8" s="129">
        <f>C7*B9</f>
        <v>1.6556818884409961</v>
      </c>
      <c r="D8" s="129">
        <f>D7*B9</f>
        <v>1.6556818884409961</v>
      </c>
      <c r="E8" s="130">
        <f>E7*B9</f>
        <v>1.6556818884409961</v>
      </c>
      <c r="F8" s="74">
        <v>26</v>
      </c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</row>
    <row r="9" spans="1:19" x14ac:dyDescent="0.3">
      <c r="A9" s="11" t="s">
        <v>121</v>
      </c>
      <c r="B9" s="71">
        <v>1.1317032730287053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spans="1:19" x14ac:dyDescent="0.3">
      <c r="A10" s="394"/>
      <c r="B10" s="394"/>
      <c r="C10" s="394"/>
      <c r="D10" s="394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</row>
    <row r="11" spans="1:19" x14ac:dyDescent="0.3">
      <c r="A11" s="394"/>
      <c r="B11" s="394"/>
      <c r="C11" s="394"/>
      <c r="D11" s="394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spans="1:19" x14ac:dyDescent="0.3">
      <c r="A12" s="394"/>
      <c r="B12" s="413"/>
      <c r="C12" s="394"/>
      <c r="D12" s="394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spans="1:19" x14ac:dyDescent="0.3">
      <c r="A13" s="394"/>
      <c r="B13" s="394"/>
      <c r="C13" s="394"/>
      <c r="D13" s="394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  <row r="14" spans="1:19" x14ac:dyDescent="0.3">
      <c r="A14" s="394"/>
      <c r="B14" s="413"/>
      <c r="C14" s="403"/>
      <c r="D14" s="394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</row>
    <row r="15" spans="1:19" x14ac:dyDescent="0.3">
      <c r="A15" s="414"/>
      <c r="B15" s="414"/>
      <c r="C15" s="394"/>
      <c r="D15" s="394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</row>
    <row r="16" spans="1:19" x14ac:dyDescent="0.3">
      <c r="A16" s="394"/>
      <c r="B16" s="413"/>
      <c r="C16" s="413"/>
      <c r="D16" s="403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7" spans="1:19" x14ac:dyDescent="0.3">
      <c r="A17" s="394"/>
      <c r="B17" s="413"/>
      <c r="C17" s="413"/>
      <c r="D17" s="403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</row>
    <row r="18" spans="1:19" x14ac:dyDescent="0.3">
      <c r="A18" s="394"/>
      <c r="B18" s="413"/>
      <c r="C18" s="413"/>
      <c r="D18" s="403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spans="1:19" x14ac:dyDescent="0.3">
      <c r="A19" s="394"/>
      <c r="B19" s="413"/>
      <c r="C19" s="413"/>
      <c r="D19" s="403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</row>
    <row r="20" spans="1:19" x14ac:dyDescent="0.3">
      <c r="A20" s="394"/>
      <c r="B20" s="413"/>
      <c r="C20" s="413"/>
      <c r="D20" s="403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</row>
    <row r="21" spans="1:19" x14ac:dyDescent="0.3">
      <c r="A21" s="394"/>
      <c r="B21" s="413"/>
      <c r="C21" s="413"/>
      <c r="D21" s="403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spans="1:19" x14ac:dyDescent="0.3">
      <c r="A22" s="394"/>
      <c r="B22" s="413"/>
      <c r="C22" s="413"/>
      <c r="D22" s="403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</row>
    <row r="23" spans="1:19" x14ac:dyDescent="0.3">
      <c r="A23" s="394"/>
      <c r="B23" s="413"/>
      <c r="C23" s="413"/>
      <c r="D23" s="403"/>
      <c r="E23" s="11"/>
      <c r="N23" s="11"/>
      <c r="O23" s="11"/>
      <c r="P23" s="11"/>
      <c r="Q23" s="11"/>
      <c r="R23" s="11"/>
      <c r="S23" s="11"/>
    </row>
    <row r="24" spans="1:19" x14ac:dyDescent="0.3">
      <c r="A24" s="394"/>
      <c r="B24" s="413"/>
      <c r="C24" s="394"/>
      <c r="D24" s="394"/>
      <c r="E24" s="11"/>
      <c r="N24" s="11"/>
      <c r="O24" s="11"/>
      <c r="P24" s="11"/>
      <c r="Q24" s="11"/>
      <c r="R24" s="11"/>
      <c r="S24" s="11"/>
    </row>
    <row r="25" spans="1:19" x14ac:dyDescent="0.3">
      <c r="A25" s="394"/>
      <c r="B25" s="394"/>
      <c r="C25" s="394"/>
      <c r="D25" s="394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</row>
    <row r="26" spans="1:19" x14ac:dyDescent="0.3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</row>
    <row r="27" spans="1:19" x14ac:dyDescent="0.3"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</row>
    <row r="28" spans="1:19" x14ac:dyDescent="0.3">
      <c r="A28" s="174"/>
      <c r="B28" s="174"/>
      <c r="C28" s="174"/>
      <c r="D28" s="174"/>
      <c r="E28" s="174"/>
      <c r="F28" s="174"/>
      <c r="G28" s="174"/>
      <c r="H28" s="174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</row>
    <row r="29" spans="1:19" x14ac:dyDescent="0.3">
      <c r="A29" s="346"/>
      <c r="B29" s="346"/>
      <c r="C29" s="346"/>
      <c r="D29" s="347"/>
      <c r="E29" s="347"/>
      <c r="F29" s="347"/>
      <c r="G29" s="347"/>
      <c r="H29" s="347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</row>
    <row r="30" spans="1:19" x14ac:dyDescent="0.3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</row>
    <row r="31" spans="1:19" x14ac:dyDescent="0.3">
      <c r="N31" s="11"/>
      <c r="O31" s="11"/>
      <c r="P31" s="11"/>
      <c r="Q31" s="11"/>
      <c r="R31" s="11"/>
      <c r="S31" s="11"/>
    </row>
    <row r="32" spans="1:19" x14ac:dyDescent="0.3">
      <c r="N32" s="11"/>
      <c r="O32" s="11"/>
      <c r="P32" s="11"/>
      <c r="Q32" s="11"/>
      <c r="R32" s="11"/>
      <c r="S32" s="11"/>
    </row>
    <row r="33" spans="1:19" x14ac:dyDescent="0.3">
      <c r="B33" s="11"/>
      <c r="C33" s="11"/>
      <c r="D33" s="11"/>
      <c r="E33" s="11"/>
      <c r="F33" s="11"/>
      <c r="N33" s="11"/>
      <c r="O33" s="11"/>
      <c r="P33" s="11"/>
      <c r="Q33" s="11"/>
      <c r="R33" s="11"/>
      <c r="S33" s="11"/>
    </row>
    <row r="34" spans="1:19" x14ac:dyDescent="0.3">
      <c r="N34" s="11"/>
      <c r="O34" s="11"/>
      <c r="P34" s="11"/>
      <c r="Q34" s="11"/>
      <c r="R34" s="11"/>
      <c r="S34" s="11"/>
    </row>
    <row r="35" spans="1:19" x14ac:dyDescent="0.3">
      <c r="N35" s="11"/>
      <c r="O35" s="11"/>
      <c r="P35" s="11"/>
      <c r="Q35" s="11"/>
      <c r="R35" s="11"/>
      <c r="S35" s="11"/>
    </row>
    <row r="36" spans="1:19" x14ac:dyDescent="0.3">
      <c r="N36" s="11"/>
      <c r="O36" s="11"/>
      <c r="P36" s="11"/>
      <c r="Q36" s="11"/>
      <c r="R36" s="11"/>
      <c r="S36" s="11"/>
    </row>
    <row r="37" spans="1:19" x14ac:dyDescent="0.3">
      <c r="N37" s="11"/>
      <c r="O37" s="11"/>
      <c r="P37" s="11"/>
      <c r="Q37" s="11"/>
      <c r="R37" s="11"/>
      <c r="S37" s="11"/>
    </row>
    <row r="38" spans="1:19" x14ac:dyDescent="0.3">
      <c r="N38" s="11"/>
      <c r="O38" s="11"/>
      <c r="P38" s="11"/>
      <c r="Q38" s="11"/>
      <c r="R38" s="11"/>
      <c r="S38" s="11"/>
    </row>
    <row r="39" spans="1:19" x14ac:dyDescent="0.3">
      <c r="N39" s="11"/>
      <c r="O39" s="11"/>
      <c r="P39" s="11"/>
      <c r="Q39" s="11"/>
      <c r="R39" s="11"/>
      <c r="S39" s="11"/>
    </row>
    <row r="40" spans="1:19" x14ac:dyDescent="0.3">
      <c r="N40" s="11"/>
      <c r="O40" s="11"/>
      <c r="P40" s="11"/>
      <c r="Q40" s="11"/>
      <c r="R40" s="11"/>
      <c r="S40" s="11"/>
    </row>
    <row r="41" spans="1:19" x14ac:dyDescent="0.3">
      <c r="N41" s="11"/>
      <c r="O41" s="11"/>
      <c r="P41" s="11"/>
      <c r="Q41" s="11"/>
      <c r="R41" s="11"/>
      <c r="S41" s="11"/>
    </row>
    <row r="42" spans="1:19" x14ac:dyDescent="0.3">
      <c r="N42" s="11"/>
      <c r="O42" s="11"/>
      <c r="P42" s="11"/>
      <c r="Q42" s="11"/>
      <c r="R42" s="11"/>
      <c r="S42" s="11"/>
    </row>
    <row r="43" spans="1:19" x14ac:dyDescent="0.3">
      <c r="N43" s="11"/>
      <c r="O43" s="11"/>
      <c r="P43" s="11"/>
      <c r="Q43" s="11"/>
      <c r="R43" s="11"/>
      <c r="S43" s="11"/>
    </row>
    <row r="44" spans="1:19" x14ac:dyDescent="0.3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</row>
    <row r="45" spans="1:19" x14ac:dyDescent="0.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</row>
    <row r="46" spans="1:19" x14ac:dyDescent="0.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</row>
    <row r="47" spans="1:19" x14ac:dyDescent="0.3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</row>
    <row r="48" spans="1:19" x14ac:dyDescent="0.3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</row>
    <row r="49" spans="1:19" x14ac:dyDescent="0.3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</row>
    <row r="50" spans="1:19" x14ac:dyDescent="0.3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64D2E-70AA-47AB-93F9-A4BB3144E36C}">
  <sheetPr>
    <tabColor theme="5" tint="0.79998168889431442"/>
  </sheetPr>
  <dimension ref="A1:W43"/>
  <sheetViews>
    <sheetView workbookViewId="0">
      <selection activeCell="A44" sqref="A44"/>
    </sheetView>
  </sheetViews>
  <sheetFormatPr defaultColWidth="9" defaultRowHeight="13.5" x14ac:dyDescent="0.25"/>
  <cols>
    <col min="1" max="1" width="29.125" style="11" customWidth="1"/>
    <col min="2" max="2" width="13.125" style="11" customWidth="1"/>
    <col min="3" max="3" width="11.375" style="11" customWidth="1"/>
    <col min="4" max="4" width="11.875" style="11" customWidth="1"/>
    <col min="5" max="5" width="11.625" style="11" customWidth="1"/>
    <col min="6" max="6" width="13.625" style="11" customWidth="1"/>
    <col min="7" max="7" width="12.625" style="11" customWidth="1"/>
    <col min="8" max="10" width="9" style="11"/>
    <col min="11" max="11" width="9.875" style="11" bestFit="1" customWidth="1"/>
    <col min="12" max="16384" width="9" style="11"/>
  </cols>
  <sheetData>
    <row r="1" spans="1:23" s="147" customFormat="1" x14ac:dyDescent="0.25">
      <c r="A1" s="141" t="s">
        <v>242</v>
      </c>
    </row>
    <row r="2" spans="1:23" x14ac:dyDescent="0.25">
      <c r="A2" s="70"/>
      <c r="B2" s="70"/>
      <c r="C2" s="70"/>
      <c r="D2" s="70"/>
      <c r="E2" s="70"/>
      <c r="F2" s="70"/>
      <c r="G2" s="70"/>
      <c r="I2" s="70"/>
      <c r="J2" s="70"/>
      <c r="L2" s="70"/>
      <c r="M2" s="70"/>
      <c r="N2" s="70"/>
      <c r="O2" s="70"/>
    </row>
    <row r="3" spans="1:23" x14ac:dyDescent="0.25">
      <c r="A3" s="70"/>
      <c r="B3" s="86" t="s">
        <v>28</v>
      </c>
      <c r="C3" s="86" t="s">
        <v>29</v>
      </c>
      <c r="D3" s="86" t="s">
        <v>30</v>
      </c>
      <c r="E3" s="86" t="s">
        <v>31</v>
      </c>
      <c r="F3" s="86" t="s">
        <v>32</v>
      </c>
      <c r="G3" s="86" t="s">
        <v>1</v>
      </c>
      <c r="I3" s="70"/>
      <c r="J3" s="74"/>
      <c r="L3" s="74"/>
      <c r="M3" s="74"/>
      <c r="N3" s="74"/>
      <c r="O3" s="89"/>
    </row>
    <row r="4" spans="1:23" x14ac:dyDescent="0.25">
      <c r="A4" s="83" t="s">
        <v>54</v>
      </c>
      <c r="B4" s="78">
        <v>2894256</v>
      </c>
      <c r="C4" s="78">
        <v>4711656</v>
      </c>
      <c r="D4" s="78">
        <v>5106656</v>
      </c>
      <c r="E4" s="78">
        <v>5106656</v>
      </c>
      <c r="F4" s="78">
        <v>5136656</v>
      </c>
      <c r="G4" s="88">
        <f>SUM(B4:F4)</f>
        <v>22955880</v>
      </c>
      <c r="I4" s="70"/>
      <c r="J4" s="74"/>
      <c r="K4" s="195"/>
      <c r="L4" s="74"/>
      <c r="M4" s="74"/>
      <c r="N4" s="74"/>
      <c r="O4" s="89"/>
    </row>
    <row r="5" spans="1:23" x14ac:dyDescent="0.25">
      <c r="A5" s="83" t="s">
        <v>55</v>
      </c>
      <c r="B5" s="78">
        <v>0</v>
      </c>
      <c r="C5" s="78">
        <v>300000</v>
      </c>
      <c r="D5" s="78">
        <v>300000</v>
      </c>
      <c r="E5" s="78">
        <v>315000</v>
      </c>
      <c r="F5" s="78">
        <v>315000</v>
      </c>
      <c r="G5" s="88">
        <f t="shared" ref="G5:G6" si="0">SUM(B5:F5)</f>
        <v>1230000</v>
      </c>
      <c r="I5" s="70"/>
      <c r="J5" s="74"/>
      <c r="K5" s="194"/>
      <c r="L5" s="74"/>
      <c r="M5" s="74"/>
      <c r="N5" s="74"/>
      <c r="O5" s="89"/>
    </row>
    <row r="6" spans="1:23" x14ac:dyDescent="0.25">
      <c r="A6" s="83" t="s">
        <v>56</v>
      </c>
      <c r="B6" s="78">
        <v>0</v>
      </c>
      <c r="C6" s="78">
        <v>1254000</v>
      </c>
      <c r="D6" s="78">
        <v>1944000</v>
      </c>
      <c r="E6" s="78">
        <v>3022000</v>
      </c>
      <c r="F6" s="78">
        <v>3022000</v>
      </c>
      <c r="G6" s="88">
        <f t="shared" si="0"/>
        <v>9242000</v>
      </c>
      <c r="I6" s="70"/>
      <c r="J6" s="74"/>
      <c r="K6" s="74"/>
      <c r="L6" s="74"/>
      <c r="M6" s="74"/>
      <c r="N6" s="74"/>
      <c r="O6" s="89"/>
    </row>
    <row r="7" spans="1:23" x14ac:dyDescent="0.25">
      <c r="A7" s="83" t="s">
        <v>57</v>
      </c>
      <c r="B7" s="78">
        <v>520000</v>
      </c>
      <c r="C7" s="78">
        <v>694000</v>
      </c>
      <c r="D7" s="78">
        <v>868000</v>
      </c>
      <c r="E7" s="78">
        <v>1042000</v>
      </c>
      <c r="F7" s="78">
        <v>1216000</v>
      </c>
      <c r="G7" s="88">
        <f>SUM(B7:F7)</f>
        <v>4340000</v>
      </c>
      <c r="I7" s="70"/>
      <c r="J7" s="74"/>
      <c r="K7" s="74"/>
      <c r="L7" s="74"/>
      <c r="M7" s="74"/>
      <c r="N7" s="74"/>
      <c r="O7" s="89"/>
    </row>
    <row r="8" spans="1:23" x14ac:dyDescent="0.25">
      <c r="A8" s="83" t="s">
        <v>53</v>
      </c>
      <c r="B8" s="88">
        <f t="shared" ref="B8:E8" si="1">SUM(B4:B7)</f>
        <v>3414256</v>
      </c>
      <c r="C8" s="88">
        <f t="shared" si="1"/>
        <v>6959656</v>
      </c>
      <c r="D8" s="88">
        <f t="shared" si="1"/>
        <v>8218656</v>
      </c>
      <c r="E8" s="88">
        <f t="shared" si="1"/>
        <v>9485656</v>
      </c>
      <c r="F8" s="88">
        <f>SUM(F4:F7)</f>
        <v>9689656</v>
      </c>
      <c r="G8" s="88">
        <f>SUM(G4:G7)</f>
        <v>37767880</v>
      </c>
      <c r="I8" s="70"/>
      <c r="J8" s="74"/>
      <c r="K8" s="74"/>
      <c r="L8" s="91"/>
      <c r="M8" s="91"/>
      <c r="N8" s="91"/>
      <c r="O8" s="89"/>
      <c r="Q8" s="70"/>
      <c r="R8" s="74"/>
      <c r="S8" s="74"/>
      <c r="T8" s="91"/>
      <c r="U8" s="91"/>
      <c r="V8" s="91"/>
      <c r="W8" s="89"/>
    </row>
    <row r="9" spans="1:23" x14ac:dyDescent="0.25">
      <c r="A9" s="70"/>
      <c r="B9" s="89"/>
      <c r="C9" s="89"/>
      <c r="D9" s="89"/>
      <c r="E9" s="89"/>
      <c r="F9" s="89"/>
      <c r="G9" s="89"/>
      <c r="I9" s="70"/>
      <c r="J9" s="89"/>
      <c r="K9" s="89"/>
      <c r="L9" s="89"/>
      <c r="M9" s="89"/>
      <c r="N9" s="89"/>
      <c r="O9" s="89"/>
    </row>
    <row r="10" spans="1:23" x14ac:dyDescent="0.25">
      <c r="A10" s="70"/>
      <c r="B10" s="89"/>
      <c r="C10" s="89"/>
      <c r="D10" s="89"/>
      <c r="E10" s="89"/>
      <c r="F10" s="89"/>
      <c r="G10" s="89"/>
    </row>
    <row r="11" spans="1:23" s="149" customFormat="1" x14ac:dyDescent="0.25">
      <c r="A11" s="141" t="s">
        <v>241</v>
      </c>
    </row>
    <row r="12" spans="1:23" x14ac:dyDescent="0.25">
      <c r="B12" s="70" t="s">
        <v>58</v>
      </c>
      <c r="C12" s="70" t="s">
        <v>59</v>
      </c>
      <c r="D12" s="70" t="s">
        <v>60</v>
      </c>
      <c r="E12" s="70" t="s">
        <v>61</v>
      </c>
      <c r="F12" s="70"/>
    </row>
    <row r="13" spans="1:23" x14ac:dyDescent="0.25">
      <c r="A13" s="70" t="s">
        <v>323</v>
      </c>
      <c r="E13" s="89">
        <f>SUM(E14:E22)</f>
        <v>22955880</v>
      </c>
    </row>
    <row r="14" spans="1:23" x14ac:dyDescent="0.25">
      <c r="A14" s="90" t="s">
        <v>62</v>
      </c>
      <c r="B14" s="11" t="s">
        <v>40</v>
      </c>
      <c r="C14" s="91">
        <v>225000</v>
      </c>
      <c r="D14" s="11">
        <v>2028</v>
      </c>
      <c r="E14" s="92">
        <v>900000</v>
      </c>
    </row>
    <row r="15" spans="1:23" x14ac:dyDescent="0.25">
      <c r="A15" s="90" t="s">
        <v>63</v>
      </c>
      <c r="B15" s="11" t="s">
        <v>40</v>
      </c>
      <c r="C15" s="91">
        <v>1064256</v>
      </c>
      <c r="D15" s="11">
        <v>2027</v>
      </c>
      <c r="E15" s="92">
        <v>5321280</v>
      </c>
    </row>
    <row r="16" spans="1:23" x14ac:dyDescent="0.25">
      <c r="A16" s="90" t="s">
        <v>64</v>
      </c>
      <c r="B16" s="11" t="s">
        <v>40</v>
      </c>
      <c r="C16" s="91">
        <v>500000</v>
      </c>
      <c r="D16" s="11">
        <v>2028</v>
      </c>
      <c r="E16" s="92">
        <v>2000000</v>
      </c>
    </row>
    <row r="17" spans="1:5" x14ac:dyDescent="0.25">
      <c r="A17" s="90" t="s">
        <v>65</v>
      </c>
      <c r="B17" s="11" t="s">
        <v>40</v>
      </c>
      <c r="C17" s="91">
        <v>582400</v>
      </c>
      <c r="D17" s="11">
        <v>2028</v>
      </c>
      <c r="E17" s="92">
        <v>2329600</v>
      </c>
    </row>
    <row r="18" spans="1:5" x14ac:dyDescent="0.25">
      <c r="A18" s="90" t="s">
        <v>66</v>
      </c>
      <c r="B18" s="11" t="s">
        <v>40</v>
      </c>
      <c r="C18" s="91">
        <v>395000</v>
      </c>
      <c r="D18" s="11">
        <v>2029</v>
      </c>
      <c r="E18" s="92">
        <v>1185000</v>
      </c>
    </row>
    <row r="19" spans="1:5" x14ac:dyDescent="0.25">
      <c r="A19" s="90" t="s">
        <v>67</v>
      </c>
      <c r="B19" s="11" t="s">
        <v>68</v>
      </c>
      <c r="C19" s="91">
        <v>1830000</v>
      </c>
      <c r="D19" s="11">
        <v>2027</v>
      </c>
      <c r="E19" s="92">
        <v>9150000</v>
      </c>
    </row>
    <row r="20" spans="1:5" x14ac:dyDescent="0.25">
      <c r="A20" s="90" t="s">
        <v>69</v>
      </c>
      <c r="B20" s="11" t="s">
        <v>68</v>
      </c>
      <c r="C20" s="91">
        <v>30000</v>
      </c>
      <c r="D20" s="11">
        <v>2031</v>
      </c>
      <c r="E20" s="92">
        <v>30000</v>
      </c>
    </row>
    <row r="21" spans="1:5" x14ac:dyDescent="0.25">
      <c r="A21" s="90" t="s">
        <v>70</v>
      </c>
      <c r="B21" s="11" t="s">
        <v>76</v>
      </c>
      <c r="C21" s="91">
        <v>225000</v>
      </c>
      <c r="D21" s="11">
        <v>2028</v>
      </c>
      <c r="E21" s="92">
        <v>900000</v>
      </c>
    </row>
    <row r="22" spans="1:5" x14ac:dyDescent="0.25">
      <c r="A22" s="90" t="s">
        <v>71</v>
      </c>
      <c r="B22" s="11" t="s">
        <v>72</v>
      </c>
      <c r="C22" s="91">
        <v>285000</v>
      </c>
      <c r="D22" s="11">
        <v>2028</v>
      </c>
      <c r="E22" s="92">
        <v>1140000</v>
      </c>
    </row>
    <row r="23" spans="1:5" x14ac:dyDescent="0.25">
      <c r="A23" s="70" t="s">
        <v>324</v>
      </c>
      <c r="E23" s="89">
        <f>SUM(E24:E25)</f>
        <v>1230000</v>
      </c>
    </row>
    <row r="24" spans="1:5" x14ac:dyDescent="0.25">
      <c r="A24" s="90" t="s">
        <v>352</v>
      </c>
      <c r="B24" s="11" t="s">
        <v>40</v>
      </c>
      <c r="C24" s="91">
        <v>300000</v>
      </c>
      <c r="D24" s="11">
        <v>2028</v>
      </c>
      <c r="E24" s="92">
        <v>1200000</v>
      </c>
    </row>
    <row r="25" spans="1:5" x14ac:dyDescent="0.25">
      <c r="A25" s="90" t="s">
        <v>73</v>
      </c>
      <c r="B25" s="11" t="s">
        <v>68</v>
      </c>
      <c r="C25" s="91">
        <v>15000</v>
      </c>
      <c r="D25" s="11">
        <v>2030</v>
      </c>
      <c r="E25" s="92">
        <v>30000</v>
      </c>
    </row>
    <row r="26" spans="1:5" x14ac:dyDescent="0.25">
      <c r="A26" s="70" t="s">
        <v>56</v>
      </c>
      <c r="E26" s="89">
        <f>SUM(E27:E36)</f>
        <v>9242000</v>
      </c>
    </row>
    <row r="27" spans="1:5" x14ac:dyDescent="0.25">
      <c r="A27" s="90" t="s">
        <v>74</v>
      </c>
      <c r="B27" s="11" t="s">
        <v>68</v>
      </c>
      <c r="C27" s="91">
        <v>240000</v>
      </c>
      <c r="D27" s="11">
        <v>2028</v>
      </c>
      <c r="E27" s="92">
        <v>960000</v>
      </c>
    </row>
    <row r="28" spans="1:5" x14ac:dyDescent="0.25">
      <c r="A28" s="90" t="s">
        <v>75</v>
      </c>
      <c r="B28" s="11" t="s">
        <v>76</v>
      </c>
      <c r="C28" s="91">
        <v>168000</v>
      </c>
      <c r="D28" s="11">
        <v>2030</v>
      </c>
      <c r="E28" s="92">
        <v>336000</v>
      </c>
    </row>
    <row r="29" spans="1:5" x14ac:dyDescent="0.25">
      <c r="A29" s="90" t="s">
        <v>77</v>
      </c>
      <c r="B29" s="11" t="s">
        <v>78</v>
      </c>
      <c r="C29" s="91">
        <v>750000</v>
      </c>
      <c r="D29" s="11">
        <v>2028</v>
      </c>
      <c r="E29" s="92">
        <v>3000000</v>
      </c>
    </row>
    <row r="30" spans="1:5" x14ac:dyDescent="0.25">
      <c r="A30" s="90" t="s">
        <v>79</v>
      </c>
      <c r="B30" s="11" t="s">
        <v>80</v>
      </c>
      <c r="C30" s="91">
        <v>84000</v>
      </c>
      <c r="D30" s="11">
        <v>2028</v>
      </c>
      <c r="E30" s="92">
        <v>336000</v>
      </c>
    </row>
    <row r="31" spans="1:5" x14ac:dyDescent="0.25">
      <c r="A31" s="90" t="s">
        <v>81</v>
      </c>
      <c r="B31" s="11" t="s">
        <v>82</v>
      </c>
      <c r="C31" s="91">
        <v>700000.00000000012</v>
      </c>
      <c r="D31" s="11">
        <v>2030</v>
      </c>
      <c r="E31" s="92">
        <v>1400000.0000000002</v>
      </c>
    </row>
    <row r="32" spans="1:5" x14ac:dyDescent="0.25">
      <c r="A32" s="90" t="s">
        <v>83</v>
      </c>
      <c r="B32" s="11" t="s">
        <v>82</v>
      </c>
      <c r="C32" s="91">
        <v>450000.00000000006</v>
      </c>
      <c r="D32" s="11">
        <v>2029</v>
      </c>
      <c r="E32" s="92">
        <v>1350000.0000000002</v>
      </c>
    </row>
    <row r="33" spans="1:5" x14ac:dyDescent="0.25">
      <c r="A33" s="90" t="s">
        <v>84</v>
      </c>
      <c r="B33" s="11" t="s">
        <v>82</v>
      </c>
      <c r="C33" s="91">
        <v>210000.00000000003</v>
      </c>
      <c r="D33" s="11">
        <v>2030</v>
      </c>
      <c r="E33" s="92">
        <v>420000.00000000006</v>
      </c>
    </row>
    <row r="34" spans="1:5" x14ac:dyDescent="0.25">
      <c r="A34" s="90" t="s">
        <v>85</v>
      </c>
      <c r="B34" s="11" t="s">
        <v>86</v>
      </c>
      <c r="C34" s="91">
        <v>60000</v>
      </c>
      <c r="D34" s="11">
        <v>2028</v>
      </c>
      <c r="E34" s="92">
        <v>240000</v>
      </c>
    </row>
    <row r="35" spans="1:5" x14ac:dyDescent="0.25">
      <c r="A35" s="90" t="s">
        <v>87</v>
      </c>
      <c r="B35" s="11" t="s">
        <v>86</v>
      </c>
      <c r="C35" s="91">
        <v>240000</v>
      </c>
      <c r="D35" s="11">
        <v>2029</v>
      </c>
      <c r="E35" s="92">
        <v>720000</v>
      </c>
    </row>
    <row r="36" spans="1:5" x14ac:dyDescent="0.25">
      <c r="A36" s="90" t="s">
        <v>88</v>
      </c>
      <c r="B36" s="11" t="s">
        <v>86</v>
      </c>
      <c r="C36" s="91">
        <v>120000</v>
      </c>
      <c r="D36" s="11">
        <v>2028</v>
      </c>
      <c r="E36" s="92">
        <v>480000</v>
      </c>
    </row>
    <row r="37" spans="1:5" x14ac:dyDescent="0.25">
      <c r="A37" s="70" t="s">
        <v>57</v>
      </c>
      <c r="E37" s="89">
        <f>SUM(E38:E39)</f>
        <v>4340000</v>
      </c>
    </row>
    <row r="38" spans="1:5" x14ac:dyDescent="0.25">
      <c r="A38" s="90" t="s">
        <v>91</v>
      </c>
      <c r="B38" s="11" t="s">
        <v>72</v>
      </c>
      <c r="C38" s="91">
        <v>520000</v>
      </c>
      <c r="D38" s="11">
        <v>2027</v>
      </c>
      <c r="E38" s="92">
        <v>2600000</v>
      </c>
    </row>
    <row r="39" spans="1:5" x14ac:dyDescent="0.25">
      <c r="A39" s="90" t="s">
        <v>92</v>
      </c>
      <c r="B39" s="11" t="s">
        <v>93</v>
      </c>
      <c r="C39" s="93" t="s">
        <v>2</v>
      </c>
      <c r="D39" s="11" t="s">
        <v>94</v>
      </c>
      <c r="E39" s="92">
        <v>1740000</v>
      </c>
    </row>
    <row r="41" spans="1:5" x14ac:dyDescent="0.25">
      <c r="A41" s="141" t="s">
        <v>97</v>
      </c>
      <c r="B41" s="149"/>
      <c r="C41" s="149"/>
      <c r="D41" s="149"/>
      <c r="E41" s="208">
        <f>SUM(E42:E43)</f>
        <v>3589785</v>
      </c>
    </row>
    <row r="42" spans="1:5" x14ac:dyDescent="0.25">
      <c r="A42" s="90" t="s">
        <v>89</v>
      </c>
      <c r="B42" s="11" t="s">
        <v>40</v>
      </c>
      <c r="C42" s="91">
        <f>E42/3</f>
        <v>996595</v>
      </c>
      <c r="D42" s="11">
        <v>2028</v>
      </c>
      <c r="E42" s="72">
        <v>2989785</v>
      </c>
    </row>
    <row r="43" spans="1:5" x14ac:dyDescent="0.25">
      <c r="A43" s="90" t="s">
        <v>90</v>
      </c>
      <c r="B43" s="11" t="s">
        <v>76</v>
      </c>
      <c r="C43" s="91">
        <v>300000</v>
      </c>
      <c r="D43" s="11">
        <v>2030</v>
      </c>
      <c r="E43" s="91">
        <v>600000</v>
      </c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159A4F-D806-4B40-A4E7-D38054828807}">
  <sheetPr>
    <tabColor theme="9" tint="0.79998168889431442"/>
  </sheetPr>
  <dimension ref="A2:O32"/>
  <sheetViews>
    <sheetView workbookViewId="0">
      <selection activeCell="R22" sqref="R22"/>
    </sheetView>
  </sheetViews>
  <sheetFormatPr defaultColWidth="8.625" defaultRowHeight="13.5" x14ac:dyDescent="0.25"/>
  <cols>
    <col min="1" max="16384" width="8.625" style="11"/>
  </cols>
  <sheetData>
    <row r="2" spans="1:15" s="147" customFormat="1" x14ac:dyDescent="0.25">
      <c r="A2" s="141" t="s">
        <v>349</v>
      </c>
    </row>
    <row r="4" spans="1:15" x14ac:dyDescent="0.25">
      <c r="O4" s="11" t="s">
        <v>348</v>
      </c>
    </row>
    <row r="16" spans="1:15" s="147" customFormat="1" x14ac:dyDescent="0.25">
      <c r="A16" s="141" t="s">
        <v>353</v>
      </c>
    </row>
    <row r="29" spans="1:5" s="147" customFormat="1" x14ac:dyDescent="0.25">
      <c r="A29" s="141" t="s">
        <v>320</v>
      </c>
    </row>
    <row r="31" spans="1:5" x14ac:dyDescent="0.25">
      <c r="A31" s="86" t="s">
        <v>28</v>
      </c>
      <c r="B31" s="86" t="s">
        <v>29</v>
      </c>
      <c r="C31" s="86" t="s">
        <v>30</v>
      </c>
      <c r="D31" s="86" t="s">
        <v>31</v>
      </c>
      <c r="E31" s="86" t="s">
        <v>32</v>
      </c>
    </row>
    <row r="32" spans="1:5" x14ac:dyDescent="0.25">
      <c r="A32" s="81">
        <v>0.50800000000000001</v>
      </c>
      <c r="B32" s="81">
        <v>1.016</v>
      </c>
      <c r="C32" s="81">
        <v>1.5780000000000001</v>
      </c>
      <c r="D32" s="81">
        <v>2.194</v>
      </c>
      <c r="E32" s="81">
        <v>2.702</v>
      </c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E82B2-B114-4D53-9866-71CEDEA81F6D}">
  <sheetPr>
    <tabColor theme="7" tint="0.79998168889431442"/>
  </sheetPr>
  <dimension ref="A2:H32"/>
  <sheetViews>
    <sheetView zoomScaleNormal="100" workbookViewId="0">
      <selection activeCell="I33" sqref="I33"/>
    </sheetView>
  </sheetViews>
  <sheetFormatPr defaultColWidth="8.625" defaultRowHeight="13.5" x14ac:dyDescent="0.25"/>
  <cols>
    <col min="1" max="1" width="13.75" style="11" bestFit="1" customWidth="1"/>
    <col min="2" max="2" width="11.5" style="11" customWidth="1"/>
    <col min="3" max="3" width="11.375" style="11" bestFit="1" customWidth="1"/>
    <col min="4" max="4" width="12.75" style="11" customWidth="1"/>
    <col min="5" max="5" width="12.125" style="11" bestFit="1" customWidth="1"/>
    <col min="6" max="16384" width="8.625" style="11"/>
  </cols>
  <sheetData>
    <row r="2" spans="1:7" s="147" customFormat="1" x14ac:dyDescent="0.25">
      <c r="A2" s="141" t="s">
        <v>277</v>
      </c>
    </row>
    <row r="3" spans="1:7" x14ac:dyDescent="0.25">
      <c r="A3" s="11" t="s">
        <v>279</v>
      </c>
    </row>
    <row r="5" spans="1:7" x14ac:dyDescent="0.25">
      <c r="A5" s="11" t="s">
        <v>278</v>
      </c>
    </row>
    <row r="6" spans="1:7" x14ac:dyDescent="0.25">
      <c r="A6" s="86" t="s">
        <v>28</v>
      </c>
      <c r="B6" s="86" t="s">
        <v>29</v>
      </c>
      <c r="C6" s="86" t="s">
        <v>30</v>
      </c>
      <c r="D6" s="86" t="s">
        <v>31</v>
      </c>
      <c r="E6" s="86" t="s">
        <v>32</v>
      </c>
    </row>
    <row r="7" spans="1:7" x14ac:dyDescent="0.25">
      <c r="A7" s="71">
        <f>2.179-1.46935+0.3</f>
        <v>1.0096499999999999</v>
      </c>
      <c r="B7" s="71">
        <f>2.029-1.46935+0.3</f>
        <v>0.85965000000000003</v>
      </c>
      <c r="C7" s="71">
        <f t="shared" ref="C7:E7" si="0">2.029-1.46935+0.3</f>
        <v>0.85965000000000003</v>
      </c>
      <c r="D7" s="71">
        <f t="shared" si="0"/>
        <v>0.85965000000000003</v>
      </c>
      <c r="E7" s="71">
        <f t="shared" si="0"/>
        <v>0.85965000000000003</v>
      </c>
    </row>
    <row r="9" spans="1:7" x14ac:dyDescent="0.25">
      <c r="A9" s="11" t="s">
        <v>119</v>
      </c>
      <c r="F9" s="11" t="s">
        <v>124</v>
      </c>
      <c r="G9" s="71">
        <v>1.0766665174736092</v>
      </c>
    </row>
    <row r="10" spans="1:7" x14ac:dyDescent="0.25">
      <c r="B10" s="11" t="s">
        <v>350</v>
      </c>
    </row>
    <row r="11" spans="1:7" x14ac:dyDescent="0.25">
      <c r="A11" s="131" t="s">
        <v>36</v>
      </c>
      <c r="B11" s="132">
        <f>90000+50000+50350+200000</f>
        <v>390350</v>
      </c>
    </row>
    <row r="12" spans="1:7" x14ac:dyDescent="0.25">
      <c r="A12" s="11" t="s">
        <v>120</v>
      </c>
    </row>
    <row r="13" spans="1:7" x14ac:dyDescent="0.25">
      <c r="A13" s="131" t="s">
        <v>36</v>
      </c>
      <c r="B13" s="132">
        <f>B11*B14</f>
        <v>440902.16179964237</v>
      </c>
      <c r="C13" s="133"/>
    </row>
    <row r="14" spans="1:7" x14ac:dyDescent="0.25">
      <c r="A14" s="11" t="s">
        <v>121</v>
      </c>
      <c r="B14" s="71">
        <v>1.1295047055197704</v>
      </c>
      <c r="C14" s="196"/>
      <c r="D14" s="11" t="s">
        <v>118</v>
      </c>
    </row>
    <row r="15" spans="1:7" x14ac:dyDescent="0.25">
      <c r="A15" s="134" t="s">
        <v>4</v>
      </c>
      <c r="B15" s="135">
        <f>B13*(A26+1)</f>
        <v>444937.13349471928</v>
      </c>
      <c r="C15" s="197">
        <v>0</v>
      </c>
      <c r="D15" s="198">
        <f>C15-B15</f>
        <v>-444937.13349471928</v>
      </c>
    </row>
    <row r="16" spans="1:7" x14ac:dyDescent="0.25">
      <c r="A16" s="21" t="s">
        <v>5</v>
      </c>
      <c r="B16" s="136">
        <f>B15*(B26+1)</f>
        <v>449877.18511336122</v>
      </c>
      <c r="C16" s="199">
        <v>0</v>
      </c>
      <c r="D16" s="73">
        <f t="shared" ref="D16:D22" si="1">C16-B16</f>
        <v>-449877.18511336122</v>
      </c>
    </row>
    <row r="17" spans="1:8" x14ac:dyDescent="0.25">
      <c r="A17" s="137" t="s">
        <v>6</v>
      </c>
      <c r="B17" s="138">
        <f>B16*(C26+1)</f>
        <v>455689.43235824769</v>
      </c>
      <c r="C17" s="199">
        <v>0</v>
      </c>
      <c r="D17" s="201">
        <f t="shared" si="1"/>
        <v>-455689.43235824769</v>
      </c>
    </row>
    <row r="18" spans="1:8" x14ac:dyDescent="0.25">
      <c r="A18" s="134" t="s">
        <v>7</v>
      </c>
      <c r="B18" s="209">
        <f>B17*(D26+1)</f>
        <v>459948.96215213218</v>
      </c>
      <c r="C18" s="197">
        <f>(500000+200000+150000+250000)*G9</f>
        <v>1184333.16922097</v>
      </c>
      <c r="D18" s="210">
        <f t="shared" si="1"/>
        <v>724384.20706883783</v>
      </c>
      <c r="E18" s="72">
        <f>(2179000-1469350)*G9</f>
        <v>764056.39412514679</v>
      </c>
    </row>
    <row r="19" spans="1:8" x14ac:dyDescent="0.25">
      <c r="A19" s="21" t="s">
        <v>8</v>
      </c>
      <c r="B19" s="140">
        <f>B18*(E26+1)</f>
        <v>465050.38683812559</v>
      </c>
      <c r="C19" s="199">
        <f>(500000+200000+150000+100000)*G9</f>
        <v>1022833.1915999288</v>
      </c>
      <c r="D19" s="211">
        <f t="shared" si="1"/>
        <v>557782.80476180324</v>
      </c>
      <c r="E19" s="72">
        <f>(2029000-1469350)*G9</f>
        <v>602556.41650410544</v>
      </c>
    </row>
    <row r="20" spans="1:8" x14ac:dyDescent="0.25">
      <c r="A20" s="21" t="s">
        <v>9</v>
      </c>
      <c r="B20" s="140">
        <f>B19*(F26+1)</f>
        <v>473904.55329585879</v>
      </c>
      <c r="C20" s="199">
        <f>(500000+200000+150000+100000)*G9</f>
        <v>1022833.1915999288</v>
      </c>
      <c r="D20" s="211">
        <f t="shared" si="1"/>
        <v>548928.63830406999</v>
      </c>
      <c r="E20" s="72">
        <f>(2029000-1469350)*G9</f>
        <v>602556.41650410544</v>
      </c>
    </row>
    <row r="21" spans="1:8" x14ac:dyDescent="0.25">
      <c r="A21" s="21" t="s">
        <v>10</v>
      </c>
      <c r="B21" s="140">
        <f>B20*(G26+1)</f>
        <v>483527.71130585938</v>
      </c>
      <c r="C21" s="199">
        <f>(500000+200000+150000+100000)*G9</f>
        <v>1022833.1915999288</v>
      </c>
      <c r="D21" s="211">
        <f t="shared" si="1"/>
        <v>539305.48029406939</v>
      </c>
      <c r="E21" s="72">
        <f>(2029000-1469350)*G9</f>
        <v>602556.41650410544</v>
      </c>
    </row>
    <row r="22" spans="1:8" x14ac:dyDescent="0.25">
      <c r="A22" s="137" t="s">
        <v>11</v>
      </c>
      <c r="B22" s="212">
        <f>B21*(H26+1)</f>
        <v>492662.39053396927</v>
      </c>
      <c r="C22" s="200">
        <f>(500000+200000+150000+100000)*G9</f>
        <v>1022833.1915999288</v>
      </c>
      <c r="D22" s="213">
        <f t="shared" si="1"/>
        <v>530170.8010659595</v>
      </c>
      <c r="E22" s="72">
        <f>(2029000-1469350)*G9</f>
        <v>602556.41650410544</v>
      </c>
    </row>
    <row r="23" spans="1:8" x14ac:dyDescent="0.25">
      <c r="A23" s="131" t="s">
        <v>122</v>
      </c>
      <c r="B23" s="132">
        <f>SUM(B18:B22)</f>
        <v>2375094.0041259453</v>
      </c>
      <c r="C23" s="201">
        <f>SUM(C18:C22)</f>
        <v>5275665.9356206851</v>
      </c>
      <c r="D23" s="77">
        <f>SUM(D18:D22)</f>
        <v>2900571.9314947398</v>
      </c>
      <c r="E23" s="133">
        <f>SUM(E18:E22)</f>
        <v>3174282.060141569</v>
      </c>
    </row>
    <row r="25" spans="1:8" x14ac:dyDescent="0.25">
      <c r="A25" s="86" t="s">
        <v>24</v>
      </c>
      <c r="B25" s="86" t="s">
        <v>25</v>
      </c>
      <c r="C25" s="86" t="s">
        <v>26</v>
      </c>
      <c r="D25" s="86" t="s">
        <v>28</v>
      </c>
      <c r="E25" s="86" t="s">
        <v>29</v>
      </c>
      <c r="F25" s="86" t="s">
        <v>30</v>
      </c>
      <c r="G25" s="86" t="s">
        <v>31</v>
      </c>
      <c r="H25" s="86" t="s">
        <v>32</v>
      </c>
    </row>
    <row r="26" spans="1:8" x14ac:dyDescent="0.25">
      <c r="A26" s="205">
        <v>9.1516260174531183E-3</v>
      </c>
      <c r="B26" s="206">
        <v>1.110280811997133E-2</v>
      </c>
      <c r="C26" s="207">
        <v>1.2919631039795654E-2</v>
      </c>
      <c r="D26" s="144">
        <v>9.347440364901427E-3</v>
      </c>
      <c r="E26" s="144">
        <v>1.1091284263635481E-2</v>
      </c>
      <c r="F26" s="144">
        <v>1.9039155128829366E-2</v>
      </c>
      <c r="G26" s="144">
        <v>2.0306110044890913E-2</v>
      </c>
      <c r="H26" s="144">
        <v>1.889173880735795E-2</v>
      </c>
    </row>
    <row r="28" spans="1:8" x14ac:dyDescent="0.25">
      <c r="A28" s="86" t="s">
        <v>28</v>
      </c>
      <c r="B28" s="86" t="s">
        <v>29</v>
      </c>
      <c r="C28" s="86" t="s">
        <v>30</v>
      </c>
      <c r="D28" s="86" t="s">
        <v>31</v>
      </c>
      <c r="E28" s="86" t="s">
        <v>32</v>
      </c>
    </row>
    <row r="29" spans="1:8" x14ac:dyDescent="0.25">
      <c r="A29" s="76">
        <f>300000*G9</f>
        <v>322999.95524208277</v>
      </c>
      <c r="B29" s="76">
        <f>300000*G9</f>
        <v>322999.95524208277</v>
      </c>
      <c r="C29" s="76">
        <f>300000*G9</f>
        <v>322999.95524208277</v>
      </c>
      <c r="D29" s="76">
        <f>300000*G9</f>
        <v>322999.95524208277</v>
      </c>
      <c r="E29" s="76">
        <f>300000*G9</f>
        <v>322999.95524208277</v>
      </c>
    </row>
    <row r="30" spans="1:8" x14ac:dyDescent="0.25">
      <c r="A30" s="76">
        <f>(10400000/5)*$G$9</f>
        <v>2239466.3563451073</v>
      </c>
      <c r="B30" s="76">
        <f>(10400000/5)*$G$9</f>
        <v>2239466.3563451073</v>
      </c>
      <c r="C30" s="76">
        <f>(10400000/5)*$G$9</f>
        <v>2239466.3563451073</v>
      </c>
      <c r="D30" s="76">
        <f>(10400000/5)*$G$9</f>
        <v>2239466.3563451073</v>
      </c>
      <c r="E30" s="76">
        <f>(10400000/5)*$G$9</f>
        <v>2239466.3563451073</v>
      </c>
    </row>
    <row r="32" spans="1:8" x14ac:dyDescent="0.25">
      <c r="A32" s="85">
        <f>D18+A29+A30</f>
        <v>3286850.518656028</v>
      </c>
      <c r="B32" s="85">
        <f>D19+B29+B30</f>
        <v>3120249.116348993</v>
      </c>
      <c r="C32" s="85">
        <f>D20+C29+C30</f>
        <v>3111394.9498912599</v>
      </c>
      <c r="D32" s="85">
        <f>D21+D29+D30</f>
        <v>3101771.7918812595</v>
      </c>
      <c r="E32" s="85">
        <f>D22+E29+E30</f>
        <v>3092637.1126531493</v>
      </c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84257-7915-41D4-A5F0-1CDA1FDA7D49}">
  <sheetPr>
    <tabColor theme="3" tint="0.59999389629810485"/>
  </sheetPr>
  <dimension ref="A2:H27"/>
  <sheetViews>
    <sheetView workbookViewId="0">
      <selection activeCell="F31" sqref="F31"/>
    </sheetView>
  </sheetViews>
  <sheetFormatPr defaultColWidth="8.625" defaultRowHeight="13.5" x14ac:dyDescent="0.25"/>
  <cols>
    <col min="1" max="2" width="9.875" style="11" customWidth="1"/>
    <col min="3" max="4" width="10.375" style="11" customWidth="1"/>
    <col min="5" max="7" width="8.625" style="11"/>
    <col min="8" max="8" width="11.125" style="11" customWidth="1"/>
    <col min="9" max="9" width="10.375" style="11" customWidth="1"/>
    <col min="10" max="10" width="12.625" style="11" customWidth="1"/>
    <col min="11" max="11" width="11.375" style="11" customWidth="1"/>
    <col min="12" max="16384" width="8.625" style="11"/>
  </cols>
  <sheetData>
    <row r="2" spans="1:6" s="150" customFormat="1" ht="12.75" x14ac:dyDescent="0.2">
      <c r="A2" s="141" t="s">
        <v>274</v>
      </c>
    </row>
    <row r="3" spans="1:6" x14ac:dyDescent="0.25">
      <c r="A3" s="11" t="s">
        <v>314</v>
      </c>
    </row>
    <row r="5" spans="1:6" x14ac:dyDescent="0.25">
      <c r="A5" s="10"/>
      <c r="B5" s="86" t="s">
        <v>28</v>
      </c>
      <c r="C5" s="86" t="s">
        <v>29</v>
      </c>
      <c r="D5" s="86" t="s">
        <v>30</v>
      </c>
      <c r="E5" s="86" t="s">
        <v>31</v>
      </c>
      <c r="F5" s="86" t="s">
        <v>32</v>
      </c>
    </row>
    <row r="6" spans="1:6" x14ac:dyDescent="0.25">
      <c r="A6" s="10" t="s">
        <v>275</v>
      </c>
      <c r="B6" s="81">
        <f>7.6776/5</f>
        <v>1.53552</v>
      </c>
      <c r="C6" s="81">
        <f t="shared" ref="C6:F6" si="0">7.6776/5</f>
        <v>1.53552</v>
      </c>
      <c r="D6" s="81">
        <f t="shared" si="0"/>
        <v>1.53552</v>
      </c>
      <c r="E6" s="81">
        <f t="shared" si="0"/>
        <v>1.53552</v>
      </c>
      <c r="F6" s="81">
        <f t="shared" si="0"/>
        <v>1.53552</v>
      </c>
    </row>
    <row r="8" spans="1:6" x14ac:dyDescent="0.25">
      <c r="A8" s="11" t="s">
        <v>119</v>
      </c>
    </row>
    <row r="9" spans="1:6" x14ac:dyDescent="0.25">
      <c r="B9" s="11" t="s">
        <v>123</v>
      </c>
    </row>
    <row r="10" spans="1:6" x14ac:dyDescent="0.25">
      <c r="A10" s="131" t="s">
        <v>36</v>
      </c>
      <c r="B10" s="132">
        <v>70000</v>
      </c>
    </row>
    <row r="11" spans="1:6" x14ac:dyDescent="0.25">
      <c r="A11" s="11" t="s">
        <v>120</v>
      </c>
    </row>
    <row r="12" spans="1:6" x14ac:dyDescent="0.25">
      <c r="A12" s="131" t="s">
        <v>36</v>
      </c>
      <c r="B12" s="132">
        <f>B10*B13</f>
        <v>79065.329386383935</v>
      </c>
      <c r="C12" s="133"/>
    </row>
    <row r="13" spans="1:6" x14ac:dyDescent="0.25">
      <c r="A13" s="11" t="s">
        <v>121</v>
      </c>
      <c r="B13" s="71">
        <v>1.1295047055197704</v>
      </c>
      <c r="C13" s="196"/>
      <c r="D13" s="11" t="s">
        <v>118</v>
      </c>
    </row>
    <row r="14" spans="1:6" x14ac:dyDescent="0.25">
      <c r="A14" s="134" t="s">
        <v>4</v>
      </c>
      <c r="B14" s="135">
        <f>B12*(A25+1)</f>
        <v>79788.905711874861</v>
      </c>
      <c r="C14" s="197">
        <v>0</v>
      </c>
      <c r="D14" s="198">
        <f>C14-B14</f>
        <v>-79788.905711874861</v>
      </c>
    </row>
    <row r="15" spans="1:6" x14ac:dyDescent="0.25">
      <c r="A15" s="21" t="s">
        <v>5</v>
      </c>
      <c r="B15" s="136">
        <f>B14*(B25+1)</f>
        <v>80674.78662209629</v>
      </c>
      <c r="C15" s="199">
        <v>0</v>
      </c>
      <c r="D15" s="73">
        <f t="shared" ref="D15:D21" si="1">C15-B15</f>
        <v>-80674.78662209629</v>
      </c>
    </row>
    <row r="16" spans="1:6" x14ac:dyDescent="0.25">
      <c r="A16" s="137" t="s">
        <v>6</v>
      </c>
      <c r="B16" s="138">
        <f>B15*(C25+1)</f>
        <v>81717.075099468013</v>
      </c>
      <c r="C16" s="200">
        <v>0</v>
      </c>
      <c r="D16" s="201">
        <f t="shared" si="1"/>
        <v>-81717.075099468013</v>
      </c>
    </row>
    <row r="17" spans="1:8" x14ac:dyDescent="0.25">
      <c r="A17" s="134" t="s">
        <v>7</v>
      </c>
      <c r="B17" s="135">
        <f>B16*(D25+1)</f>
        <v>82480.920585754458</v>
      </c>
      <c r="C17" s="202">
        <f>B6*10^6*B27</f>
        <v>1653242.9709110763</v>
      </c>
      <c r="D17" s="198">
        <f t="shared" si="1"/>
        <v>1570762.0503253217</v>
      </c>
    </row>
    <row r="18" spans="1:8" x14ac:dyDescent="0.25">
      <c r="A18" s="21" t="s">
        <v>8</v>
      </c>
      <c r="B18" s="136">
        <f>B17*(E25+1)</f>
        <v>83395.739922297405</v>
      </c>
      <c r="C18" s="203">
        <f>C6*10^6*B27</f>
        <v>1653242.9709110763</v>
      </c>
      <c r="D18" s="73">
        <f t="shared" si="1"/>
        <v>1569847.2309887789</v>
      </c>
    </row>
    <row r="19" spans="1:8" x14ac:dyDescent="0.25">
      <c r="A19" s="21" t="s">
        <v>9</v>
      </c>
      <c r="B19" s="136">
        <f>B18*(F25+1)</f>
        <v>84983.524351761531</v>
      </c>
      <c r="C19" s="203">
        <f>D6*10^6*B27</f>
        <v>1653242.9709110763</v>
      </c>
      <c r="D19" s="73">
        <f t="shared" si="1"/>
        <v>1568259.4465593148</v>
      </c>
    </row>
    <row r="20" spans="1:8" x14ac:dyDescent="0.25">
      <c r="A20" s="21" t="s">
        <v>10</v>
      </c>
      <c r="B20" s="136">
        <f>B19*(G25+1)</f>
        <v>86709.209149251066</v>
      </c>
      <c r="C20" s="203">
        <f>E6*10^6*B27</f>
        <v>1653242.9709110763</v>
      </c>
      <c r="D20" s="73">
        <f t="shared" si="1"/>
        <v>1566533.7617618253</v>
      </c>
    </row>
    <row r="21" spans="1:8" x14ac:dyDescent="0.25">
      <c r="A21" s="137" t="s">
        <v>11</v>
      </c>
      <c r="B21" s="138">
        <f>B20*(H25+1)</f>
        <v>88347.296880691283</v>
      </c>
      <c r="C21" s="204">
        <f>F6*10^6*B27</f>
        <v>1653242.9709110763</v>
      </c>
      <c r="D21" s="201">
        <f t="shared" si="1"/>
        <v>1564895.674030385</v>
      </c>
    </row>
    <row r="22" spans="1:8" x14ac:dyDescent="0.25">
      <c r="A22" s="131" t="s">
        <v>122</v>
      </c>
      <c r="B22" s="132">
        <f>SUM(B17:B21)</f>
        <v>425916.69088975573</v>
      </c>
      <c r="C22" s="77">
        <f>SUM(C17:C21)</f>
        <v>8266214.8545553815</v>
      </c>
      <c r="D22" s="77">
        <f>SUM(D17:D21)</f>
        <v>7840298.1636656262</v>
      </c>
    </row>
    <row r="24" spans="1:8" x14ac:dyDescent="0.25">
      <c r="A24" s="86" t="s">
        <v>24</v>
      </c>
      <c r="B24" s="86" t="s">
        <v>25</v>
      </c>
      <c r="C24" s="86" t="s">
        <v>26</v>
      </c>
      <c r="D24" s="86" t="s">
        <v>28</v>
      </c>
      <c r="E24" s="86" t="s">
        <v>29</v>
      </c>
      <c r="F24" s="86" t="s">
        <v>30</v>
      </c>
      <c r="G24" s="86" t="s">
        <v>31</v>
      </c>
      <c r="H24" s="86" t="s">
        <v>32</v>
      </c>
    </row>
    <row r="25" spans="1:8" x14ac:dyDescent="0.25">
      <c r="A25" s="205">
        <v>9.1516260174531183E-3</v>
      </c>
      <c r="B25" s="206">
        <v>1.110280811997133E-2</v>
      </c>
      <c r="C25" s="207">
        <v>1.2919631039795654E-2</v>
      </c>
      <c r="D25" s="144">
        <v>9.347440364901427E-3</v>
      </c>
      <c r="E25" s="144">
        <v>1.1091284263635481E-2</v>
      </c>
      <c r="F25" s="144">
        <v>1.9039155128829366E-2</v>
      </c>
      <c r="G25" s="144">
        <v>2.0306110044890913E-2</v>
      </c>
      <c r="H25" s="144">
        <v>1.889173880735795E-2</v>
      </c>
    </row>
    <row r="27" spans="1:8" ht="54" x14ac:dyDescent="0.25">
      <c r="A27" s="184" t="s">
        <v>276</v>
      </c>
      <c r="B27" s="71">
        <v>1.0766665174736092</v>
      </c>
    </row>
  </sheetData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99EBC-DD70-40E3-9E2E-C9A7D9B7C878}">
  <sheetPr>
    <tabColor theme="8" tint="0.59999389629810485"/>
  </sheetPr>
  <dimension ref="A1:K74"/>
  <sheetViews>
    <sheetView zoomScaleNormal="100" workbookViewId="0">
      <selection activeCell="H17" sqref="H17"/>
    </sheetView>
  </sheetViews>
  <sheetFormatPr defaultColWidth="8.625" defaultRowHeight="13.5" x14ac:dyDescent="0.25"/>
  <cols>
    <col min="1" max="1" width="35.875" style="11" customWidth="1"/>
    <col min="2" max="2" width="14.875" style="11" customWidth="1"/>
    <col min="3" max="3" width="13.875" style="11" customWidth="1"/>
    <col min="4" max="4" width="14.25" style="11" customWidth="1"/>
    <col min="5" max="5" width="19.25" style="11" customWidth="1"/>
    <col min="6" max="6" width="16.75" style="11" customWidth="1"/>
    <col min="7" max="7" width="15.875" style="11" customWidth="1"/>
    <col min="8" max="8" width="19.75" style="11" customWidth="1"/>
    <col min="9" max="9" width="26.625" style="11" customWidth="1"/>
    <col min="10" max="10" width="13.625" style="11" customWidth="1"/>
    <col min="11" max="11" width="22.625" style="11" customWidth="1"/>
    <col min="12" max="12" width="11" style="11" bestFit="1" customWidth="1"/>
    <col min="13" max="16384" width="8.625" style="11"/>
  </cols>
  <sheetData>
    <row r="1" spans="1:9" x14ac:dyDescent="0.25">
      <c r="A1" s="270"/>
      <c r="B1" s="270"/>
      <c r="C1" s="373"/>
      <c r="D1" s="373"/>
      <c r="E1" s="373"/>
      <c r="F1" s="373"/>
      <c r="G1" s="75"/>
      <c r="H1" s="271"/>
      <c r="I1" s="75"/>
    </row>
    <row r="2" spans="1:9" s="147" customFormat="1" x14ac:dyDescent="0.25">
      <c r="A2" s="324" t="s">
        <v>315</v>
      </c>
      <c r="B2" s="321"/>
      <c r="C2" s="322"/>
      <c r="D2" s="322"/>
      <c r="E2" s="323"/>
      <c r="F2" s="322"/>
      <c r="G2" s="322"/>
      <c r="H2" s="322"/>
      <c r="I2" s="322"/>
    </row>
    <row r="3" spans="1:9" x14ac:dyDescent="0.25">
      <c r="A3" s="11" t="s">
        <v>279</v>
      </c>
      <c r="I3" s="75"/>
    </row>
    <row r="4" spans="1:9" ht="18" customHeight="1" x14ac:dyDescent="0.25"/>
    <row r="5" spans="1:9" ht="16.5" customHeight="1" x14ac:dyDescent="0.25"/>
    <row r="6" spans="1:9" ht="12" customHeight="1" x14ac:dyDescent="0.25">
      <c r="A6" s="86" t="s">
        <v>28</v>
      </c>
      <c r="B6" s="86" t="s">
        <v>29</v>
      </c>
      <c r="C6" s="86" t="s">
        <v>30</v>
      </c>
      <c r="D6" s="86" t="s">
        <v>31</v>
      </c>
      <c r="E6" s="86" t="s">
        <v>32</v>
      </c>
      <c r="H6" s="75"/>
      <c r="I6" s="273"/>
    </row>
    <row r="7" spans="1:9" ht="15.95" customHeight="1" x14ac:dyDescent="0.25">
      <c r="A7" s="77">
        <v>540000</v>
      </c>
      <c r="B7" s="77">
        <v>540000</v>
      </c>
      <c r="C7" s="77">
        <v>540000</v>
      </c>
      <c r="D7" s="77">
        <v>540000</v>
      </c>
      <c r="E7" s="77">
        <v>540000</v>
      </c>
      <c r="F7" s="267" t="s">
        <v>313</v>
      </c>
      <c r="H7" s="273"/>
      <c r="I7" s="274"/>
    </row>
    <row r="8" spans="1:9" ht="14.1" customHeight="1" x14ac:dyDescent="0.25">
      <c r="A8" s="76">
        <v>816816</v>
      </c>
      <c r="B8" s="76">
        <v>929016</v>
      </c>
      <c r="C8" s="76">
        <v>929016</v>
      </c>
      <c r="D8" s="76">
        <v>929016</v>
      </c>
      <c r="E8" s="76">
        <v>929016</v>
      </c>
      <c r="F8" s="266" t="s">
        <v>356</v>
      </c>
      <c r="H8" s="272"/>
      <c r="I8" s="274"/>
    </row>
    <row r="9" spans="1:9" s="276" customFormat="1" ht="17.45" customHeight="1" x14ac:dyDescent="0.25">
      <c r="A9" s="77">
        <v>250000</v>
      </c>
      <c r="B9" s="77">
        <v>250000</v>
      </c>
      <c r="C9" s="77">
        <v>250000</v>
      </c>
      <c r="D9" s="77">
        <v>250000</v>
      </c>
      <c r="E9" s="77">
        <v>250000</v>
      </c>
      <c r="F9" s="268" t="s">
        <v>354</v>
      </c>
      <c r="G9" s="11"/>
      <c r="H9" s="275"/>
      <c r="I9" s="274"/>
    </row>
    <row r="10" spans="1:9" ht="18.600000000000001" customHeight="1" x14ac:dyDescent="0.25">
      <c r="A10" s="76">
        <v>100000</v>
      </c>
      <c r="B10" s="76">
        <v>50000</v>
      </c>
      <c r="C10" s="76">
        <v>25000</v>
      </c>
      <c r="D10" s="10"/>
      <c r="E10" s="10"/>
      <c r="F10" s="326" t="s">
        <v>355</v>
      </c>
      <c r="H10" s="275"/>
      <c r="I10" s="274"/>
    </row>
    <row r="11" spans="1:9" ht="13.5" customHeight="1" x14ac:dyDescent="0.25">
      <c r="A11" s="325">
        <f>SUM(A7:A10)</f>
        <v>1706816</v>
      </c>
      <c r="B11" s="325">
        <f>SUM(B7:B10)</f>
        <v>1769016</v>
      </c>
      <c r="C11" s="325">
        <f>SUM(C7:C10)</f>
        <v>1744016</v>
      </c>
      <c r="D11" s="325">
        <f>SUM(D7:D10)</f>
        <v>1719016</v>
      </c>
      <c r="E11" s="325">
        <f>SUM(E7:E10)</f>
        <v>1719016</v>
      </c>
      <c r="F11" s="77">
        <f>SUM(A11:E11)</f>
        <v>8657880</v>
      </c>
      <c r="H11" s="275"/>
      <c r="I11" s="274"/>
    </row>
    <row r="12" spans="1:9" ht="14.45" customHeight="1" x14ac:dyDescent="0.25">
      <c r="H12" s="277"/>
      <c r="I12" s="274"/>
    </row>
    <row r="13" spans="1:9" ht="20.100000000000001" customHeight="1" x14ac:dyDescent="0.25">
      <c r="A13" s="274"/>
      <c r="B13" s="274"/>
      <c r="C13" s="75"/>
      <c r="D13" s="274"/>
      <c r="E13" s="274"/>
      <c r="F13" s="274"/>
      <c r="G13" s="274"/>
      <c r="H13" s="278"/>
      <c r="I13" s="274"/>
    </row>
    <row r="16" spans="1:9" x14ac:dyDescent="0.25">
      <c r="A16" s="11" t="s">
        <v>119</v>
      </c>
      <c r="C16" s="71">
        <v>1.0766665174736092</v>
      </c>
    </row>
    <row r="17" spans="1:8" x14ac:dyDescent="0.25">
      <c r="B17" s="11" t="s">
        <v>351</v>
      </c>
    </row>
    <row r="18" spans="1:8" x14ac:dyDescent="0.25">
      <c r="A18" s="131" t="s">
        <v>36</v>
      </c>
      <c r="B18" s="132">
        <f>50000+180000</f>
        <v>230000</v>
      </c>
    </row>
    <row r="19" spans="1:8" x14ac:dyDescent="0.25">
      <c r="A19" s="11" t="s">
        <v>120</v>
      </c>
    </row>
    <row r="20" spans="1:8" x14ac:dyDescent="0.25">
      <c r="A20" s="131" t="s">
        <v>36</v>
      </c>
      <c r="B20" s="132">
        <f>B18*B21</f>
        <v>260291.75279660223</v>
      </c>
      <c r="C20" s="133"/>
    </row>
    <row r="21" spans="1:8" x14ac:dyDescent="0.25">
      <c r="A21" s="11" t="s">
        <v>121</v>
      </c>
      <c r="B21" s="71">
        <v>1.1317032730287053</v>
      </c>
      <c r="C21" s="196"/>
    </row>
    <row r="22" spans="1:8" x14ac:dyDescent="0.25">
      <c r="A22" s="134" t="s">
        <v>4</v>
      </c>
      <c r="B22" s="135">
        <f>B20*(A33+1)</f>
        <v>262673.84557362407</v>
      </c>
      <c r="C22" s="197">
        <f>C20*1.01</f>
        <v>0</v>
      </c>
      <c r="D22" s="198">
        <f t="shared" ref="D22:D29" si="0">C22-B22</f>
        <v>-262673.84557362407</v>
      </c>
    </row>
    <row r="23" spans="1:8" x14ac:dyDescent="0.25">
      <c r="A23" s="21" t="s">
        <v>5</v>
      </c>
      <c r="B23" s="136">
        <f>B22*(B33+1)</f>
        <v>265590.26287916303</v>
      </c>
      <c r="C23" s="199">
        <f>C22*1.01</f>
        <v>0</v>
      </c>
      <c r="D23" s="73">
        <f t="shared" si="0"/>
        <v>-265590.26287916303</v>
      </c>
    </row>
    <row r="24" spans="1:8" x14ac:dyDescent="0.25">
      <c r="A24" s="137" t="s">
        <v>6</v>
      </c>
      <c r="B24" s="138">
        <f>B23*(C33+1)</f>
        <v>269021.59108332417</v>
      </c>
      <c r="C24" s="200">
        <f>C23*1.01</f>
        <v>0</v>
      </c>
      <c r="D24" s="201">
        <f t="shared" si="0"/>
        <v>-269021.59108332417</v>
      </c>
      <c r="E24" s="11" t="s">
        <v>118</v>
      </c>
    </row>
    <row r="25" spans="1:8" x14ac:dyDescent="0.25">
      <c r="A25" s="134" t="s">
        <v>7</v>
      </c>
      <c r="B25" s="135">
        <f>B24*(D33+1)</f>
        <v>271536.25436284643</v>
      </c>
      <c r="C25" s="202">
        <f>($A$7+180000+$A$9+50000)*$C$16</f>
        <v>1098199.8478230813</v>
      </c>
      <c r="D25" s="198">
        <f t="shared" si="0"/>
        <v>826663.59346023481</v>
      </c>
      <c r="E25" s="220">
        <f>D25+(A8+A10)*C16</f>
        <v>1813768.6833443195</v>
      </c>
    </row>
    <row r="26" spans="1:8" x14ac:dyDescent="0.25">
      <c r="A26" s="21" t="s">
        <v>8</v>
      </c>
      <c r="B26" s="136">
        <f>B25*(E33+1)</f>
        <v>274547.9401478676</v>
      </c>
      <c r="C26" s="202">
        <f>($A$7+180000+$A$9+50000)*$C$16</f>
        <v>1098199.8478230813</v>
      </c>
      <c r="D26" s="73">
        <f t="shared" si="0"/>
        <v>823651.90767521365</v>
      </c>
      <c r="E26" s="220">
        <f>D26+(B8+B10)*C16</f>
        <v>1877725.6549461565</v>
      </c>
    </row>
    <row r="27" spans="1:8" x14ac:dyDescent="0.25">
      <c r="A27" s="21" t="s">
        <v>9</v>
      </c>
      <c r="B27" s="136">
        <f>B26*(F33+1)</f>
        <v>279775.1009706434</v>
      </c>
      <c r="C27" s="202">
        <f>($A$7+180000+$A$9+50000)*$C$16</f>
        <v>1098199.8478230813</v>
      </c>
      <c r="D27" s="73">
        <f t="shared" si="0"/>
        <v>818424.74685243797</v>
      </c>
      <c r="E27" s="220">
        <f>D27+(C8+C10)*C16</f>
        <v>1845581.8311865409</v>
      </c>
    </row>
    <row r="28" spans="1:8" x14ac:dyDescent="0.25">
      <c r="A28" s="21" t="s">
        <v>10</v>
      </c>
      <c r="B28" s="136">
        <f>B27*(G33+1)</f>
        <v>285456.24495877372</v>
      </c>
      <c r="C28" s="202">
        <f>($A$7+180000+$A$9+50000)*$C$16</f>
        <v>1098199.8478230813</v>
      </c>
      <c r="D28" s="73">
        <f t="shared" si="0"/>
        <v>812743.60286430758</v>
      </c>
      <c r="E28" s="220">
        <f>D28+(D8)*C16</f>
        <v>1812984.0242615701</v>
      </c>
    </row>
    <row r="29" spans="1:8" x14ac:dyDescent="0.25">
      <c r="A29" s="137" t="s">
        <v>11</v>
      </c>
      <c r="B29" s="138">
        <f>B28*(H33+1)</f>
        <v>290849.00977946405</v>
      </c>
      <c r="C29" s="202">
        <f>($A$7+180000+$A$9+50000)*$C$16</f>
        <v>1098199.8478230813</v>
      </c>
      <c r="D29" s="201">
        <f t="shared" si="0"/>
        <v>807350.83804361732</v>
      </c>
      <c r="E29" s="220">
        <f>D29+(E8)*C16</f>
        <v>1807591.2594408798</v>
      </c>
    </row>
    <row r="30" spans="1:8" x14ac:dyDescent="0.25">
      <c r="A30" s="131" t="s">
        <v>122</v>
      </c>
      <c r="B30" s="132">
        <f>SUM(B25:B29)</f>
        <v>1402164.5502195952</v>
      </c>
      <c r="C30" s="77">
        <f>SUM(C25:C29)</f>
        <v>5490999.2391154068</v>
      </c>
      <c r="D30" s="77">
        <f>SUM(D25:D29)</f>
        <v>4088834.6888958113</v>
      </c>
    </row>
    <row r="32" spans="1:8" x14ac:dyDescent="0.25">
      <c r="A32" s="86" t="s">
        <v>24</v>
      </c>
      <c r="B32" s="86" t="s">
        <v>25</v>
      </c>
      <c r="C32" s="86" t="s">
        <v>26</v>
      </c>
      <c r="D32" s="86" t="s">
        <v>28</v>
      </c>
      <c r="E32" s="86" t="s">
        <v>29</v>
      </c>
      <c r="F32" s="86" t="s">
        <v>30</v>
      </c>
      <c r="G32" s="86" t="s">
        <v>31</v>
      </c>
      <c r="H32" s="86" t="s">
        <v>32</v>
      </c>
    </row>
    <row r="33" spans="1:8" x14ac:dyDescent="0.25">
      <c r="A33" s="205">
        <v>9.1516260174531183E-3</v>
      </c>
      <c r="B33" s="206">
        <v>1.110280811997133E-2</v>
      </c>
      <c r="C33" s="207">
        <v>1.2919631039795654E-2</v>
      </c>
      <c r="D33" s="144">
        <v>9.347440364901427E-3</v>
      </c>
      <c r="E33" s="144">
        <v>1.1091284263635481E-2</v>
      </c>
      <c r="F33" s="144">
        <v>1.9039155128829366E-2</v>
      </c>
      <c r="G33" s="144">
        <v>2.0306110044890913E-2</v>
      </c>
      <c r="H33" s="144">
        <v>1.889173880735795E-2</v>
      </c>
    </row>
    <row r="50" spans="1:11" ht="11.1" customHeight="1" x14ac:dyDescent="0.25"/>
    <row r="51" spans="1:11" s="141" customFormat="1" ht="12.75" x14ac:dyDescent="0.2">
      <c r="A51" s="215" t="s">
        <v>280</v>
      </c>
    </row>
    <row r="53" spans="1:11" x14ac:dyDescent="0.25">
      <c r="A53" s="279" t="s">
        <v>125</v>
      </c>
      <c r="B53" s="374" t="s">
        <v>126</v>
      </c>
      <c r="C53" s="374"/>
      <c r="D53" s="374"/>
      <c r="E53" s="374"/>
      <c r="F53" s="374"/>
      <c r="G53" s="279" t="s">
        <v>127</v>
      </c>
      <c r="H53" s="279" t="s">
        <v>128</v>
      </c>
      <c r="I53" s="279" t="s">
        <v>129</v>
      </c>
      <c r="J53" s="279"/>
      <c r="K53" s="279"/>
    </row>
    <row r="54" spans="1:11" ht="99.95" customHeight="1" x14ac:dyDescent="0.25">
      <c r="A54" s="280" t="s">
        <v>130</v>
      </c>
      <c r="B54" s="375" t="s">
        <v>131</v>
      </c>
      <c r="C54" s="375"/>
      <c r="D54" s="375"/>
      <c r="E54" s="375"/>
      <c r="F54" s="375"/>
      <c r="G54" s="280" t="s">
        <v>132</v>
      </c>
      <c r="H54" s="280" t="s">
        <v>133</v>
      </c>
      <c r="I54" s="280" t="s">
        <v>134</v>
      </c>
      <c r="J54" s="281"/>
      <c r="K54" s="281"/>
    </row>
    <row r="55" spans="1:11" x14ac:dyDescent="0.25">
      <c r="A55" s="279"/>
      <c r="B55" s="279"/>
      <c r="C55" s="279"/>
      <c r="D55" s="279"/>
      <c r="E55" s="279"/>
      <c r="F55" s="282"/>
      <c r="G55" s="279"/>
      <c r="H55" s="279"/>
      <c r="I55" s="279"/>
      <c r="J55" s="279"/>
      <c r="K55" s="279"/>
    </row>
    <row r="56" spans="1:11" x14ac:dyDescent="0.25">
      <c r="A56" s="279"/>
      <c r="B56" s="279"/>
      <c r="C56" s="279"/>
      <c r="D56" s="279"/>
      <c r="E56" s="279"/>
      <c r="F56" s="282"/>
      <c r="G56" s="279"/>
      <c r="H56" s="279"/>
      <c r="I56" s="279"/>
      <c r="J56" s="279"/>
      <c r="K56" s="279"/>
    </row>
    <row r="57" spans="1:11" x14ac:dyDescent="0.25">
      <c r="A57" s="279"/>
      <c r="B57" s="279"/>
      <c r="C57" s="279"/>
      <c r="D57" s="279"/>
      <c r="E57" s="279"/>
      <c r="F57" s="282"/>
      <c r="G57" s="279"/>
      <c r="H57" s="279"/>
      <c r="I57" s="279"/>
      <c r="J57" s="279"/>
      <c r="K57" s="279"/>
    </row>
    <row r="58" spans="1:11" ht="38.25" x14ac:dyDescent="0.25">
      <c r="A58" s="283" t="s">
        <v>135</v>
      </c>
      <c r="B58" s="376" t="s">
        <v>136</v>
      </c>
      <c r="C58" s="376"/>
      <c r="D58" s="376" t="s">
        <v>137</v>
      </c>
      <c r="E58" s="376"/>
      <c r="F58" s="280"/>
      <c r="G58" s="281"/>
      <c r="H58" s="281"/>
      <c r="I58" s="281"/>
      <c r="J58" s="281"/>
      <c r="K58" s="281"/>
    </row>
    <row r="59" spans="1:11" ht="27" thickBot="1" x14ac:dyDescent="0.3">
      <c r="A59" s="284" t="s">
        <v>229</v>
      </c>
      <c r="B59" s="377">
        <v>5000</v>
      </c>
      <c r="C59" s="377"/>
      <c r="D59" s="372">
        <v>5000</v>
      </c>
      <c r="E59" s="372"/>
      <c r="F59" s="282"/>
      <c r="G59" s="279"/>
      <c r="H59" s="279"/>
      <c r="I59" s="279"/>
      <c r="J59" s="279"/>
      <c r="K59" s="279"/>
    </row>
    <row r="60" spans="1:11" ht="25.5" customHeight="1" thickBot="1" x14ac:dyDescent="0.3">
      <c r="A60" s="284" t="s">
        <v>230</v>
      </c>
      <c r="B60" s="387">
        <v>176</v>
      </c>
      <c r="C60" s="388"/>
      <c r="D60" s="389">
        <v>374</v>
      </c>
      <c r="E60" s="390"/>
      <c r="F60" s="282"/>
      <c r="G60" s="279"/>
      <c r="H60" s="279"/>
      <c r="I60" s="279"/>
      <c r="J60" s="279"/>
      <c r="K60" s="279"/>
    </row>
    <row r="61" spans="1:11" ht="25.5" customHeight="1" thickBot="1" x14ac:dyDescent="0.3">
      <c r="A61" s="284" t="s">
        <v>231</v>
      </c>
      <c r="B61" s="389">
        <v>374</v>
      </c>
      <c r="C61" s="390"/>
      <c r="D61" s="391">
        <v>1486</v>
      </c>
      <c r="E61" s="392"/>
      <c r="F61" s="282"/>
      <c r="G61" s="279"/>
      <c r="H61" s="279"/>
      <c r="I61" s="279"/>
      <c r="J61" s="279"/>
      <c r="K61" s="279"/>
    </row>
    <row r="62" spans="1:11" ht="24.95" customHeight="1" x14ac:dyDescent="0.25">
      <c r="A62" s="284" t="s">
        <v>232</v>
      </c>
      <c r="B62" s="392">
        <v>748</v>
      </c>
      <c r="C62" s="392"/>
      <c r="D62" s="393">
        <v>7433</v>
      </c>
      <c r="E62" s="393"/>
      <c r="F62" s="282"/>
      <c r="G62" s="279"/>
      <c r="H62" s="279"/>
      <c r="I62" s="279"/>
      <c r="J62" s="279"/>
      <c r="K62" s="279"/>
    </row>
    <row r="63" spans="1:11" x14ac:dyDescent="0.25">
      <c r="A63" s="284"/>
      <c r="B63" s="285"/>
      <c r="C63" s="285"/>
      <c r="D63" s="285"/>
      <c r="E63" s="285"/>
      <c r="F63" s="282"/>
      <c r="G63" s="279"/>
      <c r="H63" s="279"/>
      <c r="I63" s="279"/>
      <c r="J63" s="279"/>
      <c r="K63" s="279"/>
    </row>
    <row r="64" spans="1:11" ht="12.6" customHeight="1" x14ac:dyDescent="0.25">
      <c r="A64" s="284"/>
      <c r="B64" s="374" t="s">
        <v>138</v>
      </c>
      <c r="C64" s="374"/>
      <c r="D64" s="374"/>
      <c r="E64" s="374"/>
      <c r="F64" s="374"/>
      <c r="G64" s="374"/>
      <c r="H64" s="279"/>
      <c r="I64" s="279"/>
      <c r="J64" s="279"/>
      <c r="K64" s="279"/>
    </row>
    <row r="65" spans="1:11" ht="91.5" customHeight="1" x14ac:dyDescent="0.25">
      <c r="A65" s="286"/>
      <c r="B65" s="319" t="s">
        <v>139</v>
      </c>
      <c r="C65" s="319" t="s">
        <v>140</v>
      </c>
      <c r="D65" s="319" t="s">
        <v>141</v>
      </c>
      <c r="E65" s="320" t="s">
        <v>142</v>
      </c>
      <c r="F65" s="320" t="s">
        <v>143</v>
      </c>
      <c r="G65" s="287" t="s">
        <v>144</v>
      </c>
      <c r="H65" s="287" t="s">
        <v>145</v>
      </c>
      <c r="I65" s="279"/>
      <c r="J65" s="279"/>
      <c r="K65" s="279"/>
    </row>
    <row r="66" spans="1:11" x14ac:dyDescent="0.25">
      <c r="A66" s="305" t="s">
        <v>146</v>
      </c>
      <c r="B66" s="306">
        <v>2</v>
      </c>
      <c r="C66" s="306">
        <v>4</v>
      </c>
      <c r="D66" s="306">
        <f>SUM(B66,C66)</f>
        <v>6</v>
      </c>
      <c r="E66" s="307">
        <f>5000*SUM(B66:C66)</f>
        <v>30000</v>
      </c>
      <c r="F66" s="307">
        <f>374*(D66)</f>
        <v>2244</v>
      </c>
      <c r="G66" s="308">
        <f>E66</f>
        <v>30000</v>
      </c>
      <c r="H66" s="309">
        <f>F66</f>
        <v>2244</v>
      </c>
      <c r="I66" s="279"/>
      <c r="J66" s="279"/>
      <c r="K66" s="279"/>
    </row>
    <row r="67" spans="1:11" x14ac:dyDescent="0.25">
      <c r="A67" s="310" t="s">
        <v>147</v>
      </c>
      <c r="B67" s="279">
        <v>8</v>
      </c>
      <c r="C67" s="279">
        <v>100</v>
      </c>
      <c r="D67" s="279">
        <f t="shared" ref="D67:D73" si="1">D66+SUM(B67:C67)</f>
        <v>114</v>
      </c>
      <c r="E67" s="291">
        <f>5000*SUM(B67:C67)</f>
        <v>540000</v>
      </c>
      <c r="F67" s="291">
        <f>374*(6*D67)</f>
        <v>255816</v>
      </c>
      <c r="G67" s="311">
        <f>0.5*SUM(5000*108, 2000*100)</f>
        <v>370000</v>
      </c>
      <c r="H67" s="312">
        <f t="shared" ref="H67:H73" si="2">F67/2</f>
        <v>127908</v>
      </c>
      <c r="I67" s="279"/>
      <c r="J67" s="279"/>
      <c r="K67" s="279"/>
    </row>
    <row r="68" spans="1:11" ht="14.25" thickBot="1" x14ac:dyDescent="0.3">
      <c r="A68" s="313" t="s">
        <v>148</v>
      </c>
      <c r="B68" s="314" t="s">
        <v>2</v>
      </c>
      <c r="C68" s="315">
        <v>50</v>
      </c>
      <c r="D68" s="315">
        <f t="shared" si="1"/>
        <v>164</v>
      </c>
      <c r="E68" s="316">
        <f>5000*SUM(B68:C68)</f>
        <v>250000</v>
      </c>
      <c r="F68" s="316">
        <f>374*(9*D68)</f>
        <v>552024</v>
      </c>
      <c r="G68" s="317">
        <f>0.5*SUM(5000*C68, 2000*C68)</f>
        <v>175000</v>
      </c>
      <c r="H68" s="318">
        <f t="shared" si="2"/>
        <v>276012</v>
      </c>
      <c r="I68" s="279"/>
      <c r="J68" s="279"/>
      <c r="K68" s="279"/>
    </row>
    <row r="69" spans="1:11" ht="12.6" customHeight="1" x14ac:dyDescent="0.25">
      <c r="A69" s="289" t="s">
        <v>149</v>
      </c>
      <c r="B69" s="288" t="s">
        <v>2</v>
      </c>
      <c r="C69" s="279">
        <v>200</v>
      </c>
      <c r="D69" s="290">
        <f t="shared" si="1"/>
        <v>364</v>
      </c>
      <c r="E69" s="291">
        <f>5000*SUM(B69:C69)</f>
        <v>1000000</v>
      </c>
      <c r="F69" s="291">
        <f>374*(12*D69)</f>
        <v>1633632</v>
      </c>
      <c r="G69" s="300">
        <f>0.5*SUM(5000*C69, 2000*C69)</f>
        <v>700000</v>
      </c>
      <c r="H69" s="301">
        <f t="shared" si="2"/>
        <v>816816</v>
      </c>
      <c r="I69" s="378" t="s">
        <v>233</v>
      </c>
      <c r="J69" s="379"/>
      <c r="K69" s="380"/>
    </row>
    <row r="70" spans="1:11" x14ac:dyDescent="0.25">
      <c r="A70" s="289" t="s">
        <v>152</v>
      </c>
      <c r="B70" s="288" t="s">
        <v>2</v>
      </c>
      <c r="C70" s="279">
        <v>50</v>
      </c>
      <c r="D70" s="290">
        <f t="shared" si="1"/>
        <v>414</v>
      </c>
      <c r="E70" s="291">
        <f>5000*SUM(B70:C70)</f>
        <v>250000</v>
      </c>
      <c r="F70" s="291">
        <f>374*(12*D70)</f>
        <v>1858032</v>
      </c>
      <c r="G70" s="300">
        <f>0.5*SUM(5000*C70, 2000*C70)</f>
        <v>175000</v>
      </c>
      <c r="H70" s="301">
        <f t="shared" si="2"/>
        <v>929016</v>
      </c>
      <c r="I70" s="381"/>
      <c r="J70" s="382"/>
      <c r="K70" s="383"/>
    </row>
    <row r="71" spans="1:11" x14ac:dyDescent="0.25">
      <c r="A71" s="289" t="s">
        <v>153</v>
      </c>
      <c r="B71" s="288" t="s">
        <v>2</v>
      </c>
      <c r="C71" s="288" t="s">
        <v>2</v>
      </c>
      <c r="D71" s="290">
        <f t="shared" si="1"/>
        <v>414</v>
      </c>
      <c r="E71" s="292"/>
      <c r="F71" s="291">
        <f>374*(12*D71)</f>
        <v>1858032</v>
      </c>
      <c r="G71" s="302" t="s">
        <v>2</v>
      </c>
      <c r="H71" s="301">
        <f t="shared" si="2"/>
        <v>929016</v>
      </c>
      <c r="I71" s="381"/>
      <c r="J71" s="382"/>
      <c r="K71" s="383"/>
    </row>
    <row r="72" spans="1:11" x14ac:dyDescent="0.25">
      <c r="A72" s="289" t="s">
        <v>154</v>
      </c>
      <c r="B72" s="288" t="s">
        <v>2</v>
      </c>
      <c r="C72" s="288" t="s">
        <v>2</v>
      </c>
      <c r="D72" s="290">
        <f t="shared" si="1"/>
        <v>414</v>
      </c>
      <c r="E72" s="292"/>
      <c r="F72" s="291">
        <f>374*(12*D72)</f>
        <v>1858032</v>
      </c>
      <c r="G72" s="302" t="s">
        <v>2</v>
      </c>
      <c r="H72" s="301">
        <f t="shared" si="2"/>
        <v>929016</v>
      </c>
      <c r="I72" s="381"/>
      <c r="J72" s="382"/>
      <c r="K72" s="383"/>
    </row>
    <row r="73" spans="1:11" ht="14.25" thickBot="1" x14ac:dyDescent="0.3">
      <c r="A73" s="293" t="s">
        <v>150</v>
      </c>
      <c r="B73" s="294" t="s">
        <v>2</v>
      </c>
      <c r="C73" s="294" t="s">
        <v>2</v>
      </c>
      <c r="D73" s="295">
        <f t="shared" si="1"/>
        <v>414</v>
      </c>
      <c r="E73" s="296"/>
      <c r="F73" s="297">
        <f>374*(12*D73)</f>
        <v>1858032</v>
      </c>
      <c r="G73" s="303" t="s">
        <v>2</v>
      </c>
      <c r="H73" s="304">
        <f t="shared" si="2"/>
        <v>929016</v>
      </c>
      <c r="I73" s="384"/>
      <c r="J73" s="385"/>
      <c r="K73" s="386"/>
    </row>
    <row r="74" spans="1:11" x14ac:dyDescent="0.25">
      <c r="A74" s="279"/>
      <c r="B74" s="279"/>
      <c r="C74" s="279"/>
      <c r="D74" s="279"/>
      <c r="E74" s="279"/>
      <c r="F74" s="298" t="s">
        <v>151</v>
      </c>
      <c r="G74" s="299">
        <f>SUM(G69:G73)</f>
        <v>875000</v>
      </c>
      <c r="H74" s="299">
        <f>SUM(H69:H73)</f>
        <v>4532880</v>
      </c>
      <c r="I74" s="279"/>
      <c r="J74" s="279"/>
      <c r="K74" s="279"/>
    </row>
  </sheetData>
  <mergeCells count="15">
    <mergeCell ref="I69:K73"/>
    <mergeCell ref="B60:C60"/>
    <mergeCell ref="D60:E60"/>
    <mergeCell ref="B61:C61"/>
    <mergeCell ref="D61:E61"/>
    <mergeCell ref="B62:C62"/>
    <mergeCell ref="D62:E62"/>
    <mergeCell ref="D59:E59"/>
    <mergeCell ref="C1:F1"/>
    <mergeCell ref="B64:G64"/>
    <mergeCell ref="B53:F53"/>
    <mergeCell ref="B54:F54"/>
    <mergeCell ref="B58:C58"/>
    <mergeCell ref="D58:E58"/>
    <mergeCell ref="B59:C59"/>
  </mergeCells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8371E-9E86-492C-98BC-496DB7EA88F4}">
  <sheetPr>
    <tabColor theme="7" tint="-0.249977111117893"/>
  </sheetPr>
  <dimension ref="A1:Y118"/>
  <sheetViews>
    <sheetView zoomScale="130" zoomScaleNormal="130" workbookViewId="0">
      <selection activeCell="D13" sqref="D13"/>
    </sheetView>
  </sheetViews>
  <sheetFormatPr defaultColWidth="8.625" defaultRowHeight="13.5" x14ac:dyDescent="0.25"/>
  <cols>
    <col min="1" max="1" width="17.125" style="11" customWidth="1"/>
    <col min="2" max="3" width="14.5" style="11" bestFit="1" customWidth="1"/>
    <col min="4" max="4" width="13.375" style="11" customWidth="1"/>
    <col min="5" max="5" width="12.875" style="11" customWidth="1"/>
    <col min="6" max="6" width="13.125" style="11" customWidth="1"/>
    <col min="7" max="7" width="12.25" style="11" customWidth="1"/>
    <col min="8" max="8" width="12.75" style="11" customWidth="1"/>
    <col min="9" max="9" width="14" style="11" customWidth="1"/>
    <col min="10" max="11" width="13.625" style="11" customWidth="1"/>
    <col min="12" max="12" width="11.875" style="11" customWidth="1"/>
    <col min="13" max="13" width="13.5" style="11" bestFit="1" customWidth="1"/>
    <col min="14" max="14" width="20.625" style="11" bestFit="1" customWidth="1"/>
    <col min="15" max="15" width="18.125" style="11" customWidth="1"/>
    <col min="16" max="16" width="18.5" style="11" customWidth="1"/>
    <col min="17" max="17" width="22.25" style="11" customWidth="1"/>
    <col min="18" max="18" width="23.125" style="11" customWidth="1"/>
    <col min="19" max="20" width="14.5" style="11" bestFit="1" customWidth="1"/>
    <col min="21" max="22" width="14.875" style="11" bestFit="1" customWidth="1"/>
    <col min="23" max="23" width="14.75" style="11" customWidth="1"/>
    <col min="24" max="24" width="14.25" style="11" customWidth="1"/>
    <col min="25" max="25" width="14.875" style="11" customWidth="1"/>
    <col min="26" max="16384" width="8.625" style="11"/>
  </cols>
  <sheetData>
    <row r="1" spans="1:22" s="141" customFormat="1" ht="12.75" x14ac:dyDescent="0.2">
      <c r="A1" s="141" t="s">
        <v>289</v>
      </c>
    </row>
    <row r="2" spans="1:22" x14ac:dyDescent="0.25">
      <c r="B2" s="227" t="s">
        <v>3</v>
      </c>
      <c r="F2" s="227"/>
      <c r="P2" s="70"/>
      <c r="Q2" s="70"/>
      <c r="R2" s="70"/>
      <c r="S2" s="70"/>
      <c r="T2" s="70"/>
      <c r="U2" s="70"/>
      <c r="V2" s="70"/>
    </row>
    <row r="3" spans="1:22" x14ac:dyDescent="0.25">
      <c r="B3" s="86" t="s">
        <v>228</v>
      </c>
      <c r="C3" s="86" t="s">
        <v>24</v>
      </c>
      <c r="D3" s="86" t="s">
        <v>25</v>
      </c>
      <c r="E3" s="86" t="s">
        <v>26</v>
      </c>
      <c r="F3" s="86" t="s">
        <v>28</v>
      </c>
      <c r="G3" s="86" t="s">
        <v>29</v>
      </c>
      <c r="H3" s="86" t="s">
        <v>30</v>
      </c>
      <c r="I3" s="86" t="s">
        <v>31</v>
      </c>
      <c r="J3" s="86" t="s">
        <v>32</v>
      </c>
      <c r="L3" s="70"/>
      <c r="O3" s="70"/>
      <c r="P3" s="72"/>
      <c r="Q3" s="72"/>
      <c r="R3" s="72"/>
      <c r="S3" s="72"/>
      <c r="T3" s="72"/>
      <c r="U3" s="72"/>
      <c r="V3" s="72"/>
    </row>
    <row r="4" spans="1:22" x14ac:dyDescent="0.25">
      <c r="A4" s="10" t="s">
        <v>12</v>
      </c>
      <c r="B4" s="404"/>
      <c r="C4" s="405"/>
      <c r="D4" s="405"/>
      <c r="E4" s="405"/>
      <c r="F4" s="405"/>
      <c r="G4" s="405"/>
      <c r="H4" s="405"/>
      <c r="I4" s="405"/>
      <c r="J4" s="405"/>
      <c r="P4" s="228"/>
      <c r="Q4" s="228"/>
      <c r="R4" s="228"/>
      <c r="S4" s="228"/>
      <c r="T4" s="228"/>
      <c r="U4" s="228"/>
      <c r="V4" s="228"/>
    </row>
    <row r="5" spans="1:22" x14ac:dyDescent="0.25">
      <c r="A5" s="10" t="s">
        <v>13</v>
      </c>
      <c r="B5" s="10"/>
      <c r="C5" s="144">
        <v>9.1516260174531183E-3</v>
      </c>
      <c r="D5" s="144">
        <v>1.110280811997133E-2</v>
      </c>
      <c r="E5" s="144">
        <v>1.2919631039795654E-2</v>
      </c>
      <c r="F5" s="10"/>
      <c r="G5" s="10"/>
      <c r="H5" s="10"/>
      <c r="I5" s="10"/>
      <c r="J5" s="10"/>
      <c r="P5" s="228"/>
      <c r="Q5" s="228"/>
      <c r="R5" s="228"/>
      <c r="S5" s="228"/>
      <c r="T5" s="228"/>
      <c r="U5" s="228"/>
      <c r="V5" s="228"/>
    </row>
    <row r="6" spans="1:22" x14ac:dyDescent="0.25">
      <c r="A6" s="10" t="s">
        <v>325</v>
      </c>
      <c r="B6" s="10"/>
      <c r="C6" s="10"/>
      <c r="D6" s="10"/>
      <c r="E6" s="10"/>
      <c r="F6" s="144">
        <v>9.347440364901427E-3</v>
      </c>
      <c r="G6" s="144">
        <v>1.1091284263635481E-2</v>
      </c>
      <c r="H6" s="144">
        <v>1.9039155128829366E-2</v>
      </c>
      <c r="I6" s="144">
        <v>2.0306110044890913E-2</v>
      </c>
      <c r="J6" s="144">
        <v>1.889173880735795E-2</v>
      </c>
      <c r="P6" s="228"/>
      <c r="Q6" s="228"/>
      <c r="R6" s="228"/>
      <c r="S6" s="228"/>
      <c r="T6" s="228"/>
      <c r="U6" s="228"/>
      <c r="V6" s="228"/>
    </row>
    <row r="7" spans="1:22" x14ac:dyDescent="0.25">
      <c r="A7" s="10" t="s">
        <v>14</v>
      </c>
      <c r="B7" s="81">
        <v>1.1295047055197704</v>
      </c>
      <c r="C7" s="10"/>
      <c r="D7" s="10"/>
      <c r="E7" s="10"/>
      <c r="F7" s="10"/>
      <c r="G7" s="10"/>
      <c r="H7" s="10"/>
      <c r="I7" s="10"/>
      <c r="J7" s="10"/>
      <c r="P7" s="228"/>
      <c r="Q7" s="228"/>
      <c r="R7" s="228"/>
      <c r="S7" s="228"/>
      <c r="T7" s="228"/>
      <c r="U7" s="228"/>
      <c r="V7" s="228"/>
    </row>
    <row r="8" spans="1:22" x14ac:dyDescent="0.25">
      <c r="A8" s="345" t="s">
        <v>15</v>
      </c>
      <c r="B8" s="405"/>
      <c r="C8" s="405"/>
      <c r="D8" s="405"/>
      <c r="E8" s="405"/>
      <c r="F8" s="405"/>
      <c r="G8" s="405"/>
      <c r="H8" s="405"/>
      <c r="I8" s="405"/>
      <c r="J8" s="405"/>
      <c r="P8" s="228"/>
      <c r="Q8" s="228"/>
      <c r="R8" s="228"/>
      <c r="S8" s="228"/>
      <c r="T8" s="228"/>
      <c r="U8" s="228"/>
      <c r="V8" s="228"/>
    </row>
    <row r="9" spans="1:22" x14ac:dyDescent="0.25">
      <c r="A9" s="345" t="s">
        <v>16</v>
      </c>
      <c r="B9" s="10"/>
      <c r="C9" s="10"/>
      <c r="D9" s="10"/>
      <c r="E9" s="10"/>
      <c r="F9" s="405"/>
      <c r="G9" s="405"/>
      <c r="H9" s="405"/>
      <c r="I9" s="405"/>
      <c r="J9" s="405"/>
      <c r="P9" s="228"/>
      <c r="Q9" s="228"/>
      <c r="R9" s="228"/>
      <c r="S9" s="228"/>
      <c r="T9" s="228"/>
      <c r="U9" s="228"/>
      <c r="V9" s="228"/>
    </row>
    <row r="10" spans="1:22" x14ac:dyDescent="0.25">
      <c r="A10" s="345" t="s">
        <v>17</v>
      </c>
      <c r="B10" s="10"/>
      <c r="C10" s="10"/>
      <c r="D10" s="10"/>
      <c r="E10" s="10"/>
      <c r="F10" s="406"/>
      <c r="G10" s="406"/>
      <c r="H10" s="406"/>
      <c r="I10" s="406"/>
      <c r="J10" s="406"/>
      <c r="P10" s="228"/>
      <c r="Q10" s="228"/>
      <c r="R10" s="228"/>
      <c r="S10" s="228"/>
      <c r="T10" s="228"/>
      <c r="U10" s="228"/>
      <c r="V10" s="228"/>
    </row>
    <row r="11" spans="1:22" x14ac:dyDescent="0.25">
      <c r="A11" s="345" t="s">
        <v>18</v>
      </c>
      <c r="B11" s="10"/>
      <c r="C11" s="10"/>
      <c r="D11" s="10"/>
      <c r="E11" s="10"/>
      <c r="F11" s="405"/>
      <c r="G11" s="405"/>
      <c r="H11" s="405"/>
      <c r="I11" s="405"/>
      <c r="J11" s="405"/>
      <c r="P11" s="228"/>
      <c r="Q11" s="228"/>
      <c r="R11" s="228"/>
      <c r="S11" s="228"/>
      <c r="T11" s="228"/>
      <c r="U11" s="228"/>
      <c r="V11" s="228"/>
    </row>
    <row r="12" spans="1:22" x14ac:dyDescent="0.25">
      <c r="P12" s="228"/>
      <c r="Q12" s="228"/>
      <c r="R12" s="228"/>
      <c r="S12" s="228"/>
      <c r="T12" s="228"/>
      <c r="U12" s="228"/>
      <c r="V12" s="228"/>
    </row>
    <row r="13" spans="1:22" x14ac:dyDescent="0.25">
      <c r="A13" s="14" t="s">
        <v>19</v>
      </c>
      <c r="F13" s="71">
        <v>1.0249999999999999</v>
      </c>
      <c r="G13" s="71">
        <v>1.0506249999999999</v>
      </c>
      <c r="H13" s="71">
        <v>1.0768906249999999</v>
      </c>
      <c r="I13" s="71">
        <v>1.1038128906249998</v>
      </c>
      <c r="J13" s="71">
        <v>1.1314082128906247</v>
      </c>
      <c r="P13" s="228"/>
      <c r="Q13" s="228"/>
      <c r="R13" s="228"/>
      <c r="S13" s="228"/>
      <c r="T13" s="228"/>
      <c r="U13" s="228"/>
      <c r="V13" s="228"/>
    </row>
    <row r="14" spans="1:22" x14ac:dyDescent="0.25">
      <c r="N14" s="74"/>
      <c r="P14" s="228"/>
      <c r="Q14" s="228"/>
      <c r="R14" s="228"/>
      <c r="S14" s="228"/>
      <c r="T14" s="228"/>
      <c r="U14" s="228"/>
      <c r="V14" s="228"/>
    </row>
    <row r="15" spans="1:22" x14ac:dyDescent="0.25">
      <c r="A15" s="14" t="s">
        <v>360</v>
      </c>
      <c r="F15" s="407"/>
      <c r="G15" s="408"/>
      <c r="H15" s="408"/>
      <c r="I15" s="408"/>
      <c r="J15" s="409"/>
      <c r="P15" s="228"/>
      <c r="Q15" s="228"/>
      <c r="R15" s="228"/>
      <c r="S15" s="228"/>
      <c r="T15" s="228"/>
      <c r="U15" s="228"/>
      <c r="V15" s="228"/>
    </row>
    <row r="16" spans="1:22" x14ac:dyDescent="0.25">
      <c r="A16" s="14" t="s">
        <v>20</v>
      </c>
      <c r="F16" s="243">
        <v>1802315.8031964805</v>
      </c>
      <c r="G16" s="244">
        <v>2098884.0661470648</v>
      </c>
      <c r="H16" s="244">
        <v>2289919.4789108336</v>
      </c>
      <c r="I16" s="244">
        <v>2473048.1960596107</v>
      </c>
      <c r="J16" s="245">
        <v>2693334.6988396309</v>
      </c>
      <c r="M16" s="72"/>
      <c r="N16" s="133"/>
      <c r="P16" s="72"/>
      <c r="Q16" s="72"/>
      <c r="R16" s="72"/>
      <c r="S16" s="72"/>
      <c r="T16" s="72"/>
      <c r="U16" s="72"/>
      <c r="V16" s="72"/>
    </row>
    <row r="17" spans="1:22" x14ac:dyDescent="0.25">
      <c r="I17" s="69" t="s">
        <v>1</v>
      </c>
      <c r="J17" s="133">
        <v>11357502.243153621</v>
      </c>
      <c r="M17" s="72"/>
      <c r="N17" s="133"/>
    </row>
    <row r="18" spans="1:22" x14ac:dyDescent="0.25">
      <c r="P18" s="72"/>
      <c r="Q18" s="72"/>
      <c r="R18" s="72"/>
      <c r="S18" s="72"/>
      <c r="T18" s="72"/>
      <c r="U18" s="72"/>
      <c r="V18" s="72"/>
    </row>
    <row r="19" spans="1:22" x14ac:dyDescent="0.25">
      <c r="A19" s="14" t="s">
        <v>21</v>
      </c>
      <c r="F19" s="410"/>
      <c r="G19" s="411"/>
      <c r="H19" s="411"/>
      <c r="I19" s="411"/>
      <c r="J19" s="412"/>
      <c r="R19" s="133"/>
      <c r="S19" s="133"/>
      <c r="T19" s="133"/>
      <c r="U19" s="133"/>
      <c r="V19" s="133"/>
    </row>
    <row r="20" spans="1:22" x14ac:dyDescent="0.25">
      <c r="A20" s="14" t="s">
        <v>22</v>
      </c>
      <c r="F20" s="246">
        <v>1758356.8811672982</v>
      </c>
      <c r="G20" s="247">
        <v>1997748.0700983368</v>
      </c>
      <c r="H20" s="247">
        <v>2126417.8791702595</v>
      </c>
      <c r="I20" s="247">
        <v>2240459.6078410745</v>
      </c>
      <c r="J20" s="248">
        <v>2380515.4215368945</v>
      </c>
      <c r="R20" s="133"/>
      <c r="S20" s="133"/>
      <c r="T20" s="133"/>
      <c r="U20" s="133"/>
      <c r="V20" s="133"/>
    </row>
    <row r="21" spans="1:22" x14ac:dyDescent="0.25">
      <c r="F21" s="11" t="b">
        <v>1</v>
      </c>
      <c r="G21" s="11" t="b">
        <v>1</v>
      </c>
      <c r="H21" s="11" t="b">
        <v>1</v>
      </c>
      <c r="I21" s="11" t="b">
        <v>1</v>
      </c>
      <c r="J21" s="11" t="b">
        <v>1</v>
      </c>
      <c r="V21" s="229"/>
    </row>
    <row r="22" spans="1:22" x14ac:dyDescent="0.25">
      <c r="I22" s="69" t="s">
        <v>1</v>
      </c>
      <c r="J22" s="133">
        <v>10503497.859813863</v>
      </c>
      <c r="K22" s="11" t="s">
        <v>111</v>
      </c>
    </row>
    <row r="24" spans="1:22" x14ac:dyDescent="0.25">
      <c r="B24" s="394"/>
      <c r="C24" s="394"/>
      <c r="D24" s="394"/>
      <c r="E24" s="394"/>
      <c r="F24" s="394"/>
      <c r="G24" s="394"/>
      <c r="H24" s="394"/>
      <c r="I24" s="394"/>
      <c r="J24" s="394"/>
      <c r="K24" s="394"/>
    </row>
    <row r="25" spans="1:22" x14ac:dyDescent="0.25">
      <c r="B25" s="394"/>
      <c r="C25" s="394"/>
      <c r="D25" s="394"/>
      <c r="E25" s="394"/>
      <c r="F25" s="394"/>
      <c r="G25" s="394"/>
      <c r="H25" s="394"/>
      <c r="I25" s="394"/>
      <c r="J25" s="394"/>
      <c r="K25" s="394"/>
    </row>
    <row r="26" spans="1:22" x14ac:dyDescent="0.25">
      <c r="B26" s="394"/>
      <c r="C26" s="394"/>
      <c r="D26" s="394"/>
      <c r="E26" s="394"/>
      <c r="F26" s="394"/>
      <c r="G26" s="394"/>
      <c r="H26" s="394"/>
      <c r="I26" s="394"/>
      <c r="J26" s="394"/>
      <c r="K26" s="394"/>
    </row>
    <row r="27" spans="1:22" x14ac:dyDescent="0.25">
      <c r="B27" s="394"/>
      <c r="C27" s="394"/>
      <c r="D27" s="394"/>
      <c r="E27" s="394"/>
      <c r="F27" s="394"/>
      <c r="G27" s="394"/>
      <c r="H27" s="394"/>
      <c r="I27" s="394"/>
      <c r="J27" s="394"/>
      <c r="K27" s="394"/>
    </row>
    <row r="28" spans="1:22" x14ac:dyDescent="0.25">
      <c r="B28" s="394"/>
      <c r="C28" s="394"/>
      <c r="D28" s="394"/>
      <c r="E28" s="394"/>
      <c r="F28" s="394"/>
      <c r="G28" s="394"/>
      <c r="H28" s="394"/>
      <c r="I28" s="394"/>
      <c r="J28" s="394"/>
      <c r="K28" s="394"/>
    </row>
    <row r="29" spans="1:22" x14ac:dyDescent="0.25">
      <c r="B29" s="394"/>
      <c r="C29" s="394"/>
      <c r="D29" s="394"/>
      <c r="E29" s="394"/>
      <c r="F29" s="394"/>
      <c r="G29" s="394"/>
      <c r="H29" s="394"/>
      <c r="I29" s="394"/>
      <c r="J29" s="394"/>
      <c r="K29" s="394"/>
    </row>
    <row r="30" spans="1:22" x14ac:dyDescent="0.25">
      <c r="B30" s="394"/>
      <c r="C30" s="394"/>
      <c r="D30" s="394"/>
      <c r="E30" s="394"/>
      <c r="F30" s="394"/>
      <c r="G30" s="394"/>
      <c r="H30" s="394"/>
      <c r="I30" s="394"/>
      <c r="J30" s="394"/>
      <c r="K30" s="394"/>
    </row>
    <row r="31" spans="1:22" x14ac:dyDescent="0.25">
      <c r="B31" s="394"/>
      <c r="C31" s="394"/>
      <c r="D31" s="394"/>
      <c r="E31" s="394"/>
      <c r="F31" s="394"/>
      <c r="G31" s="394"/>
      <c r="H31" s="394"/>
      <c r="I31" s="394"/>
      <c r="J31" s="394"/>
      <c r="K31" s="394"/>
    </row>
    <row r="32" spans="1:22" x14ac:dyDescent="0.25">
      <c r="B32" s="394"/>
      <c r="C32" s="394"/>
      <c r="D32" s="394"/>
      <c r="E32" s="394"/>
      <c r="F32" s="394"/>
      <c r="G32" s="394"/>
      <c r="H32" s="394"/>
      <c r="I32" s="394"/>
      <c r="J32" s="394"/>
      <c r="K32" s="394"/>
    </row>
    <row r="33" spans="1:11" x14ac:dyDescent="0.25">
      <c r="B33" s="394"/>
      <c r="C33" s="394"/>
      <c r="D33" s="394"/>
      <c r="E33" s="394"/>
      <c r="F33" s="394"/>
      <c r="G33" s="394"/>
      <c r="H33" s="394"/>
      <c r="I33" s="394"/>
      <c r="J33" s="394"/>
      <c r="K33" s="394"/>
    </row>
    <row r="34" spans="1:11" x14ac:dyDescent="0.25">
      <c r="B34" s="394"/>
      <c r="C34" s="394"/>
      <c r="D34" s="394"/>
      <c r="E34" s="394"/>
      <c r="F34" s="394"/>
      <c r="G34" s="394"/>
      <c r="H34" s="394"/>
      <c r="I34" s="394"/>
      <c r="J34" s="394"/>
      <c r="K34" s="394"/>
    </row>
    <row r="35" spans="1:11" x14ac:dyDescent="0.25">
      <c r="B35" s="394"/>
      <c r="C35" s="394"/>
      <c r="D35" s="394"/>
      <c r="E35" s="394"/>
      <c r="F35" s="394"/>
      <c r="G35" s="394"/>
      <c r="H35" s="394"/>
      <c r="I35" s="394"/>
      <c r="J35" s="394"/>
      <c r="K35" s="394"/>
    </row>
    <row r="36" spans="1:11" x14ac:dyDescent="0.25">
      <c r="B36" s="394"/>
      <c r="C36" s="394"/>
      <c r="D36" s="394"/>
      <c r="E36" s="394"/>
      <c r="F36" s="394"/>
      <c r="G36" s="394"/>
      <c r="H36" s="394"/>
      <c r="I36" s="394"/>
      <c r="J36" s="394"/>
      <c r="K36" s="394"/>
    </row>
    <row r="37" spans="1:11" x14ac:dyDescent="0.25">
      <c r="B37" s="394"/>
      <c r="C37" s="394"/>
      <c r="D37" s="394"/>
      <c r="E37" s="394"/>
      <c r="F37" s="394"/>
      <c r="G37" s="394"/>
      <c r="H37" s="394"/>
      <c r="I37" s="394"/>
      <c r="J37" s="394"/>
      <c r="K37" s="394"/>
    </row>
    <row r="38" spans="1:11" x14ac:dyDescent="0.25">
      <c r="B38" s="394"/>
      <c r="C38" s="394"/>
      <c r="D38" s="394"/>
      <c r="E38" s="394"/>
      <c r="F38" s="394"/>
      <c r="G38" s="394"/>
      <c r="H38" s="394"/>
      <c r="I38" s="394"/>
      <c r="J38" s="394"/>
      <c r="K38" s="394"/>
    </row>
    <row r="39" spans="1:11" x14ac:dyDescent="0.25">
      <c r="B39" s="394"/>
      <c r="C39" s="394"/>
      <c r="D39" s="394"/>
      <c r="E39" s="394"/>
      <c r="F39" s="394"/>
      <c r="G39" s="394"/>
      <c r="H39" s="394"/>
      <c r="I39" s="394"/>
      <c r="J39" s="394"/>
      <c r="K39" s="394"/>
    </row>
    <row r="40" spans="1:11" x14ac:dyDescent="0.25">
      <c r="B40" s="394"/>
      <c r="C40" s="394"/>
      <c r="D40" s="394"/>
      <c r="E40" s="394"/>
      <c r="F40" s="394"/>
      <c r="G40" s="394"/>
      <c r="H40" s="394"/>
      <c r="I40" s="394"/>
      <c r="J40" s="394"/>
      <c r="K40" s="394"/>
    </row>
    <row r="41" spans="1:11" x14ac:dyDescent="0.25">
      <c r="B41" s="394"/>
      <c r="C41" s="394"/>
      <c r="D41" s="394"/>
      <c r="E41" s="394"/>
      <c r="F41" s="394"/>
      <c r="G41" s="394"/>
      <c r="H41" s="394"/>
      <c r="I41" s="394"/>
      <c r="J41" s="394"/>
      <c r="K41" s="394"/>
    </row>
    <row r="42" spans="1:11" x14ac:dyDescent="0.25">
      <c r="B42" s="394"/>
      <c r="C42" s="394"/>
      <c r="D42" s="394"/>
      <c r="E42" s="394"/>
      <c r="F42" s="394"/>
      <c r="G42" s="394"/>
      <c r="H42" s="394"/>
      <c r="I42" s="394"/>
      <c r="J42" s="394"/>
      <c r="K42" s="394"/>
    </row>
    <row r="43" spans="1:11" x14ac:dyDescent="0.25">
      <c r="B43" s="394"/>
      <c r="C43" s="394"/>
      <c r="D43" s="394"/>
      <c r="E43" s="394"/>
      <c r="F43" s="394"/>
      <c r="G43" s="394"/>
      <c r="H43" s="394"/>
      <c r="I43" s="394"/>
      <c r="J43" s="394"/>
      <c r="K43" s="394"/>
    </row>
    <row r="45" spans="1:11" s="147" customFormat="1" x14ac:dyDescent="0.25">
      <c r="A45" s="141" t="s">
        <v>316</v>
      </c>
    </row>
    <row r="46" spans="1:11" ht="14.25" thickBot="1" x14ac:dyDescent="0.3">
      <c r="A46" s="70"/>
    </row>
    <row r="47" spans="1:11" ht="14.25" thickBot="1" x14ac:dyDescent="0.3">
      <c r="A47" s="230" t="s">
        <v>0</v>
      </c>
      <c r="B47" s="231" t="s">
        <v>112</v>
      </c>
      <c r="C47" s="232" t="s">
        <v>113</v>
      </c>
      <c r="E47" s="11" t="s">
        <v>327</v>
      </c>
    </row>
    <row r="48" spans="1:11" ht="14.25" thickBot="1" x14ac:dyDescent="0.3">
      <c r="A48" s="395"/>
      <c r="B48" s="396"/>
      <c r="C48" s="397"/>
      <c r="E48" s="11" t="s">
        <v>114</v>
      </c>
      <c r="F48" s="403"/>
      <c r="I48" s="133"/>
    </row>
    <row r="49" spans="1:14" ht="14.25" thickBot="1" x14ac:dyDescent="0.3">
      <c r="A49" s="398"/>
      <c r="B49" s="399"/>
      <c r="C49" s="400"/>
      <c r="F49" s="133"/>
      <c r="I49" s="72"/>
    </row>
    <row r="50" spans="1:14" ht="14.25" thickBot="1" x14ac:dyDescent="0.3">
      <c r="A50" s="398"/>
      <c r="B50" s="401"/>
      <c r="C50" s="400"/>
      <c r="E50" s="70"/>
      <c r="F50" s="219"/>
    </row>
    <row r="51" spans="1:14" ht="14.25" thickBot="1" x14ac:dyDescent="0.3">
      <c r="A51" s="398"/>
      <c r="B51" s="398"/>
      <c r="C51" s="402"/>
      <c r="I51" s="226"/>
      <c r="N51" s="233"/>
    </row>
    <row r="52" spans="1:14" ht="14.25" thickBot="1" x14ac:dyDescent="0.3">
      <c r="A52" s="398"/>
      <c r="B52" s="401"/>
      <c r="C52" s="400"/>
      <c r="I52" s="219"/>
      <c r="N52" s="233"/>
    </row>
    <row r="53" spans="1:14" ht="14.25" thickBot="1" x14ac:dyDescent="0.3">
      <c r="A53" s="398"/>
      <c r="B53" s="399"/>
      <c r="C53" s="400"/>
      <c r="N53" s="233"/>
    </row>
    <row r="54" spans="1:14" x14ac:dyDescent="0.25">
      <c r="A54" s="348"/>
      <c r="B54" s="349"/>
      <c r="C54" s="350"/>
      <c r="I54" s="218"/>
      <c r="N54" s="233"/>
    </row>
    <row r="55" spans="1:14" x14ac:dyDescent="0.25">
      <c r="I55" s="133"/>
      <c r="N55" s="233"/>
    </row>
    <row r="56" spans="1:14" x14ac:dyDescent="0.25">
      <c r="A56" s="348"/>
      <c r="B56" s="349"/>
      <c r="C56" s="348"/>
      <c r="N56" s="233"/>
    </row>
    <row r="57" spans="1:14" x14ac:dyDescent="0.25">
      <c r="A57" s="348"/>
      <c r="B57" s="349"/>
      <c r="C57" s="348"/>
      <c r="N57" s="233"/>
    </row>
    <row r="58" spans="1:14" x14ac:dyDescent="0.25">
      <c r="A58" s="348"/>
      <c r="B58" s="349"/>
      <c r="C58" s="350"/>
      <c r="N58" s="233"/>
    </row>
    <row r="59" spans="1:14" x14ac:dyDescent="0.25">
      <c r="A59" s="348"/>
      <c r="B59" s="349"/>
      <c r="C59" s="348"/>
      <c r="I59" s="133"/>
      <c r="N59" s="233"/>
    </row>
    <row r="60" spans="1:14" x14ac:dyDescent="0.25">
      <c r="A60" s="348"/>
      <c r="B60" s="349"/>
      <c r="C60" s="348"/>
      <c r="I60" s="72"/>
      <c r="N60" s="233"/>
    </row>
    <row r="61" spans="1:14" x14ac:dyDescent="0.25">
      <c r="A61" s="348"/>
      <c r="B61" s="349"/>
      <c r="C61" s="348"/>
      <c r="N61" s="233"/>
    </row>
    <row r="62" spans="1:14" x14ac:dyDescent="0.25">
      <c r="A62" s="348"/>
      <c r="B62" s="349"/>
      <c r="C62" s="350"/>
      <c r="I62" s="226"/>
      <c r="N62" s="233"/>
    </row>
    <row r="63" spans="1:14" x14ac:dyDescent="0.25">
      <c r="A63" s="348"/>
      <c r="B63" s="349"/>
      <c r="C63" s="350"/>
      <c r="I63" s="219"/>
    </row>
    <row r="64" spans="1:14" x14ac:dyDescent="0.25">
      <c r="A64" s="348"/>
      <c r="B64" s="349"/>
      <c r="C64" s="351"/>
      <c r="K64" s="234"/>
    </row>
    <row r="65" spans="1:25" x14ac:dyDescent="0.25">
      <c r="A65" s="348"/>
      <c r="B65" s="349"/>
      <c r="C65" s="348"/>
      <c r="I65" s="219"/>
      <c r="J65" s="220"/>
    </row>
    <row r="66" spans="1:25" x14ac:dyDescent="0.25">
      <c r="A66" s="348"/>
      <c r="B66" s="349"/>
      <c r="C66" s="348"/>
      <c r="I66" s="133"/>
    </row>
    <row r="67" spans="1:25" x14ac:dyDescent="0.25">
      <c r="A67" s="348"/>
      <c r="B67" s="349"/>
      <c r="C67" s="348"/>
    </row>
    <row r="68" spans="1:25" x14ac:dyDescent="0.25">
      <c r="I68" s="219"/>
      <c r="J68" s="220"/>
      <c r="M68" s="72"/>
    </row>
    <row r="69" spans="1:25" x14ac:dyDescent="0.25">
      <c r="M69" s="72"/>
    </row>
    <row r="70" spans="1:25" x14ac:dyDescent="0.25">
      <c r="M70" s="72"/>
    </row>
    <row r="71" spans="1:25" x14ac:dyDescent="0.25">
      <c r="A71" s="348"/>
      <c r="B71" s="349"/>
      <c r="C71" s="348"/>
      <c r="I71" s="133"/>
      <c r="M71" s="219"/>
    </row>
    <row r="72" spans="1:25" x14ac:dyDescent="0.25">
      <c r="A72" s="348"/>
      <c r="B72" s="349"/>
      <c r="C72" s="348"/>
      <c r="I72" s="72"/>
    </row>
    <row r="73" spans="1:25" x14ac:dyDescent="0.25">
      <c r="A73" s="348"/>
      <c r="B73" s="349"/>
      <c r="C73" s="348"/>
    </row>
    <row r="74" spans="1:25" x14ac:dyDescent="0.25">
      <c r="A74" s="348"/>
      <c r="B74" s="349"/>
      <c r="C74" s="348"/>
      <c r="I74" s="226"/>
    </row>
    <row r="75" spans="1:25" x14ac:dyDescent="0.25">
      <c r="A75" s="348"/>
      <c r="B75" s="349"/>
      <c r="C75" s="348"/>
      <c r="I75" s="219"/>
    </row>
    <row r="76" spans="1:25" x14ac:dyDescent="0.25">
      <c r="A76" s="348"/>
      <c r="B76" s="349"/>
      <c r="C76" s="348"/>
      <c r="G76" s="133"/>
      <c r="H76" s="133"/>
      <c r="X76" s="133"/>
      <c r="Y76" s="133"/>
    </row>
    <row r="77" spans="1:25" x14ac:dyDescent="0.25">
      <c r="A77" s="348"/>
      <c r="B77" s="349"/>
      <c r="C77" s="350"/>
      <c r="G77" s="133"/>
      <c r="H77" s="133"/>
      <c r="I77" s="219"/>
      <c r="J77" s="220"/>
      <c r="X77" s="133"/>
      <c r="Y77" s="133"/>
    </row>
    <row r="78" spans="1:25" x14ac:dyDescent="0.25">
      <c r="A78" s="348"/>
      <c r="B78" s="349"/>
      <c r="C78" s="348"/>
      <c r="G78" s="133"/>
      <c r="H78" s="133"/>
      <c r="I78" s="133"/>
      <c r="X78" s="133"/>
      <c r="Y78" s="133"/>
    </row>
    <row r="79" spans="1:25" x14ac:dyDescent="0.25">
      <c r="G79" s="133"/>
      <c r="H79" s="133"/>
      <c r="X79" s="133"/>
      <c r="Y79" s="133"/>
    </row>
    <row r="80" spans="1:25" x14ac:dyDescent="0.25">
      <c r="G80" s="235"/>
    </row>
    <row r="81" spans="1:25" x14ac:dyDescent="0.25">
      <c r="A81" s="348"/>
      <c r="B81" s="349"/>
      <c r="C81" s="348"/>
      <c r="G81" s="133"/>
      <c r="H81" s="133"/>
      <c r="X81" s="133"/>
      <c r="Y81" s="133"/>
    </row>
    <row r="82" spans="1:25" x14ac:dyDescent="0.25">
      <c r="A82" s="348"/>
      <c r="B82" s="349"/>
      <c r="C82" s="350"/>
      <c r="G82" s="133"/>
      <c r="H82" s="133"/>
      <c r="X82" s="133"/>
      <c r="Y82" s="133"/>
    </row>
    <row r="83" spans="1:25" x14ac:dyDescent="0.25">
      <c r="A83" s="348"/>
      <c r="B83" s="349"/>
      <c r="C83" s="350"/>
      <c r="G83" s="133"/>
      <c r="H83" s="133"/>
      <c r="X83" s="133"/>
      <c r="Y83" s="133"/>
    </row>
    <row r="84" spans="1:25" ht="14.25" x14ac:dyDescent="0.25">
      <c r="B84" s="140"/>
      <c r="G84" s="236"/>
    </row>
    <row r="85" spans="1:25" x14ac:dyDescent="0.25">
      <c r="A85" s="235"/>
      <c r="B85" s="235"/>
      <c r="C85" s="235"/>
      <c r="D85" s="235"/>
      <c r="E85" s="235"/>
      <c r="F85" s="235"/>
      <c r="G85" s="235"/>
    </row>
    <row r="86" spans="1:25" x14ac:dyDescent="0.25">
      <c r="P86" s="235"/>
      <c r="Q86" s="133"/>
      <c r="R86" s="133"/>
      <c r="S86" s="133"/>
      <c r="T86" s="133"/>
      <c r="U86" s="133"/>
      <c r="V86" s="133"/>
      <c r="W86" s="133"/>
      <c r="X86" s="133"/>
      <c r="Y86" s="133"/>
    </row>
    <row r="87" spans="1:25" x14ac:dyDescent="0.25">
      <c r="P87" s="235"/>
      <c r="Q87" s="133"/>
      <c r="R87" s="133"/>
      <c r="S87" s="133"/>
      <c r="T87" s="133"/>
      <c r="U87" s="133"/>
      <c r="V87" s="133"/>
      <c r="W87" s="133"/>
      <c r="X87" s="133"/>
      <c r="Y87" s="133"/>
    </row>
    <row r="89" spans="1:25" x14ac:dyDescent="0.25">
      <c r="C89" s="70"/>
      <c r="D89" s="70"/>
      <c r="E89" s="70"/>
      <c r="F89" s="70"/>
      <c r="G89" s="70"/>
      <c r="H89" s="70"/>
      <c r="I89" s="70"/>
    </row>
    <row r="90" spans="1:25" x14ac:dyDescent="0.25">
      <c r="A90" s="23"/>
      <c r="B90" s="237"/>
      <c r="C90" s="238"/>
      <c r="D90" s="238"/>
      <c r="E90" s="13"/>
      <c r="F90" s="13"/>
      <c r="G90" s="13"/>
      <c r="H90" s="13"/>
      <c r="I90" s="13"/>
      <c r="L90" s="239"/>
      <c r="M90" s="239"/>
      <c r="N90" s="239"/>
    </row>
    <row r="91" spans="1:25" x14ac:dyDescent="0.25">
      <c r="B91" s="240"/>
      <c r="C91" s="240"/>
      <c r="D91" s="240"/>
      <c r="E91" s="240"/>
      <c r="F91" s="240"/>
      <c r="G91" s="240"/>
      <c r="H91" s="240"/>
      <c r="I91" s="240"/>
    </row>
    <row r="92" spans="1:25" x14ac:dyDescent="0.25">
      <c r="B92" s="71"/>
    </row>
    <row r="93" spans="1:25" x14ac:dyDescent="0.25">
      <c r="C93" s="70"/>
      <c r="D93" s="70"/>
      <c r="E93" s="70"/>
      <c r="F93" s="70"/>
      <c r="G93" s="70"/>
      <c r="H93" s="70"/>
      <c r="I93" s="70"/>
    </row>
    <row r="94" spans="1:25" x14ac:dyDescent="0.25">
      <c r="B94" s="240"/>
      <c r="C94" s="240"/>
      <c r="D94" s="240"/>
      <c r="E94" s="240"/>
      <c r="F94" s="240"/>
      <c r="G94" s="240"/>
      <c r="H94" s="240"/>
      <c r="I94" s="240"/>
      <c r="J94" s="214"/>
    </row>
    <row r="95" spans="1:25" x14ac:dyDescent="0.25">
      <c r="E95" s="140"/>
      <c r="F95" s="140"/>
      <c r="G95" s="140"/>
      <c r="H95" s="140"/>
      <c r="I95" s="140"/>
      <c r="J95" s="70"/>
    </row>
    <row r="96" spans="1:25" x14ac:dyDescent="0.25">
      <c r="B96" s="71"/>
      <c r="E96" s="71"/>
      <c r="F96" s="71"/>
      <c r="G96" s="71"/>
      <c r="H96" s="71"/>
      <c r="I96" s="71"/>
      <c r="J96" s="70"/>
    </row>
    <row r="97" spans="4:11" x14ac:dyDescent="0.25">
      <c r="E97" s="133"/>
      <c r="F97" s="133"/>
      <c r="G97" s="133"/>
      <c r="H97" s="133"/>
      <c r="I97" s="133"/>
      <c r="J97" s="219"/>
      <c r="K97" s="133"/>
    </row>
    <row r="99" spans="4:11" x14ac:dyDescent="0.25">
      <c r="E99" s="133"/>
      <c r="F99" s="133"/>
      <c r="G99" s="133"/>
      <c r="H99" s="133"/>
      <c r="I99" s="133"/>
    </row>
    <row r="101" spans="4:11" x14ac:dyDescent="0.25">
      <c r="E101" s="241"/>
      <c r="F101" s="241"/>
      <c r="G101" s="241"/>
      <c r="H101" s="241"/>
      <c r="I101" s="241"/>
    </row>
    <row r="102" spans="4:11" x14ac:dyDescent="0.25">
      <c r="E102" s="241"/>
      <c r="F102" s="241"/>
      <c r="G102" s="241"/>
      <c r="H102" s="241"/>
      <c r="I102" s="241"/>
    </row>
    <row r="105" spans="4:11" x14ac:dyDescent="0.25">
      <c r="E105" s="140"/>
      <c r="F105" s="140"/>
      <c r="G105" s="140"/>
      <c r="H105" s="140"/>
      <c r="I105" s="140"/>
    </row>
    <row r="106" spans="4:11" x14ac:dyDescent="0.25">
      <c r="D106" s="74"/>
      <c r="E106" s="242"/>
      <c r="F106" s="242"/>
      <c r="G106" s="242"/>
      <c r="H106" s="242"/>
      <c r="I106" s="242"/>
    </row>
    <row r="107" spans="4:11" x14ac:dyDescent="0.25">
      <c r="D107" s="74"/>
      <c r="E107" s="140"/>
      <c r="F107" s="140"/>
      <c r="G107" s="140"/>
      <c r="H107" s="140"/>
      <c r="I107" s="140"/>
      <c r="J107" s="214"/>
      <c r="K107" s="133"/>
    </row>
    <row r="108" spans="4:11" x14ac:dyDescent="0.25">
      <c r="D108" s="220"/>
      <c r="E108" s="133"/>
      <c r="F108" s="133"/>
      <c r="G108" s="133"/>
      <c r="H108" s="133"/>
      <c r="I108" s="133"/>
    </row>
    <row r="109" spans="4:11" x14ac:dyDescent="0.25">
      <c r="E109" s="140"/>
      <c r="F109" s="140"/>
      <c r="G109" s="140"/>
      <c r="H109" s="140"/>
      <c r="I109" s="140"/>
    </row>
    <row r="115" spans="2:19" x14ac:dyDescent="0.25">
      <c r="P115" s="239"/>
      <c r="Q115" s="239"/>
      <c r="R115" s="239"/>
      <c r="S115" s="239"/>
    </row>
    <row r="117" spans="2:19" x14ac:dyDescent="0.25">
      <c r="B117" s="140"/>
      <c r="C117" s="140"/>
      <c r="D117" s="140"/>
      <c r="E117" s="140"/>
      <c r="F117" s="140"/>
      <c r="G117" s="140"/>
      <c r="H117" s="140"/>
    </row>
    <row r="118" spans="2:19" x14ac:dyDescent="0.25">
      <c r="H118" s="219"/>
    </row>
  </sheetData>
  <phoneticPr fontId="8" type="noConversion"/>
  <pageMargins left="0.7" right="0.7" top="0.75" bottom="0.75" header="0.3" footer="0.3"/>
  <pageSetup paperSize="9" orientation="portrait" r:id="rId1"/>
  <headerFooter>
    <oddFooter>&amp;C_x000D_&amp;1#&amp;"Century Gothic"&amp;7&amp;K7F7F7F CONFIDENTIAL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B9007-4DF5-44F2-A305-150DD8561A20}">
  <sheetPr>
    <tabColor theme="3"/>
  </sheetPr>
  <dimension ref="A2:X86"/>
  <sheetViews>
    <sheetView workbookViewId="0">
      <selection activeCell="Q19" sqref="Q19"/>
    </sheetView>
  </sheetViews>
  <sheetFormatPr defaultColWidth="8.625" defaultRowHeight="13.5" x14ac:dyDescent="0.25"/>
  <cols>
    <col min="1" max="16384" width="8.625" style="11"/>
  </cols>
  <sheetData>
    <row r="2" spans="1:24" s="149" customFormat="1" x14ac:dyDescent="0.25">
      <c r="A2" s="141" t="s">
        <v>288</v>
      </c>
    </row>
    <row r="4" spans="1:24" x14ac:dyDescent="0.25">
      <c r="A4" s="86" t="s">
        <v>284</v>
      </c>
      <c r="B4" s="86" t="s">
        <v>285</v>
      </c>
      <c r="C4" s="86" t="s">
        <v>24</v>
      </c>
      <c r="D4" s="86" t="s">
        <v>25</v>
      </c>
      <c r="E4" s="86" t="s">
        <v>26</v>
      </c>
    </row>
    <row r="5" spans="1:24" x14ac:dyDescent="0.25">
      <c r="A5" s="81">
        <v>250.33996496661402</v>
      </c>
      <c r="B5" s="81">
        <v>223.62600123364609</v>
      </c>
      <c r="C5" s="81">
        <v>277.84185426099845</v>
      </c>
      <c r="D5" s="81">
        <v>317.85006212539196</v>
      </c>
      <c r="E5" s="81">
        <v>282.82439388301611</v>
      </c>
    </row>
    <row r="6" spans="1:24" x14ac:dyDescent="0.25">
      <c r="A6" s="14" t="s">
        <v>222</v>
      </c>
    </row>
    <row r="8" spans="1:24" s="141" customFormat="1" x14ac:dyDescent="0.25">
      <c r="A8" s="141" t="s">
        <v>311</v>
      </c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</row>
    <row r="10" spans="1:24" x14ac:dyDescent="0.25">
      <c r="A10" s="333" t="s">
        <v>309</v>
      </c>
      <c r="B10" s="250" t="s">
        <v>308</v>
      </c>
      <c r="C10" s="250" t="s">
        <v>284</v>
      </c>
      <c r="D10" s="250" t="s">
        <v>285</v>
      </c>
      <c r="E10" s="250" t="s">
        <v>24</v>
      </c>
      <c r="F10" s="250" t="s">
        <v>25</v>
      </c>
      <c r="G10" s="251" t="s">
        <v>26</v>
      </c>
      <c r="I10" s="141" t="s">
        <v>312</v>
      </c>
      <c r="J10" s="141"/>
      <c r="K10" s="141"/>
      <c r="L10" s="141"/>
      <c r="M10" s="141"/>
      <c r="N10" s="141"/>
      <c r="O10" s="141"/>
      <c r="P10" s="141"/>
      <c r="Q10" s="141"/>
    </row>
    <row r="11" spans="1:24" x14ac:dyDescent="0.25">
      <c r="A11" s="334" t="s">
        <v>307</v>
      </c>
      <c r="B11" s="335"/>
      <c r="C11" s="252">
        <v>228.19520768272159</v>
      </c>
      <c r="D11" s="252">
        <v>231.6063628391766</v>
      </c>
      <c r="E11" s="252">
        <v>235.39653172536418</v>
      </c>
      <c r="F11" s="252">
        <v>239.82423869360946</v>
      </c>
      <c r="G11" s="253">
        <v>245.217470191589</v>
      </c>
    </row>
    <row r="12" spans="1:24" x14ac:dyDescent="0.25">
      <c r="A12" s="336" t="s">
        <v>306</v>
      </c>
      <c r="B12" s="254"/>
      <c r="C12" s="255">
        <v>9.4571084152270224</v>
      </c>
      <c r="D12" s="255">
        <v>9.3124077378556809</v>
      </c>
      <c r="E12" s="255">
        <v>9.1710630203785755</v>
      </c>
      <c r="F12" s="255">
        <v>9.0329964299409085</v>
      </c>
      <c r="G12" s="256">
        <v>8.8981319388206828</v>
      </c>
    </row>
    <row r="13" spans="1:24" x14ac:dyDescent="0.25">
      <c r="A13" s="336" t="s">
        <v>305</v>
      </c>
      <c r="B13" s="254"/>
      <c r="C13" s="255">
        <v>0.24036616306495823</v>
      </c>
      <c r="D13" s="255">
        <v>0.24036616306495823</v>
      </c>
      <c r="E13" s="255">
        <v>0.24036616306495823</v>
      </c>
      <c r="F13" s="255">
        <v>0.24036616306495823</v>
      </c>
      <c r="G13" s="256">
        <v>0.24036616306495823</v>
      </c>
    </row>
    <row r="14" spans="1:24" x14ac:dyDescent="0.25">
      <c r="A14" s="336" t="s">
        <v>304</v>
      </c>
      <c r="B14" s="254"/>
      <c r="C14" s="255">
        <v>3.2867236072382062</v>
      </c>
      <c r="D14" s="255"/>
      <c r="E14" s="255"/>
      <c r="F14" s="255"/>
      <c r="G14" s="256"/>
    </row>
    <row r="15" spans="1:24" x14ac:dyDescent="0.25">
      <c r="A15" s="336" t="s">
        <v>303</v>
      </c>
      <c r="B15" s="254"/>
      <c r="C15" s="255">
        <v>1.1231427765214885</v>
      </c>
      <c r="D15" s="255"/>
      <c r="E15" s="255"/>
      <c r="F15" s="255"/>
      <c r="G15" s="256"/>
    </row>
    <row r="16" spans="1:24" x14ac:dyDescent="0.25">
      <c r="A16" s="336" t="s">
        <v>302</v>
      </c>
      <c r="B16" s="254"/>
      <c r="C16" s="255">
        <v>9.0441719785489764E-3</v>
      </c>
      <c r="D16" s="255"/>
      <c r="E16" s="255"/>
      <c r="F16" s="255"/>
      <c r="G16" s="256"/>
    </row>
    <row r="17" spans="1:24" x14ac:dyDescent="0.25">
      <c r="A17" s="336" t="s">
        <v>301</v>
      </c>
      <c r="B17" s="254"/>
      <c r="C17" s="255"/>
      <c r="D17" s="255"/>
      <c r="E17" s="255">
        <v>1.5271721716491682</v>
      </c>
      <c r="F17" s="255">
        <v>2.5623248515628325</v>
      </c>
      <c r="G17" s="256">
        <v>2.6033415182607871</v>
      </c>
    </row>
    <row r="18" spans="1:24" x14ac:dyDescent="0.25">
      <c r="A18" s="336" t="s">
        <v>300</v>
      </c>
      <c r="B18" s="254"/>
      <c r="C18" s="255"/>
      <c r="D18" s="255"/>
      <c r="E18" s="255">
        <v>24.55539023360512</v>
      </c>
      <c r="F18" s="255"/>
      <c r="G18" s="256"/>
    </row>
    <row r="19" spans="1:24" x14ac:dyDescent="0.25">
      <c r="A19" s="337" t="s">
        <v>299</v>
      </c>
      <c r="B19" s="254"/>
      <c r="C19" s="257">
        <f>SUM(C11:C16)</f>
        <v>242.31159281675181</v>
      </c>
      <c r="D19" s="257">
        <f>SUM(D11:D16)</f>
        <v>241.15913674009724</v>
      </c>
      <c r="E19" s="257">
        <f>SUM(E11:E18)</f>
        <v>270.89052331406197</v>
      </c>
      <c r="F19" s="257">
        <f>SUM(F11:F17)</f>
        <v>251.65992613817815</v>
      </c>
      <c r="G19" s="258">
        <f>SUM(G11:G17)</f>
        <v>256.95930981173541</v>
      </c>
    </row>
    <row r="20" spans="1:24" x14ac:dyDescent="0.25">
      <c r="A20" s="336" t="s">
        <v>298</v>
      </c>
      <c r="B20" s="254"/>
      <c r="C20" s="255">
        <v>2.2142462152097226</v>
      </c>
      <c r="D20" s="255">
        <v>2.2449315556494076</v>
      </c>
      <c r="E20" s="255">
        <v>2.2853821071100904</v>
      </c>
      <c r="F20" s="255">
        <v>2.3002560327302484</v>
      </c>
      <c r="G20" s="256">
        <v>2.300015824969448</v>
      </c>
    </row>
    <row r="21" spans="1:24" x14ac:dyDescent="0.25">
      <c r="A21" s="337" t="s">
        <v>297</v>
      </c>
      <c r="B21" s="254"/>
      <c r="C21" s="255">
        <f>C19+C20</f>
        <v>244.52583903196154</v>
      </c>
      <c r="D21" s="255">
        <f>D19+D20</f>
        <v>243.40406829574664</v>
      </c>
      <c r="E21" s="255">
        <f>E19+E20</f>
        <v>273.17590542117205</v>
      </c>
      <c r="F21" s="255">
        <f>F19+F20</f>
        <v>253.96018217090841</v>
      </c>
      <c r="G21" s="256">
        <f>G19+G20</f>
        <v>259.25932563670483</v>
      </c>
    </row>
    <row r="22" spans="1:24" x14ac:dyDescent="0.25">
      <c r="A22" s="337" t="s">
        <v>296</v>
      </c>
      <c r="B22" s="254"/>
      <c r="C22" s="255">
        <f>22.5197+0.841064</f>
        <v>23.360764</v>
      </c>
      <c r="D22" s="255"/>
      <c r="E22" s="255"/>
      <c r="F22" s="255"/>
      <c r="G22" s="256"/>
    </row>
    <row r="23" spans="1:24" x14ac:dyDescent="0.25">
      <c r="A23" s="338" t="s">
        <v>295</v>
      </c>
      <c r="B23" s="339"/>
      <c r="C23" s="259">
        <v>264.98609281317084</v>
      </c>
      <c r="D23" s="260"/>
      <c r="E23" s="260"/>
      <c r="F23" s="260"/>
      <c r="G23" s="261"/>
    </row>
    <row r="24" spans="1:24" x14ac:dyDescent="0.25">
      <c r="A24" s="262" t="s">
        <v>294</v>
      </c>
      <c r="B24" s="254"/>
      <c r="C24" s="254"/>
      <c r="D24" s="254"/>
      <c r="E24" s="254"/>
      <c r="F24" s="254"/>
      <c r="G24" s="254"/>
    </row>
    <row r="26" spans="1:24" s="149" customFormat="1" x14ac:dyDescent="0.25">
      <c r="A26" s="344" t="s">
        <v>346</v>
      </c>
    </row>
    <row r="27" spans="1:24" x14ac:dyDescent="0.25">
      <c r="S27" s="263"/>
      <c r="T27" s="263"/>
      <c r="U27" s="263"/>
      <c r="V27" s="263"/>
      <c r="W27" s="263"/>
      <c r="X27" s="263"/>
    </row>
    <row r="28" spans="1:24" x14ac:dyDescent="0.25">
      <c r="R28" s="263"/>
      <c r="S28" s="263"/>
      <c r="T28" s="263"/>
      <c r="U28" s="263"/>
      <c r="V28" s="263"/>
      <c r="W28" s="263"/>
      <c r="X28" s="263"/>
    </row>
    <row r="29" spans="1:24" x14ac:dyDescent="0.25">
      <c r="R29" s="263"/>
      <c r="S29" s="263"/>
      <c r="T29" s="263"/>
      <c r="U29" s="263"/>
      <c r="V29" s="263"/>
      <c r="W29" s="263"/>
      <c r="X29" s="263"/>
    </row>
    <row r="30" spans="1:24" x14ac:dyDescent="0.25">
      <c r="R30" s="263"/>
      <c r="S30" s="263"/>
      <c r="T30" s="263"/>
      <c r="U30" s="263"/>
      <c r="V30" s="263"/>
      <c r="W30" s="263"/>
      <c r="X30" s="263"/>
    </row>
    <row r="31" spans="1:24" x14ac:dyDescent="0.25">
      <c r="R31" s="263"/>
      <c r="S31" s="263"/>
      <c r="T31" s="263"/>
      <c r="U31" s="263"/>
      <c r="V31" s="263"/>
      <c r="W31" s="263"/>
      <c r="X31" s="263"/>
    </row>
    <row r="32" spans="1:24" x14ac:dyDescent="0.25">
      <c r="R32" s="263"/>
      <c r="S32" s="263"/>
      <c r="T32" s="263"/>
      <c r="U32" s="263"/>
      <c r="V32" s="263"/>
      <c r="W32" s="263"/>
      <c r="X32" s="263"/>
    </row>
    <row r="33" spans="9:24" x14ac:dyDescent="0.25">
      <c r="R33" s="263"/>
      <c r="S33" s="263"/>
      <c r="T33" s="263"/>
      <c r="U33" s="263"/>
      <c r="V33" s="263"/>
      <c r="W33" s="263"/>
      <c r="X33" s="263"/>
    </row>
    <row r="34" spans="9:24" x14ac:dyDescent="0.25">
      <c r="R34" s="263"/>
      <c r="S34" s="263"/>
      <c r="T34" s="263"/>
      <c r="U34" s="263"/>
      <c r="V34" s="263"/>
      <c r="W34" s="263"/>
      <c r="X34" s="263"/>
    </row>
    <row r="35" spans="9:24" x14ac:dyDescent="0.25">
      <c r="R35" s="263"/>
      <c r="S35" s="263"/>
      <c r="T35" s="263"/>
      <c r="U35" s="263"/>
      <c r="V35" s="263"/>
      <c r="W35" s="263"/>
      <c r="X35" s="263"/>
    </row>
    <row r="36" spans="9:24" x14ac:dyDescent="0.25">
      <c r="R36" s="263"/>
      <c r="S36" s="263"/>
      <c r="T36" s="263"/>
      <c r="U36" s="263"/>
      <c r="V36" s="263"/>
      <c r="W36" s="263"/>
      <c r="X36" s="263"/>
    </row>
    <row r="37" spans="9:24" x14ac:dyDescent="0.25">
      <c r="I37" s="263" t="s">
        <v>224</v>
      </c>
      <c r="J37" s="263" t="s">
        <v>293</v>
      </c>
      <c r="K37" s="263"/>
      <c r="L37" s="263"/>
      <c r="M37" s="263"/>
      <c r="N37" s="263"/>
      <c r="R37" s="263"/>
      <c r="S37" s="263"/>
      <c r="T37" s="263"/>
      <c r="U37" s="263"/>
      <c r="V37" s="263"/>
      <c r="W37" s="263"/>
      <c r="X37" s="263"/>
    </row>
    <row r="38" spans="9:24" x14ac:dyDescent="0.25">
      <c r="I38" s="249">
        <v>6.5089360000000003</v>
      </c>
      <c r="J38" s="264">
        <f>I38/(118.8/117.2)</f>
        <v>6.4212735622895627</v>
      </c>
      <c r="K38" s="263" t="s">
        <v>290</v>
      </c>
      <c r="L38" s="263"/>
      <c r="M38" s="263"/>
      <c r="N38" s="263"/>
      <c r="R38" s="263"/>
      <c r="S38" s="263"/>
      <c r="T38" s="263"/>
      <c r="U38" s="263"/>
      <c r="V38" s="263"/>
      <c r="W38" s="263"/>
      <c r="X38" s="263"/>
    </row>
    <row r="39" spans="9:24" x14ac:dyDescent="0.25">
      <c r="I39" s="264">
        <v>0.84106400000000003</v>
      </c>
      <c r="J39" s="264"/>
      <c r="K39" s="263" t="s">
        <v>292</v>
      </c>
      <c r="L39" s="263"/>
      <c r="M39" s="263"/>
      <c r="N39" s="263"/>
      <c r="R39" s="263"/>
      <c r="S39" s="263"/>
      <c r="T39" s="263"/>
      <c r="U39" s="263"/>
      <c r="V39" s="263"/>
      <c r="W39" s="263"/>
      <c r="X39" s="263"/>
    </row>
    <row r="40" spans="9:24" x14ac:dyDescent="0.25">
      <c r="I40" s="263">
        <v>4.51</v>
      </c>
      <c r="J40" s="263"/>
      <c r="K40" s="263" t="s">
        <v>291</v>
      </c>
      <c r="L40" s="263"/>
      <c r="M40" s="263"/>
      <c r="N40" s="263"/>
      <c r="R40" s="263"/>
      <c r="S40" s="263"/>
      <c r="T40" s="263"/>
      <c r="U40" s="263"/>
      <c r="V40" s="263"/>
      <c r="W40" s="263"/>
      <c r="X40" s="263"/>
    </row>
    <row r="41" spans="9:24" x14ac:dyDescent="0.25">
      <c r="I41" s="263"/>
      <c r="J41" s="263"/>
      <c r="K41" s="263"/>
      <c r="L41" s="263"/>
      <c r="M41" s="263"/>
      <c r="N41" s="263"/>
      <c r="R41" s="263"/>
      <c r="S41" s="263"/>
      <c r="T41" s="263"/>
      <c r="U41" s="263"/>
      <c r="V41" s="263"/>
      <c r="W41" s="263"/>
      <c r="X41" s="263"/>
    </row>
    <row r="42" spans="9:24" x14ac:dyDescent="0.25">
      <c r="I42" s="264"/>
      <c r="J42" s="263"/>
      <c r="K42" s="263"/>
      <c r="L42" s="263"/>
      <c r="M42" s="263"/>
      <c r="N42" s="263"/>
      <c r="R42" s="263"/>
      <c r="S42" s="263"/>
      <c r="T42" s="263"/>
      <c r="U42" s="263"/>
      <c r="V42" s="263"/>
      <c r="W42" s="263"/>
      <c r="X42" s="263"/>
    </row>
    <row r="43" spans="9:24" x14ac:dyDescent="0.25">
      <c r="I43" s="340"/>
      <c r="J43" s="263"/>
      <c r="K43" s="263"/>
      <c r="L43" s="263"/>
      <c r="M43" s="263"/>
      <c r="N43" s="263"/>
      <c r="R43" s="263"/>
      <c r="S43" s="263"/>
      <c r="T43" s="263"/>
      <c r="U43" s="263"/>
      <c r="V43" s="263"/>
      <c r="W43" s="263"/>
      <c r="X43" s="263"/>
    </row>
    <row r="44" spans="9:24" x14ac:dyDescent="0.25">
      <c r="I44" s="264"/>
      <c r="J44" s="263"/>
      <c r="K44" s="263"/>
      <c r="L44" s="263"/>
      <c r="M44" s="263"/>
      <c r="N44" s="263"/>
      <c r="R44" s="263"/>
      <c r="S44" s="263"/>
      <c r="T44" s="263"/>
      <c r="U44" s="263"/>
      <c r="V44" s="263"/>
      <c r="W44" s="263"/>
      <c r="X44" s="263"/>
    </row>
    <row r="45" spans="9:24" x14ac:dyDescent="0.25">
      <c r="I45" s="263"/>
      <c r="J45" s="263"/>
      <c r="K45" s="263"/>
      <c r="L45" s="263"/>
      <c r="M45" s="263"/>
      <c r="N45" s="263"/>
      <c r="R45" s="263"/>
      <c r="S45" s="263"/>
      <c r="T45" s="263"/>
      <c r="U45" s="263"/>
      <c r="V45" s="263"/>
      <c r="W45" s="263"/>
      <c r="X45" s="263"/>
    </row>
    <row r="46" spans="9:24" x14ac:dyDescent="0.25">
      <c r="R46" s="263"/>
      <c r="S46" s="263"/>
      <c r="T46" s="263"/>
      <c r="U46" s="263"/>
      <c r="V46" s="263"/>
      <c r="W46" s="263"/>
      <c r="X46" s="263"/>
    </row>
    <row r="47" spans="9:24" x14ac:dyDescent="0.25">
      <c r="X47" s="263"/>
    </row>
    <row r="48" spans="9:24" x14ac:dyDescent="0.25">
      <c r="X48" s="263"/>
    </row>
    <row r="49" spans="24:24" x14ac:dyDescent="0.25">
      <c r="X49" s="263"/>
    </row>
    <row r="50" spans="24:24" x14ac:dyDescent="0.25">
      <c r="X50" s="263"/>
    </row>
    <row r="51" spans="24:24" x14ac:dyDescent="0.25">
      <c r="X51" s="263"/>
    </row>
    <row r="52" spans="24:24" x14ac:dyDescent="0.25">
      <c r="X52" s="263"/>
    </row>
    <row r="53" spans="24:24" x14ac:dyDescent="0.25">
      <c r="X53" s="263"/>
    </row>
    <row r="54" spans="24:24" x14ac:dyDescent="0.25">
      <c r="X54" s="263"/>
    </row>
    <row r="55" spans="24:24" x14ac:dyDescent="0.25">
      <c r="X55" s="263"/>
    </row>
    <row r="86" spans="1:4" x14ac:dyDescent="0.25">
      <c r="A86" s="70"/>
      <c r="B86" s="70"/>
      <c r="C86" s="70"/>
      <c r="D86" s="70"/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668db9c-bb18-4bed-8851-b5721f14e6b4">
      <Terms xmlns="http://schemas.microsoft.com/office/infopath/2007/PartnerControls"/>
    </lcf76f155ced4ddcb4097134ff3c332f>
    <TaxCatchAll xmlns="facbff88-6fe3-477c-bd78-371714a63d3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26092BDB0EB54683F161AC1502A92A" ma:contentTypeVersion="15" ma:contentTypeDescription="Create a new document." ma:contentTypeScope="" ma:versionID="573d424dd1e19490fac3388276302f64">
  <xsd:schema xmlns:xsd="http://www.w3.org/2001/XMLSchema" xmlns:xs="http://www.w3.org/2001/XMLSchema" xmlns:p="http://schemas.microsoft.com/office/2006/metadata/properties" xmlns:ns2="d668db9c-bb18-4bed-8851-b5721f14e6b4" xmlns:ns3="facbff88-6fe3-477c-bd78-371714a63d39" targetNamespace="http://schemas.microsoft.com/office/2006/metadata/properties" ma:root="true" ma:fieldsID="4b8a887423ab20ccf81c13febc9a4956" ns2:_="" ns3:_="">
    <xsd:import namespace="d668db9c-bb18-4bed-8851-b5721f14e6b4"/>
    <xsd:import namespace="facbff88-6fe3-477c-bd78-371714a63d3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68db9c-bb18-4bed-8851-b5721f14e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09e67b6b-74cb-4963-8df3-8bbebf5323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cbff88-6fe3-477c-bd78-371714a63d3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9a79716-25b4-414f-9205-0a0877a8c924}" ma:internalName="TaxCatchAll" ma:showField="CatchAllData" ma:web="facbff88-6fe3-477c-bd78-371714a63d3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0043FF3-0F09-485C-90BD-E903F7FA9590}">
  <ds:schemaRefs>
    <ds:schemaRef ds:uri="http://purl.org/dc/dcmitype/"/>
    <ds:schemaRef ds:uri="http://schemas.microsoft.com/office/2006/documentManagement/types"/>
    <ds:schemaRef ds:uri="http://purl.org/dc/elements/1.1/"/>
    <ds:schemaRef ds:uri="d668db9c-bb18-4bed-8851-b5721f14e6b4"/>
    <ds:schemaRef ds:uri="facbff88-6fe3-477c-bd78-371714a63d39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FBF9D30-CF26-493B-AD3F-0004B85AE8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5B14D9D-E377-448C-A813-304C67CA53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68db9c-bb18-4bed-8851-b5721f14e6b4"/>
    <ds:schemaRef ds:uri="facbff88-6fe3-477c-bd78-371714a63d3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bcd18e2f-52a0-4672-a0c4-533d3d34ff74}" enabled="1" method="Privileged" siteId="{a394e41c-cf8d-458e-ac1b-ddae1aa1562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Contents</vt:lpstr>
      <vt:lpstr>1. Trend</vt:lpstr>
      <vt:lpstr>2. GSLs</vt:lpstr>
      <vt:lpstr>3. Innovation</vt:lpstr>
      <vt:lpstr>4. Adjustments</vt:lpstr>
      <vt:lpstr>5. Emergency Backstop Mechanism</vt:lpstr>
      <vt:lpstr>6. ESV Pole Inspection</vt:lpstr>
      <vt:lpstr>7. Digital</vt:lpstr>
      <vt:lpstr>8. Flexible Services &amp; Non-Net.</vt:lpstr>
      <vt:lpstr>9. Customer Managers &amp; Comms</vt:lpstr>
      <vt:lpstr>10. Early Fault Detection</vt:lpstr>
      <vt:lpstr>11. Emergency P&amp;R</vt:lpstr>
      <vt:lpstr>12. Insurance</vt:lpstr>
      <vt:lpstr>13. Current period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Astro Sakalis</dc:creator>
  <cp:lastModifiedBy>Robert Ball</cp:lastModifiedBy>
  <cp:lastPrinted>2025-01-28T05:20:00Z</cp:lastPrinted>
  <dcterms:created xsi:type="dcterms:W3CDTF">2022-05-05T07:17:59Z</dcterms:created>
  <dcterms:modified xsi:type="dcterms:W3CDTF">2025-02-03T01:24:41Z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0x0101000B26092BDB0EB54683F161AC1502A92A</vt:lpwstr>
  </property>
  <property fmtid="{D5CDD505-2E9C-101B-9397-08002B2CF9AE}" pid="3" name="MediaServiceImageTags">
    <vt:lpwstr/>
  </property>
</Properties>
</file>